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1140" yWindow="180" windowWidth="21200" windowHeight="12640" tabRatio="850"/>
  </bookViews>
  <sheets>
    <sheet name="Data By District" sheetId="3" r:id="rId1"/>
    <sheet name="Data By State" sheetId="515" r:id="rId2"/>
    <sheet name="State rankings" sheetId="39124" r:id="rId3"/>
    <sheet name="Instructions" sheetId="1" r:id="rId4"/>
    <sheet name="National Averages" sheetId="39125" r:id="rId5"/>
    <sheet name="Seats to Votes" sheetId="868" r:id="rId6"/>
    <sheet name="Charts" sheetId="39126" r:id="rId7"/>
  </sheets>
  <definedNames>
    <definedName name="_xlnm._FilterDatabase" localSheetId="2" hidden="1">'State rankings'!$AG$7:$AI$57</definedName>
    <definedName name="_xlnm.Print_Area" localSheetId="0">'Data By District'!$O$7:$AC$466</definedName>
    <definedName name="_xlnm.Print_Area" localSheetId="1">'Data By State'!$A$7:$BQ$57</definedName>
    <definedName name="_xlnm.Print_Area" localSheetId="3">Instructions!$A$33:$Q$83</definedName>
    <definedName name="_xlnm.Print_Area" localSheetId="2">'State rankings'!$A$8:$AM$58</definedName>
    <definedName name="_xlnm.Print_Titles" localSheetId="0">'Data By District'!$A:$N,'Data By District'!$5:$6</definedName>
    <definedName name="_xlnm.Print_Titles" localSheetId="1">'Data By State'!$A:$B,'Data By State'!$5:$6</definedName>
    <definedName name="_xlnm.Print_Titles" localSheetId="2">'State rankings'!$6:$7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0" i="3" l="1"/>
  <c r="L439" i="3"/>
  <c r="L411" i="3"/>
  <c r="L414" i="3"/>
  <c r="L418" i="3"/>
  <c r="L423" i="3"/>
  <c r="L430" i="3"/>
  <c r="L400" i="3"/>
  <c r="L396" i="3"/>
  <c r="L390" i="3"/>
  <c r="L362" i="3"/>
  <c r="L364" i="3"/>
  <c r="L368" i="3"/>
  <c r="L370" i="3"/>
  <c r="L372" i="3"/>
  <c r="L347" i="3"/>
  <c r="L346" i="3"/>
  <c r="L344" i="3"/>
  <c r="L343" i="3"/>
  <c r="L339" i="3"/>
  <c r="L326" i="3"/>
  <c r="L324" i="3"/>
  <c r="L323" i="3"/>
  <c r="L314" i="3"/>
  <c r="L309" i="3"/>
  <c r="L308" i="3"/>
  <c r="L296" i="3"/>
  <c r="L294" i="3"/>
  <c r="J294" i="3"/>
  <c r="L290" i="3"/>
  <c r="L289" i="3"/>
  <c r="L285" i="3"/>
  <c r="L284" i="3"/>
  <c r="L278" i="3"/>
  <c r="L264" i="3"/>
  <c r="L252" i="3"/>
  <c r="L249" i="3"/>
  <c r="J249" i="3"/>
  <c r="L248" i="3"/>
  <c r="L247" i="3"/>
  <c r="L235" i="3"/>
  <c r="L231" i="3"/>
  <c r="L228" i="3"/>
  <c r="L227" i="3"/>
  <c r="L211" i="3"/>
  <c r="L205" i="3"/>
  <c r="J205" i="3"/>
  <c r="L187" i="3"/>
  <c r="L180" i="3"/>
  <c r="L179" i="3"/>
  <c r="L170" i="3"/>
  <c r="J170" i="3"/>
  <c r="L162" i="3"/>
  <c r="L161" i="3"/>
  <c r="L151" i="3"/>
  <c r="L148" i="3"/>
  <c r="L145" i="3"/>
  <c r="L142" i="3"/>
  <c r="L133" i="3"/>
  <c r="L125" i="3"/>
  <c r="L116" i="3"/>
  <c r="L114" i="3"/>
  <c r="L100" i="3"/>
  <c r="L94" i="3"/>
  <c r="L92" i="3"/>
  <c r="L83" i="3"/>
  <c r="L82" i="3"/>
  <c r="L24" i="3"/>
  <c r="L23" i="3"/>
  <c r="L19" i="3"/>
  <c r="L15" i="3"/>
  <c r="L8" i="3"/>
  <c r="I439" i="3"/>
  <c r="J439" i="3"/>
  <c r="L436" i="3"/>
  <c r="I430" i="3"/>
  <c r="J430" i="3"/>
  <c r="I423" i="3"/>
  <c r="J423" i="3"/>
  <c r="K390" i="3"/>
  <c r="I390" i="3"/>
  <c r="J390" i="3"/>
  <c r="L393" i="3"/>
  <c r="K392" i="3"/>
  <c r="I367" i="3"/>
  <c r="I370" i="3"/>
  <c r="I372" i="3"/>
  <c r="J367" i="3"/>
  <c r="J370" i="3"/>
  <c r="J372" i="3"/>
  <c r="L366" i="3"/>
  <c r="I358" i="3"/>
  <c r="I360" i="3"/>
  <c r="I361" i="3"/>
  <c r="J358" i="3"/>
  <c r="J360" i="3"/>
  <c r="J361" i="3"/>
  <c r="L363" i="3"/>
  <c r="I356" i="3"/>
  <c r="J356" i="3"/>
  <c r="I343" i="3"/>
  <c r="I348" i="3"/>
  <c r="J343" i="3"/>
  <c r="J348" i="3"/>
  <c r="L336" i="3"/>
  <c r="I331" i="3"/>
  <c r="J331" i="3"/>
  <c r="K311" i="3"/>
  <c r="I311" i="3"/>
  <c r="L297" i="3"/>
  <c r="L299" i="3"/>
  <c r="L298" i="3"/>
  <c r="I294" i="3"/>
  <c r="K257" i="3"/>
  <c r="I257" i="3"/>
  <c r="K251" i="3"/>
  <c r="I251" i="3"/>
  <c r="I249" i="3"/>
  <c r="J238" i="3"/>
  <c r="I238" i="3"/>
  <c r="L237" i="3"/>
  <c r="L230" i="3"/>
  <c r="J217" i="3"/>
  <c r="I217" i="3"/>
  <c r="L213" i="3"/>
  <c r="J206" i="3"/>
  <c r="J207" i="3"/>
  <c r="I205" i="3"/>
  <c r="I206" i="3"/>
  <c r="I207" i="3"/>
  <c r="J204" i="3"/>
  <c r="I204" i="3"/>
  <c r="I194" i="3"/>
  <c r="L185" i="3"/>
  <c r="I180" i="3"/>
  <c r="J180" i="3"/>
  <c r="L174" i="3"/>
  <c r="I168" i="3"/>
  <c r="I170" i="3"/>
  <c r="I171" i="3"/>
  <c r="J168" i="3"/>
  <c r="J171" i="3"/>
  <c r="L164" i="3"/>
  <c r="J161" i="3"/>
  <c r="I161" i="3"/>
  <c r="J156" i="3"/>
  <c r="J157" i="3"/>
  <c r="I156" i="3"/>
  <c r="I157" i="3"/>
  <c r="K147" i="3"/>
  <c r="I147" i="3"/>
  <c r="K146" i="3"/>
  <c r="I146" i="3"/>
  <c r="I144" i="3"/>
  <c r="J144" i="3"/>
  <c r="K143" i="3"/>
  <c r="I143" i="3"/>
  <c r="L134" i="3"/>
  <c r="L127" i="3"/>
  <c r="J124" i="3"/>
  <c r="J126" i="3"/>
  <c r="I124" i="3"/>
  <c r="I126" i="3"/>
  <c r="L120" i="3"/>
  <c r="J117" i="3"/>
  <c r="I117" i="3"/>
  <c r="L115" i="3"/>
  <c r="J113" i="3"/>
  <c r="I113" i="3"/>
  <c r="J109" i="3"/>
  <c r="J111" i="3"/>
  <c r="I109" i="3"/>
  <c r="I111" i="3"/>
  <c r="J104" i="3"/>
  <c r="I104" i="3"/>
  <c r="L99" i="3"/>
  <c r="J97" i="3"/>
  <c r="I97" i="3"/>
  <c r="L93" i="3"/>
  <c r="J92" i="3"/>
  <c r="I92" i="3"/>
  <c r="J87" i="3"/>
  <c r="J88" i="3"/>
  <c r="J89" i="3"/>
  <c r="J90" i="3"/>
  <c r="J91" i="3"/>
  <c r="I87" i="3"/>
  <c r="I88" i="3"/>
  <c r="I89" i="3"/>
  <c r="I90" i="3"/>
  <c r="I91" i="3"/>
  <c r="J80" i="3"/>
  <c r="J81" i="3"/>
  <c r="J84" i="3"/>
  <c r="J85" i="3"/>
  <c r="J86" i="3"/>
  <c r="I80" i="3"/>
  <c r="I81" i="3"/>
  <c r="K83" i="3"/>
  <c r="I83" i="3"/>
  <c r="I84" i="3"/>
  <c r="I85" i="3"/>
  <c r="I86" i="3"/>
  <c r="K82" i="3"/>
  <c r="J82" i="3"/>
  <c r="J83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J26" i="3"/>
  <c r="I26" i="3"/>
  <c r="I23" i="3"/>
  <c r="I24" i="3"/>
  <c r="I25" i="3"/>
  <c r="J23" i="3"/>
  <c r="J24" i="3"/>
  <c r="J25" i="3"/>
  <c r="J20" i="3"/>
  <c r="J21" i="3"/>
  <c r="J22" i="3"/>
  <c r="I20" i="3"/>
  <c r="I21" i="3"/>
  <c r="I22" i="3"/>
  <c r="L16" i="3"/>
  <c r="J16" i="3"/>
  <c r="L18" i="3"/>
  <c r="J14" i="3"/>
  <c r="J18" i="3"/>
  <c r="I18" i="3"/>
  <c r="I16" i="3"/>
  <c r="I17" i="3"/>
  <c r="J17" i="3"/>
  <c r="I14" i="3"/>
  <c r="J9" i="3"/>
  <c r="J10" i="3"/>
  <c r="J11" i="3"/>
  <c r="J12" i="3"/>
  <c r="J13" i="3"/>
  <c r="J7" i="3"/>
  <c r="I12" i="3"/>
  <c r="I13" i="3"/>
  <c r="I9" i="3"/>
  <c r="I10" i="3"/>
  <c r="I11" i="3"/>
  <c r="I7" i="3"/>
  <c r="AO8" i="515"/>
  <c r="AO9" i="515"/>
  <c r="AO10" i="515"/>
  <c r="AO11" i="515"/>
  <c r="AO12" i="515"/>
  <c r="AO13" i="515"/>
  <c r="AO14" i="515"/>
  <c r="AO15" i="515"/>
  <c r="AO16" i="515"/>
  <c r="AO17" i="515"/>
  <c r="AO18" i="515"/>
  <c r="AO19" i="515"/>
  <c r="AO20" i="515"/>
  <c r="AO21" i="515"/>
  <c r="AO22" i="515"/>
  <c r="AO23" i="515"/>
  <c r="AO24" i="515"/>
  <c r="AO25" i="515"/>
  <c r="AO26" i="515"/>
  <c r="AO27" i="515"/>
  <c r="AO28" i="515"/>
  <c r="AO29" i="515"/>
  <c r="AO30" i="515"/>
  <c r="AO31" i="515"/>
  <c r="AO32" i="515"/>
  <c r="AO33" i="515"/>
  <c r="AO34" i="515"/>
  <c r="AO35" i="515"/>
  <c r="AO36" i="515"/>
  <c r="AO37" i="515"/>
  <c r="AO38" i="515"/>
  <c r="AO39" i="515"/>
  <c r="AO40" i="515"/>
  <c r="AO41" i="515"/>
  <c r="AO42" i="515"/>
  <c r="AO43" i="515"/>
  <c r="AO44" i="515"/>
  <c r="AO45" i="515"/>
  <c r="AO46" i="515"/>
  <c r="AO47" i="515"/>
  <c r="AO48" i="515"/>
  <c r="AO49" i="515"/>
  <c r="AO50" i="515"/>
  <c r="AO51" i="515"/>
  <c r="AO52" i="515"/>
  <c r="AO53" i="515"/>
  <c r="AO54" i="515"/>
  <c r="AO55" i="515"/>
  <c r="AO56" i="515"/>
  <c r="AO7" i="515"/>
  <c r="AN8" i="515"/>
  <c r="AN9" i="515"/>
  <c r="AN10" i="515"/>
  <c r="AN11" i="515"/>
  <c r="AN12" i="515"/>
  <c r="AN13" i="515"/>
  <c r="AN14" i="515"/>
  <c r="AN15" i="515"/>
  <c r="AN16" i="515"/>
  <c r="AN17" i="515"/>
  <c r="AN18" i="515"/>
  <c r="AN19" i="515"/>
  <c r="AN20" i="515"/>
  <c r="AN21" i="515"/>
  <c r="AN22" i="515"/>
  <c r="AN23" i="515"/>
  <c r="AN24" i="515"/>
  <c r="AN25" i="515"/>
  <c r="AN26" i="515"/>
  <c r="AN27" i="515"/>
  <c r="AN28" i="515"/>
  <c r="AN29" i="515"/>
  <c r="AN30" i="515"/>
  <c r="AN31" i="515"/>
  <c r="AN32" i="515"/>
  <c r="AN33" i="515"/>
  <c r="AN34" i="515"/>
  <c r="AN35" i="515"/>
  <c r="AN36" i="515"/>
  <c r="AN37" i="515"/>
  <c r="AN38" i="515"/>
  <c r="AN39" i="515"/>
  <c r="AN40" i="515"/>
  <c r="AN41" i="515"/>
  <c r="AN42" i="515"/>
  <c r="AN43" i="515"/>
  <c r="AN44" i="515"/>
  <c r="AN45" i="515"/>
  <c r="AN46" i="515"/>
  <c r="AN47" i="515"/>
  <c r="AN48" i="515"/>
  <c r="AN49" i="515"/>
  <c r="AN50" i="515"/>
  <c r="AN51" i="515"/>
  <c r="AN52" i="515"/>
  <c r="AN53" i="515"/>
  <c r="AN54" i="515"/>
  <c r="AN55" i="515"/>
  <c r="AN56" i="515"/>
  <c r="AN7" i="515"/>
  <c r="AM8" i="515"/>
  <c r="AM9" i="515"/>
  <c r="AM10" i="515"/>
  <c r="AM11" i="515"/>
  <c r="AM12" i="515"/>
  <c r="AM13" i="515"/>
  <c r="AM14" i="515"/>
  <c r="AM15" i="515"/>
  <c r="AM16" i="515"/>
  <c r="AM17" i="515"/>
  <c r="AM18" i="515"/>
  <c r="AM19" i="515"/>
  <c r="AM20" i="515"/>
  <c r="AM21" i="515"/>
  <c r="AM22" i="515"/>
  <c r="AM23" i="515"/>
  <c r="AM24" i="515"/>
  <c r="AM25" i="515"/>
  <c r="AM26" i="515"/>
  <c r="AM27" i="515"/>
  <c r="AM28" i="515"/>
  <c r="AM29" i="515"/>
  <c r="AM30" i="515"/>
  <c r="AM31" i="515"/>
  <c r="AM32" i="515"/>
  <c r="AM33" i="515"/>
  <c r="AM34" i="515"/>
  <c r="AM35" i="515"/>
  <c r="AM36" i="515"/>
  <c r="AM37" i="515"/>
  <c r="AM38" i="515"/>
  <c r="AM39" i="515"/>
  <c r="AM40" i="515"/>
  <c r="AM41" i="515"/>
  <c r="AM42" i="515"/>
  <c r="AM43" i="515"/>
  <c r="AM44" i="515"/>
  <c r="AM45" i="515"/>
  <c r="AM46" i="515"/>
  <c r="AM47" i="515"/>
  <c r="AM48" i="515"/>
  <c r="AM49" i="515"/>
  <c r="AM50" i="515"/>
  <c r="AM51" i="515"/>
  <c r="AM52" i="515"/>
  <c r="AM53" i="515"/>
  <c r="AM54" i="515"/>
  <c r="AM55" i="515"/>
  <c r="AM56" i="515"/>
  <c r="AM7" i="515"/>
  <c r="AL9" i="515"/>
  <c r="AL10" i="515"/>
  <c r="AL11" i="515"/>
  <c r="AL12" i="515"/>
  <c r="AL13" i="515"/>
  <c r="AL14" i="515"/>
  <c r="AL15" i="515"/>
  <c r="AL16" i="515"/>
  <c r="AL17" i="515"/>
  <c r="AL18" i="515"/>
  <c r="AL19" i="515"/>
  <c r="AL20" i="515"/>
  <c r="AL21" i="515"/>
  <c r="AL22" i="515"/>
  <c r="AL23" i="515"/>
  <c r="AL24" i="515"/>
  <c r="AL25" i="515"/>
  <c r="AL26" i="515"/>
  <c r="AL27" i="515"/>
  <c r="AL28" i="515"/>
  <c r="AL29" i="515"/>
  <c r="AL30" i="515"/>
  <c r="AL31" i="515"/>
  <c r="AL32" i="515"/>
  <c r="AL33" i="515"/>
  <c r="AL34" i="515"/>
  <c r="AL35" i="515"/>
  <c r="AL36" i="515"/>
  <c r="AL37" i="515"/>
  <c r="AL38" i="515"/>
  <c r="AL39" i="515"/>
  <c r="AL40" i="515"/>
  <c r="AL41" i="515"/>
  <c r="AL42" i="515"/>
  <c r="AL43" i="515"/>
  <c r="AL44" i="515"/>
  <c r="AL45" i="515"/>
  <c r="AL46" i="515"/>
  <c r="AL47" i="515"/>
  <c r="AL48" i="515"/>
  <c r="AL49" i="515"/>
  <c r="AL50" i="515"/>
  <c r="AL51" i="515"/>
  <c r="AL52" i="515"/>
  <c r="AL53" i="515"/>
  <c r="AL54" i="515"/>
  <c r="AL55" i="515"/>
  <c r="AL56" i="515"/>
  <c r="AL8" i="515"/>
  <c r="AL7" i="515"/>
  <c r="AK7" i="515"/>
  <c r="AK10" i="515"/>
  <c r="AK11" i="515"/>
  <c r="AK12" i="515"/>
  <c r="AK13" i="515"/>
  <c r="AK14" i="515"/>
  <c r="AK15" i="515"/>
  <c r="AK16" i="515"/>
  <c r="AK17" i="515"/>
  <c r="AK18" i="515"/>
  <c r="AK19" i="515"/>
  <c r="AK20" i="515"/>
  <c r="AK21" i="515"/>
  <c r="AK22" i="515"/>
  <c r="AK23" i="515"/>
  <c r="AK24" i="515"/>
  <c r="AK25" i="515"/>
  <c r="AK26" i="515"/>
  <c r="AK27" i="515"/>
  <c r="AK28" i="515"/>
  <c r="AK29" i="515"/>
  <c r="AK30" i="515"/>
  <c r="AK31" i="515"/>
  <c r="AK32" i="515"/>
  <c r="AK33" i="515"/>
  <c r="AK34" i="515"/>
  <c r="AK35" i="515"/>
  <c r="AK36" i="515"/>
  <c r="AK37" i="515"/>
  <c r="AK38" i="515"/>
  <c r="AK39" i="515"/>
  <c r="AK40" i="515"/>
  <c r="AK41" i="515"/>
  <c r="AK42" i="515"/>
  <c r="AK43" i="515"/>
  <c r="AK44" i="515"/>
  <c r="AK45" i="515"/>
  <c r="AK46" i="515"/>
  <c r="AK47" i="515"/>
  <c r="AK48" i="515"/>
  <c r="AK49" i="515"/>
  <c r="AK50" i="515"/>
  <c r="AK51" i="515"/>
  <c r="AK52" i="515"/>
  <c r="AK53" i="515"/>
  <c r="AK54" i="515"/>
  <c r="AK55" i="515"/>
  <c r="AK56" i="515"/>
  <c r="AK9" i="515"/>
  <c r="AK8" i="515"/>
  <c r="I82" i="3"/>
  <c r="I392" i="3"/>
  <c r="AN57" i="515"/>
  <c r="AO57" i="515"/>
  <c r="AL57" i="515"/>
  <c r="AM57" i="515"/>
  <c r="AK57" i="515"/>
  <c r="AS24" i="515"/>
  <c r="AT24" i="515"/>
  <c r="K8" i="3"/>
  <c r="K15" i="3"/>
  <c r="K19" i="3"/>
  <c r="K93" i="3"/>
  <c r="K94" i="3"/>
  <c r="K95" i="3"/>
  <c r="K96" i="3"/>
  <c r="K98" i="3"/>
  <c r="K99" i="3"/>
  <c r="K100" i="3"/>
  <c r="K101" i="3"/>
  <c r="K102" i="3"/>
  <c r="K103" i="3"/>
  <c r="K105" i="3"/>
  <c r="K106" i="3"/>
  <c r="K107" i="3"/>
  <c r="K108" i="3"/>
  <c r="K110" i="3"/>
  <c r="K112" i="3"/>
  <c r="K114" i="3"/>
  <c r="K115" i="3"/>
  <c r="K116" i="3"/>
  <c r="K118" i="3"/>
  <c r="K119" i="3"/>
  <c r="K120" i="3"/>
  <c r="K121" i="3"/>
  <c r="K122" i="3"/>
  <c r="K123" i="3"/>
  <c r="K125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5" i="3"/>
  <c r="K148" i="3"/>
  <c r="K149" i="3"/>
  <c r="K150" i="3"/>
  <c r="K151" i="3"/>
  <c r="K152" i="3"/>
  <c r="K153" i="3"/>
  <c r="K154" i="3"/>
  <c r="K155" i="3"/>
  <c r="K158" i="3"/>
  <c r="K159" i="3"/>
  <c r="K160" i="3"/>
  <c r="K162" i="3"/>
  <c r="K163" i="3"/>
  <c r="K164" i="3"/>
  <c r="K165" i="3"/>
  <c r="K166" i="3"/>
  <c r="K167" i="3"/>
  <c r="K169" i="3"/>
  <c r="K172" i="3"/>
  <c r="K173" i="3"/>
  <c r="K174" i="3"/>
  <c r="K175" i="3"/>
  <c r="K176" i="3"/>
  <c r="K177" i="3"/>
  <c r="K178" i="3"/>
  <c r="K179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5" i="3"/>
  <c r="K196" i="3"/>
  <c r="K197" i="3"/>
  <c r="K198" i="3"/>
  <c r="K199" i="3"/>
  <c r="K200" i="3"/>
  <c r="K201" i="3"/>
  <c r="K202" i="3"/>
  <c r="K203" i="3"/>
  <c r="K208" i="3"/>
  <c r="K209" i="3"/>
  <c r="K210" i="3"/>
  <c r="K211" i="3"/>
  <c r="K212" i="3"/>
  <c r="K213" i="3"/>
  <c r="K214" i="3"/>
  <c r="K215" i="3"/>
  <c r="K216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9" i="3"/>
  <c r="K240" i="3"/>
  <c r="K241" i="3"/>
  <c r="K242" i="3"/>
  <c r="K243" i="3"/>
  <c r="K244" i="3"/>
  <c r="K245" i="3"/>
  <c r="K246" i="3"/>
  <c r="K247" i="3"/>
  <c r="K248" i="3"/>
  <c r="K250" i="3"/>
  <c r="K252" i="3"/>
  <c r="K253" i="3"/>
  <c r="K254" i="3"/>
  <c r="K255" i="3"/>
  <c r="K256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2" i="3"/>
  <c r="K333" i="3"/>
  <c r="K334" i="3"/>
  <c r="K335" i="3"/>
  <c r="K336" i="3"/>
  <c r="K337" i="3"/>
  <c r="K338" i="3"/>
  <c r="K339" i="3"/>
  <c r="K340" i="3"/>
  <c r="K341" i="3"/>
  <c r="K342" i="3"/>
  <c r="K344" i="3"/>
  <c r="K345" i="3"/>
  <c r="K346" i="3"/>
  <c r="K347" i="3"/>
  <c r="K349" i="3"/>
  <c r="K350" i="3"/>
  <c r="K351" i="3"/>
  <c r="K352" i="3"/>
  <c r="K353" i="3"/>
  <c r="K354" i="3"/>
  <c r="K355" i="3"/>
  <c r="K357" i="3"/>
  <c r="K359" i="3"/>
  <c r="K362" i="3"/>
  <c r="K363" i="3"/>
  <c r="K364" i="3"/>
  <c r="K365" i="3"/>
  <c r="K366" i="3"/>
  <c r="K368" i="3"/>
  <c r="K369" i="3"/>
  <c r="K371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1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4" i="3"/>
  <c r="K425" i="3"/>
  <c r="K426" i="3"/>
  <c r="K427" i="3"/>
  <c r="K428" i="3"/>
  <c r="K429" i="3"/>
  <c r="K431" i="3"/>
  <c r="K432" i="3"/>
  <c r="K433" i="3"/>
  <c r="K434" i="3"/>
  <c r="K435" i="3"/>
  <c r="K436" i="3"/>
  <c r="K437" i="3"/>
  <c r="K438" i="3"/>
  <c r="K440" i="3"/>
  <c r="K441" i="3"/>
  <c r="I428" i="3"/>
  <c r="I415" i="3"/>
  <c r="I399" i="3"/>
  <c r="I385" i="3"/>
  <c r="I438" i="3"/>
  <c r="I434" i="3"/>
  <c r="I429" i="3"/>
  <c r="I425" i="3"/>
  <c r="I420" i="3"/>
  <c r="I416" i="3"/>
  <c r="I412" i="3"/>
  <c r="I408" i="3"/>
  <c r="I404" i="3"/>
  <c r="J400" i="3"/>
  <c r="I400" i="3"/>
  <c r="J396" i="3"/>
  <c r="I396" i="3"/>
  <c r="I391" i="3"/>
  <c r="I386" i="3"/>
  <c r="I382" i="3"/>
  <c r="I378" i="3"/>
  <c r="I374" i="3"/>
  <c r="I368" i="3"/>
  <c r="J368" i="3"/>
  <c r="I363" i="3"/>
  <c r="J363" i="3"/>
  <c r="I355" i="3"/>
  <c r="I351" i="3"/>
  <c r="J346" i="3"/>
  <c r="I346" i="3"/>
  <c r="I341" i="3"/>
  <c r="I337" i="3"/>
  <c r="I333" i="3"/>
  <c r="I328" i="3"/>
  <c r="I324" i="3"/>
  <c r="J324" i="3"/>
  <c r="I320" i="3"/>
  <c r="I316" i="3"/>
  <c r="I312" i="3"/>
  <c r="I307" i="3"/>
  <c r="L307" i="3"/>
  <c r="J307" i="3"/>
  <c r="I303" i="3"/>
  <c r="I299" i="3"/>
  <c r="J299" i="3"/>
  <c r="I295" i="3"/>
  <c r="I290" i="3"/>
  <c r="J290" i="3"/>
  <c r="I286" i="3"/>
  <c r="I282" i="3"/>
  <c r="I278" i="3"/>
  <c r="J278" i="3"/>
  <c r="I274" i="3"/>
  <c r="I270" i="3"/>
  <c r="I266" i="3"/>
  <c r="L266" i="3"/>
  <c r="J266" i="3"/>
  <c r="I262" i="3"/>
  <c r="I258" i="3"/>
  <c r="I253" i="3"/>
  <c r="J247" i="3"/>
  <c r="I247" i="3"/>
  <c r="I243" i="3"/>
  <c r="I239" i="3"/>
  <c r="I234" i="3"/>
  <c r="I230" i="3"/>
  <c r="J230" i="3"/>
  <c r="I226" i="3"/>
  <c r="I222" i="3"/>
  <c r="I218" i="3"/>
  <c r="J213" i="3"/>
  <c r="I213" i="3"/>
  <c r="I209" i="3"/>
  <c r="I201" i="3"/>
  <c r="J197" i="3"/>
  <c r="I197" i="3"/>
  <c r="I192" i="3"/>
  <c r="I188" i="3"/>
  <c r="I184" i="3"/>
  <c r="I179" i="3"/>
  <c r="J179" i="3"/>
  <c r="I175" i="3"/>
  <c r="I169" i="3"/>
  <c r="I164" i="3"/>
  <c r="J164" i="3"/>
  <c r="I159" i="3"/>
  <c r="I153" i="3"/>
  <c r="I149" i="3"/>
  <c r="I141" i="3"/>
  <c r="I137" i="3"/>
  <c r="J133" i="3"/>
  <c r="I133" i="3"/>
  <c r="I129" i="3"/>
  <c r="I123" i="3"/>
  <c r="I119" i="3"/>
  <c r="J114" i="3"/>
  <c r="I114" i="3"/>
  <c r="I107" i="3"/>
  <c r="I102" i="3"/>
  <c r="I98" i="3"/>
  <c r="J93" i="3"/>
  <c r="I93" i="3"/>
  <c r="I407" i="3"/>
  <c r="I441" i="3"/>
  <c r="I427" i="3"/>
  <c r="I414" i="3"/>
  <c r="J414" i="3"/>
  <c r="I402" i="3"/>
  <c r="I388" i="3"/>
  <c r="I376" i="3"/>
  <c r="I359" i="3"/>
  <c r="J339" i="3"/>
  <c r="I339" i="3"/>
  <c r="I322" i="3"/>
  <c r="I305" i="3"/>
  <c r="I292" i="3"/>
  <c r="I272" i="3"/>
  <c r="I255" i="3"/>
  <c r="I236" i="3"/>
  <c r="I220" i="3"/>
  <c r="I199" i="3"/>
  <c r="I182" i="3"/>
  <c r="I162" i="3"/>
  <c r="J162" i="3"/>
  <c r="I127" i="3"/>
  <c r="J127" i="3"/>
  <c r="J116" i="3"/>
  <c r="I116" i="3"/>
  <c r="J100" i="3"/>
  <c r="I100" i="3"/>
  <c r="I15" i="3"/>
  <c r="J15" i="3"/>
  <c r="I437" i="3"/>
  <c r="I433" i="3"/>
  <c r="I424" i="3"/>
  <c r="I419" i="3"/>
  <c r="J411" i="3"/>
  <c r="I411" i="3"/>
  <c r="I403" i="3"/>
  <c r="I395" i="3"/>
  <c r="I389" i="3"/>
  <c r="I381" i="3"/>
  <c r="I377" i="3"/>
  <c r="I373" i="3"/>
  <c r="I366" i="3"/>
  <c r="J366" i="3"/>
  <c r="J362" i="3"/>
  <c r="I362" i="3"/>
  <c r="I354" i="3"/>
  <c r="I350" i="3"/>
  <c r="I345" i="3"/>
  <c r="I340" i="3"/>
  <c r="J336" i="3"/>
  <c r="I336" i="3"/>
  <c r="I332" i="3"/>
  <c r="I327" i="3"/>
  <c r="J323" i="3"/>
  <c r="I323" i="3"/>
  <c r="I319" i="3"/>
  <c r="I315" i="3"/>
  <c r="I310" i="3"/>
  <c r="I306" i="3"/>
  <c r="I302" i="3"/>
  <c r="J298" i="3"/>
  <c r="I298" i="3"/>
  <c r="I293" i="3"/>
  <c r="I289" i="3"/>
  <c r="J289" i="3"/>
  <c r="I285" i="3"/>
  <c r="J285" i="3"/>
  <c r="I281" i="3"/>
  <c r="I277" i="3"/>
  <c r="I273" i="3"/>
  <c r="I269" i="3"/>
  <c r="I265" i="3"/>
  <c r="I261" i="3"/>
  <c r="I256" i="3"/>
  <c r="J252" i="3"/>
  <c r="I252" i="3"/>
  <c r="I246" i="3"/>
  <c r="L246" i="3"/>
  <c r="J246" i="3"/>
  <c r="I242" i="3"/>
  <c r="J237" i="3"/>
  <c r="I237" i="3"/>
  <c r="I233" i="3"/>
  <c r="I229" i="3"/>
  <c r="L229" i="3"/>
  <c r="J229" i="3"/>
  <c r="I225" i="3"/>
  <c r="I221" i="3"/>
  <c r="I216" i="3"/>
  <c r="I212" i="3"/>
  <c r="I208" i="3"/>
  <c r="I200" i="3"/>
  <c r="I196" i="3"/>
  <c r="I191" i="3"/>
  <c r="J187" i="3"/>
  <c r="I187" i="3"/>
  <c r="I183" i="3"/>
  <c r="I178" i="3"/>
  <c r="I174" i="3"/>
  <c r="J174" i="3"/>
  <c r="I167" i="3"/>
  <c r="I163" i="3"/>
  <c r="L163" i="3"/>
  <c r="J163" i="3"/>
  <c r="I158" i="3"/>
  <c r="I152" i="3"/>
  <c r="J148" i="3"/>
  <c r="I148" i="3"/>
  <c r="I140" i="3"/>
  <c r="I136" i="3"/>
  <c r="I132" i="3"/>
  <c r="I128" i="3"/>
  <c r="I122" i="3"/>
  <c r="I118" i="3"/>
  <c r="I112" i="3"/>
  <c r="I106" i="3"/>
  <c r="I101" i="3"/>
  <c r="I96" i="3"/>
  <c r="J19" i="3"/>
  <c r="I19" i="3"/>
  <c r="I436" i="3"/>
  <c r="J436" i="3"/>
  <c r="I432" i="3"/>
  <c r="L432" i="3"/>
  <c r="J432" i="3"/>
  <c r="I422" i="3"/>
  <c r="I418" i="3"/>
  <c r="J418" i="3"/>
  <c r="I410" i="3"/>
  <c r="I406" i="3"/>
  <c r="I398" i="3"/>
  <c r="I394" i="3"/>
  <c r="I384" i="3"/>
  <c r="I380" i="3"/>
  <c r="I371" i="3"/>
  <c r="I365" i="3"/>
  <c r="I353" i="3"/>
  <c r="I349" i="3"/>
  <c r="I344" i="3"/>
  <c r="J344" i="3"/>
  <c r="I335" i="3"/>
  <c r="I330" i="3"/>
  <c r="I326" i="3"/>
  <c r="J326" i="3"/>
  <c r="I318" i="3"/>
  <c r="I314" i="3"/>
  <c r="J314" i="3"/>
  <c r="I309" i="3"/>
  <c r="J309" i="3"/>
  <c r="I301" i="3"/>
  <c r="L301" i="3"/>
  <c r="J301" i="3"/>
  <c r="I297" i="3"/>
  <c r="J297" i="3"/>
  <c r="I288" i="3"/>
  <c r="I284" i="3"/>
  <c r="J284" i="3"/>
  <c r="I280" i="3"/>
  <c r="L280" i="3"/>
  <c r="J280" i="3"/>
  <c r="I276" i="3"/>
  <c r="I268" i="3"/>
  <c r="I264" i="3"/>
  <c r="J264" i="3"/>
  <c r="I260" i="3"/>
  <c r="L260" i="3"/>
  <c r="J260" i="3"/>
  <c r="I250" i="3"/>
  <c r="I245" i="3"/>
  <c r="L245" i="3"/>
  <c r="J245" i="3"/>
  <c r="I241" i="3"/>
  <c r="I232" i="3"/>
  <c r="I228" i="3"/>
  <c r="J228" i="3"/>
  <c r="I224" i="3"/>
  <c r="I215" i="3"/>
  <c r="J211" i="3"/>
  <c r="I211" i="3"/>
  <c r="I203" i="3"/>
  <c r="I195" i="3"/>
  <c r="L195" i="3"/>
  <c r="J195" i="3"/>
  <c r="I190" i="3"/>
  <c r="I186" i="3"/>
  <c r="I177" i="3"/>
  <c r="I173" i="3"/>
  <c r="I166" i="3"/>
  <c r="I155" i="3"/>
  <c r="I151" i="3"/>
  <c r="J151" i="3"/>
  <c r="J145" i="3"/>
  <c r="I145" i="3"/>
  <c r="I139" i="3"/>
  <c r="I135" i="3"/>
  <c r="J131" i="3"/>
  <c r="I131" i="3"/>
  <c r="I121" i="3"/>
  <c r="I110" i="3"/>
  <c r="I105" i="3"/>
  <c r="I95" i="3"/>
  <c r="I440" i="3"/>
  <c r="J440" i="3"/>
  <c r="I435" i="3"/>
  <c r="I431" i="3"/>
  <c r="L431" i="3"/>
  <c r="J431" i="3"/>
  <c r="I426" i="3"/>
  <c r="I421" i="3"/>
  <c r="I417" i="3"/>
  <c r="I413" i="3"/>
  <c r="I409" i="3"/>
  <c r="I405" i="3"/>
  <c r="I401" i="3"/>
  <c r="I397" i="3"/>
  <c r="J393" i="3"/>
  <c r="I393" i="3"/>
  <c r="I387" i="3"/>
  <c r="I383" i="3"/>
  <c r="I379" i="3"/>
  <c r="I375" i="3"/>
  <c r="I369" i="3"/>
  <c r="I364" i="3"/>
  <c r="J364" i="3"/>
  <c r="I357" i="3"/>
  <c r="I352" i="3"/>
  <c r="I347" i="3"/>
  <c r="J347" i="3"/>
  <c r="I342" i="3"/>
  <c r="I338" i="3"/>
  <c r="I334" i="3"/>
  <c r="I329" i="3"/>
  <c r="I325" i="3"/>
  <c r="I321" i="3"/>
  <c r="I317" i="3"/>
  <c r="I313" i="3"/>
  <c r="I308" i="3"/>
  <c r="J308" i="3"/>
  <c r="I304" i="3"/>
  <c r="L304" i="3"/>
  <c r="J304" i="3"/>
  <c r="I300" i="3"/>
  <c r="I296" i="3"/>
  <c r="J296" i="3"/>
  <c r="I291" i="3"/>
  <c r="I287" i="3"/>
  <c r="L287" i="3"/>
  <c r="J287" i="3"/>
  <c r="I283" i="3"/>
  <c r="I279" i="3"/>
  <c r="L279" i="3"/>
  <c r="J279" i="3"/>
  <c r="I275" i="3"/>
  <c r="I271" i="3"/>
  <c r="L271" i="3"/>
  <c r="J271" i="3"/>
  <c r="I267" i="3"/>
  <c r="I263" i="3"/>
  <c r="I259" i="3"/>
  <c r="I254" i="3"/>
  <c r="L254" i="3"/>
  <c r="J254" i="3"/>
  <c r="I248" i="3"/>
  <c r="J248" i="3"/>
  <c r="I244" i="3"/>
  <c r="L244" i="3"/>
  <c r="J244" i="3"/>
  <c r="I240" i="3"/>
  <c r="J235" i="3"/>
  <c r="I235" i="3"/>
  <c r="J231" i="3"/>
  <c r="I231" i="3"/>
  <c r="J227" i="3"/>
  <c r="I227" i="3"/>
  <c r="I223" i="3"/>
  <c r="I219" i="3"/>
  <c r="I214" i="3"/>
  <c r="I210" i="3"/>
  <c r="I202" i="3"/>
  <c r="I198" i="3"/>
  <c r="I193" i="3"/>
  <c r="I189" i="3"/>
  <c r="I185" i="3"/>
  <c r="J185" i="3"/>
  <c r="I181" i="3"/>
  <c r="I176" i="3"/>
  <c r="I172" i="3"/>
  <c r="I165" i="3"/>
  <c r="I160" i="3"/>
  <c r="I154" i="3"/>
  <c r="I150" i="3"/>
  <c r="I142" i="3"/>
  <c r="J142" i="3"/>
  <c r="I138" i="3"/>
  <c r="L138" i="3"/>
  <c r="J138" i="3"/>
  <c r="J134" i="3"/>
  <c r="I134" i="3"/>
  <c r="I130" i="3"/>
  <c r="I125" i="3"/>
  <c r="J125" i="3"/>
  <c r="J120" i="3"/>
  <c r="I120" i="3"/>
  <c r="J115" i="3"/>
  <c r="I115" i="3"/>
  <c r="I108" i="3"/>
  <c r="I103" i="3"/>
  <c r="I99" i="3"/>
  <c r="J99" i="3"/>
  <c r="J94" i="3"/>
  <c r="I94" i="3"/>
  <c r="J8" i="3"/>
  <c r="I8" i="3"/>
  <c r="Q134" i="3"/>
  <c r="Q133" i="3"/>
  <c r="Q167" i="3"/>
  <c r="Q166" i="3"/>
  <c r="Q165" i="3"/>
  <c r="Q164" i="3"/>
  <c r="Q163" i="3"/>
  <c r="L167" i="3"/>
  <c r="J167" i="3"/>
  <c r="L166" i="3"/>
  <c r="J166" i="3"/>
  <c r="L165" i="3"/>
  <c r="J165" i="3"/>
  <c r="Q162" i="3"/>
  <c r="Q161" i="3"/>
  <c r="Q160" i="3"/>
  <c r="Q159" i="3"/>
  <c r="Q158" i="3"/>
  <c r="Q157" i="3"/>
  <c r="Q156" i="3"/>
  <c r="Q155" i="3"/>
  <c r="Q154" i="3"/>
  <c r="L160" i="3"/>
  <c r="J160" i="3"/>
  <c r="L159" i="3"/>
  <c r="J159" i="3"/>
  <c r="L158" i="3"/>
  <c r="J158" i="3"/>
  <c r="L155" i="3"/>
  <c r="J155" i="3"/>
  <c r="L154" i="3"/>
  <c r="J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L153" i="3"/>
  <c r="J153" i="3"/>
  <c r="L152" i="3"/>
  <c r="J152" i="3"/>
  <c r="L150" i="3"/>
  <c r="J150" i="3"/>
  <c r="L149" i="3"/>
  <c r="J149" i="3"/>
  <c r="L147" i="3"/>
  <c r="J147" i="3"/>
  <c r="L146" i="3"/>
  <c r="J146" i="3"/>
  <c r="L143" i="3"/>
  <c r="J143" i="3"/>
  <c r="L141" i="3"/>
  <c r="J141" i="3"/>
  <c r="L140" i="3"/>
  <c r="J140" i="3"/>
  <c r="L139" i="3"/>
  <c r="J139" i="3"/>
  <c r="L137" i="3"/>
  <c r="J137" i="3"/>
  <c r="L136" i="3"/>
  <c r="J136" i="3"/>
  <c r="L135" i="3"/>
  <c r="J135" i="3"/>
  <c r="Q432" i="3"/>
  <c r="Q431" i="3"/>
  <c r="Q430" i="3"/>
  <c r="Q433" i="3"/>
  <c r="Q434" i="3"/>
  <c r="Q435" i="3"/>
  <c r="Q436" i="3"/>
  <c r="Q437" i="3"/>
  <c r="Q438" i="3"/>
  <c r="Q439" i="3"/>
  <c r="Q440" i="3"/>
  <c r="L433" i="3"/>
  <c r="J433" i="3"/>
  <c r="L434" i="3"/>
  <c r="J434" i="3"/>
  <c r="L435" i="3"/>
  <c r="J435" i="3"/>
  <c r="L437" i="3"/>
  <c r="J437" i="3"/>
  <c r="L438" i="3"/>
  <c r="J438" i="3"/>
  <c r="Q409" i="3"/>
  <c r="L409" i="3"/>
  <c r="J409" i="3"/>
  <c r="Q410" i="3"/>
  <c r="Q411" i="3"/>
  <c r="Q412" i="3"/>
  <c r="Q413" i="3"/>
  <c r="Q414" i="3"/>
  <c r="Q415" i="3"/>
  <c r="Q416" i="3"/>
  <c r="Q417" i="3"/>
  <c r="Q418" i="3"/>
  <c r="Q419" i="3"/>
  <c r="Q420" i="3"/>
  <c r="L410" i="3"/>
  <c r="J410" i="3"/>
  <c r="L412" i="3"/>
  <c r="J412" i="3"/>
  <c r="L413" i="3"/>
  <c r="J413" i="3"/>
  <c r="L415" i="3"/>
  <c r="J415" i="3"/>
  <c r="L416" i="3"/>
  <c r="J416" i="3"/>
  <c r="L417" i="3"/>
  <c r="J417" i="3"/>
  <c r="L419" i="3"/>
  <c r="J419" i="3"/>
  <c r="L420" i="3"/>
  <c r="J420" i="3"/>
  <c r="Q247" i="3"/>
  <c r="Q246" i="3"/>
  <c r="Q245" i="3"/>
  <c r="Q244" i="3"/>
  <c r="Q243" i="3"/>
  <c r="Q242" i="3"/>
  <c r="L243" i="3"/>
  <c r="J243" i="3"/>
  <c r="L242" i="3"/>
  <c r="J242" i="3"/>
  <c r="Q249" i="3"/>
  <c r="Q248" i="3"/>
  <c r="Q265" i="3"/>
  <c r="Q264" i="3"/>
  <c r="Q263" i="3"/>
  <c r="L265" i="3"/>
  <c r="J265" i="3"/>
  <c r="L263" i="3"/>
  <c r="J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L262" i="3"/>
  <c r="J262" i="3"/>
  <c r="L261" i="3"/>
  <c r="J261" i="3"/>
  <c r="L259" i="3"/>
  <c r="J259" i="3"/>
  <c r="L258" i="3"/>
  <c r="J258" i="3"/>
  <c r="L257" i="3"/>
  <c r="J257" i="3"/>
  <c r="L256" i="3"/>
  <c r="J256" i="3"/>
  <c r="L255" i="3"/>
  <c r="J255" i="3"/>
  <c r="L253" i="3"/>
  <c r="J253" i="3"/>
  <c r="L251" i="3"/>
  <c r="J251" i="3"/>
  <c r="L250" i="3"/>
  <c r="J250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L306" i="3"/>
  <c r="J306" i="3"/>
  <c r="L305" i="3"/>
  <c r="J305" i="3"/>
  <c r="L303" i="3"/>
  <c r="J303" i="3"/>
  <c r="L302" i="3"/>
  <c r="J302" i="3"/>
  <c r="L300" i="3"/>
  <c r="J300" i="3"/>
  <c r="L295" i="3"/>
  <c r="J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L293" i="3"/>
  <c r="J293" i="3"/>
  <c r="L292" i="3"/>
  <c r="J292" i="3"/>
  <c r="L291" i="3"/>
  <c r="J291" i="3"/>
  <c r="L288" i="3"/>
  <c r="J288" i="3"/>
  <c r="L286" i="3"/>
  <c r="J286" i="3"/>
  <c r="L283" i="3"/>
  <c r="J283" i="3"/>
  <c r="L282" i="3"/>
  <c r="J282" i="3"/>
  <c r="L281" i="3"/>
  <c r="J281" i="3"/>
  <c r="L277" i="3"/>
  <c r="J277" i="3"/>
  <c r="L276" i="3"/>
  <c r="J276" i="3"/>
  <c r="L275" i="3"/>
  <c r="J275" i="3"/>
  <c r="L274" i="3"/>
  <c r="J274" i="3"/>
  <c r="L273" i="3"/>
  <c r="J273" i="3"/>
  <c r="L272" i="3"/>
  <c r="J272" i="3"/>
  <c r="L270" i="3"/>
  <c r="J270" i="3"/>
  <c r="L269" i="3"/>
  <c r="J269" i="3"/>
  <c r="L268" i="3"/>
  <c r="J268" i="3"/>
  <c r="L267" i="3"/>
  <c r="J267" i="3"/>
  <c r="Q235" i="3"/>
  <c r="Q234" i="3"/>
  <c r="L234" i="3"/>
  <c r="J234" i="3"/>
  <c r="Q233" i="3"/>
  <c r="L233" i="3"/>
  <c r="J233" i="3"/>
  <c r="Q232" i="3"/>
  <c r="L232" i="3"/>
  <c r="J232" i="3"/>
  <c r="L236" i="3"/>
  <c r="J236" i="3"/>
  <c r="Q236" i="3"/>
  <c r="Q237" i="3"/>
  <c r="Q238" i="3"/>
  <c r="L239" i="3"/>
  <c r="J239" i="3"/>
  <c r="Q239" i="3"/>
  <c r="L240" i="3"/>
  <c r="J240" i="3"/>
  <c r="Q240" i="3"/>
  <c r="Q231" i="3"/>
  <c r="Q230" i="3"/>
  <c r="Q229" i="3"/>
  <c r="Q228" i="3"/>
  <c r="Q186" i="3"/>
  <c r="L186" i="3"/>
  <c r="J186" i="3"/>
  <c r="Q185" i="3"/>
  <c r="Q196" i="3"/>
  <c r="L196" i="3"/>
  <c r="J196" i="3"/>
  <c r="Q195" i="3"/>
  <c r="Q197" i="3"/>
  <c r="L198" i="3"/>
  <c r="J198" i="3"/>
  <c r="Q198" i="3"/>
  <c r="L199" i="3"/>
  <c r="J199" i="3"/>
  <c r="Q199" i="3"/>
  <c r="L200" i="3"/>
  <c r="J200" i="3"/>
  <c r="Q200" i="3"/>
  <c r="L201" i="3"/>
  <c r="J201" i="3"/>
  <c r="Q201" i="3"/>
  <c r="L202" i="3"/>
  <c r="J202" i="3"/>
  <c r="Q202" i="3"/>
  <c r="L203" i="3"/>
  <c r="J203" i="3"/>
  <c r="Q203" i="3"/>
  <c r="Q204" i="3"/>
  <c r="L441" i="3"/>
  <c r="J441" i="3"/>
  <c r="L429" i="3"/>
  <c r="J429" i="3"/>
  <c r="L428" i="3"/>
  <c r="J428" i="3"/>
  <c r="L427" i="3"/>
  <c r="J427" i="3"/>
  <c r="L426" i="3"/>
  <c r="J426" i="3"/>
  <c r="L425" i="3"/>
  <c r="J425" i="3"/>
  <c r="L424" i="3"/>
  <c r="J424" i="3"/>
  <c r="L422" i="3"/>
  <c r="J422" i="3"/>
  <c r="L421" i="3"/>
  <c r="J421" i="3"/>
  <c r="L408" i="3"/>
  <c r="J408" i="3"/>
  <c r="L407" i="3"/>
  <c r="J407" i="3"/>
  <c r="L406" i="3"/>
  <c r="J406" i="3"/>
  <c r="L405" i="3"/>
  <c r="J405" i="3"/>
  <c r="L404" i="3"/>
  <c r="J404" i="3"/>
  <c r="L403" i="3"/>
  <c r="J403" i="3"/>
  <c r="L402" i="3"/>
  <c r="J402" i="3"/>
  <c r="L401" i="3"/>
  <c r="J401" i="3"/>
  <c r="L399" i="3"/>
  <c r="J399" i="3"/>
  <c r="L398" i="3"/>
  <c r="J398" i="3"/>
  <c r="L397" i="3"/>
  <c r="J397" i="3"/>
  <c r="L395" i="3"/>
  <c r="J395" i="3"/>
  <c r="L394" i="3"/>
  <c r="J394" i="3"/>
  <c r="L392" i="3"/>
  <c r="J392" i="3"/>
  <c r="L391" i="3"/>
  <c r="J391" i="3"/>
  <c r="L389" i="3"/>
  <c r="J389" i="3"/>
  <c r="L388" i="3"/>
  <c r="J388" i="3"/>
  <c r="L387" i="3"/>
  <c r="J387" i="3"/>
  <c r="L386" i="3"/>
  <c r="J386" i="3"/>
  <c r="L385" i="3"/>
  <c r="J385" i="3"/>
  <c r="L384" i="3"/>
  <c r="J384" i="3"/>
  <c r="L383" i="3"/>
  <c r="J383" i="3"/>
  <c r="L382" i="3"/>
  <c r="J382" i="3"/>
  <c r="L381" i="3"/>
  <c r="J381" i="3"/>
  <c r="L380" i="3"/>
  <c r="J380" i="3"/>
  <c r="L379" i="3"/>
  <c r="J379" i="3"/>
  <c r="L378" i="3"/>
  <c r="J378" i="3"/>
  <c r="L377" i="3"/>
  <c r="J377" i="3"/>
  <c r="L376" i="3"/>
  <c r="J376" i="3"/>
  <c r="L375" i="3"/>
  <c r="J375" i="3"/>
  <c r="L374" i="3"/>
  <c r="J374" i="3"/>
  <c r="L373" i="3"/>
  <c r="J373" i="3"/>
  <c r="L371" i="3"/>
  <c r="J371" i="3"/>
  <c r="L369" i="3"/>
  <c r="J369" i="3"/>
  <c r="L365" i="3"/>
  <c r="J365" i="3"/>
  <c r="L359" i="3"/>
  <c r="J359" i="3"/>
  <c r="L357" i="3"/>
  <c r="J357" i="3"/>
  <c r="L355" i="3"/>
  <c r="J355" i="3"/>
  <c r="L354" i="3"/>
  <c r="J354" i="3"/>
  <c r="L353" i="3"/>
  <c r="J353" i="3"/>
  <c r="L352" i="3"/>
  <c r="J352" i="3"/>
  <c r="L351" i="3"/>
  <c r="J351" i="3"/>
  <c r="L350" i="3"/>
  <c r="J350" i="3"/>
  <c r="L349" i="3"/>
  <c r="J349" i="3"/>
  <c r="L345" i="3"/>
  <c r="J345" i="3"/>
  <c r="L342" i="3"/>
  <c r="J342" i="3"/>
  <c r="L341" i="3"/>
  <c r="J341" i="3"/>
  <c r="L340" i="3"/>
  <c r="J340" i="3"/>
  <c r="L338" i="3"/>
  <c r="J338" i="3"/>
  <c r="L337" i="3"/>
  <c r="J337" i="3"/>
  <c r="L335" i="3"/>
  <c r="J335" i="3"/>
  <c r="L334" i="3"/>
  <c r="J334" i="3"/>
  <c r="L333" i="3"/>
  <c r="J333" i="3"/>
  <c r="L332" i="3"/>
  <c r="J332" i="3"/>
  <c r="L330" i="3"/>
  <c r="J330" i="3"/>
  <c r="L329" i="3"/>
  <c r="J329" i="3"/>
  <c r="L328" i="3"/>
  <c r="J328" i="3"/>
  <c r="L327" i="3"/>
  <c r="J327" i="3"/>
  <c r="L325" i="3"/>
  <c r="J325" i="3"/>
  <c r="L322" i="3"/>
  <c r="J322" i="3"/>
  <c r="L321" i="3"/>
  <c r="J321" i="3"/>
  <c r="L320" i="3"/>
  <c r="J320" i="3"/>
  <c r="L319" i="3"/>
  <c r="J319" i="3"/>
  <c r="L318" i="3"/>
  <c r="J318" i="3"/>
  <c r="L317" i="3"/>
  <c r="J317" i="3"/>
  <c r="L316" i="3"/>
  <c r="J316" i="3"/>
  <c r="L315" i="3"/>
  <c r="J315" i="3"/>
  <c r="L313" i="3"/>
  <c r="J313" i="3"/>
  <c r="L312" i="3"/>
  <c r="J312" i="3"/>
  <c r="L311" i="3"/>
  <c r="J311" i="3"/>
  <c r="L310" i="3"/>
  <c r="J310" i="3"/>
  <c r="L241" i="3"/>
  <c r="J241" i="3"/>
  <c r="L226" i="3"/>
  <c r="J226" i="3"/>
  <c r="L225" i="3"/>
  <c r="J225" i="3"/>
  <c r="L224" i="3"/>
  <c r="J224" i="3"/>
  <c r="L223" i="3"/>
  <c r="J223" i="3"/>
  <c r="L222" i="3"/>
  <c r="J222" i="3"/>
  <c r="L221" i="3"/>
  <c r="J221" i="3"/>
  <c r="L220" i="3"/>
  <c r="J220" i="3"/>
  <c r="L219" i="3"/>
  <c r="J219" i="3"/>
  <c r="L218" i="3"/>
  <c r="J218" i="3"/>
  <c r="L216" i="3"/>
  <c r="J216" i="3"/>
  <c r="L215" i="3"/>
  <c r="J215" i="3"/>
  <c r="L214" i="3"/>
  <c r="J214" i="3"/>
  <c r="L212" i="3"/>
  <c r="J212" i="3"/>
  <c r="L210" i="3"/>
  <c r="J210" i="3"/>
  <c r="L209" i="3"/>
  <c r="J209" i="3"/>
  <c r="L208" i="3"/>
  <c r="J208" i="3"/>
  <c r="L194" i="3"/>
  <c r="J194" i="3"/>
  <c r="L193" i="3"/>
  <c r="J193" i="3"/>
  <c r="L192" i="3"/>
  <c r="J192" i="3"/>
  <c r="L191" i="3"/>
  <c r="J191" i="3"/>
  <c r="L190" i="3"/>
  <c r="J190" i="3"/>
  <c r="L189" i="3"/>
  <c r="J189" i="3"/>
  <c r="L188" i="3"/>
  <c r="J188" i="3"/>
  <c r="L184" i="3"/>
  <c r="J184" i="3"/>
  <c r="L183" i="3"/>
  <c r="J183" i="3"/>
  <c r="L182" i="3"/>
  <c r="J182" i="3"/>
  <c r="L181" i="3"/>
  <c r="J181" i="3"/>
  <c r="L178" i="3"/>
  <c r="J178" i="3"/>
  <c r="L177" i="3"/>
  <c r="J177" i="3"/>
  <c r="L176" i="3"/>
  <c r="J176" i="3"/>
  <c r="L175" i="3"/>
  <c r="J175" i="3"/>
  <c r="L173" i="3"/>
  <c r="J173" i="3"/>
  <c r="L172" i="3"/>
  <c r="J172" i="3"/>
  <c r="L169" i="3"/>
  <c r="J169" i="3"/>
  <c r="L132" i="3"/>
  <c r="J132" i="3"/>
  <c r="L130" i="3"/>
  <c r="J130" i="3"/>
  <c r="L129" i="3"/>
  <c r="J129" i="3"/>
  <c r="L128" i="3"/>
  <c r="J128" i="3"/>
  <c r="L123" i="3"/>
  <c r="J123" i="3"/>
  <c r="L122" i="3"/>
  <c r="J122" i="3"/>
  <c r="L121" i="3"/>
  <c r="J121" i="3"/>
  <c r="L119" i="3"/>
  <c r="J119" i="3"/>
  <c r="L118" i="3"/>
  <c r="J118" i="3"/>
  <c r="L112" i="3"/>
  <c r="J112" i="3"/>
  <c r="L110" i="3"/>
  <c r="J110" i="3"/>
  <c r="L108" i="3"/>
  <c r="J108" i="3"/>
  <c r="L107" i="3"/>
  <c r="J107" i="3"/>
  <c r="L106" i="3"/>
  <c r="J106" i="3"/>
  <c r="L105" i="3"/>
  <c r="J105" i="3"/>
  <c r="L103" i="3"/>
  <c r="J103" i="3"/>
  <c r="L102" i="3"/>
  <c r="J102" i="3"/>
  <c r="L101" i="3"/>
  <c r="J101" i="3"/>
  <c r="L98" i="3"/>
  <c r="J98" i="3"/>
  <c r="L96" i="3"/>
  <c r="J96" i="3"/>
  <c r="L95" i="3"/>
  <c r="V7" i="3"/>
  <c r="X7" i="3"/>
  <c r="Z7" i="3"/>
  <c r="V8" i="3"/>
  <c r="Z8" i="3"/>
  <c r="X8" i="3"/>
  <c r="V9" i="3"/>
  <c r="X9" i="3"/>
  <c r="Z9" i="3"/>
  <c r="V10" i="3"/>
  <c r="X10" i="3"/>
  <c r="Z10" i="3"/>
  <c r="V11" i="3"/>
  <c r="Z11" i="3"/>
  <c r="X11" i="3"/>
  <c r="V12" i="3"/>
  <c r="Z12" i="3"/>
  <c r="X12" i="3"/>
  <c r="V13" i="3"/>
  <c r="X13" i="3"/>
  <c r="Z13" i="3"/>
  <c r="V14" i="3"/>
  <c r="X14" i="3"/>
  <c r="Z14" i="3"/>
  <c r="V15" i="3"/>
  <c r="Z15" i="3"/>
  <c r="X15" i="3"/>
  <c r="V16" i="3"/>
  <c r="Z16" i="3"/>
  <c r="X16" i="3"/>
  <c r="V17" i="3"/>
  <c r="X17" i="3"/>
  <c r="Z17" i="3"/>
  <c r="V18" i="3"/>
  <c r="X18" i="3"/>
  <c r="Z18" i="3"/>
  <c r="V19" i="3"/>
  <c r="Z19" i="3"/>
  <c r="X19" i="3"/>
  <c r="V20" i="3"/>
  <c r="Z20" i="3"/>
  <c r="X20" i="3"/>
  <c r="V21" i="3"/>
  <c r="X21" i="3"/>
  <c r="Z21" i="3"/>
  <c r="V22" i="3"/>
  <c r="X22" i="3"/>
  <c r="Z22" i="3"/>
  <c r="V23" i="3"/>
  <c r="Z23" i="3"/>
  <c r="X23" i="3"/>
  <c r="V24" i="3"/>
  <c r="Z24" i="3"/>
  <c r="X24" i="3"/>
  <c r="V25" i="3"/>
  <c r="X25" i="3"/>
  <c r="Z25" i="3"/>
  <c r="V26" i="3"/>
  <c r="X26" i="3"/>
  <c r="Z26" i="3"/>
  <c r="V27" i="3"/>
  <c r="Z27" i="3"/>
  <c r="X27" i="3"/>
  <c r="V28" i="3"/>
  <c r="Z28" i="3"/>
  <c r="X28" i="3"/>
  <c r="V29" i="3"/>
  <c r="X29" i="3"/>
  <c r="Z29" i="3"/>
  <c r="V30" i="3"/>
  <c r="X30" i="3"/>
  <c r="Z30" i="3"/>
  <c r="V31" i="3"/>
  <c r="Z31" i="3"/>
  <c r="X31" i="3"/>
  <c r="V32" i="3"/>
  <c r="Z32" i="3"/>
  <c r="X32" i="3"/>
  <c r="V33" i="3"/>
  <c r="X33" i="3"/>
  <c r="Z33" i="3"/>
  <c r="V34" i="3"/>
  <c r="X34" i="3"/>
  <c r="Z34" i="3"/>
  <c r="V35" i="3"/>
  <c r="Z35" i="3"/>
  <c r="X35" i="3"/>
  <c r="V36" i="3"/>
  <c r="Z36" i="3"/>
  <c r="X36" i="3"/>
  <c r="V37" i="3"/>
  <c r="X37" i="3"/>
  <c r="Z37" i="3"/>
  <c r="V38" i="3"/>
  <c r="X38" i="3"/>
  <c r="Z38" i="3"/>
  <c r="V39" i="3"/>
  <c r="Z39" i="3"/>
  <c r="X39" i="3"/>
  <c r="V40" i="3"/>
  <c r="Z40" i="3"/>
  <c r="X40" i="3"/>
  <c r="V41" i="3"/>
  <c r="X41" i="3"/>
  <c r="Z41" i="3"/>
  <c r="V42" i="3"/>
  <c r="X42" i="3"/>
  <c r="Z42" i="3"/>
  <c r="V43" i="3"/>
  <c r="Z43" i="3"/>
  <c r="X43" i="3"/>
  <c r="V44" i="3"/>
  <c r="Z44" i="3"/>
  <c r="X44" i="3"/>
  <c r="V45" i="3"/>
  <c r="X45" i="3"/>
  <c r="Z45" i="3"/>
  <c r="V46" i="3"/>
  <c r="X46" i="3"/>
  <c r="Z46" i="3"/>
  <c r="V47" i="3"/>
  <c r="Z47" i="3"/>
  <c r="X47" i="3"/>
  <c r="V48" i="3"/>
  <c r="Z48" i="3"/>
  <c r="X48" i="3"/>
  <c r="V49" i="3"/>
  <c r="X49" i="3"/>
  <c r="Z49" i="3"/>
  <c r="V50" i="3"/>
  <c r="X50" i="3"/>
  <c r="Z50" i="3"/>
  <c r="V51" i="3"/>
  <c r="Z51" i="3"/>
  <c r="X51" i="3"/>
  <c r="V52" i="3"/>
  <c r="Z52" i="3"/>
  <c r="X52" i="3"/>
  <c r="V53" i="3"/>
  <c r="X53" i="3"/>
  <c r="Z53" i="3"/>
  <c r="V54" i="3"/>
  <c r="X54" i="3"/>
  <c r="Z54" i="3"/>
  <c r="V55" i="3"/>
  <c r="Z55" i="3"/>
  <c r="X55" i="3"/>
  <c r="V56" i="3"/>
  <c r="Z56" i="3"/>
  <c r="X56" i="3"/>
  <c r="V57" i="3"/>
  <c r="X57" i="3"/>
  <c r="Z57" i="3"/>
  <c r="V58" i="3"/>
  <c r="X58" i="3"/>
  <c r="Z58" i="3"/>
  <c r="V59" i="3"/>
  <c r="Z59" i="3"/>
  <c r="X59" i="3"/>
  <c r="V60" i="3"/>
  <c r="Z60" i="3"/>
  <c r="X60" i="3"/>
  <c r="V61" i="3"/>
  <c r="X61" i="3"/>
  <c r="Z61" i="3"/>
  <c r="V62" i="3"/>
  <c r="X62" i="3"/>
  <c r="Z62" i="3"/>
  <c r="V63" i="3"/>
  <c r="Z63" i="3"/>
  <c r="X63" i="3"/>
  <c r="V64" i="3"/>
  <c r="Z64" i="3"/>
  <c r="X64" i="3"/>
  <c r="V65" i="3"/>
  <c r="X65" i="3"/>
  <c r="Z65" i="3"/>
  <c r="V66" i="3"/>
  <c r="X66" i="3"/>
  <c r="Z66" i="3"/>
  <c r="V67" i="3"/>
  <c r="Z67" i="3"/>
  <c r="X67" i="3"/>
  <c r="V68" i="3"/>
  <c r="Z68" i="3"/>
  <c r="X68" i="3"/>
  <c r="V69" i="3"/>
  <c r="X69" i="3"/>
  <c r="Z69" i="3"/>
  <c r="V70" i="3"/>
  <c r="X70" i="3"/>
  <c r="Z70" i="3"/>
  <c r="V71" i="3"/>
  <c r="Z71" i="3"/>
  <c r="X71" i="3"/>
  <c r="V72" i="3"/>
  <c r="Z72" i="3"/>
  <c r="X72" i="3"/>
  <c r="V73" i="3"/>
  <c r="X73" i="3"/>
  <c r="Z73" i="3"/>
  <c r="V74" i="3"/>
  <c r="Z74" i="3"/>
  <c r="X74" i="3"/>
  <c r="V75" i="3"/>
  <c r="Z75" i="3"/>
  <c r="X75" i="3"/>
  <c r="V76" i="3"/>
  <c r="Z76" i="3"/>
  <c r="X76" i="3"/>
  <c r="V77" i="3"/>
  <c r="Z77" i="3"/>
  <c r="X77" i="3"/>
  <c r="V78" i="3"/>
  <c r="Z78" i="3"/>
  <c r="X78" i="3"/>
  <c r="V79" i="3"/>
  <c r="X79" i="3"/>
  <c r="Z79" i="3"/>
  <c r="V80" i="3"/>
  <c r="Z80" i="3"/>
  <c r="X80" i="3"/>
  <c r="V81" i="3"/>
  <c r="Z81" i="3"/>
  <c r="X81" i="3"/>
  <c r="V82" i="3"/>
  <c r="X82" i="3"/>
  <c r="Z82" i="3"/>
  <c r="V83" i="3"/>
  <c r="X83" i="3"/>
  <c r="Z83" i="3"/>
  <c r="V84" i="3"/>
  <c r="Z84" i="3"/>
  <c r="X84" i="3"/>
  <c r="V85" i="3"/>
  <c r="Z85" i="3"/>
  <c r="X85" i="3"/>
  <c r="V86" i="3"/>
  <c r="X86" i="3"/>
  <c r="Z86" i="3"/>
  <c r="V87" i="3"/>
  <c r="Z87" i="3"/>
  <c r="X87" i="3"/>
  <c r="V88" i="3"/>
  <c r="Z88" i="3"/>
  <c r="X88" i="3"/>
  <c r="V89" i="3"/>
  <c r="Z89" i="3"/>
  <c r="X89" i="3"/>
  <c r="V90" i="3"/>
  <c r="Z90" i="3"/>
  <c r="X90" i="3"/>
  <c r="V91" i="3"/>
  <c r="Z91" i="3"/>
  <c r="X91" i="3"/>
  <c r="V92" i="3"/>
  <c r="X92" i="3"/>
  <c r="Z92" i="3"/>
  <c r="V93" i="3"/>
  <c r="Z93" i="3"/>
  <c r="X93" i="3"/>
  <c r="V94" i="3"/>
  <c r="Z94" i="3"/>
  <c r="X94" i="3"/>
  <c r="V95" i="3"/>
  <c r="X95" i="3"/>
  <c r="Z95" i="3"/>
  <c r="V96" i="3"/>
  <c r="X96" i="3"/>
  <c r="Z96" i="3"/>
  <c r="V97" i="3"/>
  <c r="Z97" i="3"/>
  <c r="X97" i="3"/>
  <c r="V98" i="3"/>
  <c r="Z98" i="3"/>
  <c r="X98" i="3"/>
  <c r="V99" i="3"/>
  <c r="X99" i="3"/>
  <c r="Z99" i="3"/>
  <c r="V100" i="3"/>
  <c r="X100" i="3"/>
  <c r="Z100" i="3"/>
  <c r="V101" i="3"/>
  <c r="Z101" i="3"/>
  <c r="X101" i="3"/>
  <c r="V102" i="3"/>
  <c r="Z102" i="3"/>
  <c r="X102" i="3"/>
  <c r="V103" i="3"/>
  <c r="X103" i="3"/>
  <c r="Z103" i="3"/>
  <c r="V104" i="3"/>
  <c r="X104" i="3"/>
  <c r="Z104" i="3"/>
  <c r="V105" i="3"/>
  <c r="Z105" i="3"/>
  <c r="X105" i="3"/>
  <c r="V106" i="3"/>
  <c r="Z106" i="3"/>
  <c r="X106" i="3"/>
  <c r="V107" i="3"/>
  <c r="X107" i="3"/>
  <c r="Z107" i="3"/>
  <c r="V108" i="3"/>
  <c r="X108" i="3"/>
  <c r="Z108" i="3"/>
  <c r="V109" i="3"/>
  <c r="Z109" i="3"/>
  <c r="X109" i="3"/>
  <c r="V110" i="3"/>
  <c r="Z110" i="3"/>
  <c r="X110" i="3"/>
  <c r="V111" i="3"/>
  <c r="X111" i="3"/>
  <c r="Z111" i="3"/>
  <c r="V112" i="3"/>
  <c r="X112" i="3"/>
  <c r="Z112" i="3"/>
  <c r="V113" i="3"/>
  <c r="Z113" i="3"/>
  <c r="X113" i="3"/>
  <c r="V114" i="3"/>
  <c r="Z114" i="3"/>
  <c r="X114" i="3"/>
  <c r="V115" i="3"/>
  <c r="X115" i="3"/>
  <c r="Z115" i="3"/>
  <c r="V116" i="3"/>
  <c r="X116" i="3"/>
  <c r="Z116" i="3"/>
  <c r="V117" i="3"/>
  <c r="Z117" i="3"/>
  <c r="X117" i="3"/>
  <c r="V118" i="3"/>
  <c r="Z118" i="3"/>
  <c r="X118" i="3"/>
  <c r="V119" i="3"/>
  <c r="X119" i="3"/>
  <c r="Z119" i="3"/>
  <c r="V120" i="3"/>
  <c r="X120" i="3"/>
  <c r="Z120" i="3"/>
  <c r="V121" i="3"/>
  <c r="Z121" i="3"/>
  <c r="X121" i="3"/>
  <c r="V122" i="3"/>
  <c r="Z122" i="3"/>
  <c r="X122" i="3"/>
  <c r="V123" i="3"/>
  <c r="X123" i="3"/>
  <c r="Z123" i="3"/>
  <c r="V124" i="3"/>
  <c r="X124" i="3"/>
  <c r="Z124" i="3"/>
  <c r="V125" i="3"/>
  <c r="Z125" i="3"/>
  <c r="X125" i="3"/>
  <c r="V126" i="3"/>
  <c r="Z126" i="3"/>
  <c r="X126" i="3"/>
  <c r="V127" i="3"/>
  <c r="X127" i="3"/>
  <c r="Z127" i="3"/>
  <c r="V128" i="3"/>
  <c r="X128" i="3"/>
  <c r="Z128" i="3"/>
  <c r="V129" i="3"/>
  <c r="Z129" i="3"/>
  <c r="X129" i="3"/>
  <c r="V130" i="3"/>
  <c r="Z130" i="3"/>
  <c r="X130" i="3"/>
  <c r="V131" i="3"/>
  <c r="X131" i="3"/>
  <c r="Z131" i="3"/>
  <c r="V132" i="3"/>
  <c r="X132" i="3"/>
  <c r="Z132" i="3"/>
  <c r="V133" i="3"/>
  <c r="Z133" i="3"/>
  <c r="X133" i="3"/>
  <c r="V134" i="3"/>
  <c r="Z134" i="3"/>
  <c r="X134" i="3"/>
  <c r="V135" i="3"/>
  <c r="X135" i="3"/>
  <c r="Z135" i="3"/>
  <c r="V136" i="3"/>
  <c r="X136" i="3"/>
  <c r="Z136" i="3"/>
  <c r="V137" i="3"/>
  <c r="Z137" i="3"/>
  <c r="X137" i="3"/>
  <c r="V138" i="3"/>
  <c r="Z138" i="3"/>
  <c r="X138" i="3"/>
  <c r="V139" i="3"/>
  <c r="X139" i="3"/>
  <c r="Z139" i="3"/>
  <c r="V140" i="3"/>
  <c r="X140" i="3"/>
  <c r="Z140" i="3"/>
  <c r="V141" i="3"/>
  <c r="Z141" i="3"/>
  <c r="X141" i="3"/>
  <c r="V142" i="3"/>
  <c r="Z142" i="3"/>
  <c r="X142" i="3"/>
  <c r="V143" i="3"/>
  <c r="X143" i="3"/>
  <c r="Z143" i="3"/>
  <c r="V144" i="3"/>
  <c r="X144" i="3"/>
  <c r="Z144" i="3"/>
  <c r="V145" i="3"/>
  <c r="Z145" i="3"/>
  <c r="X145" i="3"/>
  <c r="V146" i="3"/>
  <c r="Z146" i="3"/>
  <c r="X146" i="3"/>
  <c r="V147" i="3"/>
  <c r="X147" i="3"/>
  <c r="Z147" i="3"/>
  <c r="V148" i="3"/>
  <c r="X148" i="3"/>
  <c r="Z148" i="3"/>
  <c r="V149" i="3"/>
  <c r="Z149" i="3"/>
  <c r="X149" i="3"/>
  <c r="V150" i="3"/>
  <c r="Z150" i="3"/>
  <c r="X150" i="3"/>
  <c r="V151" i="3"/>
  <c r="X151" i="3"/>
  <c r="Z151" i="3"/>
  <c r="V152" i="3"/>
  <c r="X152" i="3"/>
  <c r="Z152" i="3"/>
  <c r="V153" i="3"/>
  <c r="Z153" i="3"/>
  <c r="X153" i="3"/>
  <c r="V154" i="3"/>
  <c r="Z154" i="3"/>
  <c r="X154" i="3"/>
  <c r="V155" i="3"/>
  <c r="X155" i="3"/>
  <c r="Z155" i="3"/>
  <c r="V156" i="3"/>
  <c r="X156" i="3"/>
  <c r="Z156" i="3"/>
  <c r="V157" i="3"/>
  <c r="Z157" i="3"/>
  <c r="X157" i="3"/>
  <c r="V158" i="3"/>
  <c r="Z158" i="3"/>
  <c r="X158" i="3"/>
  <c r="V159" i="3"/>
  <c r="X159" i="3"/>
  <c r="Z159" i="3"/>
  <c r="V160" i="3"/>
  <c r="X160" i="3"/>
  <c r="Z160" i="3"/>
  <c r="V161" i="3"/>
  <c r="Z161" i="3"/>
  <c r="X161" i="3"/>
  <c r="V162" i="3"/>
  <c r="Z162" i="3"/>
  <c r="X162" i="3"/>
  <c r="V163" i="3"/>
  <c r="X163" i="3"/>
  <c r="Z163" i="3"/>
  <c r="V164" i="3"/>
  <c r="X164" i="3"/>
  <c r="Z164" i="3"/>
  <c r="V165" i="3"/>
  <c r="Z165" i="3"/>
  <c r="X165" i="3"/>
  <c r="V166" i="3"/>
  <c r="Z166" i="3"/>
  <c r="X166" i="3"/>
  <c r="V167" i="3"/>
  <c r="X167" i="3"/>
  <c r="Z167" i="3"/>
  <c r="V168" i="3"/>
  <c r="X168" i="3"/>
  <c r="Z168" i="3"/>
  <c r="V169" i="3"/>
  <c r="Z169" i="3"/>
  <c r="X169" i="3"/>
  <c r="V170" i="3"/>
  <c r="Z170" i="3"/>
  <c r="X170" i="3"/>
  <c r="V171" i="3"/>
  <c r="X171" i="3"/>
  <c r="Z171" i="3"/>
  <c r="V172" i="3"/>
  <c r="X172" i="3"/>
  <c r="Z172" i="3"/>
  <c r="V173" i="3"/>
  <c r="Z173" i="3"/>
  <c r="X173" i="3"/>
  <c r="V174" i="3"/>
  <c r="Z174" i="3"/>
  <c r="X174" i="3"/>
  <c r="V175" i="3"/>
  <c r="X175" i="3"/>
  <c r="Z175" i="3"/>
  <c r="V176" i="3"/>
  <c r="X176" i="3"/>
  <c r="Z176" i="3"/>
  <c r="V177" i="3"/>
  <c r="Z177" i="3"/>
  <c r="X177" i="3"/>
  <c r="V178" i="3"/>
  <c r="Z178" i="3"/>
  <c r="S179" i="3"/>
  <c r="V179" i="3"/>
  <c r="Z179" i="3"/>
  <c r="V180" i="3"/>
  <c r="Z180" i="3"/>
  <c r="S181" i="3"/>
  <c r="V181" i="3"/>
  <c r="Z181" i="3"/>
  <c r="V182" i="3"/>
  <c r="Z182" i="3"/>
  <c r="V183" i="3"/>
  <c r="Z183" i="3"/>
  <c r="V184" i="3"/>
  <c r="Z184" i="3"/>
  <c r="V185" i="3"/>
  <c r="Z185" i="3"/>
  <c r="X185" i="3"/>
  <c r="V186" i="3"/>
  <c r="X186" i="3"/>
  <c r="Z186" i="3"/>
  <c r="V187" i="3"/>
  <c r="X187" i="3"/>
  <c r="Z187" i="3"/>
  <c r="V188" i="3"/>
  <c r="Z188" i="3"/>
  <c r="X188" i="3"/>
  <c r="V189" i="3"/>
  <c r="Z189" i="3"/>
  <c r="X189" i="3"/>
  <c r="V190" i="3"/>
  <c r="X190" i="3"/>
  <c r="Z190" i="3"/>
  <c r="V191" i="3"/>
  <c r="X191" i="3"/>
  <c r="Z191" i="3"/>
  <c r="V192" i="3"/>
  <c r="Z192" i="3"/>
  <c r="X192" i="3"/>
  <c r="V193" i="3"/>
  <c r="Z193" i="3"/>
  <c r="X193" i="3"/>
  <c r="V194" i="3"/>
  <c r="X194" i="3"/>
  <c r="Z194" i="3"/>
  <c r="V195" i="3"/>
  <c r="X195" i="3"/>
  <c r="Z195" i="3"/>
  <c r="V196" i="3"/>
  <c r="Z196" i="3"/>
  <c r="X196" i="3"/>
  <c r="V197" i="3"/>
  <c r="Z197" i="3"/>
  <c r="X197" i="3"/>
  <c r="V198" i="3"/>
  <c r="X198" i="3"/>
  <c r="Z198" i="3"/>
  <c r="V199" i="3"/>
  <c r="X199" i="3"/>
  <c r="Z199" i="3"/>
  <c r="V200" i="3"/>
  <c r="Z200" i="3"/>
  <c r="X200" i="3"/>
  <c r="V201" i="3"/>
  <c r="Z201" i="3"/>
  <c r="X201" i="3"/>
  <c r="V202" i="3"/>
  <c r="X202" i="3"/>
  <c r="Z202" i="3"/>
  <c r="V203" i="3"/>
  <c r="X203" i="3"/>
  <c r="Z203" i="3"/>
  <c r="V204" i="3"/>
  <c r="Z204" i="3"/>
  <c r="X204" i="3"/>
  <c r="V205" i="3"/>
  <c r="Z205" i="3"/>
  <c r="X205" i="3"/>
  <c r="V206" i="3"/>
  <c r="X206" i="3"/>
  <c r="Z206" i="3"/>
  <c r="V207" i="3"/>
  <c r="X207" i="3"/>
  <c r="Z207" i="3"/>
  <c r="V208" i="3"/>
  <c r="Z208" i="3"/>
  <c r="X208" i="3"/>
  <c r="V209" i="3"/>
  <c r="Z209" i="3"/>
  <c r="X209" i="3"/>
  <c r="V210" i="3"/>
  <c r="X210" i="3"/>
  <c r="Z210" i="3"/>
  <c r="V211" i="3"/>
  <c r="X211" i="3"/>
  <c r="Z211" i="3"/>
  <c r="V212" i="3"/>
  <c r="Z212" i="3"/>
  <c r="X212" i="3"/>
  <c r="V213" i="3"/>
  <c r="Z213" i="3"/>
  <c r="X213" i="3"/>
  <c r="V214" i="3"/>
  <c r="X214" i="3"/>
  <c r="Z214" i="3"/>
  <c r="V215" i="3"/>
  <c r="X215" i="3"/>
  <c r="Z215" i="3"/>
  <c r="V216" i="3"/>
  <c r="Z216" i="3"/>
  <c r="X216" i="3"/>
  <c r="V217" i="3"/>
  <c r="Z217" i="3"/>
  <c r="X217" i="3"/>
  <c r="V218" i="3"/>
  <c r="X218" i="3"/>
  <c r="Z218" i="3"/>
  <c r="V219" i="3"/>
  <c r="X219" i="3"/>
  <c r="Z219" i="3"/>
  <c r="V220" i="3"/>
  <c r="Z220" i="3"/>
  <c r="X220" i="3"/>
  <c r="V221" i="3"/>
  <c r="Z221" i="3"/>
  <c r="X221" i="3"/>
  <c r="V222" i="3"/>
  <c r="X222" i="3"/>
  <c r="Z222" i="3"/>
  <c r="V223" i="3"/>
  <c r="X223" i="3"/>
  <c r="Z223" i="3"/>
  <c r="V224" i="3"/>
  <c r="Z224" i="3"/>
  <c r="X224" i="3"/>
  <c r="V225" i="3"/>
  <c r="Z225" i="3"/>
  <c r="X225" i="3"/>
  <c r="V226" i="3"/>
  <c r="X226" i="3"/>
  <c r="Z226" i="3"/>
  <c r="V227" i="3"/>
  <c r="X227" i="3"/>
  <c r="Z227" i="3"/>
  <c r="V228" i="3"/>
  <c r="Z228" i="3"/>
  <c r="X228" i="3"/>
  <c r="V229" i="3"/>
  <c r="Z229" i="3"/>
  <c r="X229" i="3"/>
  <c r="V230" i="3"/>
  <c r="X230" i="3"/>
  <c r="Z230" i="3"/>
  <c r="V231" i="3"/>
  <c r="Z231" i="3"/>
  <c r="X231" i="3"/>
  <c r="V232" i="3"/>
  <c r="X232" i="3"/>
  <c r="Z232" i="3"/>
  <c r="V233" i="3"/>
  <c r="X233" i="3"/>
  <c r="Z233" i="3"/>
  <c r="V234" i="3"/>
  <c r="Z234" i="3"/>
  <c r="X234" i="3"/>
  <c r="V235" i="3"/>
  <c r="Z235" i="3"/>
  <c r="X235" i="3"/>
  <c r="V236" i="3"/>
  <c r="X236" i="3"/>
  <c r="Z236" i="3"/>
  <c r="V237" i="3"/>
  <c r="X237" i="3"/>
  <c r="Z237" i="3"/>
  <c r="V238" i="3"/>
  <c r="Z238" i="3"/>
  <c r="X238" i="3"/>
  <c r="V239" i="3"/>
  <c r="Z239" i="3"/>
  <c r="X239" i="3"/>
  <c r="V240" i="3"/>
  <c r="X240" i="3"/>
  <c r="Z240" i="3"/>
  <c r="V241" i="3"/>
  <c r="X241" i="3"/>
  <c r="Z241" i="3"/>
  <c r="V242" i="3"/>
  <c r="Z242" i="3"/>
  <c r="X242" i="3"/>
  <c r="V243" i="3"/>
  <c r="Z243" i="3"/>
  <c r="X243" i="3"/>
  <c r="V244" i="3"/>
  <c r="X244" i="3"/>
  <c r="Z244" i="3"/>
  <c r="V245" i="3"/>
  <c r="Z245" i="3"/>
  <c r="X245" i="3"/>
  <c r="V246" i="3"/>
  <c r="Z246" i="3"/>
  <c r="X246" i="3"/>
  <c r="V247" i="3"/>
  <c r="Z247" i="3"/>
  <c r="X247" i="3"/>
  <c r="V248" i="3"/>
  <c r="Z248" i="3"/>
  <c r="X248" i="3"/>
  <c r="V249" i="3"/>
  <c r="Z249" i="3"/>
  <c r="X249" i="3"/>
  <c r="V250" i="3"/>
  <c r="Z250" i="3"/>
  <c r="X250" i="3"/>
  <c r="V251" i="3"/>
  <c r="Z251" i="3"/>
  <c r="X251" i="3"/>
  <c r="V252" i="3"/>
  <c r="Z252" i="3"/>
  <c r="X252" i="3"/>
  <c r="V253" i="3"/>
  <c r="X253" i="3"/>
  <c r="Z253" i="3"/>
  <c r="V254" i="3"/>
  <c r="Z254" i="3"/>
  <c r="X254" i="3"/>
  <c r="V255" i="3"/>
  <c r="X255" i="3"/>
  <c r="Z255" i="3"/>
  <c r="V256" i="3"/>
  <c r="X256" i="3"/>
  <c r="Z256" i="3"/>
  <c r="V257" i="3"/>
  <c r="Z257" i="3"/>
  <c r="X257" i="3"/>
  <c r="V258" i="3"/>
  <c r="Z258" i="3"/>
  <c r="X258" i="3"/>
  <c r="V259" i="3"/>
  <c r="X259" i="3"/>
  <c r="Z259" i="3"/>
  <c r="V260" i="3"/>
  <c r="X260" i="3"/>
  <c r="Z260" i="3"/>
  <c r="V261" i="3"/>
  <c r="Z261" i="3"/>
  <c r="X261" i="3"/>
  <c r="V262" i="3"/>
  <c r="Z262" i="3"/>
  <c r="X262" i="3"/>
  <c r="V263" i="3"/>
  <c r="X263" i="3"/>
  <c r="Z263" i="3"/>
  <c r="V264" i="3"/>
  <c r="X264" i="3"/>
  <c r="Z264" i="3"/>
  <c r="V265" i="3"/>
  <c r="Z265" i="3"/>
  <c r="X265" i="3"/>
  <c r="V266" i="3"/>
  <c r="Z266" i="3"/>
  <c r="X266" i="3"/>
  <c r="V267" i="3"/>
  <c r="X267" i="3"/>
  <c r="Z267" i="3"/>
  <c r="V268" i="3"/>
  <c r="X268" i="3"/>
  <c r="Z268" i="3"/>
  <c r="V269" i="3"/>
  <c r="Z269" i="3"/>
  <c r="X269" i="3"/>
  <c r="V270" i="3"/>
  <c r="Z270" i="3"/>
  <c r="X270" i="3"/>
  <c r="V271" i="3"/>
  <c r="X271" i="3"/>
  <c r="Z271" i="3"/>
  <c r="V272" i="3"/>
  <c r="X272" i="3"/>
  <c r="Z272" i="3"/>
  <c r="V273" i="3"/>
  <c r="Z273" i="3"/>
  <c r="X273" i="3"/>
  <c r="V274" i="3"/>
  <c r="Z274" i="3"/>
  <c r="X274" i="3"/>
  <c r="V275" i="3"/>
  <c r="X275" i="3"/>
  <c r="Z275" i="3"/>
  <c r="V276" i="3"/>
  <c r="X276" i="3"/>
  <c r="Z276" i="3"/>
  <c r="V277" i="3"/>
  <c r="Z277" i="3"/>
  <c r="X277" i="3"/>
  <c r="V278" i="3"/>
  <c r="Z278" i="3"/>
  <c r="X278" i="3"/>
  <c r="V279" i="3"/>
  <c r="X279" i="3"/>
  <c r="Z279" i="3"/>
  <c r="V280" i="3"/>
  <c r="X280" i="3"/>
  <c r="Z280" i="3"/>
  <c r="V281" i="3"/>
  <c r="Z281" i="3"/>
  <c r="X281" i="3"/>
  <c r="V282" i="3"/>
  <c r="Z282" i="3"/>
  <c r="X282" i="3"/>
  <c r="V283" i="3"/>
  <c r="X283" i="3"/>
  <c r="Z283" i="3"/>
  <c r="V284" i="3"/>
  <c r="X284" i="3"/>
  <c r="Z284" i="3"/>
  <c r="V285" i="3"/>
  <c r="Z285" i="3"/>
  <c r="X285" i="3"/>
  <c r="V286" i="3"/>
  <c r="Z286" i="3"/>
  <c r="X286" i="3"/>
  <c r="V287" i="3"/>
  <c r="X287" i="3"/>
  <c r="Z287" i="3"/>
  <c r="V288" i="3"/>
  <c r="X288" i="3"/>
  <c r="Z288" i="3"/>
  <c r="V289" i="3"/>
  <c r="Z289" i="3"/>
  <c r="X289" i="3"/>
  <c r="V290" i="3"/>
  <c r="Z290" i="3"/>
  <c r="X290" i="3"/>
  <c r="V291" i="3"/>
  <c r="X291" i="3"/>
  <c r="Z291" i="3"/>
  <c r="V292" i="3"/>
  <c r="X292" i="3"/>
  <c r="Z292" i="3"/>
  <c r="V293" i="3"/>
  <c r="Z293" i="3"/>
  <c r="X293" i="3"/>
  <c r="V294" i="3"/>
  <c r="Z294" i="3"/>
  <c r="X294" i="3"/>
  <c r="V295" i="3"/>
  <c r="X295" i="3"/>
  <c r="Z295" i="3"/>
  <c r="V296" i="3"/>
  <c r="X296" i="3"/>
  <c r="Z296" i="3"/>
  <c r="V297" i="3"/>
  <c r="Z297" i="3"/>
  <c r="X297" i="3"/>
  <c r="V298" i="3"/>
  <c r="Z298" i="3"/>
  <c r="X298" i="3"/>
  <c r="V299" i="3"/>
  <c r="X299" i="3"/>
  <c r="Z299" i="3"/>
  <c r="V300" i="3"/>
  <c r="X300" i="3"/>
  <c r="Z300" i="3"/>
  <c r="V301" i="3"/>
  <c r="Z301" i="3"/>
  <c r="X301" i="3"/>
  <c r="V302" i="3"/>
  <c r="Z302" i="3"/>
  <c r="X302" i="3"/>
  <c r="V303" i="3"/>
  <c r="X303" i="3"/>
  <c r="Z303" i="3"/>
  <c r="V304" i="3"/>
  <c r="X304" i="3"/>
  <c r="Z304" i="3"/>
  <c r="V305" i="3"/>
  <c r="Z305" i="3"/>
  <c r="X305" i="3"/>
  <c r="V306" i="3"/>
  <c r="Z306" i="3"/>
  <c r="X306" i="3"/>
  <c r="V307" i="3"/>
  <c r="X307" i="3"/>
  <c r="Z307" i="3"/>
  <c r="V308" i="3"/>
  <c r="X308" i="3"/>
  <c r="Z308" i="3"/>
  <c r="V309" i="3"/>
  <c r="Z309" i="3"/>
  <c r="X309" i="3"/>
  <c r="V310" i="3"/>
  <c r="Z310" i="3"/>
  <c r="X310" i="3"/>
  <c r="V311" i="3"/>
  <c r="X311" i="3"/>
  <c r="Z311" i="3"/>
  <c r="V312" i="3"/>
  <c r="X312" i="3"/>
  <c r="Z312" i="3"/>
  <c r="V313" i="3"/>
  <c r="Z313" i="3"/>
  <c r="X313" i="3"/>
  <c r="V314" i="3"/>
  <c r="Z314" i="3"/>
  <c r="X314" i="3"/>
  <c r="V315" i="3"/>
  <c r="X315" i="3"/>
  <c r="Z315" i="3"/>
  <c r="V316" i="3"/>
  <c r="X316" i="3"/>
  <c r="Z316" i="3"/>
  <c r="V317" i="3"/>
  <c r="Z317" i="3"/>
  <c r="X317" i="3"/>
  <c r="V318" i="3"/>
  <c r="Z318" i="3"/>
  <c r="X318" i="3"/>
  <c r="V319" i="3"/>
  <c r="X319" i="3"/>
  <c r="Z319" i="3"/>
  <c r="V320" i="3"/>
  <c r="X320" i="3"/>
  <c r="Z320" i="3"/>
  <c r="V321" i="3"/>
  <c r="Z321" i="3"/>
  <c r="X321" i="3"/>
  <c r="V322" i="3"/>
  <c r="Z322" i="3"/>
  <c r="X322" i="3"/>
  <c r="V323" i="3"/>
  <c r="X323" i="3"/>
  <c r="Z323" i="3"/>
  <c r="V324" i="3"/>
  <c r="X324" i="3"/>
  <c r="Z324" i="3"/>
  <c r="V325" i="3"/>
  <c r="Z325" i="3"/>
  <c r="X325" i="3"/>
  <c r="V326" i="3"/>
  <c r="Z326" i="3"/>
  <c r="X326" i="3"/>
  <c r="V327" i="3"/>
  <c r="X327" i="3"/>
  <c r="Z327" i="3"/>
  <c r="V328" i="3"/>
  <c r="X328" i="3"/>
  <c r="Z328" i="3"/>
  <c r="V329" i="3"/>
  <c r="Z329" i="3"/>
  <c r="X329" i="3"/>
  <c r="V330" i="3"/>
  <c r="Z330" i="3"/>
  <c r="X330" i="3"/>
  <c r="V331" i="3"/>
  <c r="X331" i="3"/>
  <c r="Z331" i="3"/>
  <c r="V332" i="3"/>
  <c r="X332" i="3"/>
  <c r="Z332" i="3"/>
  <c r="V333" i="3"/>
  <c r="Z333" i="3"/>
  <c r="X333" i="3"/>
  <c r="V334" i="3"/>
  <c r="Z334" i="3"/>
  <c r="X334" i="3"/>
  <c r="V335" i="3"/>
  <c r="X335" i="3"/>
  <c r="Z335" i="3"/>
  <c r="V336" i="3"/>
  <c r="X336" i="3"/>
  <c r="Z336" i="3"/>
  <c r="V337" i="3"/>
  <c r="Z337" i="3"/>
  <c r="X337" i="3"/>
  <c r="V338" i="3"/>
  <c r="Z338" i="3"/>
  <c r="X338" i="3"/>
  <c r="V339" i="3"/>
  <c r="X339" i="3"/>
  <c r="Z339" i="3"/>
  <c r="V340" i="3"/>
  <c r="X340" i="3"/>
  <c r="Z340" i="3"/>
  <c r="V341" i="3"/>
  <c r="Z341" i="3"/>
  <c r="X341" i="3"/>
  <c r="V342" i="3"/>
  <c r="Z342" i="3"/>
  <c r="X342" i="3"/>
  <c r="V343" i="3"/>
  <c r="X343" i="3"/>
  <c r="Z343" i="3"/>
  <c r="V344" i="3"/>
  <c r="X344" i="3"/>
  <c r="Z344" i="3"/>
  <c r="V345" i="3"/>
  <c r="Z345" i="3"/>
  <c r="X345" i="3"/>
  <c r="V346" i="3"/>
  <c r="Z346" i="3"/>
  <c r="X346" i="3"/>
  <c r="V347" i="3"/>
  <c r="X347" i="3"/>
  <c r="Z347" i="3"/>
  <c r="V348" i="3"/>
  <c r="X348" i="3"/>
  <c r="Z348" i="3"/>
  <c r="V349" i="3"/>
  <c r="Z349" i="3"/>
  <c r="X349" i="3"/>
  <c r="V350" i="3"/>
  <c r="Z350" i="3"/>
  <c r="X350" i="3"/>
  <c r="V351" i="3"/>
  <c r="X351" i="3"/>
  <c r="Z351" i="3"/>
  <c r="V352" i="3"/>
  <c r="X352" i="3"/>
  <c r="Z352" i="3"/>
  <c r="V353" i="3"/>
  <c r="Z353" i="3"/>
  <c r="X353" i="3"/>
  <c r="V354" i="3"/>
  <c r="Z354" i="3"/>
  <c r="X354" i="3"/>
  <c r="V355" i="3"/>
  <c r="Z355" i="3"/>
  <c r="X355" i="3"/>
  <c r="V356" i="3"/>
  <c r="X356" i="3"/>
  <c r="Z356" i="3"/>
  <c r="V357" i="3"/>
  <c r="X357" i="3"/>
  <c r="Z357" i="3"/>
  <c r="V358" i="3"/>
  <c r="Z358" i="3"/>
  <c r="X358" i="3"/>
  <c r="V359" i="3"/>
  <c r="Z359" i="3"/>
  <c r="X359" i="3"/>
  <c r="V360" i="3"/>
  <c r="X360" i="3"/>
  <c r="Z360" i="3"/>
  <c r="V361" i="3"/>
  <c r="X361" i="3"/>
  <c r="Z361" i="3"/>
  <c r="V362" i="3"/>
  <c r="Z362" i="3"/>
  <c r="X362" i="3"/>
  <c r="V363" i="3"/>
  <c r="X363" i="3"/>
  <c r="Z363" i="3"/>
  <c r="V364" i="3"/>
  <c r="Z364" i="3"/>
  <c r="X364" i="3"/>
  <c r="V365" i="3"/>
  <c r="Z365" i="3"/>
  <c r="X365" i="3"/>
  <c r="V366" i="3"/>
  <c r="X366" i="3"/>
  <c r="Z366" i="3"/>
  <c r="V367" i="3"/>
  <c r="X367" i="3"/>
  <c r="Z367" i="3"/>
  <c r="V368" i="3"/>
  <c r="Z368" i="3"/>
  <c r="X368" i="3"/>
  <c r="V369" i="3"/>
  <c r="Z369" i="3"/>
  <c r="X369" i="3"/>
  <c r="V370" i="3"/>
  <c r="Z370" i="3"/>
  <c r="X370" i="3"/>
  <c r="V371" i="3"/>
  <c r="X371" i="3"/>
  <c r="Z371" i="3"/>
  <c r="V372" i="3"/>
  <c r="X372" i="3"/>
  <c r="Z372" i="3"/>
  <c r="V373" i="3"/>
  <c r="Z373" i="3"/>
  <c r="X373" i="3"/>
  <c r="V374" i="3"/>
  <c r="Z374" i="3"/>
  <c r="X374" i="3"/>
  <c r="V375" i="3"/>
  <c r="X375" i="3"/>
  <c r="Z375" i="3"/>
  <c r="V376" i="3"/>
  <c r="X376" i="3"/>
  <c r="Z376" i="3"/>
  <c r="V377" i="3"/>
  <c r="Z377" i="3"/>
  <c r="X377" i="3"/>
  <c r="V378" i="3"/>
  <c r="X378" i="3"/>
  <c r="Z378" i="3"/>
  <c r="V379" i="3"/>
  <c r="X379" i="3"/>
  <c r="Z379" i="3"/>
  <c r="V380" i="3"/>
  <c r="Z380" i="3"/>
  <c r="X380" i="3"/>
  <c r="V381" i="3"/>
  <c r="Z381" i="3"/>
  <c r="X381" i="3"/>
  <c r="V382" i="3"/>
  <c r="X382" i="3"/>
  <c r="Z382" i="3"/>
  <c r="V383" i="3"/>
  <c r="X383" i="3"/>
  <c r="Z383" i="3"/>
  <c r="V384" i="3"/>
  <c r="Z384" i="3"/>
  <c r="X384" i="3"/>
  <c r="V385" i="3"/>
  <c r="Z385" i="3"/>
  <c r="X385" i="3"/>
  <c r="V386" i="3"/>
  <c r="Z386" i="3"/>
  <c r="X386" i="3"/>
  <c r="V387" i="3"/>
  <c r="X387" i="3"/>
  <c r="Z387" i="3"/>
  <c r="V388" i="3"/>
  <c r="X388" i="3"/>
  <c r="Z388" i="3"/>
  <c r="V389" i="3"/>
  <c r="Z389" i="3"/>
  <c r="X389" i="3"/>
  <c r="V390" i="3"/>
  <c r="Z390" i="3"/>
  <c r="X390" i="3"/>
  <c r="V391" i="3"/>
  <c r="X391" i="3"/>
  <c r="Z391" i="3"/>
  <c r="V392" i="3"/>
  <c r="X392" i="3"/>
  <c r="Z392" i="3"/>
  <c r="V393" i="3"/>
  <c r="Z393" i="3"/>
  <c r="X393" i="3"/>
  <c r="V394" i="3"/>
  <c r="X394" i="3"/>
  <c r="Z394" i="3"/>
  <c r="V395" i="3"/>
  <c r="X395" i="3"/>
  <c r="Z395" i="3"/>
  <c r="V396" i="3"/>
  <c r="Z396" i="3"/>
  <c r="X396" i="3"/>
  <c r="V397" i="3"/>
  <c r="Z397" i="3"/>
  <c r="X397" i="3"/>
  <c r="V398" i="3"/>
  <c r="X398" i="3"/>
  <c r="Z398" i="3"/>
  <c r="V399" i="3"/>
  <c r="X399" i="3"/>
  <c r="Z399" i="3"/>
  <c r="V400" i="3"/>
  <c r="Z400" i="3"/>
  <c r="X400" i="3"/>
  <c r="V401" i="3"/>
  <c r="Z401" i="3"/>
  <c r="X401" i="3"/>
  <c r="V402" i="3"/>
  <c r="Z402" i="3"/>
  <c r="X402" i="3"/>
  <c r="V403" i="3"/>
  <c r="X403" i="3"/>
  <c r="Z403" i="3"/>
  <c r="V404" i="3"/>
  <c r="X404" i="3"/>
  <c r="Z404" i="3"/>
  <c r="V405" i="3"/>
  <c r="Z405" i="3"/>
  <c r="X405" i="3"/>
  <c r="V406" i="3"/>
  <c r="Z406" i="3"/>
  <c r="X406" i="3"/>
  <c r="V407" i="3"/>
  <c r="X407" i="3"/>
  <c r="Z407" i="3"/>
  <c r="V408" i="3"/>
  <c r="X408" i="3"/>
  <c r="Z408" i="3"/>
  <c r="V409" i="3"/>
  <c r="Z409" i="3"/>
  <c r="X409" i="3"/>
  <c r="V410" i="3"/>
  <c r="X410" i="3"/>
  <c r="Z410" i="3"/>
  <c r="V411" i="3"/>
  <c r="X411" i="3"/>
  <c r="Z411" i="3"/>
  <c r="V412" i="3"/>
  <c r="Z412" i="3"/>
  <c r="X412" i="3"/>
  <c r="V413" i="3"/>
  <c r="Z413" i="3"/>
  <c r="X413" i="3"/>
  <c r="V414" i="3"/>
  <c r="X414" i="3"/>
  <c r="Z414" i="3"/>
  <c r="V415" i="3"/>
  <c r="X415" i="3"/>
  <c r="Z415" i="3"/>
  <c r="V416" i="3"/>
  <c r="Z416" i="3"/>
  <c r="X416" i="3"/>
  <c r="V417" i="3"/>
  <c r="Z417" i="3"/>
  <c r="X417" i="3"/>
  <c r="V418" i="3"/>
  <c r="Z418" i="3"/>
  <c r="X418" i="3"/>
  <c r="V419" i="3"/>
  <c r="X419" i="3"/>
  <c r="Z419" i="3"/>
  <c r="V420" i="3"/>
  <c r="X420" i="3"/>
  <c r="Z420" i="3"/>
  <c r="V421" i="3"/>
  <c r="Z421" i="3"/>
  <c r="X421" i="3"/>
  <c r="V422" i="3"/>
  <c r="Z422" i="3"/>
  <c r="X422" i="3"/>
  <c r="V423" i="3"/>
  <c r="X423" i="3"/>
  <c r="Z423" i="3"/>
  <c r="V424" i="3"/>
  <c r="X424" i="3"/>
  <c r="Z424" i="3"/>
  <c r="V425" i="3"/>
  <c r="Z425" i="3"/>
  <c r="X425" i="3"/>
  <c r="V426" i="3"/>
  <c r="X426" i="3"/>
  <c r="Z426" i="3"/>
  <c r="V427" i="3"/>
  <c r="X427" i="3"/>
  <c r="Z427" i="3"/>
  <c r="V428" i="3"/>
  <c r="Z428" i="3"/>
  <c r="X428" i="3"/>
  <c r="V429" i="3"/>
  <c r="Z429" i="3"/>
  <c r="X429" i="3"/>
  <c r="V430" i="3"/>
  <c r="X430" i="3"/>
  <c r="Z430" i="3"/>
  <c r="V431" i="3"/>
  <c r="X431" i="3"/>
  <c r="Z431" i="3"/>
  <c r="V432" i="3"/>
  <c r="Z432" i="3"/>
  <c r="X432" i="3"/>
  <c r="V433" i="3"/>
  <c r="Z433" i="3"/>
  <c r="X433" i="3"/>
  <c r="V434" i="3"/>
  <c r="Z434" i="3"/>
  <c r="X434" i="3"/>
  <c r="V435" i="3"/>
  <c r="X435" i="3"/>
  <c r="Z435" i="3"/>
  <c r="V436" i="3"/>
  <c r="X436" i="3"/>
  <c r="Z436" i="3"/>
  <c r="V437" i="3"/>
  <c r="Z437" i="3"/>
  <c r="X437" i="3"/>
  <c r="V438" i="3"/>
  <c r="Z438" i="3"/>
  <c r="X438" i="3"/>
  <c r="V439" i="3"/>
  <c r="X439" i="3"/>
  <c r="Z439" i="3"/>
  <c r="V440" i="3"/>
  <c r="X440" i="3"/>
  <c r="Z440" i="3"/>
  <c r="V441" i="3"/>
  <c r="X441" i="3"/>
  <c r="O442" i="3"/>
  <c r="P442" i="3"/>
  <c r="S442" i="3"/>
  <c r="P445" i="3"/>
  <c r="T6" i="515"/>
  <c r="U6" i="515"/>
  <c r="V6" i="515"/>
  <c r="W6" i="515"/>
  <c r="X6" i="515"/>
  <c r="N7" i="515"/>
  <c r="AS7" i="515"/>
  <c r="AT7" i="515"/>
  <c r="N8" i="515"/>
  <c r="AS8" i="515"/>
  <c r="AT8" i="515"/>
  <c r="N9" i="515"/>
  <c r="C10" i="39124"/>
  <c r="AS9" i="515"/>
  <c r="AT9" i="515"/>
  <c r="N10" i="515"/>
  <c r="C11" i="39124"/>
  <c r="AS10" i="515"/>
  <c r="AT10" i="515"/>
  <c r="AS11" i="515"/>
  <c r="AT11" i="515"/>
  <c r="N12" i="515"/>
  <c r="C13" i="39124"/>
  <c r="AS12" i="515"/>
  <c r="AT12" i="515"/>
  <c r="AS13" i="515"/>
  <c r="AT13" i="515"/>
  <c r="N14" i="515"/>
  <c r="AS14" i="515"/>
  <c r="AT14" i="515"/>
  <c r="N15" i="515"/>
  <c r="C16" i="39124"/>
  <c r="AS15" i="515"/>
  <c r="AT15" i="515"/>
  <c r="N16" i="515"/>
  <c r="C17" i="39124"/>
  <c r="AS16" i="515"/>
  <c r="AT16" i="515"/>
  <c r="N17" i="515"/>
  <c r="C18" i="39124"/>
  <c r="AS17" i="515"/>
  <c r="AT17" i="515"/>
  <c r="N18" i="515"/>
  <c r="C19" i="39124"/>
  <c r="AS18" i="515"/>
  <c r="AT18" i="515"/>
  <c r="N19" i="515"/>
  <c r="C20" i="39124"/>
  <c r="AS19" i="515"/>
  <c r="AT19" i="515"/>
  <c r="N20" i="515"/>
  <c r="C21" i="39124"/>
  <c r="AS20" i="515"/>
  <c r="AT20" i="515"/>
  <c r="N21" i="515"/>
  <c r="C22" i="39124"/>
  <c r="AS21" i="515"/>
  <c r="AT21" i="515"/>
  <c r="N22" i="515"/>
  <c r="C23" i="39124"/>
  <c r="AS22" i="515"/>
  <c r="AT22" i="515"/>
  <c r="N23" i="515"/>
  <c r="C24" i="39124"/>
  <c r="AS23" i="515"/>
  <c r="AT23" i="515"/>
  <c r="N24" i="515"/>
  <c r="C25" i="39124"/>
  <c r="N25" i="515"/>
  <c r="Y25" i="515"/>
  <c r="AS25" i="515"/>
  <c r="AT25" i="515"/>
  <c r="N26" i="515"/>
  <c r="Y26" i="515"/>
  <c r="AS26" i="515"/>
  <c r="AT26" i="515"/>
  <c r="N27" i="515"/>
  <c r="Y27" i="515"/>
  <c r="AS27" i="515"/>
  <c r="AT27" i="515"/>
  <c r="N28" i="515"/>
  <c r="Y28" i="515"/>
  <c r="AS28" i="515"/>
  <c r="AT28" i="515"/>
  <c r="N29" i="515"/>
  <c r="Y29" i="515"/>
  <c r="AS29" i="515"/>
  <c r="AT29" i="515"/>
  <c r="N30" i="515"/>
  <c r="Y30" i="515"/>
  <c r="AS30" i="515"/>
  <c r="AT30" i="515"/>
  <c r="Y31" i="515"/>
  <c r="AS31" i="515"/>
  <c r="AT31" i="515"/>
  <c r="N32" i="515"/>
  <c r="Y32" i="515"/>
  <c r="AS32" i="515"/>
  <c r="AT32" i="515"/>
  <c r="Y33" i="515"/>
  <c r="AS33" i="515"/>
  <c r="AT33" i="515"/>
  <c r="N34" i="515"/>
  <c r="Y34" i="515"/>
  <c r="AS34" i="515"/>
  <c r="AT34" i="515"/>
  <c r="N35" i="515"/>
  <c r="Y35" i="515"/>
  <c r="AS35" i="515"/>
  <c r="AT35" i="515"/>
  <c r="Y36" i="515"/>
  <c r="AS36" i="515"/>
  <c r="AT36" i="515"/>
  <c r="Y37" i="515"/>
  <c r="AS37" i="515"/>
  <c r="AT37" i="515"/>
  <c r="Y38" i="515"/>
  <c r="AS38" i="515"/>
  <c r="AT38" i="515"/>
  <c r="Y39" i="515"/>
  <c r="AS39" i="515"/>
  <c r="AT39" i="515"/>
  <c r="N40" i="515"/>
  <c r="Y40" i="515"/>
  <c r="AS40" i="515"/>
  <c r="AT40" i="515"/>
  <c r="Y41" i="515"/>
  <c r="AS41" i="515"/>
  <c r="AT41" i="515"/>
  <c r="Y42" i="515"/>
  <c r="AS42" i="515"/>
  <c r="AT42" i="515"/>
  <c r="Y43" i="515"/>
  <c r="AS43" i="515"/>
  <c r="AT43" i="515"/>
  <c r="Y44" i="515"/>
  <c r="AS44" i="515"/>
  <c r="AT44" i="515"/>
  <c r="N45" i="515"/>
  <c r="W46" i="39124"/>
  <c r="Y45" i="515"/>
  <c r="AS45" i="515"/>
  <c r="AT45" i="515"/>
  <c r="Y46" i="515"/>
  <c r="AS46" i="515"/>
  <c r="AT46" i="515"/>
  <c r="N47" i="515"/>
  <c r="W48" i="39124"/>
  <c r="Y47" i="515"/>
  <c r="AS47" i="515"/>
  <c r="AT47" i="515"/>
  <c r="Y48" i="515"/>
  <c r="AS48" i="515"/>
  <c r="AT48" i="515"/>
  <c r="Y49" i="515"/>
  <c r="AS49" i="515"/>
  <c r="AT49" i="515"/>
  <c r="N50" i="515"/>
  <c r="W51" i="39124"/>
  <c r="Y50" i="515"/>
  <c r="AS50" i="515"/>
  <c r="AT50" i="515"/>
  <c r="Y51" i="515"/>
  <c r="AS51" i="515"/>
  <c r="AT51" i="515"/>
  <c r="BL51" i="515"/>
  <c r="N52" i="515"/>
  <c r="C53" i="39124"/>
  <c r="Y52" i="515"/>
  <c r="AS52" i="515"/>
  <c r="AT52" i="515"/>
  <c r="N53" i="515"/>
  <c r="C54" i="39124"/>
  <c r="Y53" i="515"/>
  <c r="AS53" i="515"/>
  <c r="AT53" i="515"/>
  <c r="N54" i="515"/>
  <c r="C55" i="39124"/>
  <c r="Y54" i="515"/>
  <c r="AS54" i="515"/>
  <c r="AT54" i="515"/>
  <c r="N55" i="515"/>
  <c r="C56" i="39124"/>
  <c r="Y55" i="515"/>
  <c r="AS55" i="515"/>
  <c r="AT55" i="515"/>
  <c r="N56" i="515"/>
  <c r="W57" i="39124"/>
  <c r="Y56" i="515"/>
  <c r="AS56" i="515"/>
  <c r="AT56" i="515"/>
  <c r="C57" i="515"/>
  <c r="D57" i="515"/>
  <c r="B1" i="39125"/>
  <c r="B3" i="39125"/>
  <c r="G4" i="39124"/>
  <c r="C8" i="39124"/>
  <c r="W8" i="39124"/>
  <c r="C9" i="39124"/>
  <c r="W9" i="39124"/>
  <c r="W11" i="39124"/>
  <c r="W13" i="39124"/>
  <c r="C15" i="39124"/>
  <c r="W15" i="39124"/>
  <c r="W16" i="39124"/>
  <c r="W18" i="39124"/>
  <c r="W20" i="39124"/>
  <c r="C26" i="39124"/>
  <c r="W26" i="39124"/>
  <c r="C27" i="39124"/>
  <c r="W27" i="39124"/>
  <c r="C28" i="39124"/>
  <c r="W28" i="39124"/>
  <c r="C29" i="39124"/>
  <c r="W29" i="39124"/>
  <c r="C30" i="39124"/>
  <c r="W30" i="39124"/>
  <c r="C31" i="39124"/>
  <c r="W31" i="39124"/>
  <c r="C33" i="39124"/>
  <c r="W33" i="39124"/>
  <c r="C35" i="39124"/>
  <c r="W35" i="39124"/>
  <c r="C36" i="39124"/>
  <c r="W36" i="39124"/>
  <c r="C41" i="39124"/>
  <c r="W41" i="39124"/>
  <c r="C46" i="39124"/>
  <c r="C48" i="39124"/>
  <c r="C51" i="39124"/>
  <c r="B58" i="39124"/>
  <c r="V442" i="3"/>
  <c r="Z441" i="3"/>
  <c r="X442" i="3"/>
  <c r="N51" i="515"/>
  <c r="N49" i="515"/>
  <c r="N48" i="515"/>
  <c r="N46" i="515"/>
  <c r="N44" i="515"/>
  <c r="N43" i="515"/>
  <c r="N42" i="515"/>
  <c r="N41" i="515"/>
  <c r="N39" i="515"/>
  <c r="N38" i="515"/>
  <c r="N37" i="515"/>
  <c r="N36" i="515"/>
  <c r="N33" i="515"/>
  <c r="N31" i="515"/>
  <c r="Y24" i="515"/>
  <c r="Y23" i="515"/>
  <c r="Y22" i="515"/>
  <c r="Y21" i="515"/>
  <c r="Y20" i="515"/>
  <c r="Y19" i="515"/>
  <c r="Y18" i="515"/>
  <c r="Y17" i="515"/>
  <c r="Y16" i="515"/>
  <c r="Y15" i="515"/>
  <c r="Y14" i="515"/>
  <c r="Y13" i="515"/>
  <c r="Y12" i="515"/>
  <c r="Y11" i="515"/>
  <c r="Y10" i="515"/>
  <c r="Y9" i="515"/>
  <c r="Y8" i="515"/>
  <c r="N13" i="515"/>
  <c r="C14" i="39124"/>
  <c r="N11" i="515"/>
  <c r="C12" i="39124"/>
  <c r="AA16" i="515"/>
  <c r="AA32" i="515"/>
  <c r="AA48" i="515"/>
  <c r="AA13" i="515"/>
  <c r="AA26" i="515"/>
  <c r="AA42" i="515"/>
  <c r="AA10" i="515"/>
  <c r="AA27" i="515"/>
  <c r="AA43" i="515"/>
  <c r="AA9" i="515"/>
  <c r="AA21" i="515"/>
  <c r="AA41" i="515"/>
  <c r="AA7" i="515"/>
  <c r="AA40" i="515"/>
  <c r="AA56" i="515"/>
  <c r="AA34" i="515"/>
  <c r="AA50" i="515"/>
  <c r="AA35" i="515"/>
  <c r="AA51" i="515"/>
  <c r="AA53" i="515"/>
  <c r="AA29" i="515"/>
  <c r="AA20" i="515"/>
  <c r="AA36" i="515"/>
  <c r="AA52" i="515"/>
  <c r="AA14" i="515"/>
  <c r="AA30" i="515"/>
  <c r="AA46" i="515"/>
  <c r="AA15" i="515"/>
  <c r="AA31" i="515"/>
  <c r="AA47" i="515"/>
  <c r="AA17" i="515"/>
  <c r="AA37" i="515"/>
  <c r="AA11" i="515"/>
  <c r="AA24" i="515"/>
  <c r="AA18" i="515"/>
  <c r="AA19" i="515"/>
  <c r="AA33" i="515"/>
  <c r="AA12" i="515"/>
  <c r="AA28" i="515"/>
  <c r="AA44" i="515"/>
  <c r="AA8" i="515"/>
  <c r="AA22" i="515"/>
  <c r="AA38" i="515"/>
  <c r="AA54" i="515"/>
  <c r="AA23" i="515"/>
  <c r="AA39" i="515"/>
  <c r="AA55" i="515"/>
  <c r="AA49" i="515"/>
  <c r="AA25" i="515"/>
  <c r="AA45" i="515"/>
  <c r="J95" i="3"/>
  <c r="W19" i="39124"/>
  <c r="W17" i="39124"/>
  <c r="W14" i="39124"/>
  <c r="W10" i="39124"/>
  <c r="W24" i="39124"/>
  <c r="W22" i="39124"/>
  <c r="W21" i="39124"/>
  <c r="W25" i="39124"/>
  <c r="W23" i="39124"/>
  <c r="W7" i="515"/>
  <c r="AF7" i="515"/>
  <c r="AB51" i="515"/>
  <c r="AF50" i="515"/>
  <c r="AF54" i="515"/>
  <c r="AF9" i="515"/>
  <c r="AF13" i="515"/>
  <c r="AF17" i="515"/>
  <c r="AF21" i="515"/>
  <c r="AF25" i="515"/>
  <c r="AF29" i="515"/>
  <c r="AF33" i="515"/>
  <c r="AF37" i="515"/>
  <c r="AF41" i="515"/>
  <c r="AF45" i="515"/>
  <c r="AF49" i="515"/>
  <c r="AF53" i="515"/>
  <c r="AF8" i="515"/>
  <c r="AF12" i="515"/>
  <c r="AF16" i="515"/>
  <c r="AF20" i="515"/>
  <c r="AF24" i="515"/>
  <c r="AF28" i="515"/>
  <c r="AF32" i="515"/>
  <c r="AF36" i="515"/>
  <c r="AF40" i="515"/>
  <c r="AF44" i="515"/>
  <c r="AF48" i="515"/>
  <c r="AF52" i="515"/>
  <c r="AF56" i="515"/>
  <c r="AF11" i="515"/>
  <c r="AF15" i="515"/>
  <c r="AF19" i="515"/>
  <c r="AF23" i="515"/>
  <c r="AF27" i="515"/>
  <c r="AF31" i="515"/>
  <c r="AF35" i="515"/>
  <c r="AF39" i="515"/>
  <c r="AF43" i="515"/>
  <c r="AF47" i="515"/>
  <c r="AF51" i="515"/>
  <c r="AF55" i="515"/>
  <c r="AF10" i="515"/>
  <c r="AF14" i="515"/>
  <c r="AF18" i="515"/>
  <c r="AF22" i="515"/>
  <c r="AF26" i="515"/>
  <c r="AF30" i="515"/>
  <c r="AF34" i="515"/>
  <c r="AF38" i="515"/>
  <c r="AF42" i="515"/>
  <c r="AF46" i="515"/>
  <c r="Y7" i="515"/>
  <c r="W55" i="39124"/>
  <c r="W53" i="39124"/>
  <c r="W54" i="39124"/>
  <c r="W56" i="39124"/>
  <c r="C57" i="39124"/>
  <c r="AT57" i="515"/>
  <c r="U7" i="515"/>
  <c r="T8" i="515"/>
  <c r="V8" i="515"/>
  <c r="T9" i="515"/>
  <c r="V9" i="515"/>
  <c r="U10" i="515"/>
  <c r="W10" i="515"/>
  <c r="T11" i="515"/>
  <c r="V11" i="515"/>
  <c r="U12" i="515"/>
  <c r="W12" i="515"/>
  <c r="T13" i="515"/>
  <c r="V13" i="515"/>
  <c r="U14" i="515"/>
  <c r="W14" i="515"/>
  <c r="T15" i="515"/>
  <c r="V15" i="515"/>
  <c r="U16" i="515"/>
  <c r="W16" i="515"/>
  <c r="T17" i="515"/>
  <c r="V17" i="515"/>
  <c r="U18" i="515"/>
  <c r="W18" i="515"/>
  <c r="T19" i="515"/>
  <c r="V19" i="515"/>
  <c r="U20" i="515"/>
  <c r="W20" i="515"/>
  <c r="T21" i="515"/>
  <c r="U21" i="515"/>
  <c r="V21" i="515"/>
  <c r="W21" i="515"/>
  <c r="X21" i="515"/>
  <c r="S21" i="515"/>
  <c r="U22" i="515"/>
  <c r="W22" i="515"/>
  <c r="T23" i="515"/>
  <c r="V23" i="515"/>
  <c r="U24" i="515"/>
  <c r="W24" i="515"/>
  <c r="U25" i="515"/>
  <c r="W25" i="515"/>
  <c r="T26" i="515"/>
  <c r="V26" i="515"/>
  <c r="U27" i="515"/>
  <c r="W27" i="515"/>
  <c r="T28" i="515"/>
  <c r="V28" i="515"/>
  <c r="U29" i="515"/>
  <c r="W29" i="515"/>
  <c r="T30" i="515"/>
  <c r="V30" i="515"/>
  <c r="U31" i="515"/>
  <c r="W31" i="515"/>
  <c r="T32" i="515"/>
  <c r="V32" i="515"/>
  <c r="U33" i="515"/>
  <c r="W33" i="515"/>
  <c r="T34" i="515"/>
  <c r="V34" i="515"/>
  <c r="U35" i="515"/>
  <c r="W35" i="515"/>
  <c r="T36" i="515"/>
  <c r="V36" i="515"/>
  <c r="U37" i="515"/>
  <c r="W37" i="515"/>
  <c r="T38" i="515"/>
  <c r="V38" i="515"/>
  <c r="U39" i="515"/>
  <c r="W39" i="515"/>
  <c r="T40" i="515"/>
  <c r="V40" i="515"/>
  <c r="U41" i="515"/>
  <c r="W41" i="515"/>
  <c r="U42" i="515"/>
  <c r="W42" i="515"/>
  <c r="U43" i="515"/>
  <c r="W43" i="515"/>
  <c r="U44" i="515"/>
  <c r="W44" i="515"/>
  <c r="U45" i="515"/>
  <c r="W45" i="515"/>
  <c r="U46" i="515"/>
  <c r="W46" i="515"/>
  <c r="U47" i="515"/>
  <c r="W47" i="515"/>
  <c r="U48" i="515"/>
  <c r="W48" i="515"/>
  <c r="U49" i="515"/>
  <c r="W49" i="515"/>
  <c r="T50" i="515"/>
  <c r="V50" i="515"/>
  <c r="U51" i="515"/>
  <c r="W51" i="515"/>
  <c r="T52" i="515"/>
  <c r="V52" i="515"/>
  <c r="T53" i="515"/>
  <c r="V53" i="515"/>
  <c r="U54" i="515"/>
  <c r="W54" i="515"/>
  <c r="T55" i="515"/>
  <c r="V55" i="515"/>
  <c r="U56" i="515"/>
  <c r="W56" i="515"/>
  <c r="W55" i="515"/>
  <c r="T56" i="515"/>
  <c r="U8" i="515"/>
  <c r="W8" i="515"/>
  <c r="U9" i="515"/>
  <c r="W9" i="515"/>
  <c r="T10" i="515"/>
  <c r="V10" i="515"/>
  <c r="U11" i="515"/>
  <c r="W11" i="515"/>
  <c r="T12" i="515"/>
  <c r="V12" i="515"/>
  <c r="U13" i="515"/>
  <c r="W13" i="515"/>
  <c r="T14" i="515"/>
  <c r="V14" i="515"/>
  <c r="U15" i="515"/>
  <c r="W15" i="515"/>
  <c r="T16" i="515"/>
  <c r="V16" i="515"/>
  <c r="U17" i="515"/>
  <c r="W17" i="515"/>
  <c r="T18" i="515"/>
  <c r="V18" i="515"/>
  <c r="U19" i="515"/>
  <c r="W19" i="515"/>
  <c r="T20" i="515"/>
  <c r="V20" i="515"/>
  <c r="X20" i="515"/>
  <c r="S20" i="515"/>
  <c r="T22" i="515"/>
  <c r="V22" i="515"/>
  <c r="X22" i="515"/>
  <c r="S22" i="515"/>
  <c r="U23" i="515"/>
  <c r="W23" i="515"/>
  <c r="T24" i="515"/>
  <c r="V24" i="515"/>
  <c r="T25" i="515"/>
  <c r="V25" i="515"/>
  <c r="U26" i="515"/>
  <c r="W26" i="515"/>
  <c r="T27" i="515"/>
  <c r="V27" i="515"/>
  <c r="U28" i="515"/>
  <c r="W28" i="515"/>
  <c r="T29" i="515"/>
  <c r="V29" i="515"/>
  <c r="X29" i="515"/>
  <c r="S29" i="515"/>
  <c r="U30" i="515"/>
  <c r="W30" i="515"/>
  <c r="T31" i="515"/>
  <c r="V31" i="515"/>
  <c r="U32" i="515"/>
  <c r="W32" i="515"/>
  <c r="T33" i="515"/>
  <c r="V33" i="515"/>
  <c r="U34" i="515"/>
  <c r="W34" i="515"/>
  <c r="T35" i="515"/>
  <c r="V35" i="515"/>
  <c r="U36" i="515"/>
  <c r="W36" i="515"/>
  <c r="T37" i="515"/>
  <c r="V37" i="515"/>
  <c r="U38" i="515"/>
  <c r="W38" i="515"/>
  <c r="T39" i="515"/>
  <c r="V39" i="515"/>
  <c r="U40" i="515"/>
  <c r="W40" i="515"/>
  <c r="T41" i="515"/>
  <c r="V41" i="515"/>
  <c r="T42" i="515"/>
  <c r="V42" i="515"/>
  <c r="T43" i="515"/>
  <c r="V43" i="515"/>
  <c r="T44" i="515"/>
  <c r="V44" i="515"/>
  <c r="T45" i="515"/>
  <c r="V45" i="515"/>
  <c r="T46" i="515"/>
  <c r="V46" i="515"/>
  <c r="T47" i="515"/>
  <c r="V47" i="515"/>
  <c r="T48" i="515"/>
  <c r="V48" i="515"/>
  <c r="T49" i="515"/>
  <c r="V49" i="515"/>
  <c r="U50" i="515"/>
  <c r="W50" i="515"/>
  <c r="T51" i="515"/>
  <c r="V51" i="515"/>
  <c r="U52" i="515"/>
  <c r="W52" i="515"/>
  <c r="U53" i="515"/>
  <c r="W53" i="515"/>
  <c r="T54" i="515"/>
  <c r="V54" i="515"/>
  <c r="U55" i="515"/>
  <c r="V56" i="515"/>
  <c r="B4" i="39125"/>
  <c r="N57" i="515"/>
  <c r="X54" i="515"/>
  <c r="X51" i="515"/>
  <c r="X49" i="515"/>
  <c r="X48" i="515"/>
  <c r="X47" i="515"/>
  <c r="X46" i="515"/>
  <c r="X45" i="515"/>
  <c r="X44" i="515"/>
  <c r="X43" i="515"/>
  <c r="X42" i="515"/>
  <c r="X41" i="515"/>
  <c r="X39" i="515"/>
  <c r="X37" i="515"/>
  <c r="X35" i="515"/>
  <c r="X33" i="515"/>
  <c r="X31" i="515"/>
  <c r="X27" i="515"/>
  <c r="X25" i="515"/>
  <c r="X24" i="515"/>
  <c r="X18" i="515"/>
  <c r="X16" i="515"/>
  <c r="X14" i="515"/>
  <c r="S14" i="515"/>
  <c r="X12" i="515"/>
  <c r="X10" i="515"/>
  <c r="V7" i="515"/>
  <c r="B12" i="39125"/>
  <c r="T7" i="515"/>
  <c r="X56" i="515"/>
  <c r="D3" i="868"/>
  <c r="B21" i="39125"/>
  <c r="D2" i="868"/>
  <c r="X55" i="515"/>
  <c r="X53" i="515"/>
  <c r="X52" i="515"/>
  <c r="X50" i="515"/>
  <c r="X40" i="515"/>
  <c r="X38" i="515"/>
  <c r="X36" i="515"/>
  <c r="X34" i="515"/>
  <c r="X32" i="515"/>
  <c r="X30" i="515"/>
  <c r="X28" i="515"/>
  <c r="X26" i="515"/>
  <c r="X23" i="515"/>
  <c r="X19" i="515"/>
  <c r="X17" i="515"/>
  <c r="X15" i="515"/>
  <c r="X13" i="515"/>
  <c r="S13" i="515"/>
  <c r="X11" i="515"/>
  <c r="X9" i="515"/>
  <c r="S9" i="515"/>
  <c r="X8" i="515"/>
  <c r="X7" i="515"/>
  <c r="B15" i="39125"/>
  <c r="B20" i="39125"/>
  <c r="AS57" i="515"/>
  <c r="Y57" i="515"/>
  <c r="G56" i="515"/>
  <c r="V57" i="515"/>
  <c r="G55" i="515"/>
  <c r="G54" i="515"/>
  <c r="G53" i="515"/>
  <c r="G52" i="515"/>
  <c r="G51" i="515"/>
  <c r="G50" i="515"/>
  <c r="G49" i="515"/>
  <c r="G48" i="515"/>
  <c r="G47" i="515"/>
  <c r="G46" i="515"/>
  <c r="G45" i="515"/>
  <c r="G44" i="515"/>
  <c r="G43" i="515"/>
  <c r="G42" i="515"/>
  <c r="G41" i="515"/>
  <c r="G40" i="515"/>
  <c r="G39" i="515"/>
  <c r="G38" i="515"/>
  <c r="G37" i="515"/>
  <c r="G36" i="515"/>
  <c r="G35" i="515"/>
  <c r="G34" i="515"/>
  <c r="G33" i="515"/>
  <c r="G32" i="515"/>
  <c r="G31" i="515"/>
  <c r="G30" i="515"/>
  <c r="G29" i="515"/>
  <c r="G28" i="515"/>
  <c r="G27" i="515"/>
  <c r="G26" i="515"/>
  <c r="G25" i="515"/>
  <c r="G24" i="515"/>
  <c r="G23" i="515"/>
  <c r="G22" i="515"/>
  <c r="G21" i="515"/>
  <c r="G20" i="515"/>
  <c r="G19" i="515"/>
  <c r="G18" i="515"/>
  <c r="G17" i="515"/>
  <c r="G16" i="515"/>
  <c r="G15" i="515"/>
  <c r="G14" i="515"/>
  <c r="G13" i="515"/>
  <c r="G12" i="515"/>
  <c r="G11" i="515"/>
  <c r="G10" i="515"/>
  <c r="G9" i="515"/>
  <c r="G8" i="515"/>
  <c r="G7" i="515"/>
  <c r="C34" i="39124"/>
  <c r="W34" i="39124"/>
  <c r="W12" i="39124"/>
  <c r="W32" i="39124"/>
  <c r="W37" i="39124"/>
  <c r="W38" i="39124"/>
  <c r="W39" i="39124"/>
  <c r="W40" i="39124"/>
  <c r="W42" i="39124"/>
  <c r="W43" i="39124"/>
  <c r="W44" i="39124"/>
  <c r="W45" i="39124"/>
  <c r="W47" i="39124"/>
  <c r="W49" i="39124"/>
  <c r="W50" i="39124"/>
  <c r="W52" i="39124"/>
  <c r="U13" i="39124"/>
  <c r="K13" i="39124"/>
  <c r="C40" i="39124"/>
  <c r="C45" i="39124"/>
  <c r="C52" i="39124"/>
  <c r="C37" i="39124"/>
  <c r="C42" i="39124"/>
  <c r="U47" i="39124"/>
  <c r="K47" i="39124"/>
  <c r="C47" i="39124"/>
  <c r="C38" i="39124"/>
  <c r="U38" i="39124"/>
  <c r="K38" i="39124"/>
  <c r="C43" i="39124"/>
  <c r="C49" i="39124"/>
  <c r="AA57" i="515"/>
  <c r="C32" i="39124"/>
  <c r="C39" i="39124"/>
  <c r="C44" i="39124"/>
  <c r="U50" i="39124"/>
  <c r="K50" i="39124"/>
  <c r="C50" i="39124"/>
  <c r="S43" i="515"/>
  <c r="Z43" i="515"/>
  <c r="S51" i="515"/>
  <c r="Z51" i="515"/>
  <c r="S35" i="515"/>
  <c r="S10" i="515"/>
  <c r="U9" i="39124"/>
  <c r="K9" i="39124"/>
  <c r="U41" i="39124"/>
  <c r="K41" i="39124"/>
  <c r="N30" i="39126"/>
  <c r="N31" i="39126"/>
  <c r="AI47" i="515"/>
  <c r="AI35" i="515"/>
  <c r="AJ47" i="515"/>
  <c r="AJ35" i="515"/>
  <c r="AG40" i="515"/>
  <c r="AG14" i="515"/>
  <c r="AH40" i="515"/>
  <c r="AH14" i="515"/>
  <c r="AB7" i="515"/>
  <c r="AI40" i="515"/>
  <c r="AI14" i="515"/>
  <c r="AJ40" i="515"/>
  <c r="AJ14" i="515"/>
  <c r="AG47" i="515"/>
  <c r="AG35" i="515"/>
  <c r="AH47" i="515"/>
  <c r="AH35" i="515"/>
  <c r="U15" i="39124"/>
  <c r="K15" i="39124"/>
  <c r="U35" i="39124"/>
  <c r="K35" i="39124"/>
  <c r="U51" i="39124"/>
  <c r="K51" i="39124"/>
  <c r="B10" i="39125"/>
  <c r="S55" i="515"/>
  <c r="S47" i="515"/>
  <c r="S39" i="515"/>
  <c r="Z39" i="515"/>
  <c r="S31" i="515"/>
  <c r="T57" i="515"/>
  <c r="S49" i="515"/>
  <c r="Z49" i="515"/>
  <c r="S45" i="515"/>
  <c r="S41" i="515"/>
  <c r="S37" i="515"/>
  <c r="S33" i="515"/>
  <c r="Z33" i="515"/>
  <c r="S27" i="515"/>
  <c r="S25" i="515"/>
  <c r="S24" i="515"/>
  <c r="S18" i="515"/>
  <c r="S16" i="515"/>
  <c r="U57" i="515"/>
  <c r="S53" i="515"/>
  <c r="S30" i="515"/>
  <c r="O30" i="515"/>
  <c r="S26" i="515"/>
  <c r="S17" i="515"/>
  <c r="U8" i="39124"/>
  <c r="K8" i="39124"/>
  <c r="U16" i="39124"/>
  <c r="K16" i="39124"/>
  <c r="U24" i="39124"/>
  <c r="K24" i="39124"/>
  <c r="U32" i="39124"/>
  <c r="K32" i="39124"/>
  <c r="U40" i="39124"/>
  <c r="K40" i="39124"/>
  <c r="U48" i="39124"/>
  <c r="K48" i="39124"/>
  <c r="S23" i="515"/>
  <c r="S28" i="515"/>
  <c r="O28" i="515"/>
  <c r="AB11" i="515"/>
  <c r="AB12" i="515"/>
  <c r="AB16" i="515"/>
  <c r="AB20" i="515"/>
  <c r="AB24" i="515"/>
  <c r="AB28" i="515"/>
  <c r="AB32" i="515"/>
  <c r="AB36" i="515"/>
  <c r="AB39" i="515"/>
  <c r="AB42" i="515"/>
  <c r="AB48" i="515"/>
  <c r="AB54" i="515"/>
  <c r="AB50" i="515"/>
  <c r="AB10" i="515"/>
  <c r="AB13" i="515"/>
  <c r="AB17" i="515"/>
  <c r="AB21" i="515"/>
  <c r="AB25" i="515"/>
  <c r="AB29" i="515"/>
  <c r="AB33" i="515"/>
  <c r="AB37" i="515"/>
  <c r="AB41" i="515"/>
  <c r="AB46" i="515"/>
  <c r="AB49" i="515"/>
  <c r="AB53" i="515"/>
  <c r="AB9" i="515"/>
  <c r="AB14" i="515"/>
  <c r="AB18" i="515"/>
  <c r="AB22" i="515"/>
  <c r="AB26" i="515"/>
  <c r="AB30" i="515"/>
  <c r="AB34" i="515"/>
  <c r="AB38" i="515"/>
  <c r="AB44" i="515"/>
  <c r="AB45" i="515"/>
  <c r="AB56" i="515"/>
  <c r="AB52" i="515"/>
  <c r="AB8" i="515"/>
  <c r="AB15" i="515"/>
  <c r="AB19" i="515"/>
  <c r="AB23" i="515"/>
  <c r="AB27" i="515"/>
  <c r="AB31" i="515"/>
  <c r="AB35" i="515"/>
  <c r="AB40" i="515"/>
  <c r="AB43" i="515"/>
  <c r="AB47" i="515"/>
  <c r="AB55" i="515"/>
  <c r="AD8" i="515"/>
  <c r="AE8" i="515"/>
  <c r="AD10" i="515"/>
  <c r="AE10" i="515"/>
  <c r="AD12" i="515"/>
  <c r="AD14" i="515"/>
  <c r="AE14" i="515"/>
  <c r="AD16" i="515"/>
  <c r="AE16" i="515"/>
  <c r="AD18" i="515"/>
  <c r="AE18" i="515"/>
  <c r="AD20" i="515"/>
  <c r="AE20" i="515"/>
  <c r="AD22" i="515"/>
  <c r="AE22" i="515"/>
  <c r="AD24" i="515"/>
  <c r="AE24" i="515"/>
  <c r="AD26" i="515"/>
  <c r="AE26" i="515"/>
  <c r="AD28" i="515"/>
  <c r="AE28" i="515"/>
  <c r="AD30" i="515"/>
  <c r="AE30" i="515"/>
  <c r="AD32" i="515"/>
  <c r="AE32" i="515"/>
  <c r="AD34" i="515"/>
  <c r="AE34" i="515"/>
  <c r="AD36" i="515"/>
  <c r="AE36" i="515"/>
  <c r="AD38" i="515"/>
  <c r="AE38" i="515"/>
  <c r="AD40" i="515"/>
  <c r="AE40" i="515"/>
  <c r="AD42" i="515"/>
  <c r="AE42" i="515"/>
  <c r="AD44" i="515"/>
  <c r="AE44" i="515"/>
  <c r="AD46" i="515"/>
  <c r="AE46" i="515"/>
  <c r="AD48" i="515"/>
  <c r="AE48" i="515"/>
  <c r="AD50" i="515"/>
  <c r="AE50" i="515"/>
  <c r="AD52" i="515"/>
  <c r="AD54" i="515"/>
  <c r="AE54" i="515"/>
  <c r="AD56" i="515"/>
  <c r="AE56" i="515"/>
  <c r="AD7" i="515"/>
  <c r="AE7" i="515"/>
  <c r="AD9" i="515"/>
  <c r="AE9" i="515"/>
  <c r="AD11" i="515"/>
  <c r="AE11" i="515"/>
  <c r="AD13" i="515"/>
  <c r="AE13" i="515"/>
  <c r="AD15" i="515"/>
  <c r="AE15" i="515"/>
  <c r="AD17" i="515"/>
  <c r="AE17" i="515"/>
  <c r="AD19" i="515"/>
  <c r="AE19" i="515"/>
  <c r="AD21" i="515"/>
  <c r="AE21" i="515"/>
  <c r="AD23" i="515"/>
  <c r="AE23" i="515"/>
  <c r="AD25" i="515"/>
  <c r="AE25" i="515"/>
  <c r="AD27" i="515"/>
  <c r="AE27" i="515"/>
  <c r="AD29" i="515"/>
  <c r="AE29" i="515"/>
  <c r="AD31" i="515"/>
  <c r="AE31" i="515"/>
  <c r="AD33" i="515"/>
  <c r="AE33" i="515"/>
  <c r="AD35" i="515"/>
  <c r="AE35" i="515"/>
  <c r="AD37" i="515"/>
  <c r="AE37" i="515"/>
  <c r="AD39" i="515"/>
  <c r="AE39" i="515"/>
  <c r="AD41" i="515"/>
  <c r="AE41" i="515"/>
  <c r="AD43" i="515"/>
  <c r="AE43" i="515"/>
  <c r="AD45" i="515"/>
  <c r="AE45" i="515"/>
  <c r="AD47" i="515"/>
  <c r="AE47" i="515"/>
  <c r="AD49" i="515"/>
  <c r="AE49" i="515"/>
  <c r="AD51" i="515"/>
  <c r="AE51" i="515"/>
  <c r="AD53" i="515"/>
  <c r="AE53" i="515"/>
  <c r="AD55" i="515"/>
  <c r="AE55" i="515"/>
  <c r="AE52" i="515"/>
  <c r="AE12" i="515"/>
  <c r="S15" i="515"/>
  <c r="O15" i="515"/>
  <c r="S19" i="515"/>
  <c r="O19" i="515"/>
  <c r="X57" i="515"/>
  <c r="S56" i="515"/>
  <c r="Z56" i="515"/>
  <c r="S54" i="515"/>
  <c r="Z54" i="515"/>
  <c r="S48" i="515"/>
  <c r="Z48" i="515"/>
  <c r="S46" i="515"/>
  <c r="Z46" i="515"/>
  <c r="S44" i="515"/>
  <c r="O44" i="515"/>
  <c r="S42" i="515"/>
  <c r="Z42" i="515"/>
  <c r="S40" i="515"/>
  <c r="Z40" i="515"/>
  <c r="S38" i="515"/>
  <c r="Z38" i="515"/>
  <c r="S36" i="515"/>
  <c r="Z36" i="515"/>
  <c r="S34" i="515"/>
  <c r="S32" i="515"/>
  <c r="Z32" i="515"/>
  <c r="S8" i="515"/>
  <c r="Z8" i="515"/>
  <c r="S11" i="515"/>
  <c r="O11" i="515"/>
  <c r="S12" i="515"/>
  <c r="S50" i="515"/>
  <c r="Z50" i="515"/>
  <c r="S52" i="515"/>
  <c r="Z52" i="515"/>
  <c r="B14" i="39125"/>
  <c r="C58" i="39124"/>
  <c r="W58" i="39124"/>
  <c r="B11" i="39125"/>
  <c r="Z9" i="515"/>
  <c r="Z10" i="515"/>
  <c r="Z11" i="515"/>
  <c r="Z13" i="515"/>
  <c r="Z14" i="515"/>
  <c r="Z16" i="515"/>
  <c r="Z17" i="515"/>
  <c r="Z18" i="515"/>
  <c r="Z20" i="515"/>
  <c r="Z21" i="515"/>
  <c r="Z22" i="515"/>
  <c r="Z23" i="515"/>
  <c r="Z24" i="515"/>
  <c r="Z25" i="515"/>
  <c r="Z26" i="515"/>
  <c r="Z27" i="515"/>
  <c r="Z29" i="515"/>
  <c r="Z30" i="515"/>
  <c r="Z31" i="515"/>
  <c r="Z35" i="515"/>
  <c r="Z37" i="515"/>
  <c r="Z41" i="515"/>
  <c r="Z45" i="515"/>
  <c r="Z47" i="515"/>
  <c r="Z53" i="515"/>
  <c r="Z55" i="515"/>
  <c r="O9" i="515"/>
  <c r="O10" i="515"/>
  <c r="O13" i="515"/>
  <c r="O14" i="515"/>
  <c r="O16" i="515"/>
  <c r="O17" i="515"/>
  <c r="O18" i="515"/>
  <c r="O20" i="515"/>
  <c r="O21" i="515"/>
  <c r="O22" i="515"/>
  <c r="O23" i="515"/>
  <c r="O24" i="515"/>
  <c r="O25" i="515"/>
  <c r="O26" i="515"/>
  <c r="O27" i="515"/>
  <c r="O29" i="515"/>
  <c r="O31" i="515"/>
  <c r="O35" i="515"/>
  <c r="O37" i="515"/>
  <c r="O41" i="515"/>
  <c r="O45" i="515"/>
  <c r="O47" i="515"/>
  <c r="O53" i="515"/>
  <c r="O55" i="515"/>
  <c r="O49" i="515"/>
  <c r="O33" i="515"/>
  <c r="D34" i="39124"/>
  <c r="Z28" i="515"/>
  <c r="U52" i="39124"/>
  <c r="K52" i="39124"/>
  <c r="U44" i="39124"/>
  <c r="K44" i="39124"/>
  <c r="U36" i="39124"/>
  <c r="K36" i="39124"/>
  <c r="U28" i="39124"/>
  <c r="K28" i="39124"/>
  <c r="U20" i="39124"/>
  <c r="K20" i="39124"/>
  <c r="U12" i="39124"/>
  <c r="K12" i="39124"/>
  <c r="U43" i="39124"/>
  <c r="K43" i="39124"/>
  <c r="U27" i="39124"/>
  <c r="K27" i="39124"/>
  <c r="U55" i="39124"/>
  <c r="K55" i="39124"/>
  <c r="U25" i="39124"/>
  <c r="K25" i="39124"/>
  <c r="U21" i="39124"/>
  <c r="K21" i="39124"/>
  <c r="U45" i="39124"/>
  <c r="K45" i="39124"/>
  <c r="U29" i="39124"/>
  <c r="K29" i="39124"/>
  <c r="O51" i="515"/>
  <c r="O39" i="515"/>
  <c r="D40" i="39124"/>
  <c r="O32" i="515"/>
  <c r="Z19" i="515"/>
  <c r="U42" i="39124"/>
  <c r="K42" i="39124"/>
  <c r="U34" i="39124"/>
  <c r="K34" i="39124"/>
  <c r="U26" i="39124"/>
  <c r="K26" i="39124"/>
  <c r="U18" i="39124"/>
  <c r="K18" i="39124"/>
  <c r="U10" i="39124"/>
  <c r="K10" i="39124"/>
  <c r="U39" i="39124"/>
  <c r="K39" i="39124"/>
  <c r="U19" i="39124"/>
  <c r="K19" i="39124"/>
  <c r="U23" i="39124"/>
  <c r="K23" i="39124"/>
  <c r="U17" i="39124"/>
  <c r="K17" i="39124"/>
  <c r="U57" i="39124"/>
  <c r="K57" i="39124"/>
  <c r="O43" i="515"/>
  <c r="U46" i="39124"/>
  <c r="K46" i="39124"/>
  <c r="U30" i="39124"/>
  <c r="K30" i="39124"/>
  <c r="U22" i="39124"/>
  <c r="K22" i="39124"/>
  <c r="U14" i="39124"/>
  <c r="K14" i="39124"/>
  <c r="U54" i="39124"/>
  <c r="K54" i="39124"/>
  <c r="U56" i="39124"/>
  <c r="K56" i="39124"/>
  <c r="U31" i="39124"/>
  <c r="K31" i="39124"/>
  <c r="U11" i="39124"/>
  <c r="K11" i="39124"/>
  <c r="U53" i="39124"/>
  <c r="K53" i="39124"/>
  <c r="U33" i="39124"/>
  <c r="K33" i="39124"/>
  <c r="U49" i="39124"/>
  <c r="K49" i="39124"/>
  <c r="U37" i="39124"/>
  <c r="K37" i="39124"/>
  <c r="AC20" i="515"/>
  <c r="AC16" i="515"/>
  <c r="AC19" i="515"/>
  <c r="N4" i="39126"/>
  <c r="O56" i="515"/>
  <c r="AA57" i="39124"/>
  <c r="O50" i="515"/>
  <c r="AA51" i="39124"/>
  <c r="O48" i="515"/>
  <c r="AA49" i="39124"/>
  <c r="AC49" i="515"/>
  <c r="O40" i="515"/>
  <c r="AA41" i="39124"/>
  <c r="Z44" i="515"/>
  <c r="O36" i="515"/>
  <c r="AA37" i="39124"/>
  <c r="AE57" i="515"/>
  <c r="O54" i="515"/>
  <c r="AA55" i="39124"/>
  <c r="O52" i="515"/>
  <c r="D53" i="39124"/>
  <c r="O46" i="515"/>
  <c r="AA47" i="39124"/>
  <c r="O42" i="515"/>
  <c r="AA43" i="39124"/>
  <c r="O38" i="515"/>
  <c r="AA39" i="39124"/>
  <c r="O34" i="515"/>
  <c r="AA35" i="39124"/>
  <c r="O12" i="515"/>
  <c r="D13" i="39124"/>
  <c r="O8" i="515"/>
  <c r="AA9" i="39124"/>
  <c r="Z34" i="515"/>
  <c r="Z15" i="515"/>
  <c r="Z12" i="515"/>
  <c r="AC30" i="515"/>
  <c r="D57" i="39124"/>
  <c r="D56" i="39124"/>
  <c r="AA56" i="39124"/>
  <c r="D54" i="39124"/>
  <c r="AA54" i="39124"/>
  <c r="D52" i="39124"/>
  <c r="AA52" i="39124"/>
  <c r="D50" i="39124"/>
  <c r="AA50" i="39124"/>
  <c r="D49" i="39124"/>
  <c r="D48" i="39124"/>
  <c r="AA48" i="39124"/>
  <c r="D46" i="39124"/>
  <c r="AA46" i="39124"/>
  <c r="D45" i="39124"/>
  <c r="AA45" i="39124"/>
  <c r="D44" i="39124"/>
  <c r="AA44" i="39124"/>
  <c r="D42" i="39124"/>
  <c r="AA42" i="39124"/>
  <c r="AA40" i="39124"/>
  <c r="D38" i="39124"/>
  <c r="AA38" i="39124"/>
  <c r="D36" i="39124"/>
  <c r="AA36" i="39124"/>
  <c r="D33" i="39124"/>
  <c r="AA33" i="39124"/>
  <c r="D32" i="39124"/>
  <c r="AA32" i="39124"/>
  <c r="D31" i="39124"/>
  <c r="AA31" i="39124"/>
  <c r="D30" i="39124"/>
  <c r="AA30" i="39124"/>
  <c r="D29" i="39124"/>
  <c r="AA29" i="39124"/>
  <c r="D28" i="39124"/>
  <c r="AA28" i="39124"/>
  <c r="D27" i="39124"/>
  <c r="AA27" i="39124"/>
  <c r="D26" i="39124"/>
  <c r="AA26" i="39124"/>
  <c r="D25" i="39124"/>
  <c r="AA25" i="39124"/>
  <c r="D24" i="39124"/>
  <c r="AA24" i="39124"/>
  <c r="D23" i="39124"/>
  <c r="AA23" i="39124"/>
  <c r="D22" i="39124"/>
  <c r="AA22" i="39124"/>
  <c r="D21" i="39124"/>
  <c r="AA21" i="39124"/>
  <c r="D20" i="39124"/>
  <c r="AA20" i="39124"/>
  <c r="D19" i="39124"/>
  <c r="AA19" i="39124"/>
  <c r="D18" i="39124"/>
  <c r="AA18" i="39124"/>
  <c r="D17" i="39124"/>
  <c r="AA17" i="39124"/>
  <c r="D16" i="39124"/>
  <c r="AA16" i="39124"/>
  <c r="D15" i="39124"/>
  <c r="AA15" i="39124"/>
  <c r="D14" i="39124"/>
  <c r="AA14" i="39124"/>
  <c r="D12" i="39124"/>
  <c r="AA12" i="39124"/>
  <c r="D11" i="39124"/>
  <c r="AA11" i="39124"/>
  <c r="D10" i="39124"/>
  <c r="AA10" i="39124"/>
  <c r="D9" i="39124"/>
  <c r="AC56" i="515"/>
  <c r="AC55" i="515"/>
  <c r="AC54" i="515"/>
  <c r="AC53" i="515"/>
  <c r="AC52" i="515"/>
  <c r="AC51" i="515"/>
  <c r="AC50" i="515"/>
  <c r="AC48" i="515"/>
  <c r="AC47" i="515"/>
  <c r="AC46" i="515"/>
  <c r="AC45" i="515"/>
  <c r="AC44" i="515"/>
  <c r="AC43" i="515"/>
  <c r="AC42" i="515"/>
  <c r="AC41" i="515"/>
  <c r="AC40" i="515"/>
  <c r="AC39" i="515"/>
  <c r="AC38" i="515"/>
  <c r="AC37" i="515"/>
  <c r="AC36" i="515"/>
  <c r="AC35" i="515"/>
  <c r="AC34" i="515"/>
  <c r="AC33" i="515"/>
  <c r="AC32" i="515"/>
  <c r="AC31" i="515"/>
  <c r="AC29" i="515"/>
  <c r="AC28" i="515"/>
  <c r="AC27" i="515"/>
  <c r="AC26" i="515"/>
  <c r="AC25" i="515"/>
  <c r="AC24" i="515"/>
  <c r="AC23" i="515"/>
  <c r="AC22" i="515"/>
  <c r="AC21" i="515"/>
  <c r="AC18" i="515"/>
  <c r="AC17" i="515"/>
  <c r="AC15" i="515"/>
  <c r="AC14" i="515"/>
  <c r="AC13" i="515"/>
  <c r="AC12" i="515"/>
  <c r="AC11" i="515"/>
  <c r="AC10" i="515"/>
  <c r="AC9" i="515"/>
  <c r="AC8" i="515"/>
  <c r="AA34" i="39124"/>
  <c r="D51" i="39124"/>
  <c r="D39" i="39124"/>
  <c r="D35" i="39124"/>
  <c r="AA13" i="39124"/>
  <c r="D37" i="39124"/>
  <c r="D41" i="39124"/>
  <c r="D47" i="39124"/>
  <c r="D55" i="39124"/>
  <c r="D43" i="39124"/>
  <c r="AA53" i="39124"/>
  <c r="Q7" i="3"/>
  <c r="T7" i="3"/>
  <c r="W7" i="3"/>
  <c r="AC7" i="3"/>
  <c r="AB7" i="3"/>
  <c r="AA7" i="3"/>
  <c r="U7" i="3"/>
  <c r="Y7" i="3"/>
  <c r="AD7" i="3"/>
  <c r="Q8" i="3"/>
  <c r="Y8" i="3"/>
  <c r="U8" i="3"/>
  <c r="T8" i="3"/>
  <c r="W8" i="3"/>
  <c r="AC8" i="3"/>
  <c r="AB8" i="3"/>
  <c r="AA8" i="3"/>
  <c r="AD8" i="3"/>
  <c r="Q9" i="3"/>
  <c r="U9" i="3"/>
  <c r="T9" i="3"/>
  <c r="AA9" i="3"/>
  <c r="Y9" i="3"/>
  <c r="W9" i="3"/>
  <c r="AB9" i="3"/>
  <c r="AC9" i="3"/>
  <c r="AD9" i="3"/>
  <c r="Q10" i="3"/>
  <c r="Y10" i="3"/>
  <c r="T10" i="3"/>
  <c r="W10" i="3"/>
  <c r="U10" i="3"/>
  <c r="AC10" i="3"/>
  <c r="AB10" i="3"/>
  <c r="AA10" i="3"/>
  <c r="AD10" i="3"/>
  <c r="Q11" i="3"/>
  <c r="T11" i="3"/>
  <c r="AA11" i="3"/>
  <c r="U11" i="3"/>
  <c r="Y11" i="3"/>
  <c r="W11" i="3"/>
  <c r="AC11" i="3"/>
  <c r="AB11" i="3"/>
  <c r="AD11" i="3"/>
  <c r="Q12" i="3"/>
  <c r="Y12" i="3"/>
  <c r="T12" i="3"/>
  <c r="U12" i="3"/>
  <c r="AH7" i="515"/>
  <c r="AI7" i="515"/>
  <c r="AG7" i="515"/>
  <c r="AJ7" i="515"/>
  <c r="W12" i="3"/>
  <c r="AB12" i="3"/>
  <c r="AC12" i="3"/>
  <c r="AA12" i="3"/>
  <c r="AD12" i="3"/>
  <c r="Q13" i="3"/>
  <c r="T13" i="3"/>
  <c r="W13" i="3"/>
  <c r="AC13" i="3"/>
  <c r="P7" i="515"/>
  <c r="AB13" i="3"/>
  <c r="U13" i="3"/>
  <c r="AA13" i="3"/>
  <c r="Y13" i="3"/>
  <c r="AU7" i="515"/>
  <c r="AR7" i="515"/>
  <c r="BJ7" i="515"/>
  <c r="AD13" i="3"/>
  <c r="BK7" i="515"/>
  <c r="BL7" i="515"/>
  <c r="AE8" i="39124"/>
  <c r="BO7" i="515"/>
  <c r="E8" i="39124"/>
  <c r="AE13" i="3"/>
  <c r="AW7" i="515"/>
  <c r="AV7" i="515"/>
  <c r="AP7" i="515"/>
  <c r="R7" i="515"/>
  <c r="BP7" i="515"/>
  <c r="BN7" i="515"/>
  <c r="AX7" i="515"/>
  <c r="G8" i="39124"/>
  <c r="AM8" i="39124"/>
  <c r="BI7" i="515"/>
  <c r="BM7" i="515"/>
  <c r="BH7" i="515"/>
  <c r="Q14" i="3"/>
  <c r="T14" i="3"/>
  <c r="AU8" i="515"/>
  <c r="Y14" i="3"/>
  <c r="U14" i="3"/>
  <c r="AJ8" i="515"/>
  <c r="AI8" i="515"/>
  <c r="AH8" i="515"/>
  <c r="AG8" i="515"/>
  <c r="AR8" i="515"/>
  <c r="W14" i="3"/>
  <c r="AB14" i="3"/>
  <c r="P8" i="515"/>
  <c r="AC14" i="3"/>
  <c r="AA14" i="3"/>
  <c r="AD14" i="3"/>
  <c r="BJ8" i="515"/>
  <c r="BL8" i="515"/>
  <c r="BK8" i="515"/>
  <c r="AW8" i="515"/>
  <c r="AP8" i="515"/>
  <c r="AV8" i="515"/>
  <c r="R8" i="515"/>
  <c r="E9" i="39124"/>
  <c r="AE9" i="39124"/>
  <c r="AX8" i="515"/>
  <c r="BO8" i="515"/>
  <c r="BP8" i="515"/>
  <c r="AE14" i="3"/>
  <c r="G9" i="39124"/>
  <c r="AM9" i="39124"/>
  <c r="BN8" i="515"/>
  <c r="BI8" i="515"/>
  <c r="BM8" i="515"/>
  <c r="BH8" i="515"/>
  <c r="Q15" i="3"/>
  <c r="Y15" i="3"/>
  <c r="U15" i="3"/>
  <c r="T15" i="3"/>
  <c r="W15" i="3"/>
  <c r="AC15" i="3"/>
  <c r="AB15" i="3"/>
  <c r="AA15" i="3"/>
  <c r="AD15" i="3"/>
  <c r="Q16" i="3"/>
  <c r="T16" i="3"/>
  <c r="W16" i="3"/>
  <c r="AB16" i="3"/>
  <c r="AC16" i="3"/>
  <c r="U16" i="3"/>
  <c r="AA16" i="3"/>
  <c r="Y16" i="3"/>
  <c r="AD16" i="3"/>
  <c r="Q17" i="3"/>
  <c r="U17" i="3"/>
  <c r="T17" i="3"/>
  <c r="AB17" i="3"/>
  <c r="W17" i="3"/>
  <c r="AA17" i="3"/>
  <c r="Y17" i="3"/>
  <c r="AC17" i="3"/>
  <c r="AD17" i="3"/>
  <c r="Q18" i="3"/>
  <c r="U18" i="3"/>
  <c r="T18" i="3"/>
  <c r="Y18" i="3"/>
  <c r="W18" i="3"/>
  <c r="AA18" i="3"/>
  <c r="AB18" i="3"/>
  <c r="AC18" i="3"/>
  <c r="AD18" i="3"/>
  <c r="Q19" i="3"/>
  <c r="T19" i="3"/>
  <c r="U19" i="3"/>
  <c r="W19" i="3"/>
  <c r="AC19" i="3"/>
  <c r="AB19" i="3"/>
  <c r="AA19" i="3"/>
  <c r="Y19" i="3"/>
  <c r="AD19" i="3"/>
  <c r="Q20" i="3"/>
  <c r="T20" i="3"/>
  <c r="Y20" i="3"/>
  <c r="U20" i="3"/>
  <c r="W20" i="3"/>
  <c r="AB20" i="3"/>
  <c r="AC20" i="3"/>
  <c r="AA20" i="3"/>
  <c r="AD20" i="3"/>
  <c r="Q21" i="3"/>
  <c r="Y21" i="3"/>
  <c r="T21" i="3"/>
  <c r="W21" i="3"/>
  <c r="U21" i="3"/>
  <c r="AC21" i="3"/>
  <c r="AA21" i="3"/>
  <c r="AB21" i="3"/>
  <c r="AD21" i="3"/>
  <c r="Q22" i="3"/>
  <c r="Y22" i="3"/>
  <c r="AG9" i="515"/>
  <c r="AH9" i="515"/>
  <c r="AJ9" i="515"/>
  <c r="AI9" i="515"/>
  <c r="U22" i="3"/>
  <c r="T22" i="3"/>
  <c r="AU9" i="515"/>
  <c r="W22" i="3"/>
  <c r="P9" i="515"/>
  <c r="AC22" i="3"/>
  <c r="AB22" i="3"/>
  <c r="AA22" i="3"/>
  <c r="AR9" i="515"/>
  <c r="E10" i="39124"/>
  <c r="AE10" i="39124"/>
  <c r="BK9" i="515"/>
  <c r="AW9" i="515"/>
  <c r="AV9" i="515"/>
  <c r="AP9" i="515"/>
  <c r="R9" i="515"/>
  <c r="BJ9" i="515"/>
  <c r="AD22" i="3"/>
  <c r="BL9" i="515"/>
  <c r="AX9" i="515"/>
  <c r="BN9" i="515"/>
  <c r="G10" i="39124"/>
  <c r="AM10" i="39124"/>
  <c r="BP9" i="515"/>
  <c r="AE22" i="3"/>
  <c r="BO9" i="515"/>
  <c r="BI9" i="515"/>
  <c r="BM9" i="515"/>
  <c r="BH9" i="515"/>
  <c r="Q23" i="3"/>
  <c r="T23" i="3"/>
  <c r="AC23" i="3"/>
  <c r="W23" i="3"/>
  <c r="AB23" i="3"/>
  <c r="U23" i="3"/>
  <c r="AA23" i="3"/>
  <c r="Y23" i="3"/>
  <c r="AD23" i="3"/>
  <c r="Q24" i="3"/>
  <c r="U24" i="3"/>
  <c r="T24" i="3"/>
  <c r="Y24" i="3"/>
  <c r="W24" i="3"/>
  <c r="AC24" i="3"/>
  <c r="AB24" i="3"/>
  <c r="AA24" i="3"/>
  <c r="AD24" i="3"/>
  <c r="Q25" i="3"/>
  <c r="U25" i="3"/>
  <c r="T25" i="3"/>
  <c r="Y25" i="3"/>
  <c r="W25" i="3"/>
  <c r="AC25" i="3"/>
  <c r="AA25" i="3"/>
  <c r="AB25" i="3"/>
  <c r="AD25" i="3"/>
  <c r="Q26" i="3"/>
  <c r="T26" i="3"/>
  <c r="Y26" i="3"/>
  <c r="AU10" i="515"/>
  <c r="U26" i="3"/>
  <c r="AG10" i="515"/>
  <c r="AJ10" i="515"/>
  <c r="AI10" i="515"/>
  <c r="AH10" i="515"/>
  <c r="AR10" i="515"/>
  <c r="AX10" i="515"/>
  <c r="W26" i="3"/>
  <c r="AA26" i="3"/>
  <c r="P10" i="515"/>
  <c r="AC26" i="3"/>
  <c r="AB26" i="3"/>
  <c r="BK10" i="515"/>
  <c r="E11" i="39124"/>
  <c r="AE11" i="39124"/>
  <c r="BL10" i="515"/>
  <c r="BJ10" i="515"/>
  <c r="AD26" i="3"/>
  <c r="AV10" i="515"/>
  <c r="AP10" i="515"/>
  <c r="AW10" i="515"/>
  <c r="R10" i="515"/>
  <c r="AE26" i="3"/>
  <c r="BP10" i="515"/>
  <c r="G11" i="39124"/>
  <c r="AM11" i="39124"/>
  <c r="BN10" i="515"/>
  <c r="BO10" i="515"/>
  <c r="BI10" i="515"/>
  <c r="BM10" i="515"/>
  <c r="BH10" i="515"/>
  <c r="Q27" i="3"/>
  <c r="T27" i="3"/>
  <c r="AA27" i="3"/>
  <c r="U27" i="3"/>
  <c r="Y27" i="3"/>
  <c r="W27" i="3"/>
  <c r="AC27" i="3"/>
  <c r="AB27" i="3"/>
  <c r="AD27" i="3"/>
  <c r="Q28" i="3"/>
  <c r="U28" i="3"/>
  <c r="T28" i="3"/>
  <c r="Y28" i="3"/>
  <c r="W28" i="3"/>
  <c r="AC28" i="3"/>
  <c r="AA28" i="3"/>
  <c r="AB28" i="3"/>
  <c r="AD28" i="3"/>
  <c r="Q29" i="3"/>
  <c r="T29" i="3"/>
  <c r="U29" i="3"/>
  <c r="W29" i="3"/>
  <c r="AB29" i="3"/>
  <c r="AC29" i="3"/>
  <c r="AA29" i="3"/>
  <c r="Y29" i="3"/>
  <c r="AD29" i="3"/>
  <c r="Q30" i="3"/>
  <c r="U30" i="3"/>
  <c r="T30" i="3"/>
  <c r="Y30" i="3"/>
  <c r="W30" i="3"/>
  <c r="AC30" i="3"/>
  <c r="AA30" i="3"/>
  <c r="AB30" i="3"/>
  <c r="AD30" i="3"/>
  <c r="Q31" i="3"/>
  <c r="U31" i="3"/>
  <c r="T31" i="3"/>
  <c r="Y31" i="3"/>
  <c r="W31" i="3"/>
  <c r="AC31" i="3"/>
  <c r="AB31" i="3"/>
  <c r="AA31" i="3"/>
  <c r="AD31" i="3"/>
  <c r="Q32" i="3"/>
  <c r="T32" i="3"/>
  <c r="U32" i="3"/>
  <c r="Y32" i="3"/>
  <c r="W32" i="3"/>
  <c r="AC32" i="3"/>
  <c r="AA32" i="3"/>
  <c r="AB32" i="3"/>
  <c r="AD32" i="3"/>
  <c r="Q33" i="3"/>
  <c r="Y33" i="3"/>
  <c r="T33" i="3"/>
  <c r="U33" i="3"/>
  <c r="W33" i="3"/>
  <c r="AB33" i="3"/>
  <c r="AC33" i="3"/>
  <c r="AA33" i="3"/>
  <c r="AD33" i="3"/>
  <c r="Q34" i="3"/>
  <c r="Y34" i="3"/>
  <c r="T34" i="3"/>
  <c r="U34" i="3"/>
  <c r="W34" i="3"/>
  <c r="AB34" i="3"/>
  <c r="AC34" i="3"/>
  <c r="AA34" i="3"/>
  <c r="AD34" i="3"/>
  <c r="Q35" i="3"/>
  <c r="U35" i="3"/>
  <c r="Y35" i="3"/>
  <c r="T35" i="3"/>
  <c r="W35" i="3"/>
  <c r="AC35" i="3"/>
  <c r="AB35" i="3"/>
  <c r="AA35" i="3"/>
  <c r="AD35" i="3"/>
  <c r="Q36" i="3"/>
  <c r="U36" i="3"/>
  <c r="T36" i="3"/>
  <c r="Y36" i="3"/>
  <c r="W36" i="3"/>
  <c r="AC36" i="3"/>
  <c r="AB36" i="3"/>
  <c r="AA36" i="3"/>
  <c r="AD36" i="3"/>
  <c r="Q37" i="3"/>
  <c r="T37" i="3"/>
  <c r="Y37" i="3"/>
  <c r="W37" i="3"/>
  <c r="AA37" i="3"/>
  <c r="AC37" i="3"/>
  <c r="AB37" i="3"/>
  <c r="U37" i="3"/>
  <c r="AD37" i="3"/>
  <c r="Q38" i="3"/>
  <c r="U38" i="3"/>
  <c r="T38" i="3"/>
  <c r="Y38" i="3"/>
  <c r="W38" i="3"/>
  <c r="AA38" i="3"/>
  <c r="AB38" i="3"/>
  <c r="AC38" i="3"/>
  <c r="AD38" i="3"/>
  <c r="Q39" i="3"/>
  <c r="U39" i="3"/>
  <c r="Y39" i="3"/>
  <c r="T39" i="3"/>
  <c r="W39" i="3"/>
  <c r="AA39" i="3"/>
  <c r="AB39" i="3"/>
  <c r="AC39" i="3"/>
  <c r="AD39" i="3"/>
  <c r="Q40" i="3"/>
  <c r="Y40" i="3"/>
  <c r="U40" i="3"/>
  <c r="T40" i="3"/>
  <c r="W40" i="3"/>
  <c r="AB40" i="3"/>
  <c r="AC40" i="3"/>
  <c r="AA40" i="3"/>
  <c r="AD40" i="3"/>
  <c r="Q41" i="3"/>
  <c r="U41" i="3"/>
  <c r="T41" i="3"/>
  <c r="Y41" i="3"/>
  <c r="W41" i="3"/>
  <c r="AB41" i="3"/>
  <c r="AC41" i="3"/>
  <c r="AA41" i="3"/>
  <c r="AD41" i="3"/>
  <c r="Q42" i="3"/>
  <c r="U42" i="3"/>
  <c r="T42" i="3"/>
  <c r="Y42" i="3"/>
  <c r="W42" i="3"/>
  <c r="AB42" i="3"/>
  <c r="AC42" i="3"/>
  <c r="AA42" i="3"/>
  <c r="AD42" i="3"/>
  <c r="Q43" i="3"/>
  <c r="Y43" i="3"/>
  <c r="T43" i="3"/>
  <c r="U43" i="3"/>
  <c r="W43" i="3"/>
  <c r="AB43" i="3"/>
  <c r="AA43" i="3"/>
  <c r="AC43" i="3"/>
  <c r="AD43" i="3"/>
  <c r="Q44" i="3"/>
  <c r="U44" i="3"/>
  <c r="T44" i="3"/>
  <c r="W44" i="3"/>
  <c r="Y44" i="3"/>
  <c r="AC44" i="3"/>
  <c r="AA44" i="3"/>
  <c r="AB44" i="3"/>
  <c r="AD44" i="3"/>
  <c r="Q45" i="3"/>
  <c r="T45" i="3"/>
  <c r="AC45" i="3"/>
  <c r="W45" i="3"/>
  <c r="AB45" i="3"/>
  <c r="U45" i="3"/>
  <c r="AA45" i="3"/>
  <c r="Y45" i="3"/>
  <c r="AD45" i="3"/>
  <c r="Q46" i="3"/>
  <c r="U46" i="3"/>
  <c r="T46" i="3"/>
  <c r="AB46" i="3"/>
  <c r="AC46" i="3"/>
  <c r="AA46" i="3"/>
  <c r="Y46" i="3"/>
  <c r="W46" i="3"/>
  <c r="AD46" i="3"/>
  <c r="Q47" i="3"/>
  <c r="Y47" i="3"/>
  <c r="T47" i="3"/>
  <c r="AB47" i="3"/>
  <c r="U47" i="3"/>
  <c r="W47" i="3"/>
  <c r="AC47" i="3"/>
  <c r="AA47" i="3"/>
  <c r="AD47" i="3"/>
  <c r="Q48" i="3"/>
  <c r="U48" i="3"/>
  <c r="T48" i="3"/>
  <c r="Y48" i="3"/>
  <c r="W48" i="3"/>
  <c r="AC48" i="3"/>
  <c r="AB48" i="3"/>
  <c r="AA48" i="3"/>
  <c r="AD48" i="3"/>
  <c r="Q49" i="3"/>
  <c r="U49" i="3"/>
  <c r="T49" i="3"/>
  <c r="Y49" i="3"/>
  <c r="W49" i="3"/>
  <c r="AA49" i="3"/>
  <c r="AC49" i="3"/>
  <c r="AB49" i="3"/>
  <c r="AD49" i="3"/>
  <c r="Q50" i="3"/>
  <c r="U50" i="3"/>
  <c r="Y50" i="3"/>
  <c r="T50" i="3"/>
  <c r="W50" i="3"/>
  <c r="AC50" i="3"/>
  <c r="AB50" i="3"/>
  <c r="AA50" i="3"/>
  <c r="AD50" i="3"/>
  <c r="Q51" i="3"/>
  <c r="T51" i="3"/>
  <c r="U51" i="3"/>
  <c r="Y51" i="3"/>
  <c r="W51" i="3"/>
  <c r="AC51" i="3"/>
  <c r="AB51" i="3"/>
  <c r="AA51" i="3"/>
  <c r="AD51" i="3"/>
  <c r="Q52" i="3"/>
  <c r="T52" i="3"/>
  <c r="U52" i="3"/>
  <c r="W52" i="3"/>
  <c r="AA52" i="3"/>
  <c r="AC52" i="3"/>
  <c r="AB52" i="3"/>
  <c r="Y52" i="3"/>
  <c r="AD52" i="3"/>
  <c r="Q53" i="3"/>
  <c r="U53" i="3"/>
  <c r="T53" i="3"/>
  <c r="Y53" i="3"/>
  <c r="W53" i="3"/>
  <c r="AB53" i="3"/>
  <c r="AC53" i="3"/>
  <c r="AA53" i="3"/>
  <c r="AD53" i="3"/>
  <c r="Q54" i="3"/>
  <c r="Y54" i="3"/>
  <c r="U54" i="3"/>
  <c r="T54" i="3"/>
  <c r="W54" i="3"/>
  <c r="AC54" i="3"/>
  <c r="AB54" i="3"/>
  <c r="AA54" i="3"/>
  <c r="AD54" i="3"/>
  <c r="Q55" i="3"/>
  <c r="U55" i="3"/>
  <c r="T55" i="3"/>
  <c r="Y55" i="3"/>
  <c r="W55" i="3"/>
  <c r="AB55" i="3"/>
  <c r="AC55" i="3"/>
  <c r="AA55" i="3"/>
  <c r="AD55" i="3"/>
  <c r="Q56" i="3"/>
  <c r="T56" i="3"/>
  <c r="U56" i="3"/>
  <c r="Y56" i="3"/>
  <c r="W56" i="3"/>
  <c r="AB56" i="3"/>
  <c r="AC56" i="3"/>
  <c r="AA56" i="3"/>
  <c r="AD56" i="3"/>
  <c r="Q57" i="3"/>
  <c r="T57" i="3"/>
  <c r="AB57" i="3"/>
  <c r="AC57" i="3"/>
  <c r="W57" i="3"/>
  <c r="AA57" i="3"/>
  <c r="U57" i="3"/>
  <c r="Y57" i="3"/>
  <c r="AD57" i="3"/>
  <c r="Q58" i="3"/>
  <c r="U58" i="3"/>
  <c r="T58" i="3"/>
  <c r="W58" i="3"/>
  <c r="Y58" i="3"/>
  <c r="AC58" i="3"/>
  <c r="AA58" i="3"/>
  <c r="AB58" i="3"/>
  <c r="AD58" i="3"/>
  <c r="Q59" i="3"/>
  <c r="T59" i="3"/>
  <c r="W59" i="3"/>
  <c r="AB59" i="3"/>
  <c r="AC59" i="3"/>
  <c r="AA59" i="3"/>
  <c r="U59" i="3"/>
  <c r="Y59" i="3"/>
  <c r="AD59" i="3"/>
  <c r="Q60" i="3"/>
  <c r="U60" i="3"/>
  <c r="T60" i="3"/>
  <c r="Y60" i="3"/>
  <c r="W60" i="3"/>
  <c r="AC60" i="3"/>
  <c r="AB60" i="3"/>
  <c r="AA60" i="3"/>
  <c r="AD60" i="3"/>
  <c r="Q61" i="3"/>
  <c r="Y61" i="3"/>
  <c r="T61" i="3"/>
  <c r="U61" i="3"/>
  <c r="W61" i="3"/>
  <c r="AC61" i="3"/>
  <c r="AB61" i="3"/>
  <c r="AA61" i="3"/>
  <c r="AD61" i="3"/>
  <c r="Q62" i="3"/>
  <c r="T62" i="3"/>
  <c r="U62" i="3"/>
  <c r="Y62" i="3"/>
  <c r="W62" i="3"/>
  <c r="AC62" i="3"/>
  <c r="AB62" i="3"/>
  <c r="AA62" i="3"/>
  <c r="AD62" i="3"/>
  <c r="Q63" i="3"/>
  <c r="Y63" i="3"/>
  <c r="T63" i="3"/>
  <c r="U63" i="3"/>
  <c r="W63" i="3"/>
  <c r="AA63" i="3"/>
  <c r="AB63" i="3"/>
  <c r="AC63" i="3"/>
  <c r="AD63" i="3"/>
  <c r="Q64" i="3"/>
  <c r="T64" i="3"/>
  <c r="AC64" i="3"/>
  <c r="AA64" i="3"/>
  <c r="AB64" i="3"/>
  <c r="Y64" i="3"/>
  <c r="W64" i="3"/>
  <c r="U64" i="3"/>
  <c r="AD64" i="3"/>
  <c r="Q65" i="3"/>
  <c r="U65" i="3"/>
  <c r="Y65" i="3"/>
  <c r="T65" i="3"/>
  <c r="W65" i="3"/>
  <c r="AC65" i="3"/>
  <c r="AB65" i="3"/>
  <c r="AA65" i="3"/>
  <c r="AD65" i="3"/>
  <c r="Q66" i="3"/>
  <c r="Y66" i="3"/>
  <c r="U66" i="3"/>
  <c r="T66" i="3"/>
  <c r="W66" i="3"/>
  <c r="AC66" i="3"/>
  <c r="AA66" i="3"/>
  <c r="AB66" i="3"/>
  <c r="AD66" i="3"/>
  <c r="Q67" i="3"/>
  <c r="Y67" i="3"/>
  <c r="U67" i="3"/>
  <c r="T67" i="3"/>
  <c r="W67" i="3"/>
  <c r="AA67" i="3"/>
  <c r="AB67" i="3"/>
  <c r="AC67" i="3"/>
  <c r="AD67" i="3"/>
  <c r="Q68" i="3"/>
  <c r="Y68" i="3"/>
  <c r="T68" i="3"/>
  <c r="U68" i="3"/>
  <c r="W68" i="3"/>
  <c r="AC68" i="3"/>
  <c r="AB68" i="3"/>
  <c r="AA68" i="3"/>
  <c r="AD68" i="3"/>
  <c r="Q69" i="3"/>
  <c r="T69" i="3"/>
  <c r="U69" i="3"/>
  <c r="Y69" i="3"/>
  <c r="W69" i="3"/>
  <c r="AB69" i="3"/>
  <c r="AA69" i="3"/>
  <c r="AC69" i="3"/>
  <c r="AD69" i="3"/>
  <c r="Q70" i="3"/>
  <c r="Y70" i="3"/>
  <c r="T70" i="3"/>
  <c r="U70" i="3"/>
  <c r="W70" i="3"/>
  <c r="AB70" i="3"/>
  <c r="AC70" i="3"/>
  <c r="AA70" i="3"/>
  <c r="AD70" i="3"/>
  <c r="Q390" i="3"/>
  <c r="T390" i="3"/>
  <c r="AA390" i="3"/>
  <c r="Q372" i="3"/>
  <c r="Q329" i="3"/>
  <c r="T329" i="3"/>
  <c r="Q407" i="3"/>
  <c r="Q314" i="3"/>
  <c r="Q85" i="3"/>
  <c r="Q404" i="3"/>
  <c r="Q333" i="3"/>
  <c r="T270" i="3"/>
  <c r="Q325" i="3"/>
  <c r="Q132" i="3"/>
  <c r="T284" i="3"/>
  <c r="T439" i="3"/>
  <c r="T244" i="3"/>
  <c r="Q88" i="3"/>
  <c r="Q208" i="3"/>
  <c r="T145" i="3"/>
  <c r="Q180" i="3"/>
  <c r="Q82" i="3"/>
  <c r="T294" i="3"/>
  <c r="Q425" i="3"/>
  <c r="Q399" i="3"/>
  <c r="Q113" i="3"/>
  <c r="Q191" i="3"/>
  <c r="Q317" i="3"/>
  <c r="T317" i="3"/>
  <c r="Q179" i="3"/>
  <c r="Q90" i="3"/>
  <c r="Q104" i="3"/>
  <c r="Q116" i="3"/>
  <c r="Q223" i="3"/>
  <c r="T223" i="3"/>
  <c r="Q379" i="3"/>
  <c r="T379" i="3"/>
  <c r="Q75" i="3"/>
  <c r="Q351" i="3"/>
  <c r="Q312" i="3"/>
  <c r="T312" i="3"/>
  <c r="Q109" i="3"/>
  <c r="T109" i="3"/>
  <c r="T267" i="3"/>
  <c r="Q350" i="3"/>
  <c r="Q122" i="3"/>
  <c r="Q424" i="3"/>
  <c r="Q119" i="3"/>
  <c r="Q189" i="3"/>
  <c r="T189" i="3"/>
  <c r="Q114" i="3"/>
  <c r="T114" i="3"/>
  <c r="Q74" i="3"/>
  <c r="Q315" i="3"/>
  <c r="Q394" i="3"/>
  <c r="T394" i="3"/>
  <c r="Q369" i="3"/>
  <c r="Q311" i="3"/>
  <c r="Q357" i="3"/>
  <c r="T357" i="3"/>
  <c r="Q100" i="3"/>
  <c r="Q84" i="3"/>
  <c r="Q320" i="3"/>
  <c r="Q385" i="3"/>
  <c r="T235" i="3"/>
  <c r="Q95" i="3"/>
  <c r="Q101" i="3"/>
  <c r="Q183" i="3"/>
  <c r="Q340" i="3"/>
  <c r="Q328" i="3"/>
  <c r="T328" i="3"/>
  <c r="Q108" i="3"/>
  <c r="T416" i="3"/>
  <c r="Q423" i="3"/>
  <c r="Q319" i="3"/>
  <c r="Q117" i="3"/>
  <c r="T117" i="3"/>
  <c r="T296" i="3"/>
  <c r="Q313" i="3"/>
  <c r="T419" i="3"/>
  <c r="Q219" i="3"/>
  <c r="T219" i="3"/>
  <c r="Q402" i="3"/>
  <c r="T402" i="3"/>
  <c r="Q107" i="3"/>
  <c r="T272" i="3"/>
  <c r="Q368" i="3"/>
  <c r="T368" i="3"/>
  <c r="Q182" i="3"/>
  <c r="T182" i="3"/>
  <c r="T290" i="3"/>
  <c r="Q393" i="3"/>
  <c r="T393" i="3"/>
  <c r="Q324" i="3"/>
  <c r="Q336" i="3"/>
  <c r="T336" i="3"/>
  <c r="Q96" i="3"/>
  <c r="Q194" i="3"/>
  <c r="Q175" i="3"/>
  <c r="Q105" i="3"/>
  <c r="T105" i="3"/>
  <c r="Q217" i="3"/>
  <c r="Q384" i="3"/>
  <c r="T264" i="3"/>
  <c r="Q331" i="3"/>
  <c r="T157" i="3"/>
  <c r="T440" i="3"/>
  <c r="Q373" i="3"/>
  <c r="Q388" i="3"/>
  <c r="T388" i="3"/>
  <c r="Q363" i="3"/>
  <c r="T363" i="3"/>
  <c r="Q345" i="3"/>
  <c r="T413" i="3"/>
  <c r="Q170" i="3"/>
  <c r="T243" i="3"/>
  <c r="Q103" i="3"/>
  <c r="Q401" i="3"/>
  <c r="R442" i="3"/>
  <c r="Q429" i="3"/>
  <c r="T429" i="3"/>
  <c r="Q426" i="3"/>
  <c r="Q78" i="3"/>
  <c r="T78" i="3"/>
  <c r="Q125" i="3"/>
  <c r="Q83" i="3"/>
  <c r="Q72" i="3"/>
  <c r="T259" i="3"/>
  <c r="Q174" i="3"/>
  <c r="T174" i="3"/>
  <c r="T254" i="3"/>
  <c r="Q226" i="3"/>
  <c r="Q73" i="3"/>
  <c r="Q218" i="3"/>
  <c r="Q344" i="3"/>
  <c r="Q193" i="3"/>
  <c r="T193" i="3"/>
  <c r="Q382" i="3"/>
  <c r="Q381" i="3"/>
  <c r="T381" i="3"/>
  <c r="Q387" i="3"/>
  <c r="T387" i="3"/>
  <c r="Q378" i="3"/>
  <c r="Q322" i="3"/>
  <c r="Q354" i="3"/>
  <c r="Q376" i="3"/>
  <c r="T376" i="3"/>
  <c r="Q222" i="3"/>
  <c r="Q370" i="3"/>
  <c r="Q383" i="3"/>
  <c r="Q396" i="3"/>
  <c r="Q353" i="3"/>
  <c r="Q178" i="3"/>
  <c r="Y178" i="3"/>
  <c r="Q212" i="3"/>
  <c r="Q76" i="3"/>
  <c r="T76" i="3"/>
  <c r="Q169" i="3"/>
  <c r="AU19" i="515"/>
  <c r="T135" i="3"/>
  <c r="Q98" i="3"/>
  <c r="T98" i="3"/>
  <c r="Q181" i="3"/>
  <c r="T181" i="3"/>
  <c r="Q326" i="3"/>
  <c r="Q224" i="3"/>
  <c r="Q124" i="3"/>
  <c r="Q347" i="3"/>
  <c r="Q400" i="3"/>
  <c r="Q318" i="3"/>
  <c r="Q348" i="3"/>
  <c r="Q389" i="3"/>
  <c r="Q355" i="3"/>
  <c r="Q366" i="3"/>
  <c r="Q115" i="3"/>
  <c r="Q184" i="3"/>
  <c r="Y184" i="3"/>
  <c r="Q127" i="3"/>
  <c r="Q346" i="3"/>
  <c r="T346" i="3"/>
  <c r="Q112" i="3"/>
  <c r="Q341" i="3"/>
  <c r="Q398" i="3"/>
  <c r="Q405" i="3"/>
  <c r="Q215" i="3"/>
  <c r="T246" i="3"/>
  <c r="Q210" i="3"/>
  <c r="Q339" i="3"/>
  <c r="Q360" i="3"/>
  <c r="Q386" i="3"/>
  <c r="Q110" i="3"/>
  <c r="Q214" i="3"/>
  <c r="Q395" i="3"/>
  <c r="Q91" i="3"/>
  <c r="T91" i="3"/>
  <c r="Q403" i="3"/>
  <c r="T271" i="3"/>
  <c r="Q338" i="3"/>
  <c r="Q171" i="3"/>
  <c r="Q227" i="3"/>
  <c r="T227" i="3"/>
  <c r="Q392" i="3"/>
  <c r="T392" i="3"/>
  <c r="Q190" i="3"/>
  <c r="T190" i="3"/>
  <c r="Q211" i="3"/>
  <c r="Q192" i="3"/>
  <c r="Q173" i="3"/>
  <c r="T173" i="3"/>
  <c r="Q86" i="3"/>
  <c r="Q323" i="3"/>
  <c r="T323" i="3"/>
  <c r="Q316" i="3"/>
  <c r="Q349" i="3"/>
  <c r="Q321" i="3"/>
  <c r="T321" i="3"/>
  <c r="T433" i="3"/>
  <c r="Q121" i="3"/>
  <c r="Q176" i="3"/>
  <c r="T176" i="3"/>
  <c r="Q343" i="3"/>
  <c r="T343" i="3"/>
  <c r="Q367" i="3"/>
  <c r="Q422" i="3"/>
  <c r="Q120" i="3"/>
  <c r="T120" i="3"/>
  <c r="Q207" i="3"/>
  <c r="T207" i="3"/>
  <c r="T201" i="3"/>
  <c r="Q129" i="3"/>
  <c r="Q330" i="3"/>
  <c r="Q128" i="3"/>
  <c r="Q362" i="3"/>
  <c r="Q99" i="3"/>
  <c r="Q81" i="3"/>
  <c r="Q89" i="3"/>
  <c r="Q408" i="3"/>
  <c r="T408" i="3"/>
  <c r="Q358" i="3"/>
  <c r="Q131" i="3"/>
  <c r="Q377" i="3"/>
  <c r="Q374" i="3"/>
  <c r="Q375" i="3"/>
  <c r="Q380" i="3"/>
  <c r="Q391" i="3"/>
  <c r="Q71" i="3"/>
  <c r="Q77" i="3"/>
  <c r="Q79" i="3"/>
  <c r="Q80" i="3"/>
  <c r="Q87" i="3"/>
  <c r="Q92" i="3"/>
  <c r="Q93" i="3"/>
  <c r="Q94" i="3"/>
  <c r="Q97" i="3"/>
  <c r="Q102" i="3"/>
  <c r="Q106" i="3"/>
  <c r="Q111" i="3"/>
  <c r="Q118" i="3"/>
  <c r="Q123" i="3"/>
  <c r="Q126" i="3"/>
  <c r="Q130" i="3"/>
  <c r="Q168" i="3"/>
  <c r="Q172" i="3"/>
  <c r="Q177" i="3"/>
  <c r="Q187" i="3"/>
  <c r="Q188" i="3"/>
  <c r="Q205" i="3"/>
  <c r="Q206" i="3"/>
  <c r="Q209" i="3"/>
  <c r="Q213" i="3"/>
  <c r="Q216" i="3"/>
  <c r="Q220" i="3"/>
  <c r="Q221" i="3"/>
  <c r="Q225" i="3"/>
  <c r="Q241" i="3"/>
  <c r="Q309" i="3"/>
  <c r="Q310" i="3"/>
  <c r="Q327" i="3"/>
  <c r="Q332" i="3"/>
  <c r="Q334" i="3"/>
  <c r="Q335" i="3"/>
  <c r="Q337" i="3"/>
  <c r="Q342" i="3"/>
  <c r="Q352" i="3"/>
  <c r="Q356" i="3"/>
  <c r="Q359" i="3"/>
  <c r="Q361" i="3"/>
  <c r="Q364" i="3"/>
  <c r="Q365" i="3"/>
  <c r="Q371" i="3"/>
  <c r="Q397" i="3"/>
  <c r="Q406" i="3"/>
  <c r="Q421" i="3"/>
  <c r="Q427" i="3"/>
  <c r="Q428" i="3"/>
  <c r="Q441" i="3"/>
  <c r="AU49" i="515"/>
  <c r="T93" i="3"/>
  <c r="T414" i="3"/>
  <c r="T205" i="3"/>
  <c r="AU32" i="515"/>
  <c r="T161" i="3"/>
  <c r="T266" i="3"/>
  <c r="AU45" i="515"/>
  <c r="T92" i="3"/>
  <c r="AU37" i="515"/>
  <c r="T421" i="3"/>
  <c r="T130" i="3"/>
  <c r="T380" i="3"/>
  <c r="T163" i="3"/>
  <c r="AU35" i="515"/>
  <c r="T248" i="3"/>
  <c r="AU52" i="515"/>
  <c r="T410" i="3"/>
  <c r="W410" i="3"/>
  <c r="T335" i="3"/>
  <c r="T185" i="3"/>
  <c r="AU25" i="515"/>
  <c r="T87" i="3"/>
  <c r="T435" i="3"/>
  <c r="T106" i="3"/>
  <c r="T250" i="3"/>
  <c r="T242" i="3"/>
  <c r="AC242" i="3"/>
  <c r="T228" i="3"/>
  <c r="AU56" i="515"/>
  <c r="T232" i="3"/>
  <c r="W181" i="3"/>
  <c r="AB181" i="3"/>
  <c r="AA181" i="3"/>
  <c r="AC181" i="3"/>
  <c r="AD181" i="3"/>
  <c r="W182" i="3"/>
  <c r="AC182" i="3"/>
  <c r="AA182" i="3"/>
  <c r="AB182" i="3"/>
  <c r="AD182" i="3"/>
  <c r="U181" i="3"/>
  <c r="Y181" i="3"/>
  <c r="U183" i="3"/>
  <c r="Y183" i="3"/>
  <c r="U179" i="3"/>
  <c r="Y179" i="3"/>
  <c r="U180" i="3"/>
  <c r="Y180" i="3"/>
  <c r="U182" i="3"/>
  <c r="Y182" i="3"/>
  <c r="AJ24" i="515"/>
  <c r="T241" i="3"/>
  <c r="AC241" i="3"/>
  <c r="BL32" i="515"/>
  <c r="BP32" i="515"/>
  <c r="AU24" i="515"/>
  <c r="AR24" i="515"/>
  <c r="AU22" i="515"/>
  <c r="AU41" i="515"/>
  <c r="AR41" i="515"/>
  <c r="AU53" i="515"/>
  <c r="AR53" i="515"/>
  <c r="AX53" i="515"/>
  <c r="T356" i="3"/>
  <c r="T309" i="3"/>
  <c r="AR56" i="515"/>
  <c r="AA228" i="3"/>
  <c r="W228" i="3"/>
  <c r="AB228" i="3"/>
  <c r="AC228" i="3"/>
  <c r="W250" i="3"/>
  <c r="AB250" i="3"/>
  <c r="AA250" i="3"/>
  <c r="AC250" i="3"/>
  <c r="W185" i="3"/>
  <c r="AB185" i="3"/>
  <c r="AA185" i="3"/>
  <c r="AC185" i="3"/>
  <c r="AR52" i="515"/>
  <c r="AX52" i="515"/>
  <c r="AR37" i="515"/>
  <c r="AC205" i="3"/>
  <c r="W205" i="3"/>
  <c r="AB205" i="3"/>
  <c r="AA205" i="3"/>
  <c r="W201" i="3"/>
  <c r="AB201" i="3"/>
  <c r="AC201" i="3"/>
  <c r="AA201" i="3"/>
  <c r="AB323" i="3"/>
  <c r="AC323" i="3"/>
  <c r="W323" i="3"/>
  <c r="AA323" i="3"/>
  <c r="AR19" i="515"/>
  <c r="AX19" i="515"/>
  <c r="AC376" i="3"/>
  <c r="W376" i="3"/>
  <c r="AB376" i="3"/>
  <c r="AA376" i="3"/>
  <c r="AC106" i="3"/>
  <c r="AB106" i="3"/>
  <c r="W106" i="3"/>
  <c r="AA106" i="3"/>
  <c r="W232" i="3"/>
  <c r="AA232" i="3"/>
  <c r="AC232" i="3"/>
  <c r="AB232" i="3"/>
  <c r="AR35" i="515"/>
  <c r="AX35" i="515"/>
  <c r="AR22" i="515"/>
  <c r="AX22" i="515"/>
  <c r="W421" i="3"/>
  <c r="AB421" i="3"/>
  <c r="AA421" i="3"/>
  <c r="AC421" i="3"/>
  <c r="AR45" i="515"/>
  <c r="AX45" i="515"/>
  <c r="AB161" i="3"/>
  <c r="W161" i="3"/>
  <c r="AC161" i="3"/>
  <c r="AA161" i="3"/>
  <c r="AR32" i="515"/>
  <c r="AX32" i="515"/>
  <c r="W408" i="3"/>
  <c r="AC408" i="3"/>
  <c r="AB408" i="3"/>
  <c r="AA408" i="3"/>
  <c r="AB343" i="3"/>
  <c r="AC343" i="3"/>
  <c r="W343" i="3"/>
  <c r="AA343" i="3"/>
  <c r="AC190" i="3"/>
  <c r="AB190" i="3"/>
  <c r="W190" i="3"/>
  <c r="AA190" i="3"/>
  <c r="AC227" i="3"/>
  <c r="AB227" i="3"/>
  <c r="W227" i="3"/>
  <c r="AA227" i="3"/>
  <c r="W271" i="3"/>
  <c r="AC271" i="3"/>
  <c r="AB271" i="3"/>
  <c r="AA271" i="3"/>
  <c r="AC91" i="3"/>
  <c r="W91" i="3"/>
  <c r="AB91" i="3"/>
  <c r="AA91" i="3"/>
  <c r="W346" i="3"/>
  <c r="AC346" i="3"/>
  <c r="AB346" i="3"/>
  <c r="AA346" i="3"/>
  <c r="W363" i="3"/>
  <c r="AC363" i="3"/>
  <c r="AB363" i="3"/>
  <c r="AA363" i="3"/>
  <c r="Y154" i="3"/>
  <c r="U154" i="3"/>
  <c r="AU20" i="515"/>
  <c r="U288" i="3"/>
  <c r="Y288" i="3"/>
  <c r="T288" i="3"/>
  <c r="Y245" i="3"/>
  <c r="U245" i="3"/>
  <c r="AB435" i="3"/>
  <c r="W435" i="3"/>
  <c r="AC435" i="3"/>
  <c r="Y187" i="3"/>
  <c r="U187" i="3"/>
  <c r="W87" i="3"/>
  <c r="AC87" i="3"/>
  <c r="U365" i="3"/>
  <c r="Y365" i="3"/>
  <c r="U220" i="3"/>
  <c r="Y220" i="3"/>
  <c r="W248" i="3"/>
  <c r="Y342" i="3"/>
  <c r="U342" i="3"/>
  <c r="T342" i="3"/>
  <c r="U97" i="3"/>
  <c r="Y97" i="3"/>
  <c r="T97" i="3"/>
  <c r="W163" i="3"/>
  <c r="Y406" i="3"/>
  <c r="U406" i="3"/>
  <c r="Y261" i="3"/>
  <c r="U261" i="3"/>
  <c r="T261" i="3"/>
  <c r="Y352" i="3"/>
  <c r="U352" i="3"/>
  <c r="AB309" i="3"/>
  <c r="W309" i="3"/>
  <c r="U297" i="3"/>
  <c r="Y297" i="3"/>
  <c r="AC380" i="3"/>
  <c r="W380" i="3"/>
  <c r="AB380" i="3"/>
  <c r="U231" i="3"/>
  <c r="Y231" i="3"/>
  <c r="W130" i="3"/>
  <c r="AC130" i="3"/>
  <c r="AB130" i="3"/>
  <c r="Y188" i="3"/>
  <c r="U188" i="3"/>
  <c r="T188" i="3"/>
  <c r="U221" i="3"/>
  <c r="Y221" i="3"/>
  <c r="T221" i="3"/>
  <c r="U332" i="3"/>
  <c r="Y332" i="3"/>
  <c r="U172" i="3"/>
  <c r="Y172" i="3"/>
  <c r="U409" i="3"/>
  <c r="Y409" i="3"/>
  <c r="AC92" i="3"/>
  <c r="BL14" i="515"/>
  <c r="AB92" i="3"/>
  <c r="BK14" i="515"/>
  <c r="BO14" i="515"/>
  <c r="P14" i="515"/>
  <c r="W92" i="3"/>
  <c r="U337" i="3"/>
  <c r="Y337" i="3"/>
  <c r="Y206" i="3"/>
  <c r="U206" i="3"/>
  <c r="W356" i="3"/>
  <c r="AB356" i="3"/>
  <c r="Y216" i="3"/>
  <c r="U216" i="3"/>
  <c r="U430" i="3"/>
  <c r="Y430" i="3"/>
  <c r="Y283" i="3"/>
  <c r="U283" i="3"/>
  <c r="T283" i="3"/>
  <c r="W266" i="3"/>
  <c r="AC266" i="3"/>
  <c r="Y375" i="3"/>
  <c r="U375" i="3"/>
  <c r="Y94" i="3"/>
  <c r="U94" i="3"/>
  <c r="T94" i="3"/>
  <c r="Y139" i="3"/>
  <c r="U139" i="3"/>
  <c r="T139" i="3"/>
  <c r="Y209" i="3"/>
  <c r="U209" i="3"/>
  <c r="T209" i="3"/>
  <c r="Y308" i="3"/>
  <c r="U308" i="3"/>
  <c r="U364" i="3"/>
  <c r="Y364" i="3"/>
  <c r="U133" i="3"/>
  <c r="Y133" i="3"/>
  <c r="U239" i="3"/>
  <c r="Y239" i="3"/>
  <c r="T239" i="3"/>
  <c r="U111" i="3"/>
  <c r="Y111" i="3"/>
  <c r="Y299" i="3"/>
  <c r="U299" i="3"/>
  <c r="T299" i="3"/>
  <c r="U79" i="3"/>
  <c r="Y79" i="3"/>
  <c r="T79" i="3"/>
  <c r="Y213" i="3"/>
  <c r="U213" i="3"/>
  <c r="T213" i="3"/>
  <c r="U225" i="3"/>
  <c r="Y225" i="3"/>
  <c r="U327" i="3"/>
  <c r="Y327" i="3"/>
  <c r="AB414" i="3"/>
  <c r="AC414" i="3"/>
  <c r="W414" i="3"/>
  <c r="Y359" i="3"/>
  <c r="U359" i="3"/>
  <c r="Y123" i="3"/>
  <c r="U123" i="3"/>
  <c r="Y361" i="3"/>
  <c r="U361" i="3"/>
  <c r="U118" i="3"/>
  <c r="Y118" i="3"/>
  <c r="AC93" i="3"/>
  <c r="W93" i="3"/>
  <c r="Y149" i="3"/>
  <c r="U149" i="3"/>
  <c r="Y131" i="3"/>
  <c r="U131" i="3"/>
  <c r="Y358" i="3"/>
  <c r="U358" i="3"/>
  <c r="Y438" i="3"/>
  <c r="U438" i="3"/>
  <c r="U89" i="3"/>
  <c r="Y89" i="3"/>
  <c r="T89" i="3"/>
  <c r="U258" i="3"/>
  <c r="Y258" i="3"/>
  <c r="T258" i="3"/>
  <c r="Y229" i="3"/>
  <c r="U229" i="3"/>
  <c r="U99" i="3"/>
  <c r="Y99" i="3"/>
  <c r="T99" i="3"/>
  <c r="Y362" i="3"/>
  <c r="U362" i="3"/>
  <c r="U262" i="3"/>
  <c r="Y262" i="3"/>
  <c r="T262" i="3"/>
  <c r="U307" i="3"/>
  <c r="Y307" i="3"/>
  <c r="Y240" i="3"/>
  <c r="U240" i="3"/>
  <c r="Y281" i="3"/>
  <c r="U281" i="3"/>
  <c r="T281" i="3"/>
  <c r="U268" i="3"/>
  <c r="Y268" i="3"/>
  <c r="Y330" i="3"/>
  <c r="U330" i="3"/>
  <c r="Y291" i="3"/>
  <c r="U291" i="3"/>
  <c r="T291" i="3"/>
  <c r="Y295" i="3"/>
  <c r="U295" i="3"/>
  <c r="AU39" i="515"/>
  <c r="AC207" i="3"/>
  <c r="W207" i="3"/>
  <c r="AB207" i="3"/>
  <c r="AB120" i="3"/>
  <c r="AC120" i="3"/>
  <c r="W120" i="3"/>
  <c r="U260" i="3"/>
  <c r="Y260" i="3"/>
  <c r="T260" i="3"/>
  <c r="Y422" i="3"/>
  <c r="U422" i="3"/>
  <c r="U150" i="3"/>
  <c r="Y150" i="3"/>
  <c r="T150" i="3"/>
  <c r="U200" i="3"/>
  <c r="Y200" i="3"/>
  <c r="T200" i="3"/>
  <c r="U159" i="3"/>
  <c r="Y159" i="3"/>
  <c r="W176" i="3"/>
  <c r="AC176" i="3"/>
  <c r="AB176" i="3"/>
  <c r="Y121" i="3"/>
  <c r="U121" i="3"/>
  <c r="W433" i="3"/>
  <c r="AB433" i="3"/>
  <c r="U300" i="3"/>
  <c r="Y300" i="3"/>
  <c r="T300" i="3"/>
  <c r="AB321" i="3"/>
  <c r="AC321" i="3"/>
  <c r="W321" i="3"/>
  <c r="Y349" i="3"/>
  <c r="U349" i="3"/>
  <c r="T349" i="3"/>
  <c r="Y86" i="3"/>
  <c r="U86" i="3"/>
  <c r="T86" i="3"/>
  <c r="Y238" i="3"/>
  <c r="U238" i="3"/>
  <c r="U197" i="3"/>
  <c r="Y197" i="3"/>
  <c r="AB173" i="3"/>
  <c r="AC173" i="3"/>
  <c r="W173" i="3"/>
  <c r="U195" i="3"/>
  <c r="Y195" i="3"/>
  <c r="W392" i="3"/>
  <c r="AC392" i="3"/>
  <c r="AB392" i="3"/>
  <c r="Y160" i="3"/>
  <c r="U160" i="3"/>
  <c r="Y338" i="3"/>
  <c r="U338" i="3"/>
  <c r="T338" i="3"/>
  <c r="Y151" i="3"/>
  <c r="U151" i="3"/>
  <c r="T151" i="3"/>
  <c r="Y277" i="3"/>
  <c r="U277" i="3"/>
  <c r="T277" i="3"/>
  <c r="U286" i="3"/>
  <c r="Y286" i="3"/>
  <c r="U304" i="3"/>
  <c r="Y304" i="3"/>
  <c r="T304" i="3"/>
  <c r="U411" i="3"/>
  <c r="Y411" i="3"/>
  <c r="T411" i="3"/>
  <c r="Y110" i="3"/>
  <c r="U110" i="3"/>
  <c r="T110" i="3"/>
  <c r="Y162" i="3"/>
  <c r="U162" i="3"/>
  <c r="T162" i="3"/>
  <c r="Y360" i="3"/>
  <c r="U360" i="3"/>
  <c r="T360" i="3"/>
  <c r="W246" i="3"/>
  <c r="AC246" i="3"/>
  <c r="AB246" i="3"/>
  <c r="U405" i="3"/>
  <c r="Y405" i="3"/>
  <c r="T405" i="3"/>
  <c r="U437" i="3"/>
  <c r="Y437" i="3"/>
  <c r="T437" i="3"/>
  <c r="U184" i="3"/>
  <c r="T184" i="3"/>
  <c r="U115" i="3"/>
  <c r="Y115" i="3"/>
  <c r="U166" i="3"/>
  <c r="Y166" i="3"/>
  <c r="T166" i="3"/>
  <c r="U355" i="3"/>
  <c r="Y355" i="3"/>
  <c r="T355" i="3"/>
  <c r="Y348" i="3"/>
  <c r="U348" i="3"/>
  <c r="T348" i="3"/>
  <c r="U196" i="3"/>
  <c r="Y196" i="3"/>
  <c r="T196" i="3"/>
  <c r="U318" i="3"/>
  <c r="Y318" i="3"/>
  <c r="T318" i="3"/>
  <c r="U400" i="3"/>
  <c r="Y400" i="3"/>
  <c r="T400" i="3"/>
  <c r="U204" i="3"/>
  <c r="Y204" i="3"/>
  <c r="T204" i="3"/>
  <c r="U347" i="3"/>
  <c r="Y347" i="3"/>
  <c r="T347" i="3"/>
  <c r="U140" i="3"/>
  <c r="Y140" i="3"/>
  <c r="T140" i="3"/>
  <c r="U224" i="3"/>
  <c r="Y224" i="3"/>
  <c r="T224" i="3"/>
  <c r="U252" i="3"/>
  <c r="Y252" i="3"/>
  <c r="T252" i="3"/>
  <c r="AC135" i="3"/>
  <c r="AB135" i="3"/>
  <c r="W135" i="3"/>
  <c r="AC98" i="3"/>
  <c r="AB98" i="3"/>
  <c r="W98" i="3"/>
  <c r="U169" i="3"/>
  <c r="Y169" i="3"/>
  <c r="T169" i="3"/>
  <c r="W76" i="3"/>
  <c r="AC76" i="3"/>
  <c r="AB76" i="3"/>
  <c r="U178" i="3"/>
  <c r="Y353" i="3"/>
  <c r="U353" i="3"/>
  <c r="U396" i="3"/>
  <c r="Y396" i="3"/>
  <c r="U383" i="3"/>
  <c r="Y383" i="3"/>
  <c r="T383" i="3"/>
  <c r="U370" i="3"/>
  <c r="Y370" i="3"/>
  <c r="T370" i="3"/>
  <c r="U249" i="3"/>
  <c r="Y249" i="3"/>
  <c r="T249" i="3"/>
  <c r="P35" i="515"/>
  <c r="Y354" i="3"/>
  <c r="U354" i="3"/>
  <c r="T354" i="3"/>
  <c r="AC387" i="3"/>
  <c r="AB387" i="3"/>
  <c r="W387" i="3"/>
  <c r="AA387" i="3"/>
  <c r="W381" i="3"/>
  <c r="AB381" i="3"/>
  <c r="AC381" i="3"/>
  <c r="AA381" i="3"/>
  <c r="U382" i="3"/>
  <c r="Y382" i="3"/>
  <c r="T382" i="3"/>
  <c r="Y218" i="3"/>
  <c r="U218" i="3"/>
  <c r="T218" i="3"/>
  <c r="Y73" i="3"/>
  <c r="U73" i="3"/>
  <c r="T73" i="3"/>
  <c r="U233" i="3"/>
  <c r="Y233" i="3"/>
  <c r="T233" i="3"/>
  <c r="AC259" i="3"/>
  <c r="AB259" i="3"/>
  <c r="W259" i="3"/>
  <c r="AA259" i="3"/>
  <c r="Y125" i="3"/>
  <c r="U125" i="3"/>
  <c r="T125" i="3"/>
  <c r="Y426" i="3"/>
  <c r="U426" i="3"/>
  <c r="T426" i="3"/>
  <c r="Y436" i="3"/>
  <c r="U436" i="3"/>
  <c r="T436" i="3"/>
  <c r="U198" i="3"/>
  <c r="Y198" i="3"/>
  <c r="T198" i="3"/>
  <c r="W243" i="3"/>
  <c r="AC243" i="3"/>
  <c r="AB243" i="3"/>
  <c r="AA243" i="3"/>
  <c r="Y170" i="3"/>
  <c r="U170" i="3"/>
  <c r="T170" i="3"/>
  <c r="AC413" i="3"/>
  <c r="AB413" i="3"/>
  <c r="W413" i="3"/>
  <c r="AA413" i="3"/>
  <c r="Y434" i="3"/>
  <c r="U434" i="3"/>
  <c r="T434" i="3"/>
  <c r="Y305" i="3"/>
  <c r="U305" i="3"/>
  <c r="T305" i="3"/>
  <c r="Y217" i="3"/>
  <c r="U217" i="3"/>
  <c r="T217" i="3"/>
  <c r="AB105" i="3"/>
  <c r="AC105" i="3"/>
  <c r="W105" i="3"/>
  <c r="AA105" i="3"/>
  <c r="AC117" i="3"/>
  <c r="AB117" i="3"/>
  <c r="W117" i="3"/>
  <c r="AA117" i="3"/>
  <c r="AC357" i="3"/>
  <c r="W357" i="3"/>
  <c r="AB357" i="3"/>
  <c r="AA357" i="3"/>
  <c r="W114" i="3"/>
  <c r="AC114" i="3"/>
  <c r="AB114" i="3"/>
  <c r="AA114" i="3"/>
  <c r="W189" i="3"/>
  <c r="AB189" i="3"/>
  <c r="AC189" i="3"/>
  <c r="AA189" i="3"/>
  <c r="W267" i="3"/>
  <c r="AC267" i="3"/>
  <c r="AB267" i="3"/>
  <c r="AA267" i="3"/>
  <c r="W379" i="3"/>
  <c r="AC379" i="3"/>
  <c r="AB379" i="3"/>
  <c r="AA379" i="3"/>
  <c r="W284" i="3"/>
  <c r="AB284" i="3"/>
  <c r="AC284" i="3"/>
  <c r="AA284" i="3"/>
  <c r="Q442" i="3"/>
  <c r="T71" i="3"/>
  <c r="AA87" i="3"/>
  <c r="AU28" i="515"/>
  <c r="T337" i="3"/>
  <c r="AB93" i="3"/>
  <c r="T332" i="3"/>
  <c r="AU26" i="515"/>
  <c r="AU40" i="515"/>
  <c r="AU46" i="515"/>
  <c r="AB163" i="3"/>
  <c r="AU48" i="515"/>
  <c r="T430" i="3"/>
  <c r="AU44" i="515"/>
  <c r="AC309" i="3"/>
  <c r="AU16" i="515"/>
  <c r="AU29" i="515"/>
  <c r="AA433" i="3"/>
  <c r="AU47" i="515"/>
  <c r="T375" i="3"/>
  <c r="U71" i="3"/>
  <c r="T220" i="3"/>
  <c r="AU18" i="515"/>
  <c r="T216" i="3"/>
  <c r="T123" i="3"/>
  <c r="T361" i="3"/>
  <c r="AB410" i="3"/>
  <c r="T297" i="3"/>
  <c r="T422" i="3"/>
  <c r="T231" i="3"/>
  <c r="T172" i="3"/>
  <c r="AU34" i="515"/>
  <c r="T409" i="3"/>
  <c r="T286" i="3"/>
  <c r="T115" i="3"/>
  <c r="Y232" i="3"/>
  <c r="U232" i="3"/>
  <c r="U441" i="3"/>
  <c r="Y441" i="3"/>
  <c r="W242" i="3"/>
  <c r="AB242" i="3"/>
  <c r="P33" i="515"/>
  <c r="Y250" i="3"/>
  <c r="U250" i="3"/>
  <c r="W335" i="3"/>
  <c r="AB335" i="3"/>
  <c r="AC335" i="3"/>
  <c r="Y177" i="3"/>
  <c r="U177" i="3"/>
  <c r="Y80" i="3"/>
  <c r="U80" i="3"/>
  <c r="Y228" i="3"/>
  <c r="U228" i="3"/>
  <c r="U242" i="3"/>
  <c r="Y242" i="3"/>
  <c r="Y106" i="3"/>
  <c r="U106" i="3"/>
  <c r="U435" i="3"/>
  <c r="Y435" i="3"/>
  <c r="Y87" i="3"/>
  <c r="U87" i="3"/>
  <c r="U185" i="3"/>
  <c r="Y185" i="3"/>
  <c r="Y335" i="3"/>
  <c r="U335" i="3"/>
  <c r="U276" i="3"/>
  <c r="Y276" i="3"/>
  <c r="U410" i="3"/>
  <c r="Y410" i="3"/>
  <c r="Y248" i="3"/>
  <c r="U248" i="3"/>
  <c r="Y168" i="3"/>
  <c r="U168" i="3"/>
  <c r="Y163" i="3"/>
  <c r="U163" i="3"/>
  <c r="U374" i="3"/>
  <c r="Y374" i="3"/>
  <c r="Y102" i="3"/>
  <c r="U102" i="3"/>
  <c r="T102" i="3"/>
  <c r="Y309" i="3"/>
  <c r="U309" i="3"/>
  <c r="U334" i="3"/>
  <c r="Y334" i="3"/>
  <c r="U380" i="3"/>
  <c r="Y380" i="3"/>
  <c r="Y130" i="3"/>
  <c r="U130" i="3"/>
  <c r="Y397" i="3"/>
  <c r="U397" i="3"/>
  <c r="Y427" i="3"/>
  <c r="U427" i="3"/>
  <c r="T427" i="3"/>
  <c r="U421" i="3"/>
  <c r="Y421" i="3"/>
  <c r="U263" i="3"/>
  <c r="Y263" i="3"/>
  <c r="U92" i="3"/>
  <c r="Y92" i="3"/>
  <c r="U356" i="3"/>
  <c r="Y356" i="3"/>
  <c r="Y428" i="3"/>
  <c r="U428" i="3"/>
  <c r="Y279" i="3"/>
  <c r="U279" i="3"/>
  <c r="T279" i="3"/>
  <c r="U266" i="3"/>
  <c r="Y266" i="3"/>
  <c r="Y253" i="3"/>
  <c r="U253" i="3"/>
  <c r="T253" i="3"/>
  <c r="Y77" i="3"/>
  <c r="U77" i="3"/>
  <c r="T77" i="3"/>
  <c r="U391" i="3"/>
  <c r="Y391" i="3"/>
  <c r="T391" i="3"/>
  <c r="U161" i="3"/>
  <c r="Y161" i="3"/>
  <c r="Y156" i="3"/>
  <c r="U156" i="3"/>
  <c r="T156" i="3"/>
  <c r="U126" i="3"/>
  <c r="Y126" i="3"/>
  <c r="T126" i="3"/>
  <c r="U241" i="3"/>
  <c r="Y241" i="3"/>
  <c r="Y205" i="3"/>
  <c r="U205" i="3"/>
  <c r="U412" i="3"/>
  <c r="Y412" i="3"/>
  <c r="T412" i="3"/>
  <c r="U310" i="3"/>
  <c r="Y310" i="3"/>
  <c r="T310" i="3"/>
  <c r="U414" i="3"/>
  <c r="Y414" i="3"/>
  <c r="Y371" i="3"/>
  <c r="U371" i="3"/>
  <c r="T371" i="3"/>
  <c r="U93" i="3"/>
  <c r="Y93" i="3"/>
  <c r="U203" i="3"/>
  <c r="Y203" i="3"/>
  <c r="T203" i="3"/>
  <c r="Y377" i="3"/>
  <c r="U377" i="3"/>
  <c r="Y408" i="3"/>
  <c r="U408" i="3"/>
  <c r="Y81" i="3"/>
  <c r="U81" i="3"/>
  <c r="T81" i="3"/>
  <c r="Y128" i="3"/>
  <c r="U128" i="3"/>
  <c r="T128" i="3"/>
  <c r="U129" i="3"/>
  <c r="Y129" i="3"/>
  <c r="T129" i="3"/>
  <c r="U201" i="3"/>
  <c r="Y201" i="3"/>
  <c r="Y207" i="3"/>
  <c r="U207" i="3"/>
  <c r="U120" i="3"/>
  <c r="Y120" i="3"/>
  <c r="Y367" i="3"/>
  <c r="U367" i="3"/>
  <c r="T367" i="3"/>
  <c r="Y343" i="3"/>
  <c r="U343" i="3"/>
  <c r="U176" i="3"/>
  <c r="Y176" i="3"/>
  <c r="Y433" i="3"/>
  <c r="U433" i="3"/>
  <c r="AU55" i="515"/>
  <c r="Y292" i="3"/>
  <c r="U292" i="3"/>
  <c r="T292" i="3"/>
  <c r="Y141" i="3"/>
  <c r="U141" i="3"/>
  <c r="T141" i="3"/>
  <c r="Y321" i="3"/>
  <c r="U321" i="3"/>
  <c r="U316" i="3"/>
  <c r="Y316" i="3"/>
  <c r="T316" i="3"/>
  <c r="Y323" i="3"/>
  <c r="U323" i="3"/>
  <c r="U186" i="3"/>
  <c r="Y186" i="3"/>
  <c r="T186" i="3"/>
  <c r="Y173" i="3"/>
  <c r="U173" i="3"/>
  <c r="Y192" i="3"/>
  <c r="U192" i="3"/>
  <c r="T192" i="3"/>
  <c r="Y211" i="3"/>
  <c r="U211" i="3"/>
  <c r="T211" i="3"/>
  <c r="Y190" i="3"/>
  <c r="U190" i="3"/>
  <c r="U274" i="3"/>
  <c r="Y274" i="3"/>
  <c r="U392" i="3"/>
  <c r="Y392" i="3"/>
  <c r="U432" i="3"/>
  <c r="Y432" i="3"/>
  <c r="U227" i="3"/>
  <c r="Y227" i="3"/>
  <c r="U144" i="3"/>
  <c r="Y144" i="3"/>
  <c r="T144" i="3"/>
  <c r="U420" i="3"/>
  <c r="Y420" i="3"/>
  <c r="T420" i="3"/>
  <c r="U171" i="3"/>
  <c r="Y171" i="3"/>
  <c r="U246" i="3"/>
  <c r="Y246" i="3"/>
  <c r="U251" i="3"/>
  <c r="Y251" i="3"/>
  <c r="T251" i="3"/>
  <c r="U301" i="3"/>
  <c r="Y301" i="3"/>
  <c r="T301" i="3"/>
  <c r="Y271" i="3"/>
  <c r="U271" i="3"/>
  <c r="U403" i="3"/>
  <c r="Y403" i="3"/>
  <c r="T403" i="3"/>
  <c r="Y91" i="3"/>
  <c r="U91" i="3"/>
  <c r="Y395" i="3"/>
  <c r="U395" i="3"/>
  <c r="T395" i="3"/>
  <c r="Y214" i="3"/>
  <c r="U214" i="3"/>
  <c r="T214" i="3"/>
  <c r="U386" i="3"/>
  <c r="Y386" i="3"/>
  <c r="T386" i="3"/>
  <c r="Y339" i="3"/>
  <c r="U339" i="3"/>
  <c r="T339" i="3"/>
  <c r="Y210" i="3"/>
  <c r="U210" i="3"/>
  <c r="T210" i="3"/>
  <c r="Y215" i="3"/>
  <c r="U215" i="3"/>
  <c r="T215" i="3"/>
  <c r="U237" i="3"/>
  <c r="Y237" i="3"/>
  <c r="T237" i="3"/>
  <c r="U398" i="3"/>
  <c r="Y398" i="3"/>
  <c r="T398" i="3"/>
  <c r="U306" i="3"/>
  <c r="Y306" i="3"/>
  <c r="T306" i="3"/>
  <c r="Y341" i="3"/>
  <c r="U341" i="3"/>
  <c r="T341" i="3"/>
  <c r="Y112" i="3"/>
  <c r="U112" i="3"/>
  <c r="T112" i="3"/>
  <c r="Y346" i="3"/>
  <c r="U346" i="3"/>
  <c r="U127" i="3"/>
  <c r="Y127" i="3"/>
  <c r="T127" i="3"/>
  <c r="U202" i="3"/>
  <c r="Y202" i="3"/>
  <c r="T202" i="3"/>
  <c r="Y165" i="3"/>
  <c r="U165" i="3"/>
  <c r="T165" i="3"/>
  <c r="U366" i="3"/>
  <c r="Y366" i="3"/>
  <c r="T366" i="3"/>
  <c r="U389" i="3"/>
  <c r="Y389" i="3"/>
  <c r="T389" i="3"/>
  <c r="U142" i="3"/>
  <c r="Y142" i="3"/>
  <c r="T142" i="3"/>
  <c r="U124" i="3"/>
  <c r="Y124" i="3"/>
  <c r="T124" i="3"/>
  <c r="U326" i="3"/>
  <c r="Y326" i="3"/>
  <c r="U282" i="3"/>
  <c r="Y282" i="3"/>
  <c r="T282" i="3"/>
  <c r="Y98" i="3"/>
  <c r="U98" i="3"/>
  <c r="Y135" i="3"/>
  <c r="U135" i="3"/>
  <c r="Y167" i="3"/>
  <c r="U167" i="3"/>
  <c r="T167" i="3"/>
  <c r="Y76" i="3"/>
  <c r="U76" i="3"/>
  <c r="Y212" i="3"/>
  <c r="U212" i="3"/>
  <c r="U222" i="3"/>
  <c r="Y222" i="3"/>
  <c r="T222" i="3"/>
  <c r="Y376" i="3"/>
  <c r="U376" i="3"/>
  <c r="U322" i="3"/>
  <c r="Y322" i="3"/>
  <c r="T322" i="3"/>
  <c r="U155" i="3"/>
  <c r="Y155" i="3"/>
  <c r="T155" i="3"/>
  <c r="AC193" i="3"/>
  <c r="AB193" i="3"/>
  <c r="W193" i="3"/>
  <c r="AA193" i="3"/>
  <c r="W254" i="3"/>
  <c r="AC254" i="3"/>
  <c r="AB254" i="3"/>
  <c r="AA254" i="3"/>
  <c r="Y287" i="3"/>
  <c r="U287" i="3"/>
  <c r="T287" i="3"/>
  <c r="U72" i="3"/>
  <c r="Y72" i="3"/>
  <c r="W78" i="3"/>
  <c r="AC78" i="3"/>
  <c r="AB78" i="3"/>
  <c r="AA78" i="3"/>
  <c r="U152" i="3"/>
  <c r="Y152" i="3"/>
  <c r="T152" i="3"/>
  <c r="U136" i="3"/>
  <c r="Y136" i="3"/>
  <c r="T136" i="3"/>
  <c r="U257" i="3"/>
  <c r="Y257" i="3"/>
  <c r="T257" i="3"/>
  <c r="Y401" i="3"/>
  <c r="U401" i="3"/>
  <c r="T401" i="3"/>
  <c r="Y303" i="3"/>
  <c r="U303" i="3"/>
  <c r="T303" i="3"/>
  <c r="U278" i="3"/>
  <c r="Y278" i="3"/>
  <c r="T278" i="3"/>
  <c r="Y363" i="3"/>
  <c r="U363" i="3"/>
  <c r="W388" i="3"/>
  <c r="AC388" i="3"/>
  <c r="AB388" i="3"/>
  <c r="AA388" i="3"/>
  <c r="U373" i="3"/>
  <c r="Y373" i="3"/>
  <c r="T373" i="3"/>
  <c r="W440" i="3"/>
  <c r="AC440" i="3"/>
  <c r="AB440" i="3"/>
  <c r="AA440" i="3"/>
  <c r="AC157" i="3"/>
  <c r="AB157" i="3"/>
  <c r="W157" i="3"/>
  <c r="AA157" i="3"/>
  <c r="U331" i="3"/>
  <c r="Y331" i="3"/>
  <c r="T331" i="3"/>
  <c r="AC264" i="3"/>
  <c r="W264" i="3"/>
  <c r="AB264" i="3"/>
  <c r="AA264" i="3"/>
  <c r="Y153" i="3"/>
  <c r="U153" i="3"/>
  <c r="T153" i="3"/>
  <c r="U384" i="3"/>
  <c r="Y384" i="3"/>
  <c r="T384" i="3"/>
  <c r="AB419" i="3"/>
  <c r="AC419" i="3"/>
  <c r="W419" i="3"/>
  <c r="AA419" i="3"/>
  <c r="AB394" i="3"/>
  <c r="AC394" i="3"/>
  <c r="W394" i="3"/>
  <c r="AA394" i="3"/>
  <c r="AB312" i="3"/>
  <c r="AC312" i="3"/>
  <c r="W312" i="3"/>
  <c r="AA312" i="3"/>
  <c r="AC223" i="3"/>
  <c r="AB223" i="3"/>
  <c r="W223" i="3"/>
  <c r="AA223" i="3"/>
  <c r="W145" i="3"/>
  <c r="AB145" i="3"/>
  <c r="AC145" i="3"/>
  <c r="AA145" i="3"/>
  <c r="AB439" i="3"/>
  <c r="W439" i="3"/>
  <c r="AC439" i="3"/>
  <c r="AA439" i="3"/>
  <c r="AC329" i="3"/>
  <c r="W329" i="3"/>
  <c r="AB329" i="3"/>
  <c r="AA329" i="3"/>
  <c r="T441" i="3"/>
  <c r="T154" i="3"/>
  <c r="Y71" i="3"/>
  <c r="AA242" i="3"/>
  <c r="AU36" i="515"/>
  <c r="T245" i="3"/>
  <c r="AA435" i="3"/>
  <c r="AD435" i="3"/>
  <c r="T187" i="3"/>
  <c r="AR25" i="515"/>
  <c r="AA335" i="3"/>
  <c r="AC410" i="3"/>
  <c r="AA248" i="3"/>
  <c r="AA163" i="3"/>
  <c r="AR49" i="515"/>
  <c r="T406" i="3"/>
  <c r="T352" i="3"/>
  <c r="AA309" i="3"/>
  <c r="AA380" i="3"/>
  <c r="AB248" i="3"/>
  <c r="AU33" i="515"/>
  <c r="AA130" i="3"/>
  <c r="T168" i="3"/>
  <c r="AU43" i="515"/>
  <c r="AU23" i="515"/>
  <c r="AU51" i="515"/>
  <c r="AA92" i="3"/>
  <c r="T206" i="3"/>
  <c r="AA356" i="3"/>
  <c r="AU54" i="515"/>
  <c r="AA266" i="3"/>
  <c r="T364" i="3"/>
  <c r="T133" i="3"/>
  <c r="T80" i="3"/>
  <c r="P32" i="515"/>
  <c r="T225" i="3"/>
  <c r="T327" i="3"/>
  <c r="AA414" i="3"/>
  <c r="AC356" i="3"/>
  <c r="BL45" i="515"/>
  <c r="BP45" i="515"/>
  <c r="T428" i="3"/>
  <c r="T308" i="3"/>
  <c r="AU13" i="515"/>
  <c r="AU12" i="515"/>
  <c r="T118" i="3"/>
  <c r="AA93" i="3"/>
  <c r="T149" i="3"/>
  <c r="AU11" i="515"/>
  <c r="AU38" i="515"/>
  <c r="AU17" i="515"/>
  <c r="P45" i="515"/>
  <c r="T358" i="3"/>
  <c r="T438" i="3"/>
  <c r="T131" i="3"/>
  <c r="T276" i="3"/>
  <c r="T362" i="3"/>
  <c r="AA410" i="3"/>
  <c r="T240" i="3"/>
  <c r="T268" i="3"/>
  <c r="T330" i="3"/>
  <c r="T374" i="3"/>
  <c r="T295" i="3"/>
  <c r="AU14" i="515"/>
  <c r="AA207" i="3"/>
  <c r="AD207" i="3"/>
  <c r="AA120" i="3"/>
  <c r="T159" i="3"/>
  <c r="T365" i="3"/>
  <c r="AA176" i="3"/>
  <c r="AD176" i="3"/>
  <c r="AC433" i="3"/>
  <c r="AA321" i="3"/>
  <c r="AD321" i="3"/>
  <c r="T238" i="3"/>
  <c r="T359" i="3"/>
  <c r="AA173" i="3"/>
  <c r="AU27" i="515"/>
  <c r="AA392" i="3"/>
  <c r="AD392" i="3"/>
  <c r="AU31" i="515"/>
  <c r="AU15" i="515"/>
  <c r="T195" i="3"/>
  <c r="AU21" i="515"/>
  <c r="T177" i="3"/>
  <c r="T334" i="3"/>
  <c r="T397" i="3"/>
  <c r="AB87" i="3"/>
  <c r="T263" i="3"/>
  <c r="AA246" i="3"/>
  <c r="T111" i="3"/>
  <c r="AU42" i="515"/>
  <c r="T377" i="3"/>
  <c r="T229" i="3"/>
  <c r="T307" i="3"/>
  <c r="T121" i="3"/>
  <c r="T197" i="3"/>
  <c r="AC248" i="3"/>
  <c r="AA135" i="3"/>
  <c r="AA98" i="3"/>
  <c r="T432" i="3"/>
  <c r="AA76" i="3"/>
  <c r="AU30" i="515"/>
  <c r="AU50" i="515"/>
  <c r="T178" i="3"/>
  <c r="T353" i="3"/>
  <c r="T396" i="3"/>
  <c r="T171" i="3"/>
  <c r="AB266" i="3"/>
  <c r="AC163" i="3"/>
  <c r="T160" i="3"/>
  <c r="T72" i="3"/>
  <c r="T326" i="3"/>
  <c r="T274" i="3"/>
  <c r="T212" i="3"/>
  <c r="Y236" i="3"/>
  <c r="U236" i="3"/>
  <c r="W429" i="3"/>
  <c r="AC429" i="3"/>
  <c r="AB429" i="3"/>
  <c r="AB174" i="3"/>
  <c r="W174" i="3"/>
  <c r="AC174" i="3"/>
  <c r="Y96" i="3"/>
  <c r="U96" i="3"/>
  <c r="U324" i="3"/>
  <c r="Y324" i="3"/>
  <c r="AB290" i="3"/>
  <c r="W290" i="3"/>
  <c r="AC290" i="3"/>
  <c r="AC336" i="3"/>
  <c r="W336" i="3"/>
  <c r="AB336" i="3"/>
  <c r="AB368" i="3"/>
  <c r="AC368" i="3"/>
  <c r="W368" i="3"/>
  <c r="AC272" i="3"/>
  <c r="W272" i="3"/>
  <c r="AB272" i="3"/>
  <c r="AC393" i="3"/>
  <c r="AB393" i="3"/>
  <c r="W393" i="3"/>
  <c r="U107" i="3"/>
  <c r="Y107" i="3"/>
  <c r="W402" i="3"/>
  <c r="AC402" i="3"/>
  <c r="AB402" i="3"/>
  <c r="AC219" i="3"/>
  <c r="W219" i="3"/>
  <c r="AB219" i="3"/>
  <c r="U313" i="3"/>
  <c r="Y313" i="3"/>
  <c r="AC296" i="3"/>
  <c r="AB296" i="3"/>
  <c r="W296" i="3"/>
  <c r="U148" i="3"/>
  <c r="Y148" i="3"/>
  <c r="Y319" i="3"/>
  <c r="U319" i="3"/>
  <c r="U423" i="3"/>
  <c r="Y423" i="3"/>
  <c r="AC416" i="3"/>
  <c r="W416" i="3"/>
  <c r="AB416" i="3"/>
  <c r="Y108" i="3"/>
  <c r="U108" i="3"/>
  <c r="AB328" i="3"/>
  <c r="W328" i="3"/>
  <c r="AC328" i="3"/>
  <c r="Y293" i="3"/>
  <c r="U293" i="3"/>
  <c r="U101" i="3"/>
  <c r="Y101" i="3"/>
  <c r="U95" i="3"/>
  <c r="Y95" i="3"/>
  <c r="W235" i="3"/>
  <c r="AB235" i="3"/>
  <c r="AC235" i="3"/>
  <c r="Y385" i="3"/>
  <c r="U385" i="3"/>
  <c r="U320" i="3"/>
  <c r="Y320" i="3"/>
  <c r="Y84" i="3"/>
  <c r="U84" i="3"/>
  <c r="U415" i="3"/>
  <c r="Y415" i="3"/>
  <c r="U164" i="3"/>
  <c r="Y164" i="3"/>
  <c r="T164" i="3"/>
  <c r="U199" i="3"/>
  <c r="Y199" i="3"/>
  <c r="Y315" i="3"/>
  <c r="U315" i="3"/>
  <c r="Y285" i="3"/>
  <c r="U285" i="3"/>
  <c r="U247" i="3"/>
  <c r="Y247" i="3"/>
  <c r="Y424" i="3"/>
  <c r="U424" i="3"/>
  <c r="U265" i="3"/>
  <c r="Y265" i="3"/>
  <c r="U122" i="3"/>
  <c r="Y122" i="3"/>
  <c r="Y350" i="3"/>
  <c r="U350" i="3"/>
  <c r="U230" i="3"/>
  <c r="Y230" i="3"/>
  <c r="U138" i="3"/>
  <c r="Y138" i="3"/>
  <c r="Y137" i="3"/>
  <c r="U137" i="3"/>
  <c r="W109" i="3"/>
  <c r="AC109" i="3"/>
  <c r="AB109" i="3"/>
  <c r="Y275" i="3"/>
  <c r="U275" i="3"/>
  <c r="Y191" i="3"/>
  <c r="U191" i="3"/>
  <c r="Y269" i="3"/>
  <c r="U269" i="3"/>
  <c r="U113" i="3"/>
  <c r="Y113" i="3"/>
  <c r="Y399" i="3"/>
  <c r="U399" i="3"/>
  <c r="T399" i="3"/>
  <c r="AC294" i="3"/>
  <c r="W294" i="3"/>
  <c r="AB294" i="3"/>
  <c r="U417" i="3"/>
  <c r="Y417" i="3"/>
  <c r="Y82" i="3"/>
  <c r="U82" i="3"/>
  <c r="U418" i="3"/>
  <c r="Y418" i="3"/>
  <c r="Y208" i="3"/>
  <c r="U208" i="3"/>
  <c r="Y88" i="3"/>
  <c r="U88" i="3"/>
  <c r="W244" i="3"/>
  <c r="AC244" i="3"/>
  <c r="AB244" i="3"/>
  <c r="U325" i="3"/>
  <c r="Y325" i="3"/>
  <c r="AB317" i="3"/>
  <c r="AC317" i="3"/>
  <c r="W317" i="3"/>
  <c r="AB270" i="3"/>
  <c r="W270" i="3"/>
  <c r="AC270" i="3"/>
  <c r="U333" i="3"/>
  <c r="Y333" i="3"/>
  <c r="Y234" i="3"/>
  <c r="U234" i="3"/>
  <c r="U404" i="3"/>
  <c r="Y404" i="3"/>
  <c r="T404" i="3"/>
  <c r="Y85" i="3"/>
  <c r="U85" i="3"/>
  <c r="U407" i="3"/>
  <c r="Y407" i="3"/>
  <c r="T236" i="3"/>
  <c r="T424" i="3"/>
  <c r="T108" i="3"/>
  <c r="T183" i="3"/>
  <c r="T96" i="3"/>
  <c r="T208" i="3"/>
  <c r="T320" i="3"/>
  <c r="T88" i="3"/>
  <c r="T417" i="3"/>
  <c r="T418" i="3"/>
  <c r="T82" i="3"/>
  <c r="T85" i="3"/>
  <c r="T234" i="3"/>
  <c r="T275" i="3"/>
  <c r="T199" i="3"/>
  <c r="Y254" i="3"/>
  <c r="U254" i="3"/>
  <c r="U378" i="3"/>
  <c r="Y378" i="3"/>
  <c r="Y387" i="3"/>
  <c r="U387" i="3"/>
  <c r="Y381" i="3"/>
  <c r="U381" i="3"/>
  <c r="Y193" i="3"/>
  <c r="U193" i="3"/>
  <c r="Y344" i="3"/>
  <c r="U344" i="3"/>
  <c r="U226" i="3"/>
  <c r="Y226" i="3"/>
  <c r="U174" i="3"/>
  <c r="Y174" i="3"/>
  <c r="U259" i="3"/>
  <c r="Y259" i="3"/>
  <c r="Y83" i="3"/>
  <c r="U83" i="3"/>
  <c r="U78" i="3"/>
  <c r="Y78" i="3"/>
  <c r="Y440" i="3"/>
  <c r="U440" i="3"/>
  <c r="U429" i="3"/>
  <c r="Y429" i="3"/>
  <c r="U255" i="3"/>
  <c r="Y255" i="3"/>
  <c r="U103" i="3"/>
  <c r="Y103" i="3"/>
  <c r="Y243" i="3"/>
  <c r="U243" i="3"/>
  <c r="U413" i="3"/>
  <c r="Y413" i="3"/>
  <c r="Y345" i="3"/>
  <c r="U345" i="3"/>
  <c r="U388" i="3"/>
  <c r="Y388" i="3"/>
  <c r="Y147" i="3"/>
  <c r="U147" i="3"/>
  <c r="U157" i="3"/>
  <c r="Y157" i="3"/>
  <c r="Y264" i="3"/>
  <c r="U264" i="3"/>
  <c r="U105" i="3"/>
  <c r="Y105" i="3"/>
  <c r="Y175" i="3"/>
  <c r="U175" i="3"/>
  <c r="Y194" i="3"/>
  <c r="U194" i="3"/>
  <c r="U256" i="3"/>
  <c r="Y256" i="3"/>
  <c r="U336" i="3"/>
  <c r="Y336" i="3"/>
  <c r="Y393" i="3"/>
  <c r="U393" i="3"/>
  <c r="U290" i="3"/>
  <c r="Y290" i="3"/>
  <c r="U368" i="3"/>
  <c r="Y368" i="3"/>
  <c r="U272" i="3"/>
  <c r="Y272" i="3"/>
  <c r="Y158" i="3"/>
  <c r="U158" i="3"/>
  <c r="U402" i="3"/>
  <c r="Y402" i="3"/>
  <c r="Y219" i="3"/>
  <c r="U219" i="3"/>
  <c r="U419" i="3"/>
  <c r="Y419" i="3"/>
  <c r="Y296" i="3"/>
  <c r="U296" i="3"/>
  <c r="U431" i="3"/>
  <c r="Y431" i="3"/>
  <c r="U117" i="3"/>
  <c r="Y117" i="3"/>
  <c r="U416" i="3"/>
  <c r="Y416" i="3"/>
  <c r="Y328" i="3"/>
  <c r="U328" i="3"/>
  <c r="Y340" i="3"/>
  <c r="U340" i="3"/>
  <c r="U235" i="3"/>
  <c r="Y235" i="3"/>
  <c r="Y100" i="3"/>
  <c r="U100" i="3"/>
  <c r="Y357" i="3"/>
  <c r="U357" i="3"/>
  <c r="Y311" i="3"/>
  <c r="U311" i="3"/>
  <c r="T311" i="3"/>
  <c r="Y369" i="3"/>
  <c r="U369" i="3"/>
  <c r="U394" i="3"/>
  <c r="Y394" i="3"/>
  <c r="U74" i="3"/>
  <c r="Y74" i="3"/>
  <c r="Y114" i="3"/>
  <c r="U114" i="3"/>
  <c r="Y189" i="3"/>
  <c r="U189" i="3"/>
  <c r="Y119" i="3"/>
  <c r="U119" i="3"/>
  <c r="T119" i="3"/>
  <c r="Y267" i="3"/>
  <c r="U267" i="3"/>
  <c r="U109" i="3"/>
  <c r="Y109" i="3"/>
  <c r="Y134" i="3"/>
  <c r="U134" i="3"/>
  <c r="U294" i="3"/>
  <c r="Y294" i="3"/>
  <c r="U312" i="3"/>
  <c r="Y312" i="3"/>
  <c r="Y143" i="3"/>
  <c r="U143" i="3"/>
  <c r="T143" i="3"/>
  <c r="Y298" i="3"/>
  <c r="U298" i="3"/>
  <c r="Y351" i="3"/>
  <c r="U351" i="3"/>
  <c r="T351" i="3"/>
  <c r="U280" i="3"/>
  <c r="Y280" i="3"/>
  <c r="U75" i="3"/>
  <c r="Y75" i="3"/>
  <c r="U379" i="3"/>
  <c r="Y379" i="3"/>
  <c r="U223" i="3"/>
  <c r="Y223" i="3"/>
  <c r="U244" i="3"/>
  <c r="Y244" i="3"/>
  <c r="Y116" i="3"/>
  <c r="U116" i="3"/>
  <c r="Y104" i="3"/>
  <c r="U104" i="3"/>
  <c r="U90" i="3"/>
  <c r="Y90" i="3"/>
  <c r="Y289" i="3"/>
  <c r="U289" i="3"/>
  <c r="Y317" i="3"/>
  <c r="U317" i="3"/>
  <c r="U270" i="3"/>
  <c r="Y270" i="3"/>
  <c r="U425" i="3"/>
  <c r="Y425" i="3"/>
  <c r="T425" i="3"/>
  <c r="Y145" i="3"/>
  <c r="U145" i="3"/>
  <c r="Y273" i="3"/>
  <c r="U273" i="3"/>
  <c r="T273" i="3"/>
  <c r="U146" i="3"/>
  <c r="Y146" i="3"/>
  <c r="Y439" i="3"/>
  <c r="U439" i="3"/>
  <c r="U284" i="3"/>
  <c r="Y284" i="3"/>
  <c r="U132" i="3"/>
  <c r="Y132" i="3"/>
  <c r="U314" i="3"/>
  <c r="Y314" i="3"/>
  <c r="U329" i="3"/>
  <c r="Y329" i="3"/>
  <c r="U302" i="3"/>
  <c r="Y302" i="3"/>
  <c r="T302" i="3"/>
  <c r="U372" i="3"/>
  <c r="Y372" i="3"/>
  <c r="T372" i="3"/>
  <c r="AA429" i="3"/>
  <c r="AA174" i="3"/>
  <c r="T324" i="3"/>
  <c r="AA290" i="3"/>
  <c r="AA336" i="3"/>
  <c r="AA368" i="3"/>
  <c r="AA272" i="3"/>
  <c r="AA393" i="3"/>
  <c r="AD393" i="3"/>
  <c r="T107" i="3"/>
  <c r="AA402" i="3"/>
  <c r="AA219" i="3"/>
  <c r="T313" i="3"/>
  <c r="AA296" i="3"/>
  <c r="T319" i="3"/>
  <c r="T423" i="3"/>
  <c r="AA416" i="3"/>
  <c r="AA328" i="3"/>
  <c r="T293" i="3"/>
  <c r="T101" i="3"/>
  <c r="T95" i="3"/>
  <c r="AA235" i="3"/>
  <c r="T194" i="3"/>
  <c r="T84" i="3"/>
  <c r="T415" i="3"/>
  <c r="T315" i="3"/>
  <c r="T344" i="3"/>
  <c r="T247" i="3"/>
  <c r="AA109" i="3"/>
  <c r="T138" i="3"/>
  <c r="T74" i="3"/>
  <c r="T179" i="3"/>
  <c r="T191" i="3"/>
  <c r="AA294" i="3"/>
  <c r="AD294" i="3"/>
  <c r="T269" i="3"/>
  <c r="T147" i="3"/>
  <c r="T137" i="3"/>
  <c r="T285" i="3"/>
  <c r="T180" i="3"/>
  <c r="T90" i="3"/>
  <c r="T298" i="3"/>
  <c r="T256" i="3"/>
  <c r="T431" i="3"/>
  <c r="AA244" i="3"/>
  <c r="T340" i="3"/>
  <c r="T104" i="3"/>
  <c r="T385" i="3"/>
  <c r="T255" i="3"/>
  <c r="T83" i="3"/>
  <c r="T100" i="3"/>
  <c r="T230" i="3"/>
  <c r="T280" i="3"/>
  <c r="AA317" i="3"/>
  <c r="AA270" i="3"/>
  <c r="T75" i="3"/>
  <c r="T333" i="3"/>
  <c r="T378" i="3"/>
  <c r="T265" i="3"/>
  <c r="T103" i="3"/>
  <c r="T113" i="3"/>
  <c r="T132" i="3"/>
  <c r="T148" i="3"/>
  <c r="T122" i="3"/>
  <c r="T350" i="3"/>
  <c r="T407" i="3"/>
  <c r="T369" i="3"/>
  <c r="T325" i="3"/>
  <c r="T175" i="3"/>
  <c r="T146" i="3"/>
  <c r="T116" i="3"/>
  <c r="T134" i="3"/>
  <c r="T345" i="3"/>
  <c r="T158" i="3"/>
  <c r="T226" i="3"/>
  <c r="T314" i="3"/>
  <c r="T289" i="3"/>
  <c r="U390" i="3"/>
  <c r="Y390" i="3"/>
  <c r="W390" i="3"/>
  <c r="AC390" i="3"/>
  <c r="AB390" i="3"/>
  <c r="AD76" i="3"/>
  <c r="AD246" i="3"/>
  <c r="AD173" i="3"/>
  <c r="AD120" i="3"/>
  <c r="W184" i="3"/>
  <c r="AA184" i="3"/>
  <c r="AC184" i="3"/>
  <c r="AB184" i="3"/>
  <c r="W241" i="3"/>
  <c r="W179" i="3"/>
  <c r="AB179" i="3"/>
  <c r="AC179" i="3"/>
  <c r="AA179" i="3"/>
  <c r="AB241" i="3"/>
  <c r="BK32" i="515"/>
  <c r="BO32" i="515"/>
  <c r="AC178" i="3"/>
  <c r="AC180" i="3"/>
  <c r="AC183" i="3"/>
  <c r="BL24" i="515"/>
  <c r="AA178" i="3"/>
  <c r="AB178" i="3"/>
  <c r="AD390" i="3"/>
  <c r="AD219" i="3"/>
  <c r="W183" i="3"/>
  <c r="AB183" i="3"/>
  <c r="AA183" i="3"/>
  <c r="AD183" i="3"/>
  <c r="AD98" i="3"/>
  <c r="AD414" i="3"/>
  <c r="AD380" i="3"/>
  <c r="AD335" i="3"/>
  <c r="W180" i="3"/>
  <c r="AA180" i="3"/>
  <c r="AB180" i="3"/>
  <c r="AD402" i="3"/>
  <c r="AD368" i="3"/>
  <c r="AD174" i="3"/>
  <c r="AD130" i="3"/>
  <c r="AA241" i="3"/>
  <c r="AI17" i="515"/>
  <c r="AH17" i="515"/>
  <c r="AJ17" i="515"/>
  <c r="AG17" i="515"/>
  <c r="AI54" i="515"/>
  <c r="AH54" i="515"/>
  <c r="AJ54" i="515"/>
  <c r="AG54" i="515"/>
  <c r="AI28" i="515"/>
  <c r="AJ28" i="515"/>
  <c r="AG28" i="515"/>
  <c r="AH28" i="515"/>
  <c r="AI55" i="515"/>
  <c r="AH55" i="515"/>
  <c r="AJ55" i="515"/>
  <c r="AG55" i="515"/>
  <c r="AJ15" i="515"/>
  <c r="AI15" i="515"/>
  <c r="AH15" i="515"/>
  <c r="AG15" i="515"/>
  <c r="AI41" i="515"/>
  <c r="AJ41" i="515"/>
  <c r="AG41" i="515"/>
  <c r="AH41" i="515"/>
  <c r="AI38" i="515"/>
  <c r="AH38" i="515"/>
  <c r="AJ38" i="515"/>
  <c r="AG38" i="515"/>
  <c r="AH12" i="515"/>
  <c r="AG12" i="515"/>
  <c r="AJ12" i="515"/>
  <c r="AI12" i="515"/>
  <c r="AI31" i="515"/>
  <c r="AH31" i="515"/>
  <c r="AJ31" i="515"/>
  <c r="AG31" i="515"/>
  <c r="AI39" i="515"/>
  <c r="AH39" i="515"/>
  <c r="AJ39" i="515"/>
  <c r="AG39" i="515"/>
  <c r="AI30" i="515"/>
  <c r="AH30" i="515"/>
  <c r="AJ30" i="515"/>
  <c r="AG30" i="515"/>
  <c r="AI46" i="515"/>
  <c r="AH46" i="515"/>
  <c r="AJ46" i="515"/>
  <c r="AG46" i="515"/>
  <c r="AJ42" i="515"/>
  <c r="AG42" i="515"/>
  <c r="AI42" i="515"/>
  <c r="AH42" i="515"/>
  <c r="AG29" i="515"/>
  <c r="AH29" i="515"/>
  <c r="AI29" i="515"/>
  <c r="AJ29" i="515"/>
  <c r="AG48" i="515"/>
  <c r="AH48" i="515"/>
  <c r="AI48" i="515"/>
  <c r="AJ48" i="515"/>
  <c r="AJ34" i="515"/>
  <c r="AG34" i="515"/>
  <c r="AI34" i="515"/>
  <c r="AH34" i="515"/>
  <c r="AJ20" i="515"/>
  <c r="AG20" i="515"/>
  <c r="AI20" i="515"/>
  <c r="AH20" i="515"/>
  <c r="AD161" i="3"/>
  <c r="AD323" i="3"/>
  <c r="AG18" i="515"/>
  <c r="AH18" i="515"/>
  <c r="AI18" i="515"/>
  <c r="AJ18" i="515"/>
  <c r="AG45" i="515"/>
  <c r="AH45" i="515"/>
  <c r="AI45" i="515"/>
  <c r="AJ45" i="515"/>
  <c r="AI19" i="515"/>
  <c r="AJ19" i="515"/>
  <c r="AG19" i="515"/>
  <c r="AH19" i="515"/>
  <c r="AG32" i="515"/>
  <c r="AH32" i="515"/>
  <c r="AI32" i="515"/>
  <c r="AJ32" i="515"/>
  <c r="AG37" i="515"/>
  <c r="AH37" i="515"/>
  <c r="AI37" i="515"/>
  <c r="AJ37" i="515"/>
  <c r="AG53" i="515"/>
  <c r="AH53" i="515"/>
  <c r="AI53" i="515"/>
  <c r="AJ53" i="515"/>
  <c r="AI49" i="515"/>
  <c r="AJ49" i="515"/>
  <c r="AG49" i="515"/>
  <c r="AH49" i="515"/>
  <c r="AI52" i="515"/>
  <c r="AJ52" i="515"/>
  <c r="AG52" i="515"/>
  <c r="AH52" i="515"/>
  <c r="AI33" i="515"/>
  <c r="AJ33" i="515"/>
  <c r="AG33" i="515"/>
  <c r="AH33" i="515"/>
  <c r="AI36" i="515"/>
  <c r="AJ36" i="515"/>
  <c r="AG36" i="515"/>
  <c r="AH36" i="515"/>
  <c r="AG56" i="515"/>
  <c r="AH56" i="515"/>
  <c r="AI56" i="515"/>
  <c r="AJ56" i="515"/>
  <c r="AG11" i="515"/>
  <c r="AI11" i="515"/>
  <c r="AH11" i="515"/>
  <c r="AJ11" i="515"/>
  <c r="AJ27" i="515"/>
  <c r="AG27" i="515"/>
  <c r="AI27" i="515"/>
  <c r="AH27" i="515"/>
  <c r="AI16" i="515"/>
  <c r="AH16" i="515"/>
  <c r="AJ16" i="515"/>
  <c r="AG16" i="515"/>
  <c r="AI44" i="515"/>
  <c r="AJ44" i="515"/>
  <c r="AG44" i="515"/>
  <c r="AH44" i="515"/>
  <c r="AJ51" i="515"/>
  <c r="AG51" i="515"/>
  <c r="AI51" i="515"/>
  <c r="AH51" i="515"/>
  <c r="AJ43" i="515"/>
  <c r="AG43" i="515"/>
  <c r="AI43" i="515"/>
  <c r="AH43" i="515"/>
  <c r="AJ50" i="515"/>
  <c r="AG50" i="515"/>
  <c r="AI50" i="515"/>
  <c r="AH50" i="515"/>
  <c r="AH22" i="515"/>
  <c r="AI22" i="515"/>
  <c r="AG22" i="515"/>
  <c r="AJ22" i="515"/>
  <c r="AH26" i="515"/>
  <c r="AI26" i="515"/>
  <c r="AG26" i="515"/>
  <c r="AJ26" i="515"/>
  <c r="AH24" i="515"/>
  <c r="AG24" i="515"/>
  <c r="AG21" i="515"/>
  <c r="AJ21" i="515"/>
  <c r="AH21" i="515"/>
  <c r="AI21" i="515"/>
  <c r="AG25" i="515"/>
  <c r="AJ25" i="515"/>
  <c r="AH25" i="515"/>
  <c r="AI25" i="515"/>
  <c r="AH23" i="515"/>
  <c r="AI23" i="515"/>
  <c r="AG23" i="515"/>
  <c r="AJ23" i="515"/>
  <c r="AI24" i="515"/>
  <c r="AJ13" i="515"/>
  <c r="AG13" i="515"/>
  <c r="AI13" i="515"/>
  <c r="AH13" i="515"/>
  <c r="AW24" i="515"/>
  <c r="R24" i="515"/>
  <c r="AP24" i="515"/>
  <c r="AV24" i="515"/>
  <c r="AD284" i="3"/>
  <c r="AD379" i="3"/>
  <c r="AD267" i="3"/>
  <c r="AD189" i="3"/>
  <c r="AD114" i="3"/>
  <c r="AD357" i="3"/>
  <c r="AD117" i="3"/>
  <c r="AD105" i="3"/>
  <c r="AD243" i="3"/>
  <c r="AD259" i="3"/>
  <c r="AD381" i="3"/>
  <c r="AD387" i="3"/>
  <c r="P53" i="515"/>
  <c r="E54" i="39124"/>
  <c r="AD201" i="3"/>
  <c r="P41" i="515"/>
  <c r="AE42" i="39124"/>
  <c r="P13" i="515"/>
  <c r="E14" i="39124"/>
  <c r="AD317" i="3"/>
  <c r="AD109" i="3"/>
  <c r="AD157" i="3"/>
  <c r="AD440" i="3"/>
  <c r="AD416" i="3"/>
  <c r="BL33" i="515"/>
  <c r="AD254" i="3"/>
  <c r="AD290" i="3"/>
  <c r="AD193" i="3"/>
  <c r="BP33" i="515"/>
  <c r="E36" i="39124"/>
  <c r="AE36" i="39124"/>
  <c r="E42" i="39124"/>
  <c r="AC158" i="3"/>
  <c r="AB158" i="3"/>
  <c r="W158" i="3"/>
  <c r="AA158" i="3"/>
  <c r="AB325" i="3"/>
  <c r="AC325" i="3"/>
  <c r="W325" i="3"/>
  <c r="AA325" i="3"/>
  <c r="W122" i="3"/>
  <c r="AC122" i="3"/>
  <c r="AB122" i="3"/>
  <c r="AA122" i="3"/>
  <c r="W103" i="3"/>
  <c r="AB103" i="3"/>
  <c r="AC103" i="3"/>
  <c r="AA103" i="3"/>
  <c r="W83" i="3"/>
  <c r="AB83" i="3"/>
  <c r="AC83" i="3"/>
  <c r="AA83" i="3"/>
  <c r="W340" i="3"/>
  <c r="AB340" i="3"/>
  <c r="AC340" i="3"/>
  <c r="AA340" i="3"/>
  <c r="W298" i="3"/>
  <c r="AC298" i="3"/>
  <c r="AB298" i="3"/>
  <c r="AA298" i="3"/>
  <c r="AB137" i="3"/>
  <c r="W137" i="3"/>
  <c r="AC137" i="3"/>
  <c r="AA137" i="3"/>
  <c r="AC191" i="3"/>
  <c r="AB191" i="3"/>
  <c r="W191" i="3"/>
  <c r="AA191" i="3"/>
  <c r="W415" i="3"/>
  <c r="AB415" i="3"/>
  <c r="AC415" i="3"/>
  <c r="AA415" i="3"/>
  <c r="AB95" i="3"/>
  <c r="W95" i="3"/>
  <c r="AC95" i="3"/>
  <c r="AA95" i="3"/>
  <c r="AC293" i="3"/>
  <c r="AB293" i="3"/>
  <c r="W293" i="3"/>
  <c r="AA293" i="3"/>
  <c r="AB319" i="3"/>
  <c r="AC319" i="3"/>
  <c r="W319" i="3"/>
  <c r="AA319" i="3"/>
  <c r="AB372" i="3"/>
  <c r="AC372" i="3"/>
  <c r="W372" i="3"/>
  <c r="AA372" i="3"/>
  <c r="W273" i="3"/>
  <c r="AB273" i="3"/>
  <c r="AC273" i="3"/>
  <c r="AA273" i="3"/>
  <c r="W351" i="3"/>
  <c r="AB351" i="3"/>
  <c r="AC351" i="3"/>
  <c r="AA351" i="3"/>
  <c r="AB199" i="3"/>
  <c r="AC199" i="3"/>
  <c r="W199" i="3"/>
  <c r="AA199" i="3"/>
  <c r="AB82" i="3"/>
  <c r="W82" i="3"/>
  <c r="AC82" i="3"/>
  <c r="AA82" i="3"/>
  <c r="AC96" i="3"/>
  <c r="AB96" i="3"/>
  <c r="W96" i="3"/>
  <c r="AA96" i="3"/>
  <c r="AC399" i="3"/>
  <c r="AB399" i="3"/>
  <c r="W399" i="3"/>
  <c r="AA399" i="3"/>
  <c r="AB212" i="3"/>
  <c r="W212" i="3"/>
  <c r="AC212" i="3"/>
  <c r="AA212" i="3"/>
  <c r="AB326" i="3"/>
  <c r="AC326" i="3"/>
  <c r="W326" i="3"/>
  <c r="AA326" i="3"/>
  <c r="W160" i="3"/>
  <c r="AB160" i="3"/>
  <c r="AC160" i="3"/>
  <c r="AA160" i="3"/>
  <c r="AB171" i="3"/>
  <c r="W171" i="3"/>
  <c r="AC171" i="3"/>
  <c r="AA171" i="3"/>
  <c r="AC353" i="3"/>
  <c r="W353" i="3"/>
  <c r="AB353" i="3"/>
  <c r="AA353" i="3"/>
  <c r="AR42" i="515"/>
  <c r="AX42" i="515"/>
  <c r="AC334" i="3"/>
  <c r="W334" i="3"/>
  <c r="AB334" i="3"/>
  <c r="AA334" i="3"/>
  <c r="AR21" i="515"/>
  <c r="AC238" i="3"/>
  <c r="W238" i="3"/>
  <c r="AB238" i="3"/>
  <c r="AA238" i="3"/>
  <c r="W295" i="3"/>
  <c r="AB295" i="3"/>
  <c r="P39" i="515"/>
  <c r="AA295" i="3"/>
  <c r="AC295" i="3"/>
  <c r="AB240" i="3"/>
  <c r="AC240" i="3"/>
  <c r="W240" i="3"/>
  <c r="AA240" i="3"/>
  <c r="AD240" i="3"/>
  <c r="AR17" i="515"/>
  <c r="AX17" i="515"/>
  <c r="AR12" i="515"/>
  <c r="W308" i="3"/>
  <c r="AC308" i="3"/>
  <c r="BL40" i="515"/>
  <c r="P40" i="515"/>
  <c r="AA308" i="3"/>
  <c r="AB308" i="3"/>
  <c r="BK40" i="515"/>
  <c r="BO40" i="515"/>
  <c r="W327" i="3"/>
  <c r="P42" i="515"/>
  <c r="AC327" i="3"/>
  <c r="AA327" i="3"/>
  <c r="AB327" i="3"/>
  <c r="E33" i="39124"/>
  <c r="AE33" i="39124"/>
  <c r="W133" i="3"/>
  <c r="AC133" i="3"/>
  <c r="P18" i="515"/>
  <c r="AB133" i="3"/>
  <c r="AA133" i="3"/>
  <c r="AD266" i="3"/>
  <c r="AR54" i="515"/>
  <c r="AX54" i="515"/>
  <c r="AC206" i="3"/>
  <c r="W206" i="3"/>
  <c r="AB206" i="3"/>
  <c r="AA206" i="3"/>
  <c r="BP51" i="515"/>
  <c r="AR51" i="515"/>
  <c r="AR23" i="515"/>
  <c r="AX23" i="515"/>
  <c r="W168" i="3"/>
  <c r="AB168" i="3"/>
  <c r="AC168" i="3"/>
  <c r="AA168" i="3"/>
  <c r="P22" i="515"/>
  <c r="AR33" i="515"/>
  <c r="AX33" i="515"/>
  <c r="W352" i="3"/>
  <c r="AC352" i="3"/>
  <c r="AB352" i="3"/>
  <c r="AA352" i="3"/>
  <c r="AW49" i="515"/>
  <c r="AV49" i="515"/>
  <c r="AP49" i="515"/>
  <c r="R49" i="515"/>
  <c r="AD248" i="3"/>
  <c r="AR36" i="515"/>
  <c r="AX36" i="515"/>
  <c r="AY46" i="515"/>
  <c r="BB46" i="515"/>
  <c r="AY12" i="515"/>
  <c r="BB12" i="515"/>
  <c r="AY8" i="515"/>
  <c r="AZ55" i="515"/>
  <c r="BC55" i="515"/>
  <c r="AY22" i="515"/>
  <c r="BB22" i="515"/>
  <c r="AZ35" i="515"/>
  <c r="BC35" i="515"/>
  <c r="BA38" i="515"/>
  <c r="BD38" i="515"/>
  <c r="AY17" i="515"/>
  <c r="BB17" i="515"/>
  <c r="BA51" i="515"/>
  <c r="BD51" i="515"/>
  <c r="AY33" i="515"/>
  <c r="BB33" i="515"/>
  <c r="AY38" i="515"/>
  <c r="BB38" i="515"/>
  <c r="AZ45" i="515"/>
  <c r="BC45" i="515"/>
  <c r="AZ33" i="515"/>
  <c r="BC33" i="515"/>
  <c r="BA25" i="515"/>
  <c r="BA18" i="515"/>
  <c r="BD18" i="515"/>
  <c r="AY9" i="515"/>
  <c r="BA39" i="515"/>
  <c r="BD39" i="515"/>
  <c r="BA54" i="515"/>
  <c r="BD54" i="515"/>
  <c r="BA10" i="515"/>
  <c r="AZ19" i="515"/>
  <c r="BC19" i="515"/>
  <c r="BA40" i="515"/>
  <c r="BD40" i="515"/>
  <c r="AY23" i="515"/>
  <c r="BB23" i="515"/>
  <c r="BA13" i="515"/>
  <c r="BD13" i="515"/>
  <c r="AZ23" i="515"/>
  <c r="BC23" i="515"/>
  <c r="BA16" i="515"/>
  <c r="BD16" i="515"/>
  <c r="BA45" i="515"/>
  <c r="BD45" i="515"/>
  <c r="AY20" i="515"/>
  <c r="BB20" i="515"/>
  <c r="AZ15" i="515"/>
  <c r="BC15" i="515"/>
  <c r="AY47" i="515"/>
  <c r="BB47" i="515"/>
  <c r="AY35" i="515"/>
  <c r="BB35" i="515"/>
  <c r="AZ26" i="515"/>
  <c r="BC26" i="515"/>
  <c r="BA46" i="515"/>
  <c r="BD46" i="515"/>
  <c r="AY51" i="515"/>
  <c r="BB51" i="515"/>
  <c r="AZ42" i="515"/>
  <c r="BC42" i="515"/>
  <c r="AZ47" i="515"/>
  <c r="BC47" i="515"/>
  <c r="AY52" i="515"/>
  <c r="BB52" i="515"/>
  <c r="AY18" i="515"/>
  <c r="BB18" i="515"/>
  <c r="AY34" i="515"/>
  <c r="BB34" i="515"/>
  <c r="AY14" i="515"/>
  <c r="BB14" i="515"/>
  <c r="BA35" i="515"/>
  <c r="BD35" i="515"/>
  <c r="AZ53" i="515"/>
  <c r="BC53" i="515"/>
  <c r="AY54" i="515"/>
  <c r="BB54" i="515"/>
  <c r="AZ34" i="515"/>
  <c r="BC34" i="515"/>
  <c r="AY31" i="515"/>
  <c r="BB31" i="515"/>
  <c r="AY36" i="515"/>
  <c r="BB36" i="515"/>
  <c r="AY48" i="515"/>
  <c r="BB48" i="515"/>
  <c r="AZ22" i="515"/>
  <c r="BC22" i="515"/>
  <c r="AY16" i="515"/>
  <c r="BB16" i="515"/>
  <c r="AY56" i="515"/>
  <c r="BB56" i="515"/>
  <c r="BA33" i="515"/>
  <c r="BD33" i="515"/>
  <c r="BA47" i="515"/>
  <c r="BD47" i="515"/>
  <c r="BA15" i="515"/>
  <c r="BD15" i="515"/>
  <c r="AZ10" i="515"/>
  <c r="AY41" i="515"/>
  <c r="BB41" i="515"/>
  <c r="BA52" i="515"/>
  <c r="BD52" i="515"/>
  <c r="AY27" i="515"/>
  <c r="BB27" i="515"/>
  <c r="AZ29" i="515"/>
  <c r="BC29" i="515"/>
  <c r="AZ36" i="515"/>
  <c r="BC36" i="515"/>
  <c r="AZ41" i="515"/>
  <c r="BC41" i="515"/>
  <c r="AZ31" i="515"/>
  <c r="BC31" i="515"/>
  <c r="BA49" i="515"/>
  <c r="BD49" i="515"/>
  <c r="BA48" i="515"/>
  <c r="BD48" i="515"/>
  <c r="AY42" i="515"/>
  <c r="BB42" i="515"/>
  <c r="AY21" i="515"/>
  <c r="BB21" i="515"/>
  <c r="BA37" i="515"/>
  <c r="AZ28" i="515"/>
  <c r="BC28" i="515"/>
  <c r="BA30" i="515"/>
  <c r="BD30" i="515"/>
  <c r="AY37" i="515"/>
  <c r="BB37" i="515"/>
  <c r="BA8" i="515"/>
  <c r="AZ13" i="515"/>
  <c r="BC13" i="515"/>
  <c r="AY39" i="515"/>
  <c r="BB39" i="515"/>
  <c r="AY19" i="515"/>
  <c r="BB19" i="515"/>
  <c r="BA9" i="515"/>
  <c r="AZ27" i="515"/>
  <c r="BC27" i="515"/>
  <c r="AZ21" i="515"/>
  <c r="BC21" i="515"/>
  <c r="BA17" i="515"/>
  <c r="BD17" i="515"/>
  <c r="AY53" i="515"/>
  <c r="BB53" i="515"/>
  <c r="AY25" i="515"/>
  <c r="BB25" i="515"/>
  <c r="BA23" i="515"/>
  <c r="BD23" i="515"/>
  <c r="BA21" i="515"/>
  <c r="BD21" i="515"/>
  <c r="AY45" i="515"/>
  <c r="BB45" i="515"/>
  <c r="AZ54" i="515"/>
  <c r="BC54" i="515"/>
  <c r="BA44" i="515"/>
  <c r="BD44" i="515"/>
  <c r="AY28" i="515"/>
  <c r="BB28" i="515"/>
  <c r="AZ49" i="515"/>
  <c r="BC49" i="515"/>
  <c r="BA29" i="515"/>
  <c r="BD29" i="515"/>
  <c r="AZ16" i="515"/>
  <c r="BC16" i="515"/>
  <c r="AY30" i="515"/>
  <c r="BB30" i="515"/>
  <c r="BA50" i="515"/>
  <c r="BD50" i="515"/>
  <c r="BA32" i="515"/>
  <c r="BD32" i="515"/>
  <c r="AZ32" i="515"/>
  <c r="BC32" i="515"/>
  <c r="AZ50" i="515"/>
  <c r="BC50" i="515"/>
  <c r="BA12" i="515"/>
  <c r="BD12" i="515"/>
  <c r="AY26" i="515"/>
  <c r="BB26" i="515"/>
  <c r="BA7" i="515"/>
  <c r="AZ18" i="515"/>
  <c r="BC18" i="515"/>
  <c r="AZ30" i="515"/>
  <c r="BC30" i="515"/>
  <c r="BA28" i="515"/>
  <c r="BD28" i="515"/>
  <c r="AY29" i="515"/>
  <c r="BB29" i="515"/>
  <c r="AY49" i="515"/>
  <c r="BB49" i="515"/>
  <c r="AY10" i="515"/>
  <c r="AY24" i="515"/>
  <c r="BA11" i="515"/>
  <c r="BD11" i="515"/>
  <c r="BA42" i="515"/>
  <c r="BD42" i="515"/>
  <c r="AY50" i="515"/>
  <c r="BB50" i="515"/>
  <c r="AY11" i="515"/>
  <c r="BB11" i="515"/>
  <c r="BA27" i="515"/>
  <c r="BD27" i="515"/>
  <c r="BA26" i="515"/>
  <c r="BD26" i="515"/>
  <c r="BA56" i="515"/>
  <c r="BD56" i="515"/>
  <c r="BA24" i="515"/>
  <c r="BD24" i="515"/>
  <c r="BA41" i="515"/>
  <c r="BD41" i="515"/>
  <c r="AY55" i="515"/>
  <c r="BB55" i="515"/>
  <c r="BA19" i="515"/>
  <c r="BD19" i="515"/>
  <c r="AZ51" i="515"/>
  <c r="BC51" i="515"/>
  <c r="AY32" i="515"/>
  <c r="BB32" i="515"/>
  <c r="BA36" i="515"/>
  <c r="BD36" i="515"/>
  <c r="AY7" i="515"/>
  <c r="BA55" i="515"/>
  <c r="BD55" i="515"/>
  <c r="AZ43" i="515"/>
  <c r="BC43" i="515"/>
  <c r="AY40" i="515"/>
  <c r="BB40" i="515"/>
  <c r="AZ39" i="515"/>
  <c r="BC39" i="515"/>
  <c r="AZ25" i="515"/>
  <c r="BC25" i="515"/>
  <c r="AZ44" i="515"/>
  <c r="BC44" i="515"/>
  <c r="AZ9" i="515"/>
  <c r="AY43" i="515"/>
  <c r="BB43" i="515"/>
  <c r="AZ40" i="515"/>
  <c r="BC40" i="515"/>
  <c r="AZ52" i="515"/>
  <c r="BC52" i="515"/>
  <c r="BA31" i="515"/>
  <c r="BD31" i="515"/>
  <c r="AZ24" i="515"/>
  <c r="AZ38" i="515"/>
  <c r="BC38" i="515"/>
  <c r="BA14" i="515"/>
  <c r="BD14" i="515"/>
  <c r="AY13" i="515"/>
  <c r="BB13" i="515"/>
  <c r="AZ48" i="515"/>
  <c r="BC48" i="515"/>
  <c r="BA22" i="515"/>
  <c r="BD22" i="515"/>
  <c r="BA43" i="515"/>
  <c r="BD43" i="515"/>
  <c r="AZ20" i="515"/>
  <c r="BC20" i="515"/>
  <c r="AY15" i="515"/>
  <c r="BB15" i="515"/>
  <c r="AZ46" i="515"/>
  <c r="BC46" i="515"/>
  <c r="BA34" i="515"/>
  <c r="BD34" i="515"/>
  <c r="BA53" i="515"/>
  <c r="BD53" i="515"/>
  <c r="AZ11" i="515"/>
  <c r="BC11" i="515"/>
  <c r="AZ14" i="515"/>
  <c r="BC14" i="515"/>
  <c r="AY44" i="515"/>
  <c r="BB44" i="515"/>
  <c r="AZ8" i="515"/>
  <c r="AZ12" i="515"/>
  <c r="BC12" i="515"/>
  <c r="AZ17" i="515"/>
  <c r="BC17" i="515"/>
  <c r="AZ37" i="515"/>
  <c r="BC37" i="515"/>
  <c r="AZ56" i="515"/>
  <c r="BC56" i="515"/>
  <c r="BA20" i="515"/>
  <c r="BD20" i="515"/>
  <c r="AZ7" i="515"/>
  <c r="P56" i="515"/>
  <c r="W441" i="3"/>
  <c r="AC441" i="3"/>
  <c r="BL56" i="515"/>
  <c r="BP56" i="515"/>
  <c r="AB441" i="3"/>
  <c r="BK56" i="515"/>
  <c r="BO56" i="515"/>
  <c r="AA441" i="3"/>
  <c r="AC153" i="3"/>
  <c r="W153" i="3"/>
  <c r="AB153" i="3"/>
  <c r="AA153" i="3"/>
  <c r="AC373" i="3"/>
  <c r="AB373" i="3"/>
  <c r="W373" i="3"/>
  <c r="AA373" i="3"/>
  <c r="W303" i="3"/>
  <c r="AB303" i="3"/>
  <c r="AC303" i="3"/>
  <c r="AA303" i="3"/>
  <c r="W257" i="3"/>
  <c r="AB257" i="3"/>
  <c r="AC257" i="3"/>
  <c r="AA257" i="3"/>
  <c r="W152" i="3"/>
  <c r="AC152" i="3"/>
  <c r="AB152" i="3"/>
  <c r="AA152" i="3"/>
  <c r="W155" i="3"/>
  <c r="AB155" i="3"/>
  <c r="AC155" i="3"/>
  <c r="AA155" i="3"/>
  <c r="AC222" i="3"/>
  <c r="AB222" i="3"/>
  <c r="W222" i="3"/>
  <c r="AA222" i="3"/>
  <c r="AB282" i="3"/>
  <c r="W282" i="3"/>
  <c r="AC282" i="3"/>
  <c r="AA282" i="3"/>
  <c r="W142" i="3"/>
  <c r="AB142" i="3"/>
  <c r="AC142" i="3"/>
  <c r="AA142" i="3"/>
  <c r="AB366" i="3"/>
  <c r="W366" i="3"/>
  <c r="AC366" i="3"/>
  <c r="AA366" i="3"/>
  <c r="AC202" i="3"/>
  <c r="W202" i="3"/>
  <c r="AB202" i="3"/>
  <c r="AA202" i="3"/>
  <c r="AC112" i="3"/>
  <c r="W112" i="3"/>
  <c r="AB112" i="3"/>
  <c r="AA112" i="3"/>
  <c r="AC306" i="3"/>
  <c r="W306" i="3"/>
  <c r="AB306" i="3"/>
  <c r="AA306" i="3"/>
  <c r="W237" i="3"/>
  <c r="AC237" i="3"/>
  <c r="AC233" i="3"/>
  <c r="AC234" i="3"/>
  <c r="AC236" i="3"/>
  <c r="AC239" i="3"/>
  <c r="BL31" i="515"/>
  <c r="BP31" i="515"/>
  <c r="AB237" i="3"/>
  <c r="AA237" i="3"/>
  <c r="AC210" i="3"/>
  <c r="W210" i="3"/>
  <c r="AB210" i="3"/>
  <c r="AA210" i="3"/>
  <c r="W386" i="3"/>
  <c r="AC386" i="3"/>
  <c r="AB386" i="3"/>
  <c r="AA386" i="3"/>
  <c r="AC395" i="3"/>
  <c r="AB395" i="3"/>
  <c r="W395" i="3"/>
  <c r="AA395" i="3"/>
  <c r="AB301" i="3"/>
  <c r="AC301" i="3"/>
  <c r="W301" i="3"/>
  <c r="AA301" i="3"/>
  <c r="AC420" i="3"/>
  <c r="W420" i="3"/>
  <c r="AB420" i="3"/>
  <c r="AA420" i="3"/>
  <c r="AB211" i="3"/>
  <c r="AC211" i="3"/>
  <c r="W211" i="3"/>
  <c r="AA211" i="3"/>
  <c r="AB186" i="3"/>
  <c r="BK25" i="515"/>
  <c r="BO25" i="515"/>
  <c r="AC186" i="3"/>
  <c r="BL25" i="515"/>
  <c r="BP25" i="515"/>
  <c r="W186" i="3"/>
  <c r="AA186" i="3"/>
  <c r="AB141" i="3"/>
  <c r="W141" i="3"/>
  <c r="AC141" i="3"/>
  <c r="AA141" i="3"/>
  <c r="AR55" i="515"/>
  <c r="AX55" i="515"/>
  <c r="AB129" i="3"/>
  <c r="AC129" i="3"/>
  <c r="W129" i="3"/>
  <c r="AA129" i="3"/>
  <c r="AD129" i="3"/>
  <c r="W81" i="3"/>
  <c r="AC81" i="3"/>
  <c r="AB81" i="3"/>
  <c r="AA81" i="3"/>
  <c r="AD81" i="3"/>
  <c r="W371" i="3"/>
  <c r="AC371" i="3"/>
  <c r="AB371" i="3"/>
  <c r="AA371" i="3"/>
  <c r="AD371" i="3"/>
  <c r="AB412" i="3"/>
  <c r="AC412" i="3"/>
  <c r="W412" i="3"/>
  <c r="AA412" i="3"/>
  <c r="AD412" i="3"/>
  <c r="AC156" i="3"/>
  <c r="AB156" i="3"/>
  <c r="W156" i="3"/>
  <c r="AA156" i="3"/>
  <c r="AB77" i="3"/>
  <c r="W77" i="3"/>
  <c r="AC77" i="3"/>
  <c r="AA77" i="3"/>
  <c r="AD77" i="3"/>
  <c r="AC279" i="3"/>
  <c r="W279" i="3"/>
  <c r="AB279" i="3"/>
  <c r="AA279" i="3"/>
  <c r="AB102" i="3"/>
  <c r="W102" i="3"/>
  <c r="AC102" i="3"/>
  <c r="AA102" i="3"/>
  <c r="AD102" i="3"/>
  <c r="E34" i="39124"/>
  <c r="AE34" i="39124"/>
  <c r="AB286" i="3"/>
  <c r="AC286" i="3"/>
  <c r="W286" i="3"/>
  <c r="AA286" i="3"/>
  <c r="AR34" i="515"/>
  <c r="BG34" i="515"/>
  <c r="AC231" i="3"/>
  <c r="W231" i="3"/>
  <c r="AB231" i="3"/>
  <c r="AA231" i="3"/>
  <c r="AB297" i="3"/>
  <c r="AC297" i="3"/>
  <c r="W297" i="3"/>
  <c r="AA297" i="3"/>
  <c r="AB361" i="3"/>
  <c r="W361" i="3"/>
  <c r="AC361" i="3"/>
  <c r="AA361" i="3"/>
  <c r="AR18" i="515"/>
  <c r="AX18" i="515"/>
  <c r="AR47" i="515"/>
  <c r="BG47" i="515"/>
  <c r="AR29" i="515"/>
  <c r="AX29" i="515"/>
  <c r="AR16" i="515"/>
  <c r="AX16" i="515"/>
  <c r="AR44" i="515"/>
  <c r="BG44" i="515"/>
  <c r="AR48" i="515"/>
  <c r="AX48" i="515"/>
  <c r="AR46" i="515"/>
  <c r="AX46" i="515"/>
  <c r="AR26" i="515"/>
  <c r="AX26" i="515"/>
  <c r="AR28" i="515"/>
  <c r="AX28" i="515"/>
  <c r="W71" i="3"/>
  <c r="AB71" i="3"/>
  <c r="AA71" i="3"/>
  <c r="T442" i="3"/>
  <c r="W442" i="3"/>
  <c r="P11" i="515"/>
  <c r="AC71" i="3"/>
  <c r="W217" i="3"/>
  <c r="AC217" i="3"/>
  <c r="AB217" i="3"/>
  <c r="AA217" i="3"/>
  <c r="W434" i="3"/>
  <c r="AC434" i="3"/>
  <c r="AB434" i="3"/>
  <c r="AA434" i="3"/>
  <c r="AB198" i="3"/>
  <c r="W198" i="3"/>
  <c r="AC198" i="3"/>
  <c r="AA198" i="3"/>
  <c r="W426" i="3"/>
  <c r="AB426" i="3"/>
  <c r="AB422" i="3"/>
  <c r="AB423" i="3"/>
  <c r="AB424" i="3"/>
  <c r="AB425" i="3"/>
  <c r="AB72" i="3"/>
  <c r="AB73" i="3"/>
  <c r="AB74" i="3"/>
  <c r="AB75" i="3"/>
  <c r="AB79" i="3"/>
  <c r="AB80" i="3"/>
  <c r="AB84" i="3"/>
  <c r="AB85" i="3"/>
  <c r="AB86" i="3"/>
  <c r="AB88" i="3"/>
  <c r="AB89" i="3"/>
  <c r="AB90" i="3"/>
  <c r="AB94" i="3"/>
  <c r="AB97" i="3"/>
  <c r="AB99" i="3"/>
  <c r="AB100" i="3"/>
  <c r="AB101" i="3"/>
  <c r="AB104" i="3"/>
  <c r="AB107" i="3"/>
  <c r="AB108" i="3"/>
  <c r="AB110" i="3"/>
  <c r="AB111" i="3"/>
  <c r="AB113" i="3"/>
  <c r="AB115" i="3"/>
  <c r="AB116" i="3"/>
  <c r="AB118" i="3"/>
  <c r="AB119" i="3"/>
  <c r="AB121" i="3"/>
  <c r="AB123" i="3"/>
  <c r="AB124" i="3"/>
  <c r="AB125" i="3"/>
  <c r="AB126" i="3"/>
  <c r="AB127" i="3"/>
  <c r="AB128" i="3"/>
  <c r="AB131" i="3"/>
  <c r="AB132" i="3"/>
  <c r="AB134" i="3"/>
  <c r="AB136" i="3"/>
  <c r="AB138" i="3"/>
  <c r="AB139" i="3"/>
  <c r="AB140" i="3"/>
  <c r="AB143" i="3"/>
  <c r="AB144" i="3"/>
  <c r="AB146" i="3"/>
  <c r="AB147" i="3"/>
  <c r="AB148" i="3"/>
  <c r="AB149" i="3"/>
  <c r="AB150" i="3"/>
  <c r="AB151" i="3"/>
  <c r="AB154" i="3"/>
  <c r="AB159" i="3"/>
  <c r="AB162" i="3"/>
  <c r="AB164" i="3"/>
  <c r="AB165" i="3"/>
  <c r="AB166" i="3"/>
  <c r="AB167" i="3"/>
  <c r="AB169" i="3"/>
  <c r="AB170" i="3"/>
  <c r="AB172" i="3"/>
  <c r="AB175" i="3"/>
  <c r="AB177" i="3"/>
  <c r="AB187" i="3"/>
  <c r="AB188" i="3"/>
  <c r="AB192" i="3"/>
  <c r="AB194" i="3"/>
  <c r="AB195" i="3"/>
  <c r="AB196" i="3"/>
  <c r="AB197" i="3"/>
  <c r="AB200" i="3"/>
  <c r="AB203" i="3"/>
  <c r="AB204" i="3"/>
  <c r="AB208" i="3"/>
  <c r="AB209" i="3"/>
  <c r="AB213" i="3"/>
  <c r="AB214" i="3"/>
  <c r="AB215" i="3"/>
  <c r="AB216" i="3"/>
  <c r="AB218" i="3"/>
  <c r="AB220" i="3"/>
  <c r="AB221" i="3"/>
  <c r="AB224" i="3"/>
  <c r="AB225" i="3"/>
  <c r="AB226" i="3"/>
  <c r="AB229" i="3"/>
  <c r="AB230" i="3"/>
  <c r="AB233" i="3"/>
  <c r="AB234" i="3"/>
  <c r="AB236" i="3"/>
  <c r="AB239" i="3"/>
  <c r="AB245" i="3"/>
  <c r="AB247" i="3"/>
  <c r="AB249" i="3"/>
  <c r="AB251" i="3"/>
  <c r="AB252" i="3"/>
  <c r="AB253" i="3"/>
  <c r="AB255" i="3"/>
  <c r="AB256" i="3"/>
  <c r="AB258" i="3"/>
  <c r="AB260" i="3"/>
  <c r="AB261" i="3"/>
  <c r="AB262" i="3"/>
  <c r="AB263" i="3"/>
  <c r="AB265" i="3"/>
  <c r="AB268" i="3"/>
  <c r="AB269" i="3"/>
  <c r="AB274" i="3"/>
  <c r="AB275" i="3"/>
  <c r="AB276" i="3"/>
  <c r="AB277" i="3"/>
  <c r="AB278" i="3"/>
  <c r="AB280" i="3"/>
  <c r="AB281" i="3"/>
  <c r="AB283" i="3"/>
  <c r="AB285" i="3"/>
  <c r="AB287" i="3"/>
  <c r="AB288" i="3"/>
  <c r="AB289" i="3"/>
  <c r="AB291" i="3"/>
  <c r="AB292" i="3"/>
  <c r="AB299" i="3"/>
  <c r="AB300" i="3"/>
  <c r="AB302" i="3"/>
  <c r="AB304" i="3"/>
  <c r="AB305" i="3"/>
  <c r="AB307" i="3"/>
  <c r="AB310" i="3"/>
  <c r="AB311" i="3"/>
  <c r="AB313" i="3"/>
  <c r="AB314" i="3"/>
  <c r="AB315" i="3"/>
  <c r="AB316" i="3"/>
  <c r="AB318" i="3"/>
  <c r="AB320" i="3"/>
  <c r="AB322" i="3"/>
  <c r="AB324" i="3"/>
  <c r="AB330" i="3"/>
  <c r="AB331" i="3"/>
  <c r="AB332" i="3"/>
  <c r="AB333" i="3"/>
  <c r="AB337" i="3"/>
  <c r="AB338" i="3"/>
  <c r="AB339" i="3"/>
  <c r="AB341" i="3"/>
  <c r="AB342" i="3"/>
  <c r="AB344" i="3"/>
  <c r="AB345" i="3"/>
  <c r="AB347" i="3"/>
  <c r="AB348" i="3"/>
  <c r="AB349" i="3"/>
  <c r="AB350" i="3"/>
  <c r="AB354" i="3"/>
  <c r="AB355" i="3"/>
  <c r="AB358" i="3"/>
  <c r="AB359" i="3"/>
  <c r="AB360" i="3"/>
  <c r="AB362" i="3"/>
  <c r="AB364" i="3"/>
  <c r="AB365" i="3"/>
  <c r="AB367" i="3"/>
  <c r="AB369" i="3"/>
  <c r="AB370" i="3"/>
  <c r="AB374" i="3"/>
  <c r="AB375" i="3"/>
  <c r="AB377" i="3"/>
  <c r="AB378" i="3"/>
  <c r="AB382" i="3"/>
  <c r="AB383" i="3"/>
  <c r="AB384" i="3"/>
  <c r="AB385" i="3"/>
  <c r="AB389" i="3"/>
  <c r="AB391" i="3"/>
  <c r="AB396" i="3"/>
  <c r="AB397" i="3"/>
  <c r="AB398" i="3"/>
  <c r="AB400" i="3"/>
  <c r="AB401" i="3"/>
  <c r="AB403" i="3"/>
  <c r="AB404" i="3"/>
  <c r="AB405" i="3"/>
  <c r="AB406" i="3"/>
  <c r="AB407" i="3"/>
  <c r="AB409" i="3"/>
  <c r="AB411" i="3"/>
  <c r="AB417" i="3"/>
  <c r="AB418" i="3"/>
  <c r="AB427" i="3"/>
  <c r="AB428" i="3"/>
  <c r="AB430" i="3"/>
  <c r="AB431" i="3"/>
  <c r="AB432" i="3"/>
  <c r="AB436" i="3"/>
  <c r="AB437" i="3"/>
  <c r="AB438" i="3"/>
  <c r="BK53" i="515"/>
  <c r="BO53" i="515"/>
  <c r="AC426" i="3"/>
  <c r="AA426" i="3"/>
  <c r="W233" i="3"/>
  <c r="BK31" i="515"/>
  <c r="BO31" i="515"/>
  <c r="AA233" i="3"/>
  <c r="W218" i="3"/>
  <c r="AC218" i="3"/>
  <c r="AA218" i="3"/>
  <c r="W354" i="3"/>
  <c r="AC354" i="3"/>
  <c r="AA354" i="3"/>
  <c r="W370" i="3"/>
  <c r="AC370" i="3"/>
  <c r="AA370" i="3"/>
  <c r="AC252" i="3"/>
  <c r="W252" i="3"/>
  <c r="AA252" i="3"/>
  <c r="W140" i="3"/>
  <c r="AC140" i="3"/>
  <c r="AA140" i="3"/>
  <c r="W204" i="3"/>
  <c r="AC204" i="3"/>
  <c r="AA204" i="3"/>
  <c r="AC318" i="3"/>
  <c r="AC310" i="3"/>
  <c r="AC311" i="3"/>
  <c r="AC313" i="3"/>
  <c r="AC314" i="3"/>
  <c r="AC72" i="3"/>
  <c r="AC73" i="3"/>
  <c r="AC74" i="3"/>
  <c r="AC75" i="3"/>
  <c r="AC79" i="3"/>
  <c r="AC80" i="3"/>
  <c r="AC84" i="3"/>
  <c r="AC85" i="3"/>
  <c r="AC86" i="3"/>
  <c r="AC88" i="3"/>
  <c r="AC89" i="3"/>
  <c r="AC90" i="3"/>
  <c r="AC94" i="3"/>
  <c r="AC97" i="3"/>
  <c r="AC99" i="3"/>
  <c r="AC100" i="3"/>
  <c r="AC101" i="3"/>
  <c r="AC104" i="3"/>
  <c r="AC107" i="3"/>
  <c r="AC108" i="3"/>
  <c r="AC110" i="3"/>
  <c r="AC111" i="3"/>
  <c r="AC113" i="3"/>
  <c r="AC115" i="3"/>
  <c r="AC116" i="3"/>
  <c r="AC118" i="3"/>
  <c r="AC119" i="3"/>
  <c r="AC121" i="3"/>
  <c r="AC123" i="3"/>
  <c r="AC124" i="3"/>
  <c r="AC125" i="3"/>
  <c r="AC126" i="3"/>
  <c r="AC127" i="3"/>
  <c r="AC128" i="3"/>
  <c r="AC131" i="3"/>
  <c r="AC132" i="3"/>
  <c r="AC134" i="3"/>
  <c r="AC136" i="3"/>
  <c r="AC138" i="3"/>
  <c r="AC139" i="3"/>
  <c r="AC143" i="3"/>
  <c r="AC144" i="3"/>
  <c r="AC146" i="3"/>
  <c r="AC147" i="3"/>
  <c r="AC148" i="3"/>
  <c r="AC149" i="3"/>
  <c r="AC150" i="3"/>
  <c r="AC151" i="3"/>
  <c r="AC154" i="3"/>
  <c r="AC159" i="3"/>
  <c r="AC162" i="3"/>
  <c r="AC164" i="3"/>
  <c r="AC165" i="3"/>
  <c r="AC166" i="3"/>
  <c r="AC167" i="3"/>
  <c r="AC169" i="3"/>
  <c r="AC170" i="3"/>
  <c r="AC172" i="3"/>
  <c r="AC175" i="3"/>
  <c r="AC177" i="3"/>
  <c r="AC187" i="3"/>
  <c r="AC188" i="3"/>
  <c r="AC192" i="3"/>
  <c r="AC194" i="3"/>
  <c r="AC195" i="3"/>
  <c r="AC196" i="3"/>
  <c r="AC197" i="3"/>
  <c r="AC200" i="3"/>
  <c r="AC203" i="3"/>
  <c r="AC208" i="3"/>
  <c r="AC209" i="3"/>
  <c r="AC213" i="3"/>
  <c r="AC214" i="3"/>
  <c r="AC215" i="3"/>
  <c r="AC216" i="3"/>
  <c r="AC220" i="3"/>
  <c r="AC221" i="3"/>
  <c r="AC224" i="3"/>
  <c r="AC225" i="3"/>
  <c r="AC226" i="3"/>
  <c r="AC229" i="3"/>
  <c r="AC230" i="3"/>
  <c r="AC245" i="3"/>
  <c r="AC247" i="3"/>
  <c r="AC249" i="3"/>
  <c r="AC251" i="3"/>
  <c r="AC253" i="3"/>
  <c r="AC255" i="3"/>
  <c r="AC256" i="3"/>
  <c r="AC258" i="3"/>
  <c r="AC260" i="3"/>
  <c r="AC261" i="3"/>
  <c r="AC262" i="3"/>
  <c r="AC263" i="3"/>
  <c r="AC265" i="3"/>
  <c r="AC268" i="3"/>
  <c r="AC269" i="3"/>
  <c r="AC274" i="3"/>
  <c r="AC275" i="3"/>
  <c r="AC276" i="3"/>
  <c r="AC277" i="3"/>
  <c r="AC278" i="3"/>
  <c r="AC280" i="3"/>
  <c r="AC281" i="3"/>
  <c r="AC283" i="3"/>
  <c r="AC285" i="3"/>
  <c r="AC287" i="3"/>
  <c r="AC288" i="3"/>
  <c r="AC289" i="3"/>
  <c r="AC291" i="3"/>
  <c r="AC292" i="3"/>
  <c r="AC299" i="3"/>
  <c r="AC300" i="3"/>
  <c r="AC302" i="3"/>
  <c r="AC304" i="3"/>
  <c r="AC305" i="3"/>
  <c r="AC307" i="3"/>
  <c r="AC315" i="3"/>
  <c r="AC316" i="3"/>
  <c r="AC320" i="3"/>
  <c r="AC322" i="3"/>
  <c r="AC324" i="3"/>
  <c r="AC330" i="3"/>
  <c r="AC331" i="3"/>
  <c r="AC332" i="3"/>
  <c r="AC333" i="3"/>
  <c r="AC337" i="3"/>
  <c r="AC338" i="3"/>
  <c r="AC339" i="3"/>
  <c r="AC341" i="3"/>
  <c r="AC342" i="3"/>
  <c r="AC344" i="3"/>
  <c r="AC345" i="3"/>
  <c r="AC347" i="3"/>
  <c r="AC348" i="3"/>
  <c r="AC349" i="3"/>
  <c r="AC350" i="3"/>
  <c r="AC355" i="3"/>
  <c r="AC358" i="3"/>
  <c r="AC359" i="3"/>
  <c r="AC360" i="3"/>
  <c r="AC362" i="3"/>
  <c r="AC364" i="3"/>
  <c r="AC365" i="3"/>
  <c r="AC367" i="3"/>
  <c r="AC369" i="3"/>
  <c r="AC374" i="3"/>
  <c r="AC375" i="3"/>
  <c r="AC377" i="3"/>
  <c r="AC378" i="3"/>
  <c r="AC382" i="3"/>
  <c r="AC383" i="3"/>
  <c r="AC384" i="3"/>
  <c r="AC385" i="3"/>
  <c r="AC389" i="3"/>
  <c r="AC391" i="3"/>
  <c r="AC396" i="3"/>
  <c r="AC397" i="3"/>
  <c r="AC398" i="3"/>
  <c r="AC400" i="3"/>
  <c r="AC401" i="3"/>
  <c r="AC403" i="3"/>
  <c r="AC404" i="3"/>
  <c r="AC405" i="3"/>
  <c r="AC406" i="3"/>
  <c r="AC407" i="3"/>
  <c r="AC411" i="3"/>
  <c r="AC417" i="3"/>
  <c r="AC418" i="3"/>
  <c r="AC422" i="3"/>
  <c r="AC423" i="3"/>
  <c r="AC424" i="3"/>
  <c r="AC425" i="3"/>
  <c r="AC427" i="3"/>
  <c r="AC428" i="3"/>
  <c r="AC430" i="3"/>
  <c r="AC431" i="3"/>
  <c r="AC432" i="3"/>
  <c r="AC436" i="3"/>
  <c r="AC437" i="3"/>
  <c r="AC438" i="3"/>
  <c r="BL41" i="515"/>
  <c r="BP41" i="515"/>
  <c r="W318" i="3"/>
  <c r="AA318" i="3"/>
  <c r="W348" i="3"/>
  <c r="AA348" i="3"/>
  <c r="W166" i="3"/>
  <c r="AA166" i="3"/>
  <c r="W405" i="3"/>
  <c r="AA405" i="3"/>
  <c r="W360" i="3"/>
  <c r="AA360" i="3"/>
  <c r="W110" i="3"/>
  <c r="AA110" i="3"/>
  <c r="W304" i="3"/>
  <c r="AA304" i="3"/>
  <c r="W151" i="3"/>
  <c r="AA151" i="3"/>
  <c r="W86" i="3"/>
  <c r="AA86" i="3"/>
  <c r="W200" i="3"/>
  <c r="AA200" i="3"/>
  <c r="W260" i="3"/>
  <c r="AA260" i="3"/>
  <c r="W291" i="3"/>
  <c r="AA291" i="3"/>
  <c r="W262" i="3"/>
  <c r="AA262" i="3"/>
  <c r="W258" i="3"/>
  <c r="AA258" i="3"/>
  <c r="W213" i="3"/>
  <c r="AA213" i="3"/>
  <c r="W79" i="3"/>
  <c r="AA79" i="3"/>
  <c r="W239" i="3"/>
  <c r="AA239" i="3"/>
  <c r="W139" i="3"/>
  <c r="AA139" i="3"/>
  <c r="W283" i="3"/>
  <c r="AA283" i="3"/>
  <c r="E15" i="39124"/>
  <c r="AE15" i="39124"/>
  <c r="W188" i="3"/>
  <c r="AA188" i="3"/>
  <c r="W97" i="3"/>
  <c r="AA97" i="3"/>
  <c r="AR20" i="515"/>
  <c r="AX20" i="515"/>
  <c r="AP32" i="515"/>
  <c r="AW32" i="515"/>
  <c r="AV32" i="515"/>
  <c r="BF32" i="515"/>
  <c r="R32" i="515"/>
  <c r="AW35" i="515"/>
  <c r="AV35" i="515"/>
  <c r="BE35" i="515"/>
  <c r="AP35" i="515"/>
  <c r="R35" i="515"/>
  <c r="BF35" i="515"/>
  <c r="AD232" i="3"/>
  <c r="AW19" i="515"/>
  <c r="AP19" i="515"/>
  <c r="BE19" i="515"/>
  <c r="AV19" i="515"/>
  <c r="R19" i="515"/>
  <c r="BE37" i="515"/>
  <c r="AP37" i="515"/>
  <c r="AV37" i="515"/>
  <c r="AW37" i="515"/>
  <c r="BF37" i="515"/>
  <c r="R37" i="515"/>
  <c r="AP52" i="515"/>
  <c r="AV52" i="515"/>
  <c r="AW52" i="515"/>
  <c r="R52" i="515"/>
  <c r="BJ25" i="515"/>
  <c r="BN25" i="515"/>
  <c r="AD185" i="3"/>
  <c r="AP56" i="515"/>
  <c r="AV56" i="515"/>
  <c r="AW56" i="515"/>
  <c r="R56" i="515"/>
  <c r="P19" i="515"/>
  <c r="P52" i="515"/>
  <c r="AX49" i="515"/>
  <c r="U442" i="3"/>
  <c r="P15" i="515"/>
  <c r="BP14" i="515"/>
  <c r="AD363" i="3"/>
  <c r="AD346" i="3"/>
  <c r="AD91" i="3"/>
  <c r="AD271" i="3"/>
  <c r="AD227" i="3"/>
  <c r="AD190" i="3"/>
  <c r="AD343" i="3"/>
  <c r="AD408" i="3"/>
  <c r="BG32" i="515"/>
  <c r="P31" i="515"/>
  <c r="AD106" i="3"/>
  <c r="AD376" i="3"/>
  <c r="AX37" i="515"/>
  <c r="W314" i="3"/>
  <c r="AA314" i="3"/>
  <c r="W134" i="3"/>
  <c r="AA134" i="3"/>
  <c r="W146" i="3"/>
  <c r="AA146" i="3"/>
  <c r="W407" i="3"/>
  <c r="AA407" i="3"/>
  <c r="W132" i="3"/>
  <c r="AA132" i="3"/>
  <c r="W378" i="3"/>
  <c r="AA378" i="3"/>
  <c r="W75" i="3"/>
  <c r="AA75" i="3"/>
  <c r="BK30" i="515"/>
  <c r="BO30" i="515"/>
  <c r="W230" i="3"/>
  <c r="AA230" i="3"/>
  <c r="W385" i="3"/>
  <c r="AA385" i="3"/>
  <c r="W431" i="3"/>
  <c r="AA431" i="3"/>
  <c r="W269" i="3"/>
  <c r="AA269" i="3"/>
  <c r="W74" i="3"/>
  <c r="AA74" i="3"/>
  <c r="W344" i="3"/>
  <c r="AA344" i="3"/>
  <c r="W194" i="3"/>
  <c r="AA194" i="3"/>
  <c r="W313" i="3"/>
  <c r="AA313" i="3"/>
  <c r="W119" i="3"/>
  <c r="AA119" i="3"/>
  <c r="W234" i="3"/>
  <c r="AA234" i="3"/>
  <c r="W417" i="3"/>
  <c r="AA417" i="3"/>
  <c r="W320" i="3"/>
  <c r="AA320" i="3"/>
  <c r="W108" i="3"/>
  <c r="AA108" i="3"/>
  <c r="W236" i="3"/>
  <c r="AA236" i="3"/>
  <c r="W164" i="3"/>
  <c r="BK21" i="515"/>
  <c r="BO21" i="515"/>
  <c r="AA164" i="3"/>
  <c r="AR50" i="515"/>
  <c r="W121" i="3"/>
  <c r="AA121" i="3"/>
  <c r="W229" i="3"/>
  <c r="AA229" i="3"/>
  <c r="BJ30" i="515"/>
  <c r="BN30" i="515"/>
  <c r="AR15" i="515"/>
  <c r="AX15" i="515"/>
  <c r="W365" i="3"/>
  <c r="P48" i="515"/>
  <c r="AA365" i="3"/>
  <c r="W330" i="3"/>
  <c r="AA330" i="3"/>
  <c r="W362" i="3"/>
  <c r="AA362" i="3"/>
  <c r="W131" i="3"/>
  <c r="P17" i="515"/>
  <c r="AA131" i="3"/>
  <c r="P46" i="515"/>
  <c r="W358" i="3"/>
  <c r="AA358" i="3"/>
  <c r="AU57" i="515"/>
  <c r="B22" i="39125"/>
  <c r="AR11" i="515"/>
  <c r="BG11" i="515"/>
  <c r="D4" i="868"/>
  <c r="AD93" i="3"/>
  <c r="W289" i="3"/>
  <c r="AA289" i="3"/>
  <c r="W226" i="3"/>
  <c r="AA226" i="3"/>
  <c r="W345" i="3"/>
  <c r="AA345" i="3"/>
  <c r="W116" i="3"/>
  <c r="AA116" i="3"/>
  <c r="W175" i="3"/>
  <c r="AA175" i="3"/>
  <c r="W369" i="3"/>
  <c r="AA369" i="3"/>
  <c r="W350" i="3"/>
  <c r="AA350" i="3"/>
  <c r="W148" i="3"/>
  <c r="AA148" i="3"/>
  <c r="W113" i="3"/>
  <c r="AA113" i="3"/>
  <c r="W265" i="3"/>
  <c r="AA265" i="3"/>
  <c r="W333" i="3"/>
  <c r="AA333" i="3"/>
  <c r="W280" i="3"/>
  <c r="AA280" i="3"/>
  <c r="W100" i="3"/>
  <c r="AA100" i="3"/>
  <c r="W255" i="3"/>
  <c r="AA255" i="3"/>
  <c r="W104" i="3"/>
  <c r="AA104" i="3"/>
  <c r="W256" i="3"/>
  <c r="AA256" i="3"/>
  <c r="W90" i="3"/>
  <c r="AA90" i="3"/>
  <c r="W285" i="3"/>
  <c r="AA285" i="3"/>
  <c r="W147" i="3"/>
  <c r="AA147" i="3"/>
  <c r="W138" i="3"/>
  <c r="AA138" i="3"/>
  <c r="W247" i="3"/>
  <c r="AA247" i="3"/>
  <c r="W315" i="3"/>
  <c r="AA315" i="3"/>
  <c r="W84" i="3"/>
  <c r="AA84" i="3"/>
  <c r="W101" i="3"/>
  <c r="AA101" i="3"/>
  <c r="W423" i="3"/>
  <c r="AA423" i="3"/>
  <c r="W107" i="3"/>
  <c r="AA107" i="3"/>
  <c r="W324" i="3"/>
  <c r="AA324" i="3"/>
  <c r="W302" i="3"/>
  <c r="AA302" i="3"/>
  <c r="W425" i="3"/>
  <c r="AA425" i="3"/>
  <c r="W143" i="3"/>
  <c r="AA143" i="3"/>
  <c r="W311" i="3"/>
  <c r="AA311" i="3"/>
  <c r="W275" i="3"/>
  <c r="AA275" i="3"/>
  <c r="W85" i="3"/>
  <c r="AA85" i="3"/>
  <c r="W418" i="3"/>
  <c r="AA418" i="3"/>
  <c r="W88" i="3"/>
  <c r="AA88" i="3"/>
  <c r="W208" i="3"/>
  <c r="AA208" i="3"/>
  <c r="W424" i="3"/>
  <c r="AA424" i="3"/>
  <c r="W404" i="3"/>
  <c r="AA404" i="3"/>
  <c r="W274" i="3"/>
  <c r="AA274" i="3"/>
  <c r="W72" i="3"/>
  <c r="AA72" i="3"/>
  <c r="W396" i="3"/>
  <c r="AA396" i="3"/>
  <c r="W178" i="3"/>
  <c r="P24" i="515"/>
  <c r="AR30" i="515"/>
  <c r="AX30" i="515"/>
  <c r="W432" i="3"/>
  <c r="AA432" i="3"/>
  <c r="AD135" i="3"/>
  <c r="W197" i="3"/>
  <c r="AA197" i="3"/>
  <c r="W307" i="3"/>
  <c r="AA307" i="3"/>
  <c r="W377" i="3"/>
  <c r="AA377" i="3"/>
  <c r="W111" i="3"/>
  <c r="AA111" i="3"/>
  <c r="W263" i="3"/>
  <c r="P37" i="515"/>
  <c r="AA263" i="3"/>
  <c r="BL37" i="515"/>
  <c r="BP37" i="515"/>
  <c r="W397" i="3"/>
  <c r="AA397" i="3"/>
  <c r="W177" i="3"/>
  <c r="AA177" i="3"/>
  <c r="W195" i="3"/>
  <c r="P27" i="515"/>
  <c r="AA195" i="3"/>
  <c r="AR31" i="515"/>
  <c r="AR27" i="515"/>
  <c r="AX27" i="515"/>
  <c r="W359" i="3"/>
  <c r="AA359" i="3"/>
  <c r="W159" i="3"/>
  <c r="AA159" i="3"/>
  <c r="AR14" i="515"/>
  <c r="W374" i="3"/>
  <c r="P49" i="515"/>
  <c r="AA374" i="3"/>
  <c r="W268" i="3"/>
  <c r="AA268" i="3"/>
  <c r="AD410" i="3"/>
  <c r="W276" i="3"/>
  <c r="AA276" i="3"/>
  <c r="W438" i="3"/>
  <c r="AA438" i="3"/>
  <c r="E46" i="39124"/>
  <c r="AE46" i="39124"/>
  <c r="AR38" i="515"/>
  <c r="BG38" i="515"/>
  <c r="W149" i="3"/>
  <c r="AA149" i="3"/>
  <c r="W118" i="3"/>
  <c r="P16" i="515"/>
  <c r="AA118" i="3"/>
  <c r="AR13" i="515"/>
  <c r="AX13" i="515"/>
  <c r="W428" i="3"/>
  <c r="AA428" i="3"/>
  <c r="W225" i="3"/>
  <c r="AA225" i="3"/>
  <c r="W80" i="3"/>
  <c r="P12" i="515"/>
  <c r="AA80" i="3"/>
  <c r="W364" i="3"/>
  <c r="P47" i="515"/>
  <c r="BK47" i="515"/>
  <c r="BO47" i="515"/>
  <c r="BL47" i="515"/>
  <c r="BP47" i="515"/>
  <c r="AA364" i="3"/>
  <c r="BJ45" i="515"/>
  <c r="BN45" i="515"/>
  <c r="AD356" i="3"/>
  <c r="AE357" i="3"/>
  <c r="BI45" i="515"/>
  <c r="BM45" i="515"/>
  <c r="BJ14" i="515"/>
  <c r="BN14" i="515"/>
  <c r="AD92" i="3"/>
  <c r="AE92" i="3"/>
  <c r="BI14" i="515"/>
  <c r="BE53" i="515"/>
  <c r="AV53" i="515"/>
  <c r="AW53" i="515"/>
  <c r="AP53" i="515"/>
  <c r="R53" i="515"/>
  <c r="BF53" i="515"/>
  <c r="AR43" i="515"/>
  <c r="AD309" i="3"/>
  <c r="W406" i="3"/>
  <c r="AA406" i="3"/>
  <c r="BK50" i="515"/>
  <c r="BO50" i="515"/>
  <c r="P50" i="515"/>
  <c r="AD163" i="3"/>
  <c r="AP25" i="515"/>
  <c r="AV25" i="515"/>
  <c r="AW25" i="515"/>
  <c r="BE25" i="515"/>
  <c r="R25" i="515"/>
  <c r="P26" i="515"/>
  <c r="W187" i="3"/>
  <c r="AA187" i="3"/>
  <c r="W245" i="3"/>
  <c r="AA245" i="3"/>
  <c r="BK34" i="515"/>
  <c r="BO34" i="515"/>
  <c r="P34" i="515"/>
  <c r="AD242" i="3"/>
  <c r="BJ33" i="515"/>
  <c r="BN33" i="515"/>
  <c r="W154" i="3"/>
  <c r="AA154" i="3"/>
  <c r="P20" i="515"/>
  <c r="W384" i="3"/>
  <c r="AA384" i="3"/>
  <c r="AA331" i="3"/>
  <c r="W331" i="3"/>
  <c r="W278" i="3"/>
  <c r="AA278" i="3"/>
  <c r="W401" i="3"/>
  <c r="AA401" i="3"/>
  <c r="W136" i="3"/>
  <c r="AA136" i="3"/>
  <c r="W287" i="3"/>
  <c r="AA287" i="3"/>
  <c r="W322" i="3"/>
  <c r="AA322" i="3"/>
  <c r="W167" i="3"/>
  <c r="AA167" i="3"/>
  <c r="W124" i="3"/>
  <c r="AA124" i="3"/>
  <c r="W389" i="3"/>
  <c r="AA389" i="3"/>
  <c r="W165" i="3"/>
  <c r="AA165" i="3"/>
  <c r="W127" i="3"/>
  <c r="AA127" i="3"/>
  <c r="W341" i="3"/>
  <c r="AA341" i="3"/>
  <c r="W398" i="3"/>
  <c r="AA398" i="3"/>
  <c r="W215" i="3"/>
  <c r="AA215" i="3"/>
  <c r="W339" i="3"/>
  <c r="AA339" i="3"/>
  <c r="W214" i="3"/>
  <c r="AA214" i="3"/>
  <c r="W403" i="3"/>
  <c r="AA403" i="3"/>
  <c r="W251" i="3"/>
  <c r="AA251" i="3"/>
  <c r="W144" i="3"/>
  <c r="AA144" i="3"/>
  <c r="W192" i="3"/>
  <c r="AA192" i="3"/>
  <c r="W316" i="3"/>
  <c r="AA316" i="3"/>
  <c r="W292" i="3"/>
  <c r="AA292" i="3"/>
  <c r="W367" i="3"/>
  <c r="AA367" i="3"/>
  <c r="W128" i="3"/>
  <c r="AA128" i="3"/>
  <c r="W203" i="3"/>
  <c r="AA203" i="3"/>
  <c r="BK41" i="515"/>
  <c r="BO41" i="515"/>
  <c r="W310" i="3"/>
  <c r="AA310" i="3"/>
  <c r="W126" i="3"/>
  <c r="AA126" i="3"/>
  <c r="W391" i="3"/>
  <c r="AA391" i="3"/>
  <c r="W253" i="3"/>
  <c r="AA253" i="3"/>
  <c r="W427" i="3"/>
  <c r="AA427" i="3"/>
  <c r="W115" i="3"/>
  <c r="AA115" i="3"/>
  <c r="P51" i="515"/>
  <c r="W409" i="3"/>
  <c r="BK51" i="515"/>
  <c r="BO51" i="515"/>
  <c r="AA409" i="3"/>
  <c r="W172" i="3"/>
  <c r="P23" i="515"/>
  <c r="AA172" i="3"/>
  <c r="BL23" i="515"/>
  <c r="BP23" i="515"/>
  <c r="W422" i="3"/>
  <c r="AA422" i="3"/>
  <c r="BJ53" i="515"/>
  <c r="BN53" i="515"/>
  <c r="W123" i="3"/>
  <c r="AA123" i="3"/>
  <c r="W216" i="3"/>
  <c r="AA216" i="3"/>
  <c r="AA209" i="3"/>
  <c r="BJ28" i="515"/>
  <c r="BN28" i="515"/>
  <c r="P29" i="515"/>
  <c r="W220" i="3"/>
  <c r="AA220" i="3"/>
  <c r="W375" i="3"/>
  <c r="AA375" i="3"/>
  <c r="AD433" i="3"/>
  <c r="BJ32" i="515"/>
  <c r="BN32" i="515"/>
  <c r="AD241" i="3"/>
  <c r="AE241" i="3"/>
  <c r="BI32" i="515"/>
  <c r="BM32" i="515"/>
  <c r="W430" i="3"/>
  <c r="AA430" i="3"/>
  <c r="P54" i="515"/>
  <c r="AR40" i="515"/>
  <c r="W332" i="3"/>
  <c r="BL43" i="515"/>
  <c r="BP43" i="515"/>
  <c r="BK43" i="515"/>
  <c r="BO43" i="515"/>
  <c r="AA332" i="3"/>
  <c r="P43" i="515"/>
  <c r="W337" i="3"/>
  <c r="P44" i="515"/>
  <c r="AA337" i="3"/>
  <c r="AD87" i="3"/>
  <c r="W305" i="3"/>
  <c r="AA305" i="3"/>
  <c r="W170" i="3"/>
  <c r="AA170" i="3"/>
  <c r="W436" i="3"/>
  <c r="AA436" i="3"/>
  <c r="W125" i="3"/>
  <c r="AA125" i="3"/>
  <c r="W73" i="3"/>
  <c r="AA73" i="3"/>
  <c r="W382" i="3"/>
  <c r="AA382" i="3"/>
  <c r="W249" i="3"/>
  <c r="BK35" i="515"/>
  <c r="BO35" i="515"/>
  <c r="BL35" i="515"/>
  <c r="BP35" i="515"/>
  <c r="AA249" i="3"/>
  <c r="W383" i="3"/>
  <c r="AA383" i="3"/>
  <c r="AX24" i="515"/>
  <c r="W169" i="3"/>
  <c r="AA169" i="3"/>
  <c r="W224" i="3"/>
  <c r="AA224" i="3"/>
  <c r="W347" i="3"/>
  <c r="AA347" i="3"/>
  <c r="W400" i="3"/>
  <c r="AA400" i="3"/>
  <c r="W196" i="3"/>
  <c r="AA196" i="3"/>
  <c r="W355" i="3"/>
  <c r="AA355" i="3"/>
  <c r="W437" i="3"/>
  <c r="AA437" i="3"/>
  <c r="W162" i="3"/>
  <c r="AA162" i="3"/>
  <c r="W411" i="3"/>
  <c r="BL52" i="515"/>
  <c r="BP52" i="515"/>
  <c r="AA411" i="3"/>
  <c r="W277" i="3"/>
  <c r="AA277" i="3"/>
  <c r="W338" i="3"/>
  <c r="AA338" i="3"/>
  <c r="W349" i="3"/>
  <c r="AA349" i="3"/>
  <c r="W300" i="3"/>
  <c r="AA300" i="3"/>
  <c r="W150" i="3"/>
  <c r="AA150" i="3"/>
  <c r="AR39" i="515"/>
  <c r="BG39" i="515"/>
  <c r="W281" i="3"/>
  <c r="AA281" i="3"/>
  <c r="W99" i="3"/>
  <c r="AA99" i="3"/>
  <c r="W89" i="3"/>
  <c r="BK13" i="515"/>
  <c r="BO13" i="515"/>
  <c r="AA89" i="3"/>
  <c r="W299" i="3"/>
  <c r="AA299" i="3"/>
  <c r="BL28" i="515"/>
  <c r="BP28" i="515"/>
  <c r="W209" i="3"/>
  <c r="BL15" i="515"/>
  <c r="BP15" i="515"/>
  <c r="W94" i="3"/>
  <c r="AA94" i="3"/>
  <c r="W221" i="3"/>
  <c r="AA221" i="3"/>
  <c r="W261" i="3"/>
  <c r="AA261" i="3"/>
  <c r="W342" i="3"/>
  <c r="AA342" i="3"/>
  <c r="W288" i="3"/>
  <c r="AA288" i="3"/>
  <c r="AV45" i="515"/>
  <c r="BH45" i="515"/>
  <c r="AP45" i="515"/>
  <c r="AW45" i="515"/>
  <c r="BE45" i="515"/>
  <c r="R45" i="515"/>
  <c r="AD421" i="3"/>
  <c r="BE22" i="515"/>
  <c r="AP22" i="515"/>
  <c r="AW22" i="515"/>
  <c r="AV22" i="515"/>
  <c r="R22" i="515"/>
  <c r="BF22" i="515"/>
  <c r="AD205" i="3"/>
  <c r="AV41" i="515"/>
  <c r="BE41" i="515"/>
  <c r="AW41" i="515"/>
  <c r="AP41" i="515"/>
  <c r="R41" i="515"/>
  <c r="BF41" i="515"/>
  <c r="Q41" i="515"/>
  <c r="BJ36" i="515"/>
  <c r="BN36" i="515"/>
  <c r="AD250" i="3"/>
  <c r="AD228" i="3"/>
  <c r="AD270" i="3"/>
  <c r="AD244" i="3"/>
  <c r="AD235" i="3"/>
  <c r="AD328" i="3"/>
  <c r="AD296" i="3"/>
  <c r="AD272" i="3"/>
  <c r="AD336" i="3"/>
  <c r="AD429" i="3"/>
  <c r="BL21" i="515"/>
  <c r="BP21" i="515"/>
  <c r="P38" i="515"/>
  <c r="AD329" i="3"/>
  <c r="AD439" i="3"/>
  <c r="AD145" i="3"/>
  <c r="AD223" i="3"/>
  <c r="AD312" i="3"/>
  <c r="AD394" i="3"/>
  <c r="AD419" i="3"/>
  <c r="AD264" i="3"/>
  <c r="AD388" i="3"/>
  <c r="AD78" i="3"/>
  <c r="AX25" i="515"/>
  <c r="BK33" i="515"/>
  <c r="BO33" i="515"/>
  <c r="AD413" i="3"/>
  <c r="P55" i="515"/>
  <c r="BK45" i="515"/>
  <c r="BO45" i="515"/>
  <c r="P21" i="515"/>
  <c r="BG45" i="515"/>
  <c r="P28" i="515"/>
  <c r="AX41" i="515"/>
  <c r="P25" i="515"/>
  <c r="P36" i="515"/>
  <c r="P30" i="515"/>
  <c r="AX56" i="515"/>
  <c r="BK52" i="515"/>
  <c r="BO52" i="515"/>
  <c r="BK54" i="515"/>
  <c r="BO54" i="515"/>
  <c r="BL12" i="515"/>
  <c r="BP12" i="515"/>
  <c r="BG35" i="515"/>
  <c r="BE52" i="515"/>
  <c r="AD178" i="3"/>
  <c r="BJ24" i="515"/>
  <c r="BN24" i="515"/>
  <c r="Q37" i="515"/>
  <c r="BJ13" i="515"/>
  <c r="BN13" i="515"/>
  <c r="BF19" i="515"/>
  <c r="AD184" i="3"/>
  <c r="BK12" i="515"/>
  <c r="BO12" i="515"/>
  <c r="BL30" i="515"/>
  <c r="BP30" i="515"/>
  <c r="BG56" i="515"/>
  <c r="BG49" i="515"/>
  <c r="BF45" i="515"/>
  <c r="BL54" i="515"/>
  <c r="BP54" i="515"/>
  <c r="BK23" i="515"/>
  <c r="BO23" i="515"/>
  <c r="BK17" i="515"/>
  <c r="BO17" i="515"/>
  <c r="BG52" i="515"/>
  <c r="BE56" i="515"/>
  <c r="AD352" i="3"/>
  <c r="AD180" i="3"/>
  <c r="BK24" i="515"/>
  <c r="BO24" i="515"/>
  <c r="AD179" i="3"/>
  <c r="Q45" i="515"/>
  <c r="BF25" i="515"/>
  <c r="Q25" i="515"/>
  <c r="M25" i="515"/>
  <c r="AH57" i="515"/>
  <c r="AG57" i="515"/>
  <c r="BG43" i="515"/>
  <c r="BG19" i="515"/>
  <c r="BE32" i="515"/>
  <c r="AE14" i="39124"/>
  <c r="BK38" i="515"/>
  <c r="BO38" i="515"/>
  <c r="BL55" i="515"/>
  <c r="BP55" i="515"/>
  <c r="AD375" i="3"/>
  <c r="BL53" i="515"/>
  <c r="BP53" i="515"/>
  <c r="AD115" i="3"/>
  <c r="AD427" i="3"/>
  <c r="AD253" i="3"/>
  <c r="AD391" i="3"/>
  <c r="AD126" i="3"/>
  <c r="AD310" i="3"/>
  <c r="AD203" i="3"/>
  <c r="AD128" i="3"/>
  <c r="AD367" i="3"/>
  <c r="AD292" i="3"/>
  <c r="AD316" i="3"/>
  <c r="AD251" i="3"/>
  <c r="AD403" i="3"/>
  <c r="AD214" i="3"/>
  <c r="AD339" i="3"/>
  <c r="AD215" i="3"/>
  <c r="AD398" i="3"/>
  <c r="AD341" i="3"/>
  <c r="AD127" i="3"/>
  <c r="AD389" i="3"/>
  <c r="AD124" i="3"/>
  <c r="AD322" i="3"/>
  <c r="AD287" i="3"/>
  <c r="AD401" i="3"/>
  <c r="AD278" i="3"/>
  <c r="AD384" i="3"/>
  <c r="BL34" i="515"/>
  <c r="BP34" i="515"/>
  <c r="BL50" i="515"/>
  <c r="BP50" i="515"/>
  <c r="AD397" i="3"/>
  <c r="BK37" i="515"/>
  <c r="BO37" i="515"/>
  <c r="BL17" i="515"/>
  <c r="BP17" i="515"/>
  <c r="AD229" i="3"/>
  <c r="AD121" i="3"/>
  <c r="AD361" i="3"/>
  <c r="AD231" i="3"/>
  <c r="AD238" i="3"/>
  <c r="AD353" i="3"/>
  <c r="AD171" i="3"/>
  <c r="AD160" i="3"/>
  <c r="AD326" i="3"/>
  <c r="AD212" i="3"/>
  <c r="AD399" i="3"/>
  <c r="AD96" i="3"/>
  <c r="AD82" i="3"/>
  <c r="AD351" i="3"/>
  <c r="AD273" i="3"/>
  <c r="AD372" i="3"/>
  <c r="AD319" i="3"/>
  <c r="AD293" i="3"/>
  <c r="AD95" i="3"/>
  <c r="AD415" i="3"/>
  <c r="AD191" i="3"/>
  <c r="AD137" i="3"/>
  <c r="AD298" i="3"/>
  <c r="AD340" i="3"/>
  <c r="AD83" i="3"/>
  <c r="AD103" i="3"/>
  <c r="AD122" i="3"/>
  <c r="AD325" i="3"/>
  <c r="AD158" i="3"/>
  <c r="AI57" i="515"/>
  <c r="AJ57" i="515"/>
  <c r="BL19" i="515"/>
  <c r="BP19" i="515"/>
  <c r="AD192" i="3"/>
  <c r="AD144" i="3"/>
  <c r="AD165" i="3"/>
  <c r="AD167" i="3"/>
  <c r="AD136" i="3"/>
  <c r="AD177" i="3"/>
  <c r="BF52" i="515"/>
  <c r="Q52" i="515"/>
  <c r="F53" i="39124"/>
  <c r="AD156" i="3"/>
  <c r="AE54" i="39124"/>
  <c r="BG22" i="515"/>
  <c r="BG53" i="515"/>
  <c r="BG24" i="515"/>
  <c r="BF56" i="515"/>
  <c r="Q56" i="515"/>
  <c r="G25" i="39124"/>
  <c r="AM25" i="39124"/>
  <c r="BK28" i="515"/>
  <c r="BO28" i="515"/>
  <c r="BK15" i="515"/>
  <c r="BO15" i="515"/>
  <c r="AD349" i="3"/>
  <c r="AD338" i="3"/>
  <c r="AD355" i="3"/>
  <c r="AD400" i="3"/>
  <c r="AD347" i="3"/>
  <c r="AD224" i="3"/>
  <c r="AD169" i="3"/>
  <c r="AD383" i="3"/>
  <c r="AD249" i="3"/>
  <c r="AD382" i="3"/>
  <c r="AD73" i="3"/>
  <c r="AD125" i="3"/>
  <c r="AD170" i="3"/>
  <c r="AD396" i="3"/>
  <c r="AD72" i="3"/>
  <c r="AD404" i="3"/>
  <c r="AD424" i="3"/>
  <c r="AD208" i="3"/>
  <c r="AD88" i="3"/>
  <c r="BL13" i="515"/>
  <c r="BP13" i="515"/>
  <c r="AD85" i="3"/>
  <c r="AD311" i="3"/>
  <c r="AD425" i="3"/>
  <c r="AD324" i="3"/>
  <c r="AD97" i="3"/>
  <c r="AD162" i="3"/>
  <c r="AD150" i="3"/>
  <c r="BK19" i="515"/>
  <c r="BO19" i="515"/>
  <c r="AD143" i="3"/>
  <c r="AD437" i="3"/>
  <c r="AD436" i="3"/>
  <c r="BK55" i="515"/>
  <c r="BO55" i="515"/>
  <c r="AD411" i="3"/>
  <c r="AD418" i="3"/>
  <c r="BL36" i="515"/>
  <c r="BP36" i="515"/>
  <c r="BK36" i="515"/>
  <c r="BO36" i="515"/>
  <c r="AD300" i="3"/>
  <c r="AD305" i="3"/>
  <c r="AD302" i="3"/>
  <c r="Q35" i="515"/>
  <c r="F36" i="39124"/>
  <c r="AD297" i="3"/>
  <c r="AD277" i="3"/>
  <c r="AD274" i="3"/>
  <c r="AD275" i="3"/>
  <c r="AD279" i="3"/>
  <c r="BL38" i="515"/>
  <c r="BP38" i="515"/>
  <c r="AD199" i="3"/>
  <c r="AD196" i="3"/>
  <c r="AD188" i="3"/>
  <c r="Q53" i="515"/>
  <c r="F54" i="39124"/>
  <c r="BM14" i="515"/>
  <c r="Q22" i="515"/>
  <c r="F23" i="39124"/>
  <c r="Q19" i="515"/>
  <c r="F20" i="39124"/>
  <c r="I35" i="515"/>
  <c r="BG12" i="515"/>
  <c r="E37" i="39124"/>
  <c r="I36" i="515"/>
  <c r="AE37" i="39124"/>
  <c r="E39" i="39124"/>
  <c r="I38" i="515"/>
  <c r="AE39" i="39124"/>
  <c r="F42" i="39124"/>
  <c r="M41" i="515"/>
  <c r="AI42" i="39124"/>
  <c r="G23" i="39124"/>
  <c r="AM23" i="39124"/>
  <c r="F46" i="39124"/>
  <c r="M45" i="515"/>
  <c r="AI46" i="39124"/>
  <c r="AD337" i="3"/>
  <c r="BJ44" i="515"/>
  <c r="BN44" i="515"/>
  <c r="BJ43" i="515"/>
  <c r="BN43" i="515"/>
  <c r="AD332" i="3"/>
  <c r="AP40" i="515"/>
  <c r="AW40" i="515"/>
  <c r="BE40" i="515"/>
  <c r="AV40" i="515"/>
  <c r="R40" i="515"/>
  <c r="BF40" i="515"/>
  <c r="E55" i="39124"/>
  <c r="I54" i="515"/>
  <c r="AE55" i="39124"/>
  <c r="I29" i="515"/>
  <c r="E30" i="39124"/>
  <c r="AE30" i="39124"/>
  <c r="BJ23" i="515"/>
  <c r="BN23" i="515"/>
  <c r="AD172" i="3"/>
  <c r="I23" i="515"/>
  <c r="E24" i="39124"/>
  <c r="AE24" i="39124"/>
  <c r="BJ51" i="515"/>
  <c r="BN51" i="515"/>
  <c r="AD409" i="3"/>
  <c r="AE409" i="3"/>
  <c r="BI51" i="515"/>
  <c r="BM51" i="515"/>
  <c r="I20" i="515"/>
  <c r="E21" i="39124"/>
  <c r="AE21" i="39124"/>
  <c r="AD187" i="3"/>
  <c r="BJ26" i="515"/>
  <c r="BN26" i="515"/>
  <c r="G26" i="39124"/>
  <c r="AM26" i="39124"/>
  <c r="I50" i="515"/>
  <c r="E51" i="39124"/>
  <c r="AE51" i="39124"/>
  <c r="E48" i="39124"/>
  <c r="I47" i="515"/>
  <c r="AE48" i="39124"/>
  <c r="AD80" i="3"/>
  <c r="BJ12" i="515"/>
  <c r="BN12" i="515"/>
  <c r="E13" i="39124"/>
  <c r="I12" i="515"/>
  <c r="AE13" i="39124"/>
  <c r="I16" i="515"/>
  <c r="E17" i="39124"/>
  <c r="AE17" i="39124"/>
  <c r="E50" i="39124"/>
  <c r="I49" i="515"/>
  <c r="AE50" i="39124"/>
  <c r="AP14" i="515"/>
  <c r="AW14" i="515"/>
  <c r="BH14" i="515"/>
  <c r="BE14" i="515"/>
  <c r="AV14" i="515"/>
  <c r="BF14" i="515"/>
  <c r="Q14" i="515"/>
  <c r="R14" i="515"/>
  <c r="AW31" i="515"/>
  <c r="AV31" i="515"/>
  <c r="AP31" i="515"/>
  <c r="BE31" i="515"/>
  <c r="BF31" i="515"/>
  <c r="R31" i="515"/>
  <c r="BJ27" i="515"/>
  <c r="BN27" i="515"/>
  <c r="AD195" i="3"/>
  <c r="I24" i="515"/>
  <c r="E25" i="39124"/>
  <c r="AE25" i="39124"/>
  <c r="D5" i="868"/>
  <c r="E4" i="868"/>
  <c r="AD358" i="3"/>
  <c r="BJ46" i="515"/>
  <c r="BN46" i="515"/>
  <c r="E47" i="39124"/>
  <c r="I46" i="515"/>
  <c r="AE47" i="39124"/>
  <c r="AD365" i="3"/>
  <c r="BJ48" i="515"/>
  <c r="BN48" i="515"/>
  <c r="AP50" i="515"/>
  <c r="AW50" i="515"/>
  <c r="AV50" i="515"/>
  <c r="BE50" i="515"/>
  <c r="R50" i="515"/>
  <c r="BF50" i="515"/>
  <c r="I31" i="515"/>
  <c r="E32" i="39124"/>
  <c r="AE32" i="39124"/>
  <c r="I15" i="515"/>
  <c r="E16" i="39124"/>
  <c r="AE16" i="39124"/>
  <c r="E53" i="39124"/>
  <c r="I52" i="515"/>
  <c r="AE53" i="39124"/>
  <c r="G57" i="39124"/>
  <c r="AM57" i="39124"/>
  <c r="G53" i="39124"/>
  <c r="AM53" i="39124"/>
  <c r="G38" i="39124"/>
  <c r="AM38" i="39124"/>
  <c r="G20" i="39124"/>
  <c r="AM20" i="39124"/>
  <c r="M35" i="515"/>
  <c r="BE20" i="515"/>
  <c r="AW20" i="515"/>
  <c r="AP20" i="515"/>
  <c r="AV20" i="515"/>
  <c r="BF20" i="515"/>
  <c r="R20" i="515"/>
  <c r="AC442" i="3"/>
  <c r="BL11" i="515"/>
  <c r="BK11" i="515"/>
  <c r="AB442" i="3"/>
  <c r="AW28" i="515"/>
  <c r="AV28" i="515"/>
  <c r="AP28" i="515"/>
  <c r="BE28" i="515"/>
  <c r="R28" i="515"/>
  <c r="BF28" i="515"/>
  <c r="Q28" i="515"/>
  <c r="AW46" i="515"/>
  <c r="AP46" i="515"/>
  <c r="AV46" i="515"/>
  <c r="BE46" i="515"/>
  <c r="BF46" i="515"/>
  <c r="R46" i="515"/>
  <c r="AP44" i="515"/>
  <c r="AV44" i="515"/>
  <c r="AW44" i="515"/>
  <c r="BE44" i="515"/>
  <c r="BF44" i="515"/>
  <c r="R44" i="515"/>
  <c r="BE29" i="515"/>
  <c r="AV29" i="515"/>
  <c r="AW29" i="515"/>
  <c r="AP29" i="515"/>
  <c r="BF29" i="515"/>
  <c r="R29" i="515"/>
  <c r="BE18" i="515"/>
  <c r="AP18" i="515"/>
  <c r="AV18" i="515"/>
  <c r="AW18" i="515"/>
  <c r="BF18" i="515"/>
  <c r="Q18" i="515"/>
  <c r="R18" i="515"/>
  <c r="AD441" i="3"/>
  <c r="AE441" i="3"/>
  <c r="BI56" i="515"/>
  <c r="BJ56" i="515"/>
  <c r="BN56" i="515"/>
  <c r="E57" i="39124"/>
  <c r="I56" i="515"/>
  <c r="AE57" i="39124"/>
  <c r="BC24" i="515"/>
  <c r="BF24" i="515"/>
  <c r="B2" i="868"/>
  <c r="B27" i="39125"/>
  <c r="AY57" i="515"/>
  <c r="BB10" i="515"/>
  <c r="BE10" i="515"/>
  <c r="B4" i="868"/>
  <c r="B29" i="39125"/>
  <c r="BA57" i="515"/>
  <c r="BG9" i="515"/>
  <c r="BD9" i="515"/>
  <c r="BD8" i="515"/>
  <c r="BG8" i="515"/>
  <c r="BD37" i="515"/>
  <c r="BG37" i="515"/>
  <c r="BC10" i="515"/>
  <c r="BF10" i="515"/>
  <c r="BD10" i="515"/>
  <c r="BG10" i="515"/>
  <c r="BB8" i="515"/>
  <c r="BE8" i="515"/>
  <c r="G50" i="39124"/>
  <c r="AM50" i="39124"/>
  <c r="I22" i="515"/>
  <c r="E23" i="39124"/>
  <c r="AE23" i="39124"/>
  <c r="AW51" i="515"/>
  <c r="AP51" i="515"/>
  <c r="BE51" i="515"/>
  <c r="AV51" i="515"/>
  <c r="BH51" i="515"/>
  <c r="BF51" i="515"/>
  <c r="R51" i="515"/>
  <c r="BE54" i="515"/>
  <c r="AW54" i="515"/>
  <c r="AP54" i="515"/>
  <c r="AV54" i="515"/>
  <c r="R54" i="515"/>
  <c r="BF54" i="515"/>
  <c r="BJ42" i="515"/>
  <c r="BN42" i="515"/>
  <c r="AD327" i="3"/>
  <c r="E43" i="39124"/>
  <c r="I42" i="515"/>
  <c r="AE43" i="39124"/>
  <c r="I40" i="515"/>
  <c r="E41" i="39124"/>
  <c r="AE41" i="39124"/>
  <c r="AW17" i="515"/>
  <c r="AV17" i="515"/>
  <c r="BE17" i="515"/>
  <c r="AP17" i="515"/>
  <c r="R17" i="515"/>
  <c r="BF17" i="515"/>
  <c r="BJ39" i="515"/>
  <c r="BN39" i="515"/>
  <c r="AD295" i="3"/>
  <c r="BE21" i="515"/>
  <c r="AP21" i="515"/>
  <c r="AV21" i="515"/>
  <c r="AW21" i="515"/>
  <c r="R21" i="515"/>
  <c r="BF21" i="515"/>
  <c r="BL44" i="515"/>
  <c r="BP44" i="515"/>
  <c r="BG40" i="515"/>
  <c r="BL29" i="515"/>
  <c r="BP29" i="515"/>
  <c r="AD331" i="3"/>
  <c r="BK20" i="515"/>
  <c r="BO20" i="515"/>
  <c r="AE244" i="3"/>
  <c r="BI33" i="515"/>
  <c r="BM33" i="515"/>
  <c r="BK26" i="515"/>
  <c r="BO26" i="515"/>
  <c r="BJ41" i="515"/>
  <c r="BN41" i="515"/>
  <c r="BK16" i="515"/>
  <c r="BO16" i="515"/>
  <c r="BJ52" i="515"/>
  <c r="BN52" i="515"/>
  <c r="BG14" i="515"/>
  <c r="AX31" i="515"/>
  <c r="BL27" i="515"/>
  <c r="BP27" i="515"/>
  <c r="BJ19" i="515"/>
  <c r="BN19" i="515"/>
  <c r="AD107" i="3"/>
  <c r="AD423" i="3"/>
  <c r="AD101" i="3"/>
  <c r="AD84" i="3"/>
  <c r="AD315" i="3"/>
  <c r="AD247" i="3"/>
  <c r="AD138" i="3"/>
  <c r="AD147" i="3"/>
  <c r="AD285" i="3"/>
  <c r="AD90" i="3"/>
  <c r="AD256" i="3"/>
  <c r="AD104" i="3"/>
  <c r="AD255" i="3"/>
  <c r="AD100" i="3"/>
  <c r="AD280" i="3"/>
  <c r="AD333" i="3"/>
  <c r="AD265" i="3"/>
  <c r="AD113" i="3"/>
  <c r="AD148" i="3"/>
  <c r="AD350" i="3"/>
  <c r="AD369" i="3"/>
  <c r="AD175" i="3"/>
  <c r="AD116" i="3"/>
  <c r="AD345" i="3"/>
  <c r="AD226" i="3"/>
  <c r="AD289" i="3"/>
  <c r="AD362" i="3"/>
  <c r="AD330" i="3"/>
  <c r="BK48" i="515"/>
  <c r="BO48" i="515"/>
  <c r="AX50" i="515"/>
  <c r="Q32" i="515"/>
  <c r="BH32" i="515"/>
  <c r="BG20" i="515"/>
  <c r="I14" i="515"/>
  <c r="AD283" i="3"/>
  <c r="AD139" i="3"/>
  <c r="AD239" i="3"/>
  <c r="AD79" i="3"/>
  <c r="AD213" i="3"/>
  <c r="AD258" i="3"/>
  <c r="AD262" i="3"/>
  <c r="AD291" i="3"/>
  <c r="AD260" i="3"/>
  <c r="AD200" i="3"/>
  <c r="AD86" i="3"/>
  <c r="AD151" i="3"/>
  <c r="AD304" i="3"/>
  <c r="AD110" i="3"/>
  <c r="AD360" i="3"/>
  <c r="AD405" i="3"/>
  <c r="AD166" i="3"/>
  <c r="AD348" i="3"/>
  <c r="AD318" i="3"/>
  <c r="AD204" i="3"/>
  <c r="AD140" i="3"/>
  <c r="AD252" i="3"/>
  <c r="AD370" i="3"/>
  <c r="AD354" i="3"/>
  <c r="AD218" i="3"/>
  <c r="AD233" i="3"/>
  <c r="AD426" i="3"/>
  <c r="AD198" i="3"/>
  <c r="AD434" i="3"/>
  <c r="AD217" i="3"/>
  <c r="BG28" i="515"/>
  <c r="BG46" i="515"/>
  <c r="AX44" i="515"/>
  <c r="BG29" i="515"/>
  <c r="BG18" i="515"/>
  <c r="AD286" i="3"/>
  <c r="I33" i="515"/>
  <c r="AD141" i="3"/>
  <c r="AD186" i="3"/>
  <c r="AD211" i="3"/>
  <c r="AD420" i="3"/>
  <c r="AD301" i="3"/>
  <c r="AD395" i="3"/>
  <c r="AD386" i="3"/>
  <c r="AD210" i="3"/>
  <c r="AD237" i="3"/>
  <c r="AD306" i="3"/>
  <c r="AD112" i="3"/>
  <c r="AD202" i="3"/>
  <c r="AD366" i="3"/>
  <c r="AD142" i="3"/>
  <c r="AD282" i="3"/>
  <c r="AD222" i="3"/>
  <c r="AD155" i="3"/>
  <c r="AD152" i="3"/>
  <c r="AD257" i="3"/>
  <c r="AD303" i="3"/>
  <c r="AD373" i="3"/>
  <c r="AD153" i="3"/>
  <c r="AE249" i="3"/>
  <c r="BI35" i="515"/>
  <c r="BL22" i="515"/>
  <c r="BP22" i="515"/>
  <c r="AX51" i="515"/>
  <c r="AD206" i="3"/>
  <c r="BG54" i="515"/>
  <c r="BK18" i="515"/>
  <c r="BO18" i="515"/>
  <c r="BL18" i="515"/>
  <c r="I32" i="515"/>
  <c r="BG17" i="515"/>
  <c r="BK39" i="515"/>
  <c r="BO39" i="515"/>
  <c r="BG21" i="515"/>
  <c r="BG41" i="515"/>
  <c r="I53" i="515"/>
  <c r="E31" i="39124"/>
  <c r="I30" i="515"/>
  <c r="AE31" i="39124"/>
  <c r="I25" i="515"/>
  <c r="E26" i="39124"/>
  <c r="AE26" i="39124"/>
  <c r="I28" i="515"/>
  <c r="E29" i="39124"/>
  <c r="AE29" i="39124"/>
  <c r="I21" i="515"/>
  <c r="E22" i="39124"/>
  <c r="AE22" i="39124"/>
  <c r="E56" i="39124"/>
  <c r="I55" i="515"/>
  <c r="AE56" i="39124"/>
  <c r="G42" i="39124"/>
  <c r="AM42" i="39124"/>
  <c r="M22" i="515"/>
  <c r="G46" i="39124"/>
  <c r="AM46" i="39124"/>
  <c r="AP39" i="515"/>
  <c r="AV39" i="515"/>
  <c r="AW39" i="515"/>
  <c r="BE39" i="515"/>
  <c r="R39" i="515"/>
  <c r="BF39" i="515"/>
  <c r="Q39" i="515"/>
  <c r="E45" i="39124"/>
  <c r="I44" i="515"/>
  <c r="AE45" i="39124"/>
  <c r="E44" i="39124"/>
  <c r="I43" i="515"/>
  <c r="AE44" i="39124"/>
  <c r="BJ54" i="515"/>
  <c r="BN54" i="515"/>
  <c r="AD430" i="3"/>
  <c r="BJ29" i="515"/>
  <c r="BN29" i="515"/>
  <c r="AD220" i="3"/>
  <c r="E52" i="39124"/>
  <c r="I51" i="515"/>
  <c r="AE52" i="39124"/>
  <c r="BJ20" i="515"/>
  <c r="BN20" i="515"/>
  <c r="AD154" i="3"/>
  <c r="I34" i="515"/>
  <c r="E35" i="39124"/>
  <c r="AE35" i="39124"/>
  <c r="BJ34" i="515"/>
  <c r="BN34" i="515"/>
  <c r="AD245" i="3"/>
  <c r="AE247" i="3"/>
  <c r="BI34" i="515"/>
  <c r="BM34" i="515"/>
  <c r="I26" i="515"/>
  <c r="E27" i="39124"/>
  <c r="AE27" i="39124"/>
  <c r="F26" i="39124"/>
  <c r="AI26" i="39124"/>
  <c r="BJ50" i="515"/>
  <c r="BN50" i="515"/>
  <c r="AD406" i="3"/>
  <c r="AW43" i="515"/>
  <c r="AV43" i="515"/>
  <c r="BE43" i="515"/>
  <c r="AP43" i="515"/>
  <c r="R43" i="515"/>
  <c r="BF43" i="515"/>
  <c r="G54" i="39124"/>
  <c r="AM54" i="39124"/>
  <c r="BJ47" i="515"/>
  <c r="BN47" i="515"/>
  <c r="AD364" i="3"/>
  <c r="AE364" i="3"/>
  <c r="BI47" i="515"/>
  <c r="BM47" i="515"/>
  <c r="BE13" i="515"/>
  <c r="AP13" i="515"/>
  <c r="AV13" i="515"/>
  <c r="AW13" i="515"/>
  <c r="R13" i="515"/>
  <c r="BF13" i="515"/>
  <c r="AD118" i="3"/>
  <c r="BJ16" i="515"/>
  <c r="BN16" i="515"/>
  <c r="AV38" i="515"/>
  <c r="BE38" i="515"/>
  <c r="AP38" i="515"/>
  <c r="AW38" i="515"/>
  <c r="R38" i="515"/>
  <c r="BF38" i="515"/>
  <c r="Q38" i="515"/>
  <c r="AD374" i="3"/>
  <c r="BJ49" i="515"/>
  <c r="BN49" i="515"/>
  <c r="AV27" i="515"/>
  <c r="BE27" i="515"/>
  <c r="AW27" i="515"/>
  <c r="AP27" i="515"/>
  <c r="R27" i="515"/>
  <c r="BF27" i="515"/>
  <c r="I27" i="515"/>
  <c r="E28" i="39124"/>
  <c r="AE28" i="39124"/>
  <c r="BJ37" i="515"/>
  <c r="BN37" i="515"/>
  <c r="AD263" i="3"/>
  <c r="AE265" i="3"/>
  <c r="BI37" i="515"/>
  <c r="E38" i="39124"/>
  <c r="I37" i="515"/>
  <c r="AE38" i="39124"/>
  <c r="AP30" i="515"/>
  <c r="BE30" i="515"/>
  <c r="AV30" i="515"/>
  <c r="AW30" i="515"/>
  <c r="BF30" i="515"/>
  <c r="R30" i="515"/>
  <c r="AP11" i="515"/>
  <c r="AW11" i="515"/>
  <c r="B19" i="39125"/>
  <c r="AV11" i="515"/>
  <c r="BE11" i="515"/>
  <c r="AR57" i="515"/>
  <c r="AX57" i="515"/>
  <c r="BF11" i="515"/>
  <c r="Q11" i="515"/>
  <c r="R11" i="515"/>
  <c r="BJ17" i="515"/>
  <c r="BN17" i="515"/>
  <c r="AD131" i="3"/>
  <c r="I17" i="515"/>
  <c r="E18" i="39124"/>
  <c r="AE18" i="39124"/>
  <c r="E49" i="39124"/>
  <c r="I48" i="515"/>
  <c r="AE49" i="39124"/>
  <c r="AP15" i="515"/>
  <c r="AV15" i="515"/>
  <c r="AW15" i="515"/>
  <c r="BE15" i="515"/>
  <c r="R15" i="515"/>
  <c r="BF15" i="515"/>
  <c r="Q15" i="515"/>
  <c r="E20" i="39124"/>
  <c r="I19" i="515"/>
  <c r="AE20" i="39124"/>
  <c r="M52" i="515"/>
  <c r="F38" i="39124"/>
  <c r="M37" i="515"/>
  <c r="AI38" i="39124"/>
  <c r="M19" i="515"/>
  <c r="G36" i="39124"/>
  <c r="AM36" i="39124"/>
  <c r="G33" i="39124"/>
  <c r="AM33" i="39124"/>
  <c r="I8" i="515"/>
  <c r="I7" i="515"/>
  <c r="I10" i="515"/>
  <c r="I9" i="515"/>
  <c r="I11" i="515"/>
  <c r="E12" i="39124"/>
  <c r="AE12" i="39124"/>
  <c r="BJ11" i="515"/>
  <c r="AA442" i="3"/>
  <c r="AD71" i="3"/>
  <c r="BE26" i="515"/>
  <c r="AP26" i="515"/>
  <c r="AV26" i="515"/>
  <c r="AW26" i="515"/>
  <c r="R26" i="515"/>
  <c r="BF26" i="515"/>
  <c r="AW48" i="515"/>
  <c r="AV48" i="515"/>
  <c r="AP48" i="515"/>
  <c r="BE48" i="515"/>
  <c r="R48" i="515"/>
  <c r="BF48" i="515"/>
  <c r="Q48" i="515"/>
  <c r="AP16" i="515"/>
  <c r="AV16" i="515"/>
  <c r="BE16" i="515"/>
  <c r="AW16" i="515"/>
  <c r="BF16" i="515"/>
  <c r="Q16" i="515"/>
  <c r="R16" i="515"/>
  <c r="BE47" i="515"/>
  <c r="AV47" i="515"/>
  <c r="AP47" i="515"/>
  <c r="AW47" i="515"/>
  <c r="R47" i="515"/>
  <c r="BF47" i="515"/>
  <c r="AV34" i="515"/>
  <c r="AW34" i="515"/>
  <c r="AP34" i="515"/>
  <c r="BE34" i="515"/>
  <c r="BF34" i="515"/>
  <c r="R34" i="515"/>
  <c r="AW55" i="515"/>
  <c r="BE55" i="515"/>
  <c r="AV55" i="515"/>
  <c r="AP55" i="515"/>
  <c r="R55" i="515"/>
  <c r="BF55" i="515"/>
  <c r="Q55" i="515"/>
  <c r="B28" i="39125"/>
  <c r="AZ57" i="515"/>
  <c r="B3" i="868"/>
  <c r="BC8" i="515"/>
  <c r="BF8" i="515"/>
  <c r="BC9" i="515"/>
  <c r="BF9" i="515"/>
  <c r="BB24" i="515"/>
  <c r="BE24" i="515"/>
  <c r="BE9" i="515"/>
  <c r="BB9" i="515"/>
  <c r="BD25" i="515"/>
  <c r="BG25" i="515"/>
  <c r="BE36" i="515"/>
  <c r="AV36" i="515"/>
  <c r="AP36" i="515"/>
  <c r="AW36" i="515"/>
  <c r="BF36" i="515"/>
  <c r="R36" i="515"/>
  <c r="BE33" i="515"/>
  <c r="AW33" i="515"/>
  <c r="AP33" i="515"/>
  <c r="BH33" i="515"/>
  <c r="AV33" i="515"/>
  <c r="BF33" i="515"/>
  <c r="R33" i="515"/>
  <c r="AD168" i="3"/>
  <c r="AE171" i="3"/>
  <c r="BI22" i="515"/>
  <c r="BJ22" i="515"/>
  <c r="BN22" i="515"/>
  <c r="BE23" i="515"/>
  <c r="AV23" i="515"/>
  <c r="AW23" i="515"/>
  <c r="AP23" i="515"/>
  <c r="R23" i="515"/>
  <c r="BF23" i="515"/>
  <c r="BJ18" i="515"/>
  <c r="BN18" i="515"/>
  <c r="AD133" i="3"/>
  <c r="E19" i="39124"/>
  <c r="I18" i="515"/>
  <c r="AE19" i="39124"/>
  <c r="BJ40" i="515"/>
  <c r="BN40" i="515"/>
  <c r="AD308" i="3"/>
  <c r="AE308" i="3"/>
  <c r="BI40" i="515"/>
  <c r="BM40" i="515"/>
  <c r="AP12" i="515"/>
  <c r="AW12" i="515"/>
  <c r="BE12" i="515"/>
  <c r="AV12" i="515"/>
  <c r="R12" i="515"/>
  <c r="BF12" i="515"/>
  <c r="E40" i="39124"/>
  <c r="I39" i="515"/>
  <c r="AE40" i="39124"/>
  <c r="AW42" i="515"/>
  <c r="AP42" i="515"/>
  <c r="AV42" i="515"/>
  <c r="BE42" i="515"/>
  <c r="R42" i="515"/>
  <c r="BF42" i="515"/>
  <c r="Q42" i="515"/>
  <c r="AD288" i="3"/>
  <c r="AD342" i="3"/>
  <c r="AD261" i="3"/>
  <c r="AD221" i="3"/>
  <c r="AD94" i="3"/>
  <c r="AD209" i="3"/>
  <c r="AD299" i="3"/>
  <c r="AD89" i="3"/>
  <c r="AD99" i="3"/>
  <c r="AD281" i="3"/>
  <c r="AX39" i="515"/>
  <c r="AE91" i="3"/>
  <c r="BI13" i="515"/>
  <c r="BM13" i="515"/>
  <c r="BK44" i="515"/>
  <c r="BO44" i="515"/>
  <c r="AX40" i="515"/>
  <c r="BJ55" i="515"/>
  <c r="BN55" i="515"/>
  <c r="BK29" i="515"/>
  <c r="BO29" i="515"/>
  <c r="AD216" i="3"/>
  <c r="AD123" i="3"/>
  <c r="AD422" i="3"/>
  <c r="BL20" i="515"/>
  <c r="BP20" i="515"/>
  <c r="BL26" i="515"/>
  <c r="BP26" i="515"/>
  <c r="BJ21" i="515"/>
  <c r="BN21" i="515"/>
  <c r="AX43" i="515"/>
  <c r="AD225" i="3"/>
  <c r="AD428" i="3"/>
  <c r="BG13" i="515"/>
  <c r="BL16" i="515"/>
  <c r="AD149" i="3"/>
  <c r="AX38" i="515"/>
  <c r="I45" i="515"/>
  <c r="AD438" i="3"/>
  <c r="AD276" i="3"/>
  <c r="AD268" i="3"/>
  <c r="BL49" i="515"/>
  <c r="BP49" i="515"/>
  <c r="BK49" i="515"/>
  <c r="BO49" i="515"/>
  <c r="AX14" i="515"/>
  <c r="AD159" i="3"/>
  <c r="AD359" i="3"/>
  <c r="BG27" i="515"/>
  <c r="BG31" i="515"/>
  <c r="BK27" i="515"/>
  <c r="BO27" i="515"/>
  <c r="AD111" i="3"/>
  <c r="AD377" i="3"/>
  <c r="AD307" i="3"/>
  <c r="AD197" i="3"/>
  <c r="AD432" i="3"/>
  <c r="BG30" i="515"/>
  <c r="BJ15" i="515"/>
  <c r="BN15" i="515"/>
  <c r="AX11" i="515"/>
  <c r="BL46" i="515"/>
  <c r="BP46" i="515"/>
  <c r="BK46" i="515"/>
  <c r="BO46" i="515"/>
  <c r="BL48" i="515"/>
  <c r="BP48" i="515"/>
  <c r="BG15" i="515"/>
  <c r="BG50" i="515"/>
  <c r="AD164" i="3"/>
  <c r="AE167" i="3"/>
  <c r="BI21" i="515"/>
  <c r="AD236" i="3"/>
  <c r="AD108" i="3"/>
  <c r="AD320" i="3"/>
  <c r="AD417" i="3"/>
  <c r="AE420" i="3"/>
  <c r="BI52" i="515"/>
  <c r="AD234" i="3"/>
  <c r="AD119" i="3"/>
  <c r="AD313" i="3"/>
  <c r="AD194" i="3"/>
  <c r="AD344" i="3"/>
  <c r="AD74" i="3"/>
  <c r="AD269" i="3"/>
  <c r="AD431" i="3"/>
  <c r="AD385" i="3"/>
  <c r="AD230" i="3"/>
  <c r="AE231" i="3"/>
  <c r="BI30" i="515"/>
  <c r="AD75" i="3"/>
  <c r="AD378" i="3"/>
  <c r="AD132" i="3"/>
  <c r="AD407" i="3"/>
  <c r="AD146" i="3"/>
  <c r="AD134" i="3"/>
  <c r="AD314" i="3"/>
  <c r="AE186" i="3"/>
  <c r="BI25" i="515"/>
  <c r="BJ31" i="515"/>
  <c r="BN31" i="515"/>
  <c r="AC15" i="39124"/>
  <c r="M15" i="39124"/>
  <c r="BG26" i="515"/>
  <c r="BG48" i="515"/>
  <c r="BG16" i="515"/>
  <c r="AX47" i="515"/>
  <c r="AX34" i="515"/>
  <c r="BG55" i="515"/>
  <c r="BG36" i="515"/>
  <c r="BJ35" i="515"/>
  <c r="BN35" i="515"/>
  <c r="BF49" i="515"/>
  <c r="BE49" i="515"/>
  <c r="BG33" i="515"/>
  <c r="BK22" i="515"/>
  <c r="BO22" i="515"/>
  <c r="BG23" i="515"/>
  <c r="BG51" i="515"/>
  <c r="BJ38" i="515"/>
  <c r="BN38" i="515"/>
  <c r="BK42" i="515"/>
  <c r="BO42" i="515"/>
  <c r="BL42" i="515"/>
  <c r="BP42" i="515"/>
  <c r="AX12" i="515"/>
  <c r="BL39" i="515"/>
  <c r="BP39" i="515"/>
  <c r="AX21" i="515"/>
  <c r="AD334" i="3"/>
  <c r="BG42" i="515"/>
  <c r="I41" i="515"/>
  <c r="I13" i="515"/>
  <c r="M56" i="515"/>
  <c r="AI57" i="39124"/>
  <c r="F57" i="39124"/>
  <c r="AE153" i="3"/>
  <c r="BI19" i="515"/>
  <c r="BH34" i="515"/>
  <c r="AE294" i="3"/>
  <c r="BI38" i="515"/>
  <c r="Q50" i="515"/>
  <c r="F51" i="39124"/>
  <c r="AE184" i="3"/>
  <c r="BI24" i="515"/>
  <c r="Q8" i="515"/>
  <c r="AI20" i="39124"/>
  <c r="AI53" i="39124"/>
  <c r="AI23" i="39124"/>
  <c r="Q12" i="515"/>
  <c r="M12" i="515"/>
  <c r="BH47" i="515"/>
  <c r="AI36" i="39124"/>
  <c r="M53" i="515"/>
  <c r="AI54" i="39124"/>
  <c r="Q33" i="515"/>
  <c r="F34" i="39124"/>
  <c r="Q34" i="515"/>
  <c r="AI35" i="39124"/>
  <c r="Q47" i="515"/>
  <c r="M47" i="515"/>
  <c r="AC54" i="39124"/>
  <c r="M54" i="39124"/>
  <c r="AC36" i="39124"/>
  <c r="M36" i="39124"/>
  <c r="AE326" i="3"/>
  <c r="BI41" i="515"/>
  <c r="BM41" i="515"/>
  <c r="AE219" i="3"/>
  <c r="BI28" i="515"/>
  <c r="BM28" i="515"/>
  <c r="AE429" i="3"/>
  <c r="BI53" i="515"/>
  <c r="BH53" i="515"/>
  <c r="AE117" i="3"/>
  <c r="BI15" i="515"/>
  <c r="BM15" i="515"/>
  <c r="AE440" i="3"/>
  <c r="BI55" i="515"/>
  <c r="BM55" i="515"/>
  <c r="AE262" i="3"/>
  <c r="BI36" i="515"/>
  <c r="BM36" i="515"/>
  <c r="Q51" i="515"/>
  <c r="M51" i="515"/>
  <c r="AE240" i="3"/>
  <c r="BI31" i="515"/>
  <c r="BM31" i="515"/>
  <c r="Q44" i="515"/>
  <c r="M44" i="515"/>
  <c r="Q40" i="515"/>
  <c r="M40" i="515"/>
  <c r="Q49" i="515"/>
  <c r="M49" i="515"/>
  <c r="AC40" i="39124"/>
  <c r="M40" i="39124"/>
  <c r="Q23" i="515"/>
  <c r="M23" i="515"/>
  <c r="K56" i="515"/>
  <c r="Q43" i="515"/>
  <c r="M43" i="515"/>
  <c r="Q21" i="515"/>
  <c r="M21" i="515"/>
  <c r="Q17" i="515"/>
  <c r="M17" i="515"/>
  <c r="Q54" i="515"/>
  <c r="M54" i="515"/>
  <c r="Q10" i="515"/>
  <c r="F11" i="39124"/>
  <c r="Q31" i="515"/>
  <c r="M31" i="515"/>
  <c r="BM52" i="515"/>
  <c r="BH52" i="515"/>
  <c r="BM21" i="515"/>
  <c r="BH21" i="515"/>
  <c r="BM38" i="515"/>
  <c r="BH38" i="515"/>
  <c r="BM53" i="515"/>
  <c r="BH15" i="515"/>
  <c r="BH55" i="515"/>
  <c r="BM30" i="515"/>
  <c r="BH30" i="515"/>
  <c r="BM19" i="515"/>
  <c r="BH19" i="515"/>
  <c r="BH28" i="515"/>
  <c r="BH31" i="515"/>
  <c r="BH36" i="515"/>
  <c r="F43" i="39124"/>
  <c r="M42" i="515"/>
  <c r="AI43" i="39124"/>
  <c r="F13" i="39124"/>
  <c r="AI13" i="39124"/>
  <c r="BM22" i="515"/>
  <c r="BH22" i="515"/>
  <c r="M33" i="515"/>
  <c r="K36" i="515"/>
  <c r="G37" i="39124"/>
  <c r="AM37" i="39124"/>
  <c r="F3" i="868"/>
  <c r="F56" i="39124"/>
  <c r="M55" i="515"/>
  <c r="AI56" i="39124"/>
  <c r="F17" i="39124"/>
  <c r="M16" i="515"/>
  <c r="AI17" i="39124"/>
  <c r="F49" i="39124"/>
  <c r="M48" i="515"/>
  <c r="AI49" i="39124"/>
  <c r="K26" i="515"/>
  <c r="G27" i="39124"/>
  <c r="AM27" i="39124"/>
  <c r="AC12" i="39124"/>
  <c r="M12" i="39124"/>
  <c r="AC9" i="39124"/>
  <c r="M9" i="39124"/>
  <c r="AC11" i="39124"/>
  <c r="M11" i="39124"/>
  <c r="AC10" i="39124"/>
  <c r="M10" i="39124"/>
  <c r="AC8" i="39124"/>
  <c r="M8" i="39124"/>
  <c r="F16" i="39124"/>
  <c r="M15" i="515"/>
  <c r="AI16" i="39124"/>
  <c r="F12" i="39124"/>
  <c r="AI12" i="39124"/>
  <c r="M11" i="515"/>
  <c r="B17" i="39125"/>
  <c r="AW57" i="515"/>
  <c r="AV57" i="515"/>
  <c r="B23" i="39125"/>
  <c r="AP57" i="515"/>
  <c r="B24" i="39125"/>
  <c r="K30" i="515"/>
  <c r="G31" i="39124"/>
  <c r="AM31" i="39124"/>
  <c r="BM37" i="515"/>
  <c r="BH37" i="515"/>
  <c r="G28" i="39124"/>
  <c r="K27" i="515"/>
  <c r="AM28" i="39124"/>
  <c r="F39" i="39124"/>
  <c r="AI39" i="39124"/>
  <c r="M38" i="515"/>
  <c r="G14" i="39124"/>
  <c r="K13" i="515"/>
  <c r="AM14" i="39124"/>
  <c r="G44" i="39124"/>
  <c r="K43" i="515"/>
  <c r="AM44" i="39124"/>
  <c r="G40" i="39124"/>
  <c r="K39" i="515"/>
  <c r="AM40" i="39124"/>
  <c r="K17" i="515"/>
  <c r="G18" i="39124"/>
  <c r="AM18" i="39124"/>
  <c r="AI52" i="39124"/>
  <c r="BM56" i="515"/>
  <c r="BH56" i="515"/>
  <c r="F19" i="39124"/>
  <c r="M18" i="515"/>
  <c r="AI19" i="39124"/>
  <c r="G30" i="39124"/>
  <c r="K29" i="515"/>
  <c r="AM30" i="39124"/>
  <c r="K46" i="515"/>
  <c r="G47" i="39124"/>
  <c r="AM47" i="39124"/>
  <c r="K28" i="515"/>
  <c r="G29" i="39124"/>
  <c r="AM29" i="39124"/>
  <c r="BP11" i="515"/>
  <c r="BL57" i="515"/>
  <c r="G21" i="39124"/>
  <c r="K20" i="515"/>
  <c r="AM21" i="39124"/>
  <c r="AI51" i="39124"/>
  <c r="K14" i="515"/>
  <c r="G15" i="39124"/>
  <c r="AM15" i="39124"/>
  <c r="K40" i="515"/>
  <c r="G41" i="39124"/>
  <c r="AM41" i="39124"/>
  <c r="AE134" i="3"/>
  <c r="BI18" i="515"/>
  <c r="AC18" i="39124"/>
  <c r="M18" i="39124"/>
  <c r="AC28" i="39124"/>
  <c r="M28" i="39124"/>
  <c r="AE130" i="3"/>
  <c r="BI16" i="515"/>
  <c r="AE408" i="3"/>
  <c r="BI50" i="515"/>
  <c r="AC27" i="39124"/>
  <c r="M27" i="39124"/>
  <c r="AE162" i="3"/>
  <c r="BI20" i="515"/>
  <c r="AC52" i="39124"/>
  <c r="M52" i="39124"/>
  <c r="AC45" i="39124"/>
  <c r="M45" i="39124"/>
  <c r="K41" i="515"/>
  <c r="AC56" i="39124"/>
  <c r="M56" i="39124"/>
  <c r="AC29" i="39124"/>
  <c r="M29" i="39124"/>
  <c r="AC31" i="39124"/>
  <c r="M31" i="39124"/>
  <c r="AC42" i="39124"/>
  <c r="M42" i="39124"/>
  <c r="AC41" i="39124"/>
  <c r="M41" i="39124"/>
  <c r="AE331" i="3"/>
  <c r="BI42" i="515"/>
  <c r="AC23" i="39124"/>
  <c r="M23" i="39124"/>
  <c r="B26" i="39125"/>
  <c r="Q24" i="515"/>
  <c r="AC57" i="39124"/>
  <c r="M57" i="39124"/>
  <c r="AC16" i="39124"/>
  <c r="M16" i="39124"/>
  <c r="AE373" i="3"/>
  <c r="BI48" i="515"/>
  <c r="AC25" i="39124"/>
  <c r="M25" i="39124"/>
  <c r="AC17" i="39124"/>
  <c r="M17" i="39124"/>
  <c r="AC48" i="39124"/>
  <c r="M48" i="39124"/>
  <c r="AE194" i="3"/>
  <c r="BI26" i="515"/>
  <c r="AC24" i="39124"/>
  <c r="M24" i="39124"/>
  <c r="AC55" i="39124"/>
  <c r="M55" i="39124"/>
  <c r="AE336" i="3"/>
  <c r="BI43" i="515"/>
  <c r="AC37" i="39124"/>
  <c r="M37" i="39124"/>
  <c r="AI50" i="39124"/>
  <c r="BM25" i="515"/>
  <c r="BH25" i="515"/>
  <c r="K42" i="515"/>
  <c r="G43" i="39124"/>
  <c r="AM43" i="39124"/>
  <c r="K12" i="515"/>
  <c r="G13" i="39124"/>
  <c r="AM13" i="39124"/>
  <c r="K23" i="515"/>
  <c r="G24" i="39124"/>
  <c r="AM24" i="39124"/>
  <c r="G34" i="39124"/>
  <c r="K33" i="515"/>
  <c r="AM34" i="39124"/>
  <c r="F9" i="39124"/>
  <c r="M8" i="515"/>
  <c r="AI9" i="39124"/>
  <c r="G56" i="39124"/>
  <c r="K55" i="515"/>
  <c r="AM56" i="39124"/>
  <c r="K34" i="515"/>
  <c r="G35" i="39124"/>
  <c r="AM35" i="39124"/>
  <c r="G48" i="39124"/>
  <c r="K47" i="515"/>
  <c r="AM48" i="39124"/>
  <c r="G17" i="39124"/>
  <c r="K16" i="515"/>
  <c r="AM17" i="39124"/>
  <c r="K48" i="515"/>
  <c r="G49" i="39124"/>
  <c r="AM49" i="39124"/>
  <c r="AE79" i="3"/>
  <c r="AD442" i="3"/>
  <c r="BN11" i="515"/>
  <c r="BJ57" i="515"/>
  <c r="K15" i="515"/>
  <c r="G16" i="39124"/>
  <c r="AM16" i="39124"/>
  <c r="K24" i="515"/>
  <c r="K8" i="515"/>
  <c r="K10" i="515"/>
  <c r="R57" i="515"/>
  <c r="K7" i="515"/>
  <c r="G12" i="39124"/>
  <c r="K9" i="515"/>
  <c r="K11" i="515"/>
  <c r="AM12" i="39124"/>
  <c r="K38" i="515"/>
  <c r="G39" i="39124"/>
  <c r="AM39" i="39124"/>
  <c r="F44" i="39124"/>
  <c r="F40" i="39124"/>
  <c r="M39" i="515"/>
  <c r="AI40" i="39124"/>
  <c r="BM35" i="515"/>
  <c r="BH35" i="515"/>
  <c r="F33" i="39124"/>
  <c r="AI33" i="39124"/>
  <c r="M32" i="515"/>
  <c r="K21" i="515"/>
  <c r="G22" i="39124"/>
  <c r="AM22" i="39124"/>
  <c r="K54" i="515"/>
  <c r="G55" i="39124"/>
  <c r="AM55" i="39124"/>
  <c r="G52" i="39124"/>
  <c r="K51" i="515"/>
  <c r="AM52" i="39124"/>
  <c r="F2" i="868"/>
  <c r="B5" i="868"/>
  <c r="C3" i="868"/>
  <c r="G19" i="39124"/>
  <c r="K18" i="515"/>
  <c r="AM19" i="39124"/>
  <c r="K44" i="515"/>
  <c r="G45" i="39124"/>
  <c r="AM45" i="39124"/>
  <c r="F29" i="39124"/>
  <c r="M28" i="515"/>
  <c r="AI29" i="39124"/>
  <c r="BK57" i="515"/>
  <c r="BO11" i="515"/>
  <c r="G51" i="39124"/>
  <c r="K50" i="515"/>
  <c r="AM51" i="39124"/>
  <c r="E3" i="868"/>
  <c r="E2" i="868"/>
  <c r="C13" i="868"/>
  <c r="E13" i="868"/>
  <c r="G32" i="39124"/>
  <c r="K31" i="515"/>
  <c r="AM32" i="39124"/>
  <c r="F15" i="39124"/>
  <c r="AI15" i="39124"/>
  <c r="M14" i="515"/>
  <c r="AC19" i="39124"/>
  <c r="M19" i="39124"/>
  <c r="Q36" i="515"/>
  <c r="Q9" i="515"/>
  <c r="Q26" i="515"/>
  <c r="K32" i="515"/>
  <c r="K35" i="515"/>
  <c r="AC20" i="39124"/>
  <c r="M20" i="39124"/>
  <c r="AC49" i="39124"/>
  <c r="M49" i="39124"/>
  <c r="AE132" i="3"/>
  <c r="BI17" i="515"/>
  <c r="B25" i="39125"/>
  <c r="Q30" i="515"/>
  <c r="AC38" i="39124"/>
  <c r="M38" i="39124"/>
  <c r="Q27" i="515"/>
  <c r="AE405" i="3"/>
  <c r="BI49" i="515"/>
  <c r="Q13" i="515"/>
  <c r="BH13" i="515"/>
  <c r="K53" i="515"/>
  <c r="AC35" i="39124"/>
  <c r="M35" i="39124"/>
  <c r="AE227" i="3"/>
  <c r="BI29" i="515"/>
  <c r="AE432" i="3"/>
  <c r="BI54" i="515"/>
  <c r="AC44" i="39124"/>
  <c r="M44" i="39124"/>
  <c r="K45" i="515"/>
  <c r="AC22" i="39124"/>
  <c r="M22" i="39124"/>
  <c r="AC26" i="39124"/>
  <c r="M26" i="39124"/>
  <c r="AC14" i="39124"/>
  <c r="M14" i="39124"/>
  <c r="AC33" i="39124"/>
  <c r="M33" i="39124"/>
  <c r="AC34" i="39124"/>
  <c r="M34" i="39124"/>
  <c r="AC46" i="39124"/>
  <c r="M46" i="39124"/>
  <c r="AE307" i="3"/>
  <c r="BI39" i="515"/>
  <c r="AC43" i="39124"/>
  <c r="M43" i="39124"/>
  <c r="K49" i="515"/>
  <c r="Q29" i="515"/>
  <c r="Q46" i="515"/>
  <c r="Q20" i="515"/>
  <c r="K19" i="515"/>
  <c r="K37" i="515"/>
  <c r="K52" i="515"/>
  <c r="AC53" i="39124"/>
  <c r="M53" i="39124"/>
  <c r="AC32" i="39124"/>
  <c r="M32" i="39124"/>
  <c r="AC47" i="39124"/>
  <c r="M47" i="39124"/>
  <c r="AE363" i="3"/>
  <c r="BI46" i="515"/>
  <c r="AE204" i="3"/>
  <c r="BI27" i="515"/>
  <c r="AC50" i="39124"/>
  <c r="M50" i="39124"/>
  <c r="AC13" i="39124"/>
  <c r="M13" i="39124"/>
  <c r="AE86" i="3"/>
  <c r="BI12" i="515"/>
  <c r="AC51" i="39124"/>
  <c r="M51" i="39124"/>
  <c r="K25" i="515"/>
  <c r="AC21" i="39124"/>
  <c r="M21" i="39124"/>
  <c r="AE177" i="3"/>
  <c r="BI23" i="515"/>
  <c r="AC30" i="39124"/>
  <c r="M30" i="39124"/>
  <c r="BH40" i="515"/>
  <c r="AE355" i="3"/>
  <c r="BI44" i="515"/>
  <c r="K22" i="515"/>
  <c r="AC39" i="39124"/>
  <c r="M39" i="39124"/>
  <c r="AI18" i="39124"/>
  <c r="BH24" i="515"/>
  <c r="BM24" i="515"/>
  <c r="M50" i="515"/>
  <c r="F35" i="39124"/>
  <c r="F45" i="39124"/>
  <c r="F41" i="39124"/>
  <c r="AI32" i="39124"/>
  <c r="AI48" i="39124"/>
  <c r="F55" i="39124"/>
  <c r="AI22" i="39124"/>
  <c r="F48" i="39124"/>
  <c r="F18" i="39124"/>
  <c r="AI44" i="39124"/>
  <c r="F50" i="39124"/>
  <c r="AI45" i="39124"/>
  <c r="AI11" i="39124"/>
  <c r="F52" i="39124"/>
  <c r="M34" i="515"/>
  <c r="F24" i="39124"/>
  <c r="BH41" i="515"/>
  <c r="M10" i="515"/>
  <c r="AI24" i="39124"/>
  <c r="AI41" i="39124"/>
  <c r="F32" i="39124"/>
  <c r="AI55" i="39124"/>
  <c r="F22" i="39124"/>
  <c r="AI34" i="39124"/>
  <c r="AK50" i="39124"/>
  <c r="O50" i="39124"/>
  <c r="AK42" i="39124"/>
  <c r="O42" i="39124"/>
  <c r="AK53" i="39124"/>
  <c r="O53" i="39124"/>
  <c r="AK33" i="39124"/>
  <c r="O33" i="39124"/>
  <c r="AK51" i="39124"/>
  <c r="O51" i="39124"/>
  <c r="AK20" i="39124"/>
  <c r="O20" i="39124"/>
  <c r="C14" i="868"/>
  <c r="E14" i="868"/>
  <c r="C2" i="868"/>
  <c r="BM27" i="515"/>
  <c r="BH27" i="515"/>
  <c r="F47" i="39124"/>
  <c r="M46" i="515"/>
  <c r="AI47" i="39124"/>
  <c r="BM54" i="515"/>
  <c r="BH54" i="515"/>
  <c r="F14" i="39124"/>
  <c r="M13" i="515"/>
  <c r="AI14" i="39124"/>
  <c r="F28" i="39124"/>
  <c r="M27" i="515"/>
  <c r="AI28" i="39124"/>
  <c r="F31" i="39124"/>
  <c r="M30" i="515"/>
  <c r="AI31" i="39124"/>
  <c r="F10" i="39124"/>
  <c r="M9" i="515"/>
  <c r="AI10" i="39124"/>
  <c r="B38" i="39125"/>
  <c r="BO57" i="515"/>
  <c r="AK25" i="39124"/>
  <c r="O25" i="39124"/>
  <c r="AK9" i="39124"/>
  <c r="O9" i="39124"/>
  <c r="AK11" i="39124"/>
  <c r="O11" i="39124"/>
  <c r="AK10" i="39124"/>
  <c r="O10" i="39124"/>
  <c r="AK12" i="39124"/>
  <c r="O12" i="39124"/>
  <c r="AK8" i="39124"/>
  <c r="O8" i="39124"/>
  <c r="BN57" i="515"/>
  <c r="B37" i="39125"/>
  <c r="BM26" i="515"/>
  <c r="BH26" i="515"/>
  <c r="BM42" i="515"/>
  <c r="BH42" i="515"/>
  <c r="BM50" i="515"/>
  <c r="BH50" i="515"/>
  <c r="BM16" i="515"/>
  <c r="BH16" i="515"/>
  <c r="BM18" i="515"/>
  <c r="BH18" i="515"/>
  <c r="BP57" i="515"/>
  <c r="B39" i="39125"/>
  <c r="AK19" i="39124"/>
  <c r="O19" i="39124"/>
  <c r="AK52" i="39124"/>
  <c r="O52" i="39124"/>
  <c r="AK22" i="39124"/>
  <c r="O22" i="39124"/>
  <c r="AK49" i="39124"/>
  <c r="O49" i="39124"/>
  <c r="AK48" i="39124"/>
  <c r="O48" i="39124"/>
  <c r="AK56" i="39124"/>
  <c r="O56" i="39124"/>
  <c r="AK24" i="39124"/>
  <c r="O24" i="39124"/>
  <c r="AK43" i="39124"/>
  <c r="O43" i="39124"/>
  <c r="C15" i="868"/>
  <c r="E15" i="868"/>
  <c r="AK38" i="39124"/>
  <c r="O38" i="39124"/>
  <c r="AK46" i="39124"/>
  <c r="O46" i="39124"/>
  <c r="AK15" i="39124"/>
  <c r="O15" i="39124"/>
  <c r="AK29" i="39124"/>
  <c r="O29" i="39124"/>
  <c r="AK30" i="39124"/>
  <c r="O30" i="39124"/>
  <c r="AK40" i="39124"/>
  <c r="O40" i="39124"/>
  <c r="AK14" i="39124"/>
  <c r="O14" i="39124"/>
  <c r="AK31" i="39124"/>
  <c r="O31" i="39124"/>
  <c r="AK27" i="39124"/>
  <c r="O27" i="39124"/>
  <c r="BM23" i="515"/>
  <c r="BH23" i="515"/>
  <c r="BM44" i="515"/>
  <c r="BH44" i="515"/>
  <c r="BM12" i="515"/>
  <c r="BH12" i="515"/>
  <c r="BM46" i="515"/>
  <c r="BH46" i="515"/>
  <c r="F21" i="39124"/>
  <c r="AI21" i="39124"/>
  <c r="M20" i="515"/>
  <c r="F30" i="39124"/>
  <c r="AI30" i="39124"/>
  <c r="M29" i="515"/>
  <c r="BM39" i="515"/>
  <c r="BH39" i="515"/>
  <c r="BM29" i="515"/>
  <c r="BH29" i="515"/>
  <c r="BM49" i="515"/>
  <c r="BH49" i="515"/>
  <c r="BM17" i="515"/>
  <c r="BH17" i="515"/>
  <c r="F27" i="39124"/>
  <c r="M26" i="515"/>
  <c r="AI27" i="39124"/>
  <c r="F37" i="39124"/>
  <c r="AI37" i="39124"/>
  <c r="M36" i="515"/>
  <c r="B8" i="39125"/>
  <c r="G58" i="39124"/>
  <c r="AM58" i="39124"/>
  <c r="AE442" i="3"/>
  <c r="BI11" i="515"/>
  <c r="BM43" i="515"/>
  <c r="BH43" i="515"/>
  <c r="BM48" i="515"/>
  <c r="BH48" i="515"/>
  <c r="F25" i="39124"/>
  <c r="M24" i="515"/>
  <c r="AI25" i="39124"/>
  <c r="BM20" i="515"/>
  <c r="BH20" i="515"/>
  <c r="AK32" i="39124"/>
  <c r="O32" i="39124"/>
  <c r="AK45" i="39124"/>
  <c r="O45" i="39124"/>
  <c r="AK55" i="39124"/>
  <c r="O55" i="39124"/>
  <c r="AK39" i="39124"/>
  <c r="O39" i="39124"/>
  <c r="AK16" i="39124"/>
  <c r="O16" i="39124"/>
  <c r="AK17" i="39124"/>
  <c r="O17" i="39124"/>
  <c r="AK35" i="39124"/>
  <c r="O35" i="39124"/>
  <c r="AK34" i="39124"/>
  <c r="O34" i="39124"/>
  <c r="AK13" i="39124"/>
  <c r="O13" i="39124"/>
  <c r="AK23" i="39124"/>
  <c r="O23" i="39124"/>
  <c r="AK26" i="39124"/>
  <c r="O26" i="39124"/>
  <c r="AK57" i="39124"/>
  <c r="O57" i="39124"/>
  <c r="AK54" i="39124"/>
  <c r="O54" i="39124"/>
  <c r="AK36" i="39124"/>
  <c r="O36" i="39124"/>
  <c r="AK41" i="39124"/>
  <c r="O41" i="39124"/>
  <c r="AK21" i="39124"/>
  <c r="O21" i="39124"/>
  <c r="AK47" i="39124"/>
  <c r="O47" i="39124"/>
  <c r="AK18" i="39124"/>
  <c r="O18" i="39124"/>
  <c r="AK44" i="39124"/>
  <c r="O44" i="39124"/>
  <c r="AK28" i="39124"/>
  <c r="O28" i="39124"/>
  <c r="AK37" i="39124"/>
  <c r="O37" i="39124"/>
  <c r="E16" i="868"/>
  <c r="B13" i="39125"/>
  <c r="N5" i="39126"/>
  <c r="S7" i="515"/>
  <c r="W57" i="515"/>
  <c r="AB57" i="515"/>
  <c r="BI57" i="515"/>
  <c r="BM11" i="515"/>
  <c r="BH11" i="515"/>
  <c r="BH57" i="515"/>
  <c r="B9" i="39125"/>
  <c r="BF7" i="515"/>
  <c r="O7" i="515"/>
  <c r="H10" i="515"/>
  <c r="BG7" i="515"/>
  <c r="BB7" i="515"/>
  <c r="BC7" i="515"/>
  <c r="BE7" i="515"/>
  <c r="BD7" i="515"/>
  <c r="AC7" i="515"/>
  <c r="S57" i="515"/>
  <c r="Z57" i="515"/>
  <c r="Z7" i="515"/>
  <c r="H49" i="515"/>
  <c r="H56" i="515"/>
  <c r="H21" i="515"/>
  <c r="BE57" i="515"/>
  <c r="B30" i="39125"/>
  <c r="B32" i="39125"/>
  <c r="O57" i="515"/>
  <c r="AF57" i="515"/>
  <c r="AD57" i="515"/>
  <c r="AC57" i="515"/>
  <c r="B18" i="39125"/>
  <c r="AQ57" i="515"/>
  <c r="P57" i="515"/>
  <c r="BM57" i="515"/>
  <c r="B36" i="39125"/>
  <c r="H55" i="515"/>
  <c r="H26" i="515"/>
  <c r="H14" i="515"/>
  <c r="H16" i="515"/>
  <c r="H28" i="515"/>
  <c r="H47" i="515"/>
  <c r="H30" i="515"/>
  <c r="H12" i="515"/>
  <c r="H9" i="515"/>
  <c r="H53" i="515"/>
  <c r="H45" i="515"/>
  <c r="H17" i="515"/>
  <c r="H44" i="515"/>
  <c r="H52" i="515"/>
  <c r="H40" i="515"/>
  <c r="H50" i="515"/>
  <c r="H54" i="515"/>
  <c r="H27" i="515"/>
  <c r="H24" i="515"/>
  <c r="H37" i="515"/>
  <c r="H31" i="515"/>
  <c r="H36" i="515"/>
  <c r="H51" i="515"/>
  <c r="AA8" i="39124"/>
  <c r="H43" i="515"/>
  <c r="H38" i="515"/>
  <c r="H11" i="515"/>
  <c r="H15" i="515"/>
  <c r="H33" i="515"/>
  <c r="H18" i="515"/>
  <c r="H32" i="515"/>
  <c r="H8" i="515"/>
  <c r="H48" i="515"/>
  <c r="H34" i="515"/>
  <c r="H42" i="515"/>
  <c r="H20" i="515"/>
  <c r="H46" i="515"/>
  <c r="H23" i="515"/>
  <c r="H41" i="515"/>
  <c r="H22" i="515"/>
  <c r="H29" i="515"/>
  <c r="H13" i="515"/>
  <c r="H39" i="515"/>
  <c r="H7" i="515"/>
  <c r="H35" i="515"/>
  <c r="H19" i="515"/>
  <c r="H25" i="515"/>
  <c r="Y44" i="39124"/>
  <c r="L44" i="39124"/>
  <c r="Y27" i="39124"/>
  <c r="L27" i="39124"/>
  <c r="Y19" i="39124"/>
  <c r="L19" i="39124"/>
  <c r="Y24" i="39124"/>
  <c r="L24" i="39124"/>
  <c r="BB57" i="515"/>
  <c r="B33" i="39125"/>
  <c r="BD57" i="515"/>
  <c r="B16" i="39125"/>
  <c r="Q7" i="515"/>
  <c r="J7" i="515"/>
  <c r="Y42" i="39124"/>
  <c r="L42" i="39124"/>
  <c r="Y57" i="39124"/>
  <c r="L57" i="39124"/>
  <c r="Y47" i="39124"/>
  <c r="L47" i="39124"/>
  <c r="Y36" i="39124"/>
  <c r="L36" i="39124"/>
  <c r="Y25" i="39124"/>
  <c r="L25" i="39124"/>
  <c r="Y21" i="39124"/>
  <c r="L21" i="39124"/>
  <c r="Y28" i="39124"/>
  <c r="L28" i="39124"/>
  <c r="BC57" i="515"/>
  <c r="B34" i="39125"/>
  <c r="BG57" i="515"/>
  <c r="B31" i="39125"/>
  <c r="BF57" i="515"/>
  <c r="Q57" i="515"/>
  <c r="B7" i="39125"/>
  <c r="B35" i="39125"/>
  <c r="Y49" i="39124"/>
  <c r="L49" i="39124"/>
  <c r="Y48" i="39124"/>
  <c r="L48" i="39124"/>
  <c r="Y43" i="39124"/>
  <c r="L43" i="39124"/>
  <c r="Y39" i="39124"/>
  <c r="L39" i="39124"/>
  <c r="Y53" i="39124"/>
  <c r="L53" i="39124"/>
  <c r="Y40" i="39124"/>
  <c r="L40" i="39124"/>
  <c r="Y30" i="39124"/>
  <c r="L30" i="39124"/>
  <c r="Y17" i="39124"/>
  <c r="L17" i="39124"/>
  <c r="Y56" i="39124"/>
  <c r="L56" i="39124"/>
  <c r="Y46" i="39124"/>
  <c r="L46" i="39124"/>
  <c r="Y26" i="39124"/>
  <c r="L26" i="39124"/>
  <c r="Y10" i="39124"/>
  <c r="L10" i="39124"/>
  <c r="E58" i="39124"/>
  <c r="AE58" i="39124"/>
  <c r="B5" i="39125"/>
  <c r="D58" i="39124"/>
  <c r="AA58" i="39124"/>
  <c r="B6" i="39125"/>
  <c r="AI8" i="39124"/>
  <c r="J53" i="515"/>
  <c r="L53" i="515"/>
  <c r="J22" i="515"/>
  <c r="J52" i="515"/>
  <c r="L52" i="515"/>
  <c r="J19" i="515"/>
  <c r="J25" i="515"/>
  <c r="L25" i="515"/>
  <c r="J55" i="515"/>
  <c r="L55" i="515"/>
  <c r="J47" i="515"/>
  <c r="L47" i="515"/>
  <c r="J48" i="515"/>
  <c r="J54" i="515"/>
  <c r="L54" i="515"/>
  <c r="J18" i="515"/>
  <c r="J31" i="515"/>
  <c r="L31" i="515"/>
  <c r="J43" i="515"/>
  <c r="J32" i="515"/>
  <c r="L32" i="515"/>
  <c r="J40" i="515"/>
  <c r="J23" i="515"/>
  <c r="L23" i="515"/>
  <c r="J15" i="515"/>
  <c r="J21" i="515"/>
  <c r="L21" i="515"/>
  <c r="J44" i="515"/>
  <c r="J17" i="515"/>
  <c r="L17" i="515"/>
  <c r="J13" i="515"/>
  <c r="J24" i="515"/>
  <c r="L24" i="515"/>
  <c r="J27" i="515"/>
  <c r="L27" i="515"/>
  <c r="J20" i="515"/>
  <c r="L20" i="515"/>
  <c r="J26" i="515"/>
  <c r="L26" i="515"/>
  <c r="M7" i="515"/>
  <c r="L44" i="515"/>
  <c r="L40" i="515"/>
  <c r="S41" i="39124"/>
  <c r="L43" i="515"/>
  <c r="L48" i="515"/>
  <c r="S49" i="39124"/>
  <c r="D8" i="39124"/>
  <c r="Y45" i="39124"/>
  <c r="L45" i="39124"/>
  <c r="Y9" i="39124"/>
  <c r="L9" i="39124"/>
  <c r="Y32" i="39124"/>
  <c r="L32" i="39124"/>
  <c r="Y11" i="39124"/>
  <c r="L11" i="39124"/>
  <c r="Y33" i="39124"/>
  <c r="L33" i="39124"/>
  <c r="Y38" i="39124"/>
  <c r="L38" i="39124"/>
  <c r="L13" i="515"/>
  <c r="S14" i="39124"/>
  <c r="L15" i="515"/>
  <c r="L18" i="515"/>
  <c r="S19" i="39124"/>
  <c r="L19" i="515"/>
  <c r="L22" i="515"/>
  <c r="S23" i="39124"/>
  <c r="Y50" i="39124"/>
  <c r="L50" i="39124"/>
  <c r="Y23" i="39124"/>
  <c r="L23" i="39124"/>
  <c r="Y22" i="39124"/>
  <c r="L22" i="39124"/>
  <c r="Y8" i="39124"/>
  <c r="L8" i="39124"/>
  <c r="Y13" i="39124"/>
  <c r="L13" i="39124"/>
  <c r="Y54" i="39124"/>
  <c r="L54" i="39124"/>
  <c r="Y34" i="39124"/>
  <c r="L34" i="39124"/>
  <c r="Y18" i="39124"/>
  <c r="L18" i="39124"/>
  <c r="Y51" i="39124"/>
  <c r="L51" i="39124"/>
  <c r="Y29" i="39124"/>
  <c r="L29" i="39124"/>
  <c r="Y14" i="39124"/>
  <c r="L14" i="39124"/>
  <c r="Y20" i="39124"/>
  <c r="L20" i="39124"/>
  <c r="Y35" i="39124"/>
  <c r="L35" i="39124"/>
  <c r="Y12" i="39124"/>
  <c r="L12" i="39124"/>
  <c r="Y15" i="39124"/>
  <c r="L15" i="39124"/>
  <c r="Y41" i="39124"/>
  <c r="L41" i="39124"/>
  <c r="Y37" i="39124"/>
  <c r="L37" i="39124"/>
  <c r="Y16" i="39124"/>
  <c r="L16" i="39124"/>
  <c r="L7" i="515"/>
  <c r="Y31" i="39124"/>
  <c r="L31" i="39124"/>
  <c r="Y52" i="39124"/>
  <c r="L52" i="39124"/>
  <c r="Y55" i="39124"/>
  <c r="L55" i="39124"/>
  <c r="F58" i="39124"/>
  <c r="J36" i="515"/>
  <c r="L36" i="515"/>
  <c r="S37" i="39124"/>
  <c r="J29" i="515"/>
  <c r="L29" i="515"/>
  <c r="J30" i="515"/>
  <c r="L30" i="515"/>
  <c r="S31" i="39124"/>
  <c r="J46" i="515"/>
  <c r="L46" i="515"/>
  <c r="S47" i="39124"/>
  <c r="J9" i="515"/>
  <c r="L9" i="515"/>
  <c r="S10" i="39124"/>
  <c r="J14" i="515"/>
  <c r="L14" i="515"/>
  <c r="S15" i="39124"/>
  <c r="J8" i="515"/>
  <c r="L8" i="515"/>
  <c r="S9" i="39124"/>
  <c r="J10" i="515"/>
  <c r="L10" i="515"/>
  <c r="J11" i="515"/>
  <c r="L11" i="515"/>
  <c r="S12" i="39124"/>
  <c r="J33" i="515"/>
  <c r="L33" i="515"/>
  <c r="S34" i="39124"/>
  <c r="J42" i="515"/>
  <c r="L42" i="515"/>
  <c r="S43" i="39124"/>
  <c r="J28" i="515"/>
  <c r="L28" i="515"/>
  <c r="S29" i="39124"/>
  <c r="J39" i="515"/>
  <c r="L39" i="515"/>
  <c r="S40" i="39124"/>
  <c r="J49" i="515"/>
  <c r="L49" i="515"/>
  <c r="S50" i="39124"/>
  <c r="J50" i="515"/>
  <c r="L50" i="515"/>
  <c r="S51" i="39124"/>
  <c r="J51" i="515"/>
  <c r="L51" i="515"/>
  <c r="S52" i="39124"/>
  <c r="J38" i="515"/>
  <c r="L38" i="515"/>
  <c r="S39" i="39124"/>
  <c r="J16" i="515"/>
  <c r="L16" i="515"/>
  <c r="S17" i="39124"/>
  <c r="J34" i="515"/>
  <c r="L34" i="515"/>
  <c r="S35" i="39124"/>
  <c r="J12" i="515"/>
  <c r="L12" i="515"/>
  <c r="S13" i="39124"/>
  <c r="J45" i="515"/>
  <c r="L45" i="515"/>
  <c r="S46" i="39124"/>
  <c r="J37" i="515"/>
  <c r="L37" i="515"/>
  <c r="S38" i="39124"/>
  <c r="J56" i="515"/>
  <c r="L56" i="515"/>
  <c r="S57" i="39124"/>
  <c r="J35" i="515"/>
  <c r="L35" i="515"/>
  <c r="S36" i="39124"/>
  <c r="J41" i="515"/>
  <c r="L41" i="515"/>
  <c r="E50" i="515"/>
  <c r="S11" i="39124"/>
  <c r="S8" i="39124"/>
  <c r="S30" i="39124"/>
  <c r="M57" i="515"/>
  <c r="F7" i="515"/>
  <c r="F37" i="515"/>
  <c r="F56" i="515"/>
  <c r="F22" i="515"/>
  <c r="F35" i="515"/>
  <c r="F25" i="515"/>
  <c r="F45" i="515"/>
  <c r="F19" i="515"/>
  <c r="F52" i="515"/>
  <c r="F53" i="515"/>
  <c r="F41" i="515"/>
  <c r="F40" i="515"/>
  <c r="F43" i="515"/>
  <c r="F8" i="515"/>
  <c r="F31" i="515"/>
  <c r="F54" i="515"/>
  <c r="F16" i="515"/>
  <c r="F14" i="515"/>
  <c r="F32" i="515"/>
  <c r="F34" i="515"/>
  <c r="F23" i="515"/>
  <c r="F42" i="515"/>
  <c r="F17" i="515"/>
  <c r="F38" i="515"/>
  <c r="F12" i="515"/>
  <c r="F28" i="515"/>
  <c r="F39" i="515"/>
  <c r="F49" i="515"/>
  <c r="F50" i="515"/>
  <c r="F18" i="515"/>
  <c r="F51" i="515"/>
  <c r="F15" i="515"/>
  <c r="F48" i="515"/>
  <c r="F47" i="515"/>
  <c r="F55" i="515"/>
  <c r="F44" i="515"/>
  <c r="F10" i="515"/>
  <c r="F21" i="515"/>
  <c r="F11" i="515"/>
  <c r="F33" i="515"/>
  <c r="F36" i="515"/>
  <c r="F29" i="515"/>
  <c r="F9" i="515"/>
  <c r="F46" i="515"/>
  <c r="F24" i="515"/>
  <c r="F20" i="515"/>
  <c r="F26" i="515"/>
  <c r="F30" i="515"/>
  <c r="F13" i="515"/>
  <c r="F27" i="515"/>
  <c r="S27" i="39124"/>
  <c r="S21" i="39124"/>
  <c r="S28" i="39124"/>
  <c r="S25" i="39124"/>
  <c r="S18" i="39124"/>
  <c r="S45" i="39124"/>
  <c r="S22" i="39124"/>
  <c r="S16" i="39124"/>
  <c r="S24" i="39124"/>
  <c r="S33" i="39124"/>
  <c r="S44" i="39124"/>
  <c r="S32" i="39124"/>
  <c r="S55" i="39124"/>
  <c r="S48" i="39124"/>
  <c r="S56" i="39124"/>
  <c r="S26" i="39124"/>
  <c r="S20" i="39124"/>
  <c r="S53" i="39124"/>
  <c r="S54" i="39124"/>
  <c r="F8" i="39124"/>
  <c r="AG8" i="39124"/>
  <c r="N8" i="39124"/>
  <c r="AG26" i="39124"/>
  <c r="N26" i="39124"/>
  <c r="AG20" i="39124"/>
  <c r="N20" i="39124"/>
  <c r="AG53" i="39124"/>
  <c r="N53" i="39124"/>
  <c r="AG23" i="39124"/>
  <c r="N23" i="39124"/>
  <c r="AG42" i="39124"/>
  <c r="N42" i="39124"/>
  <c r="AG46" i="39124"/>
  <c r="N46" i="39124"/>
  <c r="AG38" i="39124"/>
  <c r="N38" i="39124"/>
  <c r="AG57" i="39124"/>
  <c r="N57" i="39124"/>
  <c r="AG36" i="39124"/>
  <c r="N36" i="39124"/>
  <c r="AG54" i="39124"/>
  <c r="N54" i="39124"/>
  <c r="AG18" i="39124"/>
  <c r="N18" i="39124"/>
  <c r="AG33" i="39124"/>
  <c r="N33" i="39124"/>
  <c r="AG11" i="39124"/>
  <c r="N11" i="39124"/>
  <c r="AG39" i="39124"/>
  <c r="N39" i="39124"/>
  <c r="AG12" i="39124"/>
  <c r="N12" i="39124"/>
  <c r="AG35" i="39124"/>
  <c r="N35" i="39124"/>
  <c r="AG34" i="39124"/>
  <c r="N34" i="39124"/>
  <c r="AG13" i="39124"/>
  <c r="N13" i="39124"/>
  <c r="AG29" i="39124"/>
  <c r="N29" i="39124"/>
  <c r="AG44" i="39124"/>
  <c r="N44" i="39124"/>
  <c r="AG50" i="39124"/>
  <c r="N50" i="39124"/>
  <c r="AG51" i="39124"/>
  <c r="N51" i="39124"/>
  <c r="AG19" i="39124"/>
  <c r="N19" i="39124"/>
  <c r="AG52" i="39124"/>
  <c r="N52" i="39124"/>
  <c r="AG16" i="39124"/>
  <c r="N16" i="39124"/>
  <c r="AG17" i="39124"/>
  <c r="N17" i="39124"/>
  <c r="AG9" i="39124"/>
  <c r="N9" i="39124"/>
  <c r="AG32" i="39124"/>
  <c r="N32" i="39124"/>
  <c r="AG49" i="39124"/>
  <c r="N49" i="39124"/>
  <c r="AG56" i="39124"/>
  <c r="N56" i="39124"/>
  <c r="AG15" i="39124"/>
  <c r="N15" i="39124"/>
  <c r="AG45" i="39124"/>
  <c r="N45" i="39124"/>
  <c r="AG22" i="39124"/>
  <c r="N22" i="39124"/>
  <c r="AG24" i="39124"/>
  <c r="N24" i="39124"/>
  <c r="AG43" i="39124"/>
  <c r="N43" i="39124"/>
  <c r="AG41" i="39124"/>
  <c r="N41" i="39124"/>
  <c r="AG40" i="39124"/>
  <c r="N40" i="39124"/>
  <c r="AG55" i="39124"/>
  <c r="N55" i="39124"/>
  <c r="AG48" i="39124"/>
  <c r="N48" i="39124"/>
  <c r="AG10" i="39124"/>
  <c r="N10" i="39124"/>
  <c r="AG28" i="39124"/>
  <c r="N28" i="39124"/>
  <c r="AG47" i="39124"/>
  <c r="N47" i="39124"/>
  <c r="AG37" i="39124"/>
  <c r="N37" i="39124"/>
  <c r="AG30" i="39124"/>
  <c r="N30" i="39124"/>
  <c r="AG27" i="39124"/>
  <c r="N27" i="39124"/>
  <c r="AG31" i="39124"/>
  <c r="N31" i="39124"/>
  <c r="AG14" i="39124"/>
  <c r="N14" i="39124"/>
  <c r="AG25" i="39124"/>
  <c r="N25" i="39124"/>
  <c r="AG21" i="39124"/>
  <c r="N21" i="39124"/>
  <c r="E33" i="515"/>
  <c r="E8" i="515"/>
  <c r="E19" i="515"/>
  <c r="E31" i="515"/>
  <c r="E16" i="515"/>
  <c r="E49" i="515"/>
  <c r="E12" i="515"/>
  <c r="E51" i="515"/>
  <c r="E28" i="515"/>
  <c r="E13" i="515"/>
  <c r="E32" i="515"/>
  <c r="E56" i="515"/>
  <c r="E35" i="515"/>
  <c r="E7" i="515"/>
  <c r="S42" i="39124"/>
  <c r="E41" i="515"/>
  <c r="E37" i="515"/>
  <c r="E45" i="515"/>
  <c r="E38" i="515"/>
  <c r="E36" i="515"/>
  <c r="E29" i="515"/>
  <c r="E39" i="515"/>
  <c r="E14" i="515"/>
  <c r="E53" i="515"/>
  <c r="E22" i="515"/>
  <c r="E52" i="515"/>
  <c r="E25" i="515"/>
  <c r="E55" i="515"/>
  <c r="E47" i="515"/>
  <c r="E48" i="515"/>
  <c r="E54" i="515"/>
  <c r="E18" i="515"/>
  <c r="E43" i="515"/>
  <c r="E40" i="515"/>
  <c r="E23" i="515"/>
  <c r="E15" i="515"/>
  <c r="E21" i="515"/>
  <c r="E44" i="515"/>
  <c r="E17" i="515"/>
  <c r="E24" i="515"/>
  <c r="E27" i="515"/>
  <c r="E20" i="515"/>
  <c r="E26" i="515"/>
  <c r="E34" i="515"/>
  <c r="E42" i="515"/>
  <c r="E11" i="515"/>
  <c r="E10" i="515"/>
  <c r="E9" i="515"/>
  <c r="E30" i="515"/>
  <c r="E46" i="515"/>
  <c r="B54" i="39124"/>
  <c r="Q54" i="39124"/>
  <c r="J54" i="39124"/>
  <c r="B23" i="39124"/>
  <c r="Q23" i="39124"/>
  <c r="J23" i="39124"/>
  <c r="Q53" i="39124"/>
  <c r="J53" i="39124"/>
  <c r="B53" i="39124"/>
  <c r="B26" i="39124"/>
  <c r="Q26" i="39124"/>
  <c r="J26" i="39124"/>
  <c r="B56" i="39124"/>
  <c r="Q56" i="39124"/>
  <c r="J56" i="39124"/>
  <c r="B48" i="39124"/>
  <c r="Q48" i="39124"/>
  <c r="J48" i="39124"/>
  <c r="B49" i="39124"/>
  <c r="Q49" i="39124"/>
  <c r="J49" i="39124"/>
  <c r="B55" i="39124"/>
  <c r="Q55" i="39124"/>
  <c r="J55" i="39124"/>
  <c r="B19" i="39124"/>
  <c r="Q19" i="39124"/>
  <c r="J19" i="39124"/>
  <c r="B44" i="39124"/>
  <c r="Q44" i="39124"/>
  <c r="J44" i="39124"/>
  <c r="B41" i="39124"/>
  <c r="Q41" i="39124"/>
  <c r="J41" i="39124"/>
  <c r="B24" i="39124"/>
  <c r="Q24" i="39124"/>
  <c r="J24" i="39124"/>
  <c r="Q16" i="39124"/>
  <c r="J16" i="39124"/>
  <c r="B16" i="39124"/>
  <c r="B22" i="39124"/>
  <c r="Q22" i="39124"/>
  <c r="J22" i="39124"/>
  <c r="B45" i="39124"/>
  <c r="Q45" i="39124"/>
  <c r="J45" i="39124"/>
  <c r="B18" i="39124"/>
  <c r="Q18" i="39124"/>
  <c r="J18" i="39124"/>
  <c r="B25" i="39124"/>
  <c r="Q25" i="39124"/>
  <c r="J25" i="39124"/>
  <c r="B28" i="39124"/>
  <c r="Q28" i="39124"/>
  <c r="J28" i="39124"/>
  <c r="B21" i="39124"/>
  <c r="Q21" i="39124"/>
  <c r="J21" i="39124"/>
  <c r="B27" i="39124"/>
  <c r="Q27" i="39124"/>
  <c r="J27" i="39124"/>
  <c r="B30" i="39124"/>
  <c r="Q30" i="39124"/>
  <c r="J30" i="39124"/>
  <c r="B35" i="39124"/>
  <c r="Q35" i="39124"/>
  <c r="J35" i="39124"/>
  <c r="B43" i="39124"/>
  <c r="Q43" i="39124"/>
  <c r="J43" i="39124"/>
  <c r="B12" i="39124"/>
  <c r="Q12" i="39124"/>
  <c r="J12" i="39124"/>
  <c r="B11" i="39124"/>
  <c r="Q11" i="39124"/>
  <c r="J11" i="39124"/>
  <c r="B10" i="39124"/>
  <c r="Q10" i="39124"/>
  <c r="J10" i="39124"/>
  <c r="Q37" i="39124"/>
  <c r="J37" i="39124"/>
  <c r="B37" i="39124"/>
  <c r="B20" i="39124"/>
  <c r="Q20" i="39124"/>
  <c r="J20" i="39124"/>
  <c r="B32" i="39124"/>
  <c r="Q32" i="39124"/>
  <c r="J32" i="39124"/>
  <c r="B33" i="39124"/>
  <c r="Q33" i="39124"/>
  <c r="J33" i="39124"/>
  <c r="B14" i="39124"/>
  <c r="Q14" i="39124"/>
  <c r="J14" i="39124"/>
  <c r="B8" i="39124"/>
  <c r="Q8" i="39124"/>
  <c r="J8" i="39124"/>
  <c r="B42" i="39124"/>
  <c r="Q42" i="39124"/>
  <c r="J42" i="39124"/>
  <c r="B36" i="39124"/>
  <c r="Q36" i="39124"/>
  <c r="J36" i="39124"/>
  <c r="B57" i="39124"/>
  <c r="Q57" i="39124"/>
  <c r="J57" i="39124"/>
  <c r="B38" i="39124"/>
  <c r="Q38" i="39124"/>
  <c r="J38" i="39124"/>
  <c r="B46" i="39124"/>
  <c r="Q46" i="39124"/>
  <c r="J46" i="39124"/>
  <c r="B13" i="39124"/>
  <c r="Q13" i="39124"/>
  <c r="J13" i="39124"/>
  <c r="B17" i="39124"/>
  <c r="Q17" i="39124"/>
  <c r="J17" i="39124"/>
  <c r="Q39" i="39124"/>
  <c r="J39" i="39124"/>
  <c r="B39" i="39124"/>
  <c r="B52" i="39124"/>
  <c r="Q52" i="39124"/>
  <c r="J52" i="39124"/>
  <c r="B51" i="39124"/>
  <c r="Q51" i="39124"/>
  <c r="J51" i="39124"/>
  <c r="Q50" i="39124"/>
  <c r="J50" i="39124"/>
  <c r="B50" i="39124"/>
  <c r="B40" i="39124"/>
  <c r="Q40" i="39124"/>
  <c r="J40" i="39124"/>
  <c r="B29" i="39124"/>
  <c r="Q29" i="39124"/>
  <c r="J29" i="39124"/>
  <c r="B34" i="39124"/>
  <c r="Q34" i="39124"/>
  <c r="J34" i="39124"/>
  <c r="B9" i="39124"/>
  <c r="Q9" i="39124"/>
  <c r="J9" i="39124"/>
  <c r="B15" i="39124"/>
  <c r="Q15" i="39124"/>
  <c r="J15" i="39124"/>
  <c r="B47" i="39124"/>
  <c r="Q47" i="39124"/>
  <c r="J47" i="39124"/>
  <c r="B31" i="39124"/>
  <c r="Q31" i="39124"/>
  <c r="J31" i="39124"/>
</calcChain>
</file>

<file path=xl/sharedStrings.xml><?xml version="1.0" encoding="utf-8"?>
<sst xmlns="http://schemas.openxmlformats.org/spreadsheetml/2006/main" count="2375" uniqueCount="857">
  <si>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</si>
  <si>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</si>
  <si>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</si>
  <si>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</si>
  <si>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</si>
  <si>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</si>
  <si>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</si>
  <si>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</si>
  <si>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</si>
  <si>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</si>
  <si>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</si>
  <si>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</si>
  <si>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</si>
  <si>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</si>
  <si>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</si>
  <si>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</si>
  <si>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</si>
  <si>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</si>
  <si>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</si>
  <si>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</si>
  <si>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</si>
  <si>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</si>
  <si>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</si>
  <si>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</si>
  <si>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</si>
  <si>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</si>
  <si>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</si>
  <si>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</si>
  <si>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</si>
  <si>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</si>
  <si>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</si>
  <si>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</si>
  <si>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</si>
  <si>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</si>
  <si>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</si>
  <si>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</si>
  <si>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</si>
  <si>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</si>
  <si>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</si>
  <si>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</si>
  <si>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</si>
  <si>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</si>
  <si>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</si>
  <si>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</si>
  <si>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</si>
  <si>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</si>
  <si>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</si>
  <si>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</si>
  <si>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</si>
  <si>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</si>
  <si>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Totals</t>
  </si>
  <si>
    <t>State</t>
  </si>
  <si>
    <t>Dist</t>
  </si>
  <si>
    <t>Party</t>
  </si>
  <si>
    <t>Uncontested</t>
  </si>
  <si>
    <t>Competitiveness</t>
  </si>
  <si>
    <t>Dropoff</t>
  </si>
  <si>
    <t>Instructions:</t>
  </si>
  <si>
    <t>All other information will be calculated automatically.</t>
  </si>
  <si>
    <t>Scale of Competitiveness</t>
  </si>
  <si>
    <t>Winning margin</t>
  </si>
  <si>
    <t>No contest</t>
  </si>
  <si>
    <t>Landslide</t>
  </si>
  <si>
    <t>Opportunity</t>
  </si>
  <si>
    <t>Competitive</t>
  </si>
  <si>
    <t>Tight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</si>
  <si>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</si>
  <si>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</si>
  <si>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</si>
  <si>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</si>
  <si>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</si>
  <si>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</si>
  <si>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</si>
  <si>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</si>
  <si>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</si>
  <si>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</si>
  <si>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</si>
  <si>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</si>
  <si>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</si>
  <si>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</si>
  <si>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</si>
  <si>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</si>
  <si>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</si>
  <si>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</si>
  <si>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</si>
  <si>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</si>
  <si>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</si>
  <si>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</si>
  <si>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</si>
  <si>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</si>
  <si>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</si>
  <si>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</si>
  <si>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</si>
  <si>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</si>
  <si>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</si>
  <si>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</si>
  <si>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</si>
  <si>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</si>
  <si>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</si>
  <si>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</si>
  <si>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</si>
  <si>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</si>
  <si>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</si>
  <si>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</si>
  <si>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</si>
  <si>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</si>
  <si>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</si>
  <si>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</si>
  <si>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</si>
  <si>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</si>
  <si>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</si>
  <si>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</si>
  <si>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</si>
  <si>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</si>
  <si>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</si>
  <si>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</si>
  <si>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</t>
  </si>
  <si>
    <t>Votes</t>
  </si>
  <si>
    <t>Dem</t>
  </si>
  <si>
    <t>Rep</t>
  </si>
  <si>
    <t>Other</t>
  </si>
  <si>
    <t>Total</t>
  </si>
  <si>
    <t>Winning</t>
  </si>
  <si>
    <t>Winnner</t>
  </si>
  <si>
    <t>Runner up</t>
  </si>
  <si>
    <t>Vote totals</t>
  </si>
  <si>
    <t>Enter Dem, Rep and Total vote totals after election</t>
  </si>
  <si>
    <t>Wasted votes</t>
  </si>
  <si>
    <t>%</t>
  </si>
  <si>
    <t>MOV</t>
  </si>
  <si>
    <t>Indexes</t>
  </si>
  <si>
    <t>Democracy</t>
  </si>
  <si>
    <t>Seats</t>
  </si>
  <si>
    <t>Percent</t>
  </si>
  <si>
    <t>Data by District sheet</t>
  </si>
  <si>
    <t>Data by State</t>
  </si>
  <si>
    <t>Note:  these labels must be identical to those on Instructions</t>
  </si>
  <si>
    <t>% of votes</t>
  </si>
  <si>
    <t>Winner</t>
  </si>
  <si>
    <t>Votes for</t>
  </si>
  <si>
    <t>House</t>
  </si>
  <si>
    <t>Seat %</t>
  </si>
  <si>
    <t>Seats-to-Votes</t>
  </si>
  <si>
    <t>Repres</t>
  </si>
  <si>
    <t>votes</t>
  </si>
  <si>
    <t>Seats-to-</t>
  </si>
  <si>
    <t>Wasted Votes</t>
  </si>
  <si>
    <t>Percent Wasted</t>
  </si>
  <si>
    <t>Number of seats</t>
  </si>
  <si>
    <t>Uncont?</t>
  </si>
  <si>
    <t>Date by District</t>
  </si>
  <si>
    <t>Column</t>
  </si>
  <si>
    <t>Description</t>
  </si>
  <si>
    <t>"Other" votes is calculated automatically.  This includes all votes cast for candidates other than Dem and Rep.</t>
  </si>
  <si>
    <t>Runner up is calculated as the 2nd highest total among Dem, Rep and Other.  Note that if the other total is 2nd highest, this could include votes from more than 1 candidate.</t>
  </si>
  <si>
    <t>"Margin of Victory" is calculated as (winner total-runner up total)/total votes.</t>
  </si>
  <si>
    <t>"Winning %" = winner's votes / total votes</t>
  </si>
  <si>
    <t>L</t>
  </si>
  <si>
    <t>N</t>
  </si>
  <si>
    <t>"Wasted votes" equals votes cast by a party for a candidate who loses.</t>
  </si>
  <si>
    <t>C</t>
  </si>
  <si>
    <t>D</t>
  </si>
  <si>
    <t>Landslide index is the percent of races in a state won by landslide margins.</t>
  </si>
  <si>
    <t>R</t>
  </si>
  <si>
    <t>S</t>
  </si>
  <si>
    <t>Total seats</t>
  </si>
  <si>
    <t>Number of seats in the state won by each of the ranges</t>
  </si>
  <si>
    <t>Number of seats in the state that were not contested by both Dem and Rep, and the percent of seats in the state that weren't contested.</t>
  </si>
  <si>
    <t>Number of votes cast for winning candidates as a percent of total votes cast in House races.</t>
  </si>
  <si>
    <t>Total votes cast in House races in the state.</t>
  </si>
  <si>
    <t>Seats won by Dem, Rep and Other.</t>
  </si>
  <si>
    <t>If a party wins its fair share (eg, 40% of the seats with 40% of the votes), the distortion is 0.</t>
  </si>
  <si>
    <t>If a party wins an unfair share (eg, no seats with 40%, or 100% of the seats with 60% of the vote), the ratio is a positive number between 0 and 100%.</t>
  </si>
  <si>
    <t>If a party wins 0% of the seats with 40% of the votes, the distortion is abs (40% - 0%) = 40%.</t>
  </si>
  <si>
    <t>Total wasted votes:  sum of all votes cast for candidates that didn't win.</t>
  </si>
  <si>
    <t>NOTE:  This definition could be modified to include all votes cast for losing candidates PLUS all votes above 50% cast for a winning candidate.</t>
  </si>
  <si>
    <t>Dem, Rep and Other wasted votes as a percent of total Dem, Rep or Other votes cast for House.</t>
  </si>
  <si>
    <t>Winner total is computed as the max of Dem, Rep and Other votes.</t>
  </si>
  <si>
    <t>"Uncontested" is "Yes" if the race was not contested by both Dem and Rep, "No" otherwise; combined with state abbreviation.</t>
  </si>
  <si>
    <t>"Party" = winning party (Dem, Rep or Other); combined with state abbreviation.</t>
  </si>
  <si>
    <t>"Competitiveness" range defined by categories above (No contest, landslide, opportunity, competitive, tight); combined with state abbreviation.</t>
  </si>
  <si>
    <t>Seats-to-Votes ratio is the average of the Dem and Rep seats-to-votes distortion (see below).</t>
  </si>
  <si>
    <t>Total votes cast for Dem, Rep and Other candidates.</t>
  </si>
  <si>
    <t>Percent of total votes cast for Dem, Rep and Other.</t>
  </si>
  <si>
    <t>Percent of seats won by Dem, Rep and Other.</t>
  </si>
  <si>
    <t>Turnout</t>
  </si>
  <si>
    <t>Top ticket</t>
  </si>
  <si>
    <t>Ranking</t>
  </si>
  <si>
    <t>US</t>
  </si>
  <si>
    <t>Index</t>
  </si>
  <si>
    <t>Representation</t>
  </si>
  <si>
    <t>Democ</t>
  </si>
  <si>
    <t>Land</t>
  </si>
  <si>
    <t>Rel.</t>
  </si>
  <si>
    <t>Abs.</t>
  </si>
  <si>
    <t>Based on ranking of each index.</t>
  </si>
  <si>
    <t>Based on value of each index, scaled so that 100% is good.</t>
  </si>
  <si>
    <t>Rankings (1-50)</t>
  </si>
  <si>
    <t>Landsl</t>
  </si>
  <si>
    <t>USA</t>
  </si>
  <si>
    <t>n/a</t>
  </si>
  <si>
    <t>Rankings of states by indexes</t>
  </si>
  <si>
    <t>Repre</t>
  </si>
  <si>
    <t>Uses top ticket turnout</t>
  </si>
  <si>
    <t>turnout</t>
  </si>
  <si>
    <t>This pages uses formulas based on the sheet, Data by State.</t>
  </si>
  <si>
    <t>Dubious Democracy:  Data by State</t>
  </si>
  <si>
    <t>(This page should be ready to print onto 2 pages.)</t>
  </si>
  <si>
    <t>Summary table:  indexes</t>
  </si>
  <si>
    <t>Summary table:  rankings</t>
  </si>
  <si>
    <t>O</t>
  </si>
  <si>
    <t>E, F</t>
  </si>
  <si>
    <t>K</t>
  </si>
  <si>
    <t>Turnout ranking</t>
  </si>
  <si>
    <t>L, M</t>
  </si>
  <si>
    <t>Relative and absolute "Democracy index" combining the other 4 indices described below, with representation weighted twice.</t>
  </si>
  <si>
    <t>P</t>
  </si>
  <si>
    <t>Q</t>
  </si>
  <si>
    <t>T, U, V, W</t>
  </si>
  <si>
    <t>X, Y, Z</t>
  </si>
  <si>
    <t>G, H, I, J</t>
  </si>
  <si>
    <t>AA</t>
  </si>
  <si>
    <t>AD, AE, AF</t>
  </si>
  <si>
    <t>Number of votes cast for winning candidates</t>
  </si>
  <si>
    <t>Seats-to-votes distortion for Dem, Rep and Other, defined as the absolute value of (Votes for party / Total votes cast) - (Seats won by party / Total seats in the state).</t>
  </si>
  <si>
    <t>Total wasted Dem, Rep and Other votes, defined as sum of all votes cast for candidates who did not win.</t>
  </si>
  <si>
    <t>Wasted votes as percent of total votes cast</t>
  </si>
  <si>
    <t>AY, AZ, BA</t>
  </si>
  <si>
    <t>Explanations of columns and calculations</t>
  </si>
  <si>
    <t>Notes:</t>
  </si>
  <si>
    <t>1.  Please bring any errors to the attention of:</t>
  </si>
  <si>
    <t>purple</t>
  </si>
  <si>
    <t>The only data which needs to be hard-wired into the spreadsheet is in the columns shaded purple:</t>
  </si>
  <si>
    <t>VEP*</t>
  </si>
  <si>
    <t>* VEP is the voting eligible population. VEP  is VAP minus Non-Citizens minus Ineligible Felons plus Overseas VEP.</t>
  </si>
  <si>
    <t>Rankings for MOV, landslides, representation and seats-to-votes ratio</t>
  </si>
  <si>
    <t>NA</t>
  </si>
  <si>
    <t>"VEP" is the statewide voting eligible population</t>
  </si>
  <si>
    <t>2.  Data based on final, official results.</t>
  </si>
  <si>
    <t xml:space="preserve">Vote for Highest Office in a non-presidential election year is the largest vote total for a statewide office.  When no </t>
  </si>
  <si>
    <t>statewide office was on the ballot, the sum of the congressional races is used instead.  In presidential election years,</t>
  </si>
  <si>
    <t xml:space="preserve"> Indexes</t>
  </si>
  <si>
    <t>"Top of Ticket turnout" refers to statewide turnout in highest-ticket race (president in 2004).</t>
  </si>
  <si>
    <t xml:space="preserve">Relative and absolute democracy rankings </t>
  </si>
  <si>
    <t>Representation index is the number of people who voted for a winner, expressed as a percentage of the VEP.</t>
  </si>
  <si>
    <t>Voter turnout as percent of eligible VEP</t>
  </si>
  <si>
    <t>Uses VEP</t>
  </si>
  <si>
    <t>Enter Top ticket turnout and VEP in purple</t>
  </si>
  <si>
    <t>46.4 to 53.3</t>
  </si>
  <si>
    <t>or, approximately:</t>
  </si>
  <si>
    <t>LA-No</t>
  </si>
  <si>
    <t>Vote totals of 1 = Uncontested</t>
  </si>
  <si>
    <t>LA-Yes</t>
  </si>
  <si>
    <t>DUBIOUS DEMOCRACY - DATA BY DISTRICT</t>
  </si>
  <si>
    <t>Top Ticket</t>
  </si>
  <si>
    <t>VEP</t>
  </si>
  <si>
    <t>% Votes Wasted</t>
  </si>
  <si>
    <t>% Uncontested</t>
  </si>
  <si>
    <t xml:space="preserve">If seats were apportioned </t>
  </si>
  <si>
    <t>% Votes Won</t>
  </si>
  <si>
    <t>Total Votes Won</t>
  </si>
  <si>
    <t>% Total Seats Won</t>
  </si>
  <si>
    <t>Seats Won</t>
  </si>
  <si>
    <t>Democrats</t>
  </si>
  <si>
    <t>Republicans</t>
  </si>
  <si>
    <t>Seats: ratio D to R:</t>
  </si>
  <si>
    <t>Votes: ratio D to R:</t>
  </si>
  <si>
    <t>Votes-to-Seat</t>
  </si>
  <si>
    <t xml:space="preserve">Dems would win: </t>
  </si>
  <si>
    <t xml:space="preserve">Reps would win: </t>
  </si>
  <si>
    <t>N/A</t>
  </si>
  <si>
    <t>Inds would win:</t>
  </si>
  <si>
    <t>by percentage of vote:</t>
  </si>
  <si>
    <t>seats</t>
  </si>
  <si>
    <t>Independents</t>
  </si>
  <si>
    <t>Tight Races</t>
  </si>
  <si>
    <t>Competitive Races</t>
  </si>
  <si>
    <t>Landslide Races</t>
  </si>
  <si>
    <t>No Contest Races</t>
  </si>
  <si>
    <t>Uncontested Races</t>
  </si>
  <si>
    <t>Total Seats</t>
  </si>
  <si>
    <t>Seats to Votes</t>
  </si>
  <si>
    <t>House Turnout</t>
  </si>
  <si>
    <t>House Dropoff</t>
  </si>
  <si>
    <t xml:space="preserve"> % Votes for Winner</t>
  </si>
  <si>
    <t>Total # Votes</t>
  </si>
  <si>
    <t xml:space="preserve"># Other </t>
  </si>
  <si>
    <t>% Dem</t>
  </si>
  <si>
    <t>% Rep</t>
  </si>
  <si>
    <t>% Other</t>
  </si>
  <si>
    <t>Total # Seats</t>
  </si>
  <si>
    <t># Dem</t>
  </si>
  <si>
    <t># Rep</t>
  </si>
  <si>
    <t># Other</t>
  </si>
  <si>
    <t>Other seats to votes</t>
  </si>
  <si>
    <t>Rep. seats to votes</t>
  </si>
  <si>
    <t>Dem. seats to votes</t>
  </si>
  <si>
    <t>"MOV" is the statewide average margin of victory: sum of MOVs from each district / number of districts.</t>
  </si>
  <si>
    <t>Representative</t>
  </si>
  <si>
    <t xml:space="preserve"> Elected</t>
  </si>
  <si>
    <t>Year First</t>
  </si>
  <si>
    <t>Seat Changes</t>
  </si>
  <si>
    <t xml:space="preserve"># I. </t>
  </si>
  <si>
    <t>Lands.</t>
  </si>
  <si>
    <t>% I.</t>
  </si>
  <si>
    <t># of</t>
  </si>
  <si>
    <t>Incum. Re-elect.</t>
  </si>
  <si>
    <t>Incum. Running</t>
  </si>
  <si>
    <t>Opportunity Races</t>
  </si>
  <si>
    <t>Total seats:</t>
  </si>
  <si>
    <t>update</t>
  </si>
  <si>
    <t>2-party</t>
  </si>
  <si>
    <t>Total Wasted</t>
  </si>
  <si>
    <t>State wasted totals</t>
  </si>
  <si>
    <t>Avg. 2-party MOV</t>
  </si>
  <si>
    <t>info@fairvote.org</t>
  </si>
  <si>
    <t>see Michael McDonald's notes at http://elections.gmu.edu/FAQ.html.</t>
  </si>
  <si>
    <t>this is simply the presidential vote.  See also http://elections.gmu.edu/FAQ.html.</t>
  </si>
  <si>
    <t>A vote total of 1 was used to signify the incumbent for such uncontested races.</t>
  </si>
  <si>
    <t>LA Nov</t>
  </si>
  <si>
    <t>Election</t>
  </si>
  <si>
    <t>*Josiah Robins "Jo" Bonner (I)</t>
  </si>
  <si>
    <t>*Martha Roby</t>
  </si>
  <si>
    <t>*Michael "Mike" Rogers (I)</t>
  </si>
  <si>
    <t>*Robert B. Aderholt (I)</t>
  </si>
  <si>
    <t>*Morris J. "Mo" Brooks, Jr.</t>
  </si>
  <si>
    <t>*Spencer T. Bachus (I)</t>
  </si>
  <si>
    <t>*Terrycina Andrea "Terri" Sewell</t>
  </si>
  <si>
    <t>*Don E. Young (I)</t>
  </si>
  <si>
    <t>*Paul Anthony Gosar</t>
  </si>
  <si>
    <t>*Trent Franks (I)</t>
  </si>
  <si>
    <t>*Ben Quayle</t>
  </si>
  <si>
    <t>*Edward L. "Ed" Pastor (I)</t>
  </si>
  <si>
    <t>*David Schweikert</t>
  </si>
  <si>
    <t>*Jeff Flake (I)</t>
  </si>
  <si>
    <t>*Raúl M. Grijalva (I)</t>
  </si>
  <si>
    <t>*Gabrielle "Gabby" Giffords (I)</t>
  </si>
  <si>
    <t>*Eric Alan "Rick" Crawford</t>
  </si>
  <si>
    <t>*John Timothy "Tim" Griffin</t>
  </si>
  <si>
    <t>*Stephen A. "Steve" Womack</t>
  </si>
  <si>
    <t>*Michael Avery "Mike" Ross (I)</t>
  </si>
  <si>
    <t>*C. Michael "Mike" Thompson (I)</t>
  </si>
  <si>
    <t>*Walter William "Wally" Herger, Jr. (I)</t>
  </si>
  <si>
    <t>*Daniel E. "Dan" Lungren (I)</t>
  </si>
  <si>
    <t>*Thomas "Tom" McClintock (I)</t>
  </si>
  <si>
    <t>*Doris K. Matsui (I)</t>
  </si>
  <si>
    <t>*Lynn C. Woolsey (I)</t>
  </si>
  <si>
    <t>*George Miller (I)</t>
  </si>
  <si>
    <t>*Nancy Pelosi (I)</t>
  </si>
  <si>
    <t>*Barbara Lee (I)</t>
  </si>
  <si>
    <t>*John Raymond Garamendi (I)</t>
  </si>
  <si>
    <t>*Jerry McNerney (I)</t>
  </si>
  <si>
    <t>*Jackie Speier (I)</t>
  </si>
  <si>
    <t>*Fortney "Pete" Stark (I)</t>
  </si>
  <si>
    <t>*Anna G. Eshoo (I)</t>
  </si>
  <si>
    <t>*Michael M. "Mike" Honda (I)</t>
  </si>
  <si>
    <t>*Zoe Lofgren (I)</t>
  </si>
  <si>
    <t>*Sam Farr (I)</t>
  </si>
  <si>
    <t>*Dennis A. Cardoza (I)</t>
  </si>
  <si>
    <t>*Jeff Denham</t>
  </si>
  <si>
    <t>*Jim Costa (I)</t>
  </si>
  <si>
    <t>*Devin Gerald Nunes (I)</t>
  </si>
  <si>
    <t>*Kevin McCarthy (I)</t>
  </si>
  <si>
    <t>*Lois G. Capps (I)</t>
  </si>
  <si>
    <t>*Elton Gallegly (I)</t>
  </si>
  <si>
    <t>*Howard P. "Buck" McKeon (I)</t>
  </si>
  <si>
    <t>*David Dreier (I)</t>
  </si>
  <si>
    <t>*Brad Sherman (I)</t>
  </si>
  <si>
    <t>*Howard L. Berman (I)</t>
  </si>
  <si>
    <t>*Adam B. Schiff (I)</t>
  </si>
  <si>
    <t>*Henry A. Waxman (I)</t>
  </si>
  <si>
    <t>*Xavier Becerra (I)</t>
  </si>
  <si>
    <t>*Judy Chu (I)</t>
  </si>
  <si>
    <t>*Karen Bass</t>
  </si>
  <si>
    <t>*Lucille Roybal-Allard (I)</t>
  </si>
  <si>
    <t>*Maxine Waters (I)</t>
  </si>
  <si>
    <t>*Jane Harman (I)</t>
  </si>
  <si>
    <t>*Laura Richardson (I)</t>
  </si>
  <si>
    <t>*Grace Flores Napolitano (I)</t>
  </si>
  <si>
    <t>*Linda T. Sánchez (I)</t>
  </si>
  <si>
    <t>*Edward R. "Ed" Royce (I)</t>
  </si>
  <si>
    <t>*Jerry Lewis (I)</t>
  </si>
  <si>
    <t>*Gary G. Miller (I)</t>
  </si>
  <si>
    <t>*Joe Baca (I)</t>
  </si>
  <si>
    <t>*Kenneth S. "Ken" Calvert (I)</t>
  </si>
  <si>
    <t>*Mary Bono Mack (I)</t>
  </si>
  <si>
    <t>*Dana Rohrabacher (I)</t>
  </si>
  <si>
    <t>*Loretta Sanchez (I)</t>
  </si>
  <si>
    <t>*John B. T. Campbell, III (I)</t>
  </si>
  <si>
    <t>*Darrell Edward Issa (I)</t>
  </si>
  <si>
    <t>*Brian Phillip Bilbray (I)</t>
  </si>
  <si>
    <t>*Bob Filner (I)</t>
  </si>
  <si>
    <t>*Duncan Duane Hunter (I)</t>
  </si>
  <si>
    <t>*Susan A. Davis (I)</t>
  </si>
  <si>
    <t>*Diana L. DeGette (I)</t>
  </si>
  <si>
    <t>*Jared Polis (I)</t>
  </si>
  <si>
    <t>*Scott Randall Tipton</t>
  </si>
  <si>
    <t>*Cory Gardner</t>
  </si>
  <si>
    <t>*Douglas L. "Doug" Lamborn (I)</t>
  </si>
  <si>
    <t>*Mike Coffman (I)</t>
  </si>
  <si>
    <t>*Edwin "Ed" Perlmutter (I)</t>
  </si>
  <si>
    <t>*John B. Larson (I)</t>
  </si>
  <si>
    <t>*Joseph D. "Joe" Courtney (I)</t>
  </si>
  <si>
    <t>*Rosa L. DeLauro (I)</t>
  </si>
  <si>
    <t>*Jim Himes (I)</t>
  </si>
  <si>
    <t>*Christopher Scott "Chris" Murphy (I)</t>
  </si>
  <si>
    <t>*John Charles Carney, Jr.</t>
  </si>
  <si>
    <t>*Jefferson B. "Jeff" Miller (I)</t>
  </si>
  <si>
    <t>*William Steve "Steve" Southerland, II</t>
  </si>
  <si>
    <t>*Corrine Brown (I)</t>
  </si>
  <si>
    <t>*Ander M. Crenshaw (I)</t>
  </si>
  <si>
    <t>*Richard B. "Rich" Nugent</t>
  </si>
  <si>
    <t>*Clifford Bundy "Cliff" Stearns (I)</t>
  </si>
  <si>
    <t>*John L. Mica (I)</t>
  </si>
  <si>
    <t>*Daniel "Dan" Webster</t>
  </si>
  <si>
    <t>*Gus Michael Bilirakis (I)</t>
  </si>
  <si>
    <t>*C.W. "Bill" Young (I)</t>
  </si>
  <si>
    <t>*Katherine Anne "Kathy" Castor (I)</t>
  </si>
  <si>
    <t>*Dennis Alan Ross</t>
  </si>
  <si>
    <t>*Vernon "Vern" Buchanan (I)</t>
  </si>
  <si>
    <t>*Connie Mack (I)</t>
  </si>
  <si>
    <t>*William "Bill" Posey (I)</t>
  </si>
  <si>
    <t>*Thomas Joseph "Tom" Rooney (I)</t>
  </si>
  <si>
    <t>*Frederica S. Wilson</t>
  </si>
  <si>
    <t>*Ileana Ros-Lehtinen (I)</t>
  </si>
  <si>
    <t>*Theodore Eliot "Ted" Deutch (I)</t>
  </si>
  <si>
    <t>*Debbie Wasserman Schultz (I)</t>
  </si>
  <si>
    <t>*Mario Diaz-Balart (I)</t>
  </si>
  <si>
    <t>*Allen Bernard West</t>
  </si>
  <si>
    <t>*Alcee L. Hastings (I)</t>
  </si>
  <si>
    <t>*Sandra "Sandy" Adams</t>
  </si>
  <si>
    <t>*David Rivera</t>
  </si>
  <si>
    <t>*John Heddens "Jack" Kingston (I)</t>
  </si>
  <si>
    <t>*Sanford Dixon Bishop, Jr. (I)</t>
  </si>
  <si>
    <t>*Lynn Acton Westmoreland (I)</t>
  </si>
  <si>
    <t>*Henry C. "Hank" Johnson, Jr. (I)</t>
  </si>
  <si>
    <t>*John R. Lewis (I)</t>
  </si>
  <si>
    <t>*Thomas Edmunds "Tom" Price (I)</t>
  </si>
  <si>
    <t>*Rob Woodall</t>
  </si>
  <si>
    <t>*James Austin "Austin" Scott</t>
  </si>
  <si>
    <t>*John Thomas "Tom" Graves, Jr. (I)</t>
  </si>
  <si>
    <t>*Paul Collins Broun, Jr. (I)</t>
  </si>
  <si>
    <t>*Phillip J. "Phil" Gingrey (I)</t>
  </si>
  <si>
    <t>*John J. Barrow (I)</t>
  </si>
  <si>
    <t>*David Albert Scott (I)</t>
  </si>
  <si>
    <t>*Colleen Wakako Hanabusa</t>
  </si>
  <si>
    <t>*Mazie K. Hirono (I)</t>
  </si>
  <si>
    <t>*Bruce L. Braley (I)</t>
  </si>
  <si>
    <t>*David Wayne Loebsack (I)</t>
  </si>
  <si>
    <t>*Leonard L. Boswell (I)</t>
  </si>
  <si>
    <t>*Thomas P. "Tom" Latham (I)</t>
  </si>
  <si>
    <t>*Steven A. "Steve" King (I)</t>
  </si>
  <si>
    <t>*Raúl Rafae Labrador</t>
  </si>
  <si>
    <t>*Michael Keith "Mike" Simpson (I)</t>
  </si>
  <si>
    <t>*Bobby Lee Rush (I)</t>
  </si>
  <si>
    <t>*Jesse Louis Jackson, Jr. (I)</t>
  </si>
  <si>
    <t>*Daniel William Lipinski (I)</t>
  </si>
  <si>
    <t>*Luis V. Gutierrez (I)</t>
  </si>
  <si>
    <t>*Mike Quigley (I)</t>
  </si>
  <si>
    <t>*Peter J. Roskam (I)</t>
  </si>
  <si>
    <t>*Danny K. Davis (I)</t>
  </si>
  <si>
    <t>*Joe Walsh</t>
  </si>
  <si>
    <t>*Janice D. "Jan" Schakowsky (I)</t>
  </si>
  <si>
    <t>*Robert James "Bob" Dold, Jr.</t>
  </si>
  <si>
    <t>*Adam Kinzinger</t>
  </si>
  <si>
    <t>*Jerry F. Costello (I)</t>
  </si>
  <si>
    <t>*Judy Biggert (I)</t>
  </si>
  <si>
    <t>*Randall M. "Randy" Hultgren</t>
  </si>
  <si>
    <t>*Timothy V. "Tim" Johnson (I)</t>
  </si>
  <si>
    <t>*Donald A. Manzullo (I)</t>
  </si>
  <si>
    <t>*Robert Todd "Bobby" Schilling</t>
  </si>
  <si>
    <t>*Aaron Jon Schock (I)</t>
  </si>
  <si>
    <t>*John M. Shimkus (I)</t>
  </si>
  <si>
    <t>*Peter J. Visclosky (I)</t>
  </si>
  <si>
    <t>*Joseph Simon "Joe" Donnelly (I)</t>
  </si>
  <si>
    <t>*Marlin A. Stutzman</t>
  </si>
  <si>
    <t>*Theodore Edward "Todd" Rokita</t>
  </si>
  <si>
    <t>*Danny L. "Dan" Burton (I)</t>
  </si>
  <si>
    <t>*Mike Pence (I)</t>
  </si>
  <si>
    <t>*André D. Carson (I)</t>
  </si>
  <si>
    <t>*Larry D. Bucshon</t>
  </si>
  <si>
    <t>*Todd Christopher Young</t>
  </si>
  <si>
    <t>*Timothy A. "Tim" Huelskamp</t>
  </si>
  <si>
    <t>*Lynn Jenkins (I)</t>
  </si>
  <si>
    <t>*Kevin W. Yoder</t>
  </si>
  <si>
    <t>*Michael Richard "Mike" Pompeo</t>
  </si>
  <si>
    <t>*Edward R. "Ed" Whitfield (I)</t>
  </si>
  <si>
    <t>*Steven Brett "Brett" Guthrie (I)</t>
  </si>
  <si>
    <t>*John A. Yarmuth (I)</t>
  </si>
  <si>
    <t>*Geoffrey C. "Geoff" Davis (I)</t>
  </si>
  <si>
    <t>*Harold Dallas "Hal" Rogers (I)</t>
  </si>
  <si>
    <t>*A.B. "Ben" Chandler, III (I)</t>
  </si>
  <si>
    <t>*Stephen J. "Steve" Scalise (I)</t>
  </si>
  <si>
    <t>*Cedric L. Richmond</t>
  </si>
  <si>
    <t>*Jeffrey M. "Jeff" Landry</t>
  </si>
  <si>
    <t>*John Calvin Fleming, Jr. (I)</t>
  </si>
  <si>
    <t>*Rodney Alexander (I)</t>
  </si>
  <si>
    <t>*William "Bill" Cassidy (I)</t>
  </si>
  <si>
    <t>*Charles W. Boustany, Jr. (I)</t>
  </si>
  <si>
    <t>*John Walter Olver (I)</t>
  </si>
  <si>
    <t>*Richard E. Neal (I)</t>
  </si>
  <si>
    <t>*James P. "Jim" McGovern (I)</t>
  </si>
  <si>
    <t>*Barney Frank (I)</t>
  </si>
  <si>
    <t>*Nicola S. "Niki" Tsongas (I)</t>
  </si>
  <si>
    <t>*John F. Tierney (I)</t>
  </si>
  <si>
    <t>*Edward J. "Ed" Markey (I)</t>
  </si>
  <si>
    <t>*Michael E. "Mike" Capuano (I)</t>
  </si>
  <si>
    <t>*Stephen F. Lynch (I)</t>
  </si>
  <si>
    <t>*William R. "Bill" Keating</t>
  </si>
  <si>
    <t>*Andrew P. "Andy" Harris</t>
  </si>
  <si>
    <t>*Charles Albert Dutch "C.A. Dutch" Ruppersberger, III (I)</t>
  </si>
  <si>
    <t>*John Peter Spyros Sarbanes (I)</t>
  </si>
  <si>
    <t>*Donna Fern Edwards (I)</t>
  </si>
  <si>
    <t>*Steny Hamilton Hoyer (I)</t>
  </si>
  <si>
    <t>*Roscoe G. Bartlett, Jr. (I)</t>
  </si>
  <si>
    <t>*Elijah E. Cummings (I)</t>
  </si>
  <si>
    <t>*Christopher "Chris" Van Hollen, Jr. (I)</t>
  </si>
  <si>
    <t>*Chellie M. Pingree (I)</t>
  </si>
  <si>
    <t>*Michael H. Michaud (I)</t>
  </si>
  <si>
    <t>*Daniel J. "Dan" Benishek</t>
  </si>
  <si>
    <t>*William P. "Bill" Huizenga</t>
  </si>
  <si>
    <t>*Justin Amash</t>
  </si>
  <si>
    <t>*David Lee "Dave" Camp (I)</t>
  </si>
  <si>
    <t>*Dale E. Kildee (I)</t>
  </si>
  <si>
    <t>*Frederick Stephen "Fred" Upton (I)</t>
  </si>
  <si>
    <t>*Timothy L. "Tim" Walberg</t>
  </si>
  <si>
    <t>*Michael J. "Mike" Rogers (I)</t>
  </si>
  <si>
    <t>*Gary Peters (I)</t>
  </si>
  <si>
    <t>*Candice S. Miller (I)</t>
  </si>
  <si>
    <t>*Thaddeus G. McCotter (I)</t>
  </si>
  <si>
    <t>*Sander M. "Sandy" Levin (I)</t>
  </si>
  <si>
    <t>*Hansen Clarke</t>
  </si>
  <si>
    <t>*John Conyers, Jr. (I)</t>
  </si>
  <si>
    <t>*John D. Dingell (I)</t>
  </si>
  <si>
    <t>*Timothy J. "Tim" Walz (I)</t>
  </si>
  <si>
    <t>*John P. Kline (I)</t>
  </si>
  <si>
    <t>*Erik Paulsen (I)</t>
  </si>
  <si>
    <t>*Betty McCollum (I)</t>
  </si>
  <si>
    <t>*Keith Maurice Ellison (I)</t>
  </si>
  <si>
    <t>*Michele M. Bachmann (I)</t>
  </si>
  <si>
    <t>*Collin Clark Peterson (I)</t>
  </si>
  <si>
    <t>*Chip Cravaack</t>
  </si>
  <si>
    <t>*William Lacy Clay, Jr. (I)</t>
  </si>
  <si>
    <t>*William Todd Akin (I)</t>
  </si>
  <si>
    <t>*Russ Carnahan (I)</t>
  </si>
  <si>
    <t>*Vicky Jo Hartzler</t>
  </si>
  <si>
    <t>*Emanuel Cleaver, II (I)</t>
  </si>
  <si>
    <t>*Samuel B. "Sam" Graves, Jr. (I)</t>
  </si>
  <si>
    <t>*Billy Long</t>
  </si>
  <si>
    <t>*Jo Ann Emerson (I)</t>
  </si>
  <si>
    <t>*Blaine Luetkemeyer (I)</t>
  </si>
  <si>
    <t>*Patrick Alan "Alan" Nunnelee</t>
  </si>
  <si>
    <t>*Bennie G. Thompson (I)</t>
  </si>
  <si>
    <t>*Gregg Harper (I)</t>
  </si>
  <si>
    <t>*Steven McCarty Palazzo</t>
  </si>
  <si>
    <t>*Dennis R. "Denny" Rehberg (I)</t>
  </si>
  <si>
    <t>*G. K. Butterfield (I)</t>
  </si>
  <si>
    <t>*Renee Jacisin Ellmers</t>
  </si>
  <si>
    <t>*Walter B. Jones, Jr. (I)</t>
  </si>
  <si>
    <t>*David E. Price (I)</t>
  </si>
  <si>
    <t>*Virginia Foxx (I)</t>
  </si>
  <si>
    <t>*John Howard "Howard" Coble (I)</t>
  </si>
  <si>
    <t>*Mike McIntyre (I)</t>
  </si>
  <si>
    <t>*Lawrence Webb "Larry" Kissell (I)</t>
  </si>
  <si>
    <t>*Suellen "Sue" Myrick (I)</t>
  </si>
  <si>
    <t>*Patrick Timothy McHenry (I)</t>
  </si>
  <si>
    <t>*Joseph Heath "Heath" Shuler (I)</t>
  </si>
  <si>
    <t>*Melvin L. "Mel" Watt (I)</t>
  </si>
  <si>
    <t>*Ralph Bradley "Brad" Miller (I)</t>
  </si>
  <si>
    <t>*Richard A. "Rick" Berg</t>
  </si>
  <si>
    <t>*Jeffrey Lane "Jeff" Fortenberry (I)</t>
  </si>
  <si>
    <t>*Lee Terry (I)</t>
  </si>
  <si>
    <t>*Adrian M. Smith (I)</t>
  </si>
  <si>
    <t>*Frank C. Guinta</t>
  </si>
  <si>
    <t>*Charles F. "Charlie" Bass</t>
  </si>
  <si>
    <t>*Robert E. "Rob" Andrews (I)</t>
  </si>
  <si>
    <t>*Frank A. LoBiondo (I)</t>
  </si>
  <si>
    <t>*Jon Runyan</t>
  </si>
  <si>
    <t>*Christopher H. "Chris" Smith (I)</t>
  </si>
  <si>
    <t>*Ernest Scott "Scott" Garrett (I)</t>
  </si>
  <si>
    <t>*Frank Pallone, Jr. (I)</t>
  </si>
  <si>
    <t>*Leonard Lance (I)</t>
  </si>
  <si>
    <t>*William J. "Bill" Pascrell, Jr. (I)</t>
  </si>
  <si>
    <t>*Steven R. "Steve" Rothman (I)</t>
  </si>
  <si>
    <t>*Donald M. Payne (I)</t>
  </si>
  <si>
    <t>*Rodney P. Frelinghuysen (I)</t>
  </si>
  <si>
    <t>*Rush D. Holt (I)</t>
  </si>
  <si>
    <t>*Albio Sires (I)</t>
  </si>
  <si>
    <t>*Martin T. Heinrich (I)</t>
  </si>
  <si>
    <t>*Stevan E. "Steve" Pearce</t>
  </si>
  <si>
    <t>*Ben Ray Luján (I)</t>
  </si>
  <si>
    <t>*Shelley Berkley (I)</t>
  </si>
  <si>
    <t>*Dean Heller (I)</t>
  </si>
  <si>
    <t>*Joseph John "Joe" Heck</t>
  </si>
  <si>
    <t>Timothy H. "Tim" Bishop (I)</t>
  </si>
  <si>
    <t>*Steve J. Israel (I)</t>
  </si>
  <si>
    <t>*Peter T. "Pete" King (I)</t>
  </si>
  <si>
    <t>*Carolyn McCarthy (I)</t>
  </si>
  <si>
    <t>*Gary L. Ackerman (I)</t>
  </si>
  <si>
    <t>*Gregory Weldon Meeks (I)</t>
  </si>
  <si>
    <t>*Joseph "Joe" Crowley (I)</t>
  </si>
  <si>
    <t>*Jerrold Lewis "Jerry" Nadler (I)</t>
  </si>
  <si>
    <t>*Anthony D. Weiner (I)</t>
  </si>
  <si>
    <t>*Edolphus "Ed" Towns (I)</t>
  </si>
  <si>
    <t>*Yvette D. Clarke (I)</t>
  </si>
  <si>
    <t>*Nydia M. Velazquez (I)</t>
  </si>
  <si>
    <t>*Michael "Mike" Grimm</t>
  </si>
  <si>
    <t>*Carolyn B. Maloney (I)</t>
  </si>
  <si>
    <t>*Charles B. Rangel (I)</t>
  </si>
  <si>
    <t>*Jos� E. Serrano (I)</t>
  </si>
  <si>
    <t>*Eliot L. Engel (I)</t>
  </si>
  <si>
    <t>*Nita M. Lowey (I)</t>
  </si>
  <si>
    <t>*Nan Hayworth</t>
  </si>
  <si>
    <t>*Christopher Patrick "Chris" Gibson</t>
  </si>
  <si>
    <t>*Paul David Tonko (I)</t>
  </si>
  <si>
    <t>*Maurice D. Hinchey (I)</t>
  </si>
  <si>
    <t>*William L. "Bill" Owens (I)</t>
  </si>
  <si>
    <t>*Richard L. Hanna</t>
  </si>
  <si>
    <t>*Ann Marie Buerkle</t>
  </si>
  <si>
    <t>*Christopher J. "Chris" Lee (I)</t>
  </si>
  <si>
    <t>*Brian M. Higgins (I)</t>
  </si>
  <si>
    <t>*Louise McIntosh Slaughter (I)</t>
  </si>
  <si>
    <t>*Thomas W. "Tom" Reed, II</t>
  </si>
  <si>
    <t>*Steven J. "Steve" Chabot</t>
  </si>
  <si>
    <t>*Jeannette H. "Jean" Schmidt (I)</t>
  </si>
  <si>
    <t>*Michael R. "Mike" Turner (I)</t>
  </si>
  <si>
    <t>*James D. "Jim" Jordan (I)</t>
  </si>
  <si>
    <t>*Robert Edward "Bob" Latta (I)</t>
  </si>
  <si>
    <t>*Bill Johnson</t>
  </si>
  <si>
    <t>*Steve C. Austria (I)</t>
  </si>
  <si>
    <t>*John A. Boehner (I)</t>
  </si>
  <si>
    <t>*Marcy C. Kaptur (I)</t>
  </si>
  <si>
    <t>*Dennis J. Kucinich (I)</t>
  </si>
  <si>
    <t>*Marcia L. Fudge (I)</t>
  </si>
  <si>
    <t>*Patrick J. "Pat" Tiberi (I)</t>
  </si>
  <si>
    <t>*Betty Sue Sutton (I)</t>
  </si>
  <si>
    <t>*Steven C. "Steve" LaTourette (I)</t>
  </si>
  <si>
    <t>*Steve E. Stivers</t>
  </si>
  <si>
    <t>*James B. "Jim" Renacci</t>
  </si>
  <si>
    <t>*Timothy J. "Tim" Ryan (I)</t>
  </si>
  <si>
    <t>*Robert Brian "Bob" Gibbs</t>
  </si>
  <si>
    <t>*John Sullivan (I)</t>
  </si>
  <si>
    <t>*David Daniel "Dan" Boren (I)</t>
  </si>
  <si>
    <t>*Frank D. Lucas (I)</t>
  </si>
  <si>
    <t>*Tom Cole (I)</t>
  </si>
  <si>
    <t>*James Lankford</t>
  </si>
  <si>
    <t>*David Wu (I)</t>
  </si>
  <si>
    <t>*Gregory Paul "Greg" Walden (I)</t>
  </si>
  <si>
    <t>*Earl Blumenauer (I)</t>
  </si>
  <si>
    <t>*Peter Anthony "Pete" DeFazio (I)</t>
  </si>
  <si>
    <t>*Kurt Schrader (I)</t>
  </si>
  <si>
    <t>*Robert A. Brady (I)</t>
  </si>
  <si>
    <t>*Chaka Fattah (I)</t>
  </si>
  <si>
    <t>*George J. "Mike" Kelly, Jr.</t>
  </si>
  <si>
    <t>*Jason Altmire (I)</t>
  </si>
  <si>
    <t>*Glenn W. "G.T." Thompson (I)</t>
  </si>
  <si>
    <t>*Jim Gerlach (I)</t>
  </si>
  <si>
    <t>*Patrick L. "Pat" Meehan</t>
  </si>
  <si>
    <t>*Michael G. "Mike" Fitzpatrick</t>
  </si>
  <si>
    <t>*William Franklin "Bill" Shuster (I)</t>
  </si>
  <si>
    <t>*Thomas Anthony "Tom" Marino</t>
  </si>
  <si>
    <t>*Louis J. "Lou" Barletta</t>
  </si>
  <si>
    <t>*Mark S. Critz (I)</t>
  </si>
  <si>
    <t>*Allyson Y. Schwartz (I)</t>
  </si>
  <si>
    <t>*Mike Doyle (I)</t>
  </si>
  <si>
    <t>*Charles W. "Charlie" Dent (I)</t>
  </si>
  <si>
    <t>*Joseph R. "Joe" Pitts (I)</t>
  </si>
  <si>
    <t>*T. Timothy "Tim" Holden (I)</t>
  </si>
  <si>
    <t>*Tim Murphy (I)</t>
  </si>
  <si>
    <t>*Todd R. Platts (I)</t>
  </si>
  <si>
    <t>*David N. Cicilline</t>
  </si>
  <si>
    <t>*James R. Langevin (I)</t>
  </si>
  <si>
    <t>*Timothy E. "Tim" Scott</t>
  </si>
  <si>
    <t>*Addison Graves "Joe" Wilson (I)</t>
  </si>
  <si>
    <t>*Jeff D. Duncan</t>
  </si>
  <si>
    <t>*Harold W. "Trey" Gowdy, III</t>
  </si>
  <si>
    <t>*John Michael "Mick" Mulvaney</t>
  </si>
  <si>
    <t>*James E. "Jim" Clyburn (I)</t>
  </si>
  <si>
    <t>*Kristi Lynn Noem</t>
  </si>
  <si>
    <t>*David Philip "Phil" Roe (I)</t>
  </si>
  <si>
    <t>*John J. Duncan, Jr. (I)</t>
  </si>
  <si>
    <t>*Charles J. "Chuck" Fleischmann</t>
  </si>
  <si>
    <t>*Scott Eugene DesJarlais</t>
  </si>
  <si>
    <t>*James H. S. "Jim" Cooper (I)</t>
  </si>
  <si>
    <t>*Diane Lynn Black</t>
  </si>
  <si>
    <t>*Marsha Blackburn (I)</t>
  </si>
  <si>
    <t>*Stephen Lee "Steve" Fincher</t>
  </si>
  <si>
    <t>*Stephen Ira "Steve" Cohen (I)</t>
  </si>
  <si>
    <t>*Louis B. "Louie" Gohmert (I)</t>
  </si>
  <si>
    <t>*Lloyd "Ted" Poe (I)</t>
  </si>
  <si>
    <t>*Samuel Robert "Sam" Johnson (I)</t>
  </si>
  <si>
    <t>*Ralph Moody Hall (I)</t>
  </si>
  <si>
    <t>*Jeb Hensarling (I)</t>
  </si>
  <si>
    <t>*Joe Linus Barton (I)</t>
  </si>
  <si>
    <t>*John Culberson (I)</t>
  </si>
  <si>
    <t>*Kevin Patrick Brady (I)</t>
  </si>
  <si>
    <t>*Alexander "Al" Green (I)</t>
  </si>
  <si>
    <t>*Michael T. McCaul (I)</t>
  </si>
  <si>
    <t>*K. Michael "Mike" Conaway (I)</t>
  </si>
  <si>
    <t>*Kay N. Granger (I)</t>
  </si>
  <si>
    <t>*Mac Thornberry (I)</t>
  </si>
  <si>
    <t>*Ronald E. "Ron" Paul (I)</t>
  </si>
  <si>
    <t>*Rub�n E. Hinojosa (I)</t>
  </si>
  <si>
    <t>*Silvestre Reyes (I)</t>
  </si>
  <si>
    <t>*William "Bill" Flores</t>
  </si>
  <si>
    <t>*Sheila Jackson Lee (I)</t>
  </si>
  <si>
    <t>*Randy Neugebauer (I)</t>
  </si>
  <si>
    <t>*Charles A. Gonzalez (I)</t>
  </si>
  <si>
    <t>*Lamar Smith (I)</t>
  </si>
  <si>
    <t>*Peter Graham "Pete" Olson (I)</t>
  </si>
  <si>
    <t>*Francisco "Quico" Canseco</t>
  </si>
  <si>
    <t>*Kenny Ewell Marchant (I)</t>
  </si>
  <si>
    <t>*Lloyd A. Doggett (I)</t>
  </si>
  <si>
    <t>*Michael C. Burgess (I)</t>
  </si>
  <si>
    <t>*Randolph Blake "Blake" Farenthold</t>
  </si>
  <si>
    <t>*Henry R. Cuellar (I)</t>
  </si>
  <si>
    <t>*Raymond E. "Gene" Green (I)</t>
  </si>
  <si>
    <t>*Eddie Bernice Johnson (I)</t>
  </si>
  <si>
    <t>*John Rice Carter (I)</t>
  </si>
  <si>
    <t>*Pete Sessions (I)</t>
  </si>
  <si>
    <t>*Robert William "Rob" Bishop (I)</t>
  </si>
  <si>
    <t>*James David "Jim" Matheson (I)</t>
  </si>
  <si>
    <t>*Jason Chaffetz (I)</t>
  </si>
  <si>
    <t>*Robert J. "Rob" Wittman (I)</t>
  </si>
  <si>
    <t>*Edward Scott "Scott" Rigell</t>
  </si>
  <si>
    <t>*Robert C. "Bobby" Scott (I)</t>
  </si>
  <si>
    <t>*J. Randy Forbes (I)</t>
  </si>
  <si>
    <t>*Robert Hurt</t>
  </si>
  <si>
    <t>*Robert W. "Bob" Goodlatte (I)</t>
  </si>
  <si>
    <t>*Eric I. Cantor (I)</t>
  </si>
  <si>
    <t>*James P. "Jim" Moran, Jr. (I)</t>
  </si>
  <si>
    <t>*H. Morgan "Morgan" Griffith</t>
  </si>
  <si>
    <t>*Frank R. Wolf (I)</t>
  </si>
  <si>
    <t>*Gerald E. "Gerry" Connolly (I)</t>
  </si>
  <si>
    <t>*Peter F. Welch (I)</t>
  </si>
  <si>
    <t>*Jay R. Inslee (I)</t>
  </si>
  <si>
    <t>*Rick R. Larsen (I)</t>
  </si>
  <si>
    <t>*Doc Hastings (I)</t>
  </si>
  <si>
    <t>*Cathy Ann McMorris Rodgers (I)</t>
  </si>
  <si>
    <t>*Norman D. "Norm" Dicks (I)</t>
  </si>
  <si>
    <t>*James Adelbert "Jim" McDermott (I)</t>
  </si>
  <si>
    <t>*Dave Reichert (I)</t>
  </si>
  <si>
    <t>*David Adam "Adam" Smith (I)</t>
  </si>
  <si>
    <t>*Paul D. Ryan (I)</t>
  </si>
  <si>
    <t>*Tammy Baldwin (I)</t>
  </si>
  <si>
    <t>*Ron Kind (I)</t>
  </si>
  <si>
    <t>*Gwendolynne "Gwen" Moore (I)</t>
  </si>
  <si>
    <t>*F. James "Jim" Sensenbrenner, Jr. (I)</t>
  </si>
  <si>
    <t>*Thomas E. "Tom" Petri (I)</t>
  </si>
  <si>
    <t>*Sean P. Duffy</t>
  </si>
  <si>
    <t>*Reid J. Ribble</t>
  </si>
  <si>
    <t>*David B. McKinley</t>
  </si>
  <si>
    <t>*Shelley Moore Capito (I)</t>
  </si>
  <si>
    <t>*Nick Joe Rahall, II (I)</t>
  </si>
  <si>
    <t>*Cynthia Marie Lummis (I)</t>
  </si>
  <si>
    <t xml:space="preserve">NOTE:  Candidates in uncontested US House races in Florida (districts 21)  </t>
  </si>
  <si>
    <t xml:space="preserve">Oklahoma (district 4) were not listed on the ballot, so voters were not able to cast votes for them.  </t>
  </si>
  <si>
    <t>The VEP and top ticket turnout is taken from http://elections.gmu.edu/Turnout_2010G.html. For more information</t>
  </si>
  <si>
    <r>
      <t>Dubious Democracy 2010 Report</t>
    </r>
    <r>
      <rPr>
        <sz val="12"/>
        <rFont val="Times New Roman"/>
        <family val="1"/>
      </rPr>
      <t xml:space="preserve">, draft  </t>
    </r>
  </si>
  <si>
    <t>Incum. running</t>
  </si>
  <si>
    <t>Incum. Defeated</t>
  </si>
  <si>
    <t>Incumbent defeated</t>
  </si>
  <si>
    <t>in GE</t>
  </si>
  <si>
    <t>AI</t>
  </si>
  <si>
    <t>Woman</t>
  </si>
  <si>
    <t>Asian</t>
  </si>
  <si>
    <t>Hisp.</t>
  </si>
  <si>
    <t>*Jaime Herrera Beutler</t>
  </si>
  <si>
    <t>Women</t>
  </si>
  <si>
    <t>AL-Yes</t>
  </si>
  <si>
    <t>AZ-Yes</t>
  </si>
  <si>
    <t>CA-Yes</t>
  </si>
  <si>
    <t>CO-Yes</t>
  </si>
  <si>
    <t>CT-Yes</t>
  </si>
  <si>
    <t>FL-Yes</t>
  </si>
  <si>
    <t>GA-Yes</t>
  </si>
  <si>
    <t>HI-Yes</t>
  </si>
  <si>
    <t>ID-Yes</t>
  </si>
  <si>
    <t>IL-Yes</t>
  </si>
  <si>
    <t>IN-Yes</t>
  </si>
  <si>
    <t>KS-Yes</t>
  </si>
  <si>
    <t>ME-Yes</t>
  </si>
  <si>
    <t>MD-Yes</t>
  </si>
  <si>
    <t>MA-Yes</t>
  </si>
  <si>
    <t>MI-Yes</t>
  </si>
  <si>
    <t>MN-Yes</t>
  </si>
  <si>
    <t>MS-Yes</t>
  </si>
  <si>
    <t>MO-Yes</t>
  </si>
  <si>
    <t>NV-Yes</t>
  </si>
  <si>
    <t>NJ-Yes</t>
  </si>
  <si>
    <t>NM-Yes</t>
  </si>
  <si>
    <t>NY-Yes</t>
  </si>
  <si>
    <t>NC-Yes</t>
  </si>
  <si>
    <t>OH-Yes</t>
  </si>
  <si>
    <t>OK-Yes</t>
  </si>
  <si>
    <t>OR-Yes</t>
  </si>
  <si>
    <t>PA-Yes</t>
  </si>
  <si>
    <t>SC-Yes</t>
  </si>
  <si>
    <t>SD-Yes</t>
  </si>
  <si>
    <t>TN-Yes</t>
  </si>
  <si>
    <t>TX-Yes</t>
  </si>
  <si>
    <t>VA-Yes</t>
  </si>
  <si>
    <t>WA-Yes</t>
  </si>
  <si>
    <t>WV-Yes</t>
  </si>
  <si>
    <t>WI-Yes</t>
  </si>
  <si>
    <t>WY-Yes</t>
  </si>
  <si>
    <t>Competitive:</t>
  </si>
  <si>
    <t>Non-Competitive:</t>
  </si>
  <si>
    <t>I.</t>
  </si>
  <si>
    <t>Dem.</t>
  </si>
  <si>
    <t>Rep.</t>
  </si>
  <si>
    <t>I. Dem.</t>
  </si>
  <si>
    <t>I. Rep.</t>
  </si>
  <si>
    <t>Seat</t>
  </si>
  <si>
    <t>Changes</t>
  </si>
  <si>
    <t>"Dem Votes" Column O</t>
  </si>
  <si>
    <t>"Rep Votes" Column P</t>
  </si>
  <si>
    <t>"Total Votes" Column R</t>
  </si>
  <si>
    <t>"Top of Ticket" Turnout" Column C on "Data By State"</t>
  </si>
  <si>
    <t>"VEP" Column D on "Data By State"</t>
  </si>
  <si>
    <t>O, P and R</t>
  </si>
  <si>
    <t>Enter vote totals for Dem, Rep and Total in the purple-shaded cells.</t>
  </si>
  <si>
    <t>T</t>
  </si>
  <si>
    <t>U</t>
  </si>
  <si>
    <t>V</t>
  </si>
  <si>
    <t>W</t>
  </si>
  <si>
    <t>X</t>
  </si>
  <si>
    <t>Y</t>
  </si>
  <si>
    <t>Z</t>
  </si>
  <si>
    <t>AA, AB, AC</t>
  </si>
  <si>
    <t>D, E, F, G, H</t>
  </si>
  <si>
    <t>I, J, K</t>
  </si>
  <si>
    <t>Determines whether an incumbent was running and if the incumbent was reelected or defeated.</t>
  </si>
  <si>
    <t>AP</t>
  </si>
  <si>
    <t>AQ</t>
  </si>
  <si>
    <t>AS, AT, AU</t>
  </si>
  <si>
    <t>AV, AW, AX</t>
  </si>
  <si>
    <t>BB, BC, BD</t>
  </si>
  <si>
    <t>BE, BF, BG</t>
  </si>
  <si>
    <t>BH</t>
  </si>
  <si>
    <t>BI</t>
  </si>
  <si>
    <t>BJ, BK, BL</t>
  </si>
  <si>
    <t>BM</t>
  </si>
  <si>
    <t>BN, BO, BP</t>
  </si>
  <si>
    <t>AK, AL, AM, AN, AO</t>
  </si>
  <si>
    <t>Minority status of representatives.</t>
  </si>
  <si>
    <t>Determines if newly elected representative is of a different party than the previous representative.</t>
  </si>
  <si>
    <t>Total numbers of minority representatives in a state.</t>
  </si>
  <si>
    <t>AG, AH, AI, AJ</t>
  </si>
  <si>
    <t>Number of incumbent Dem and Rep reelected and number of incumbent landslides won by Dem and Rep.</t>
  </si>
  <si>
    <t>Number of incumbents reelected, defeated, and running.</t>
  </si>
  <si>
    <t>AB, AC</t>
  </si>
  <si>
    <t>Number and percentage of incumbent landslides.</t>
  </si>
  <si>
    <t>Number of seat changes in the state.</t>
  </si>
  <si>
    <t>For example, a party that wins 60% of the seats with 40% of the votes has a distortion equal to abs(40% -60%) = 20%.</t>
  </si>
  <si>
    <t>House drop-off:  percent of people in top ticket race who did not vote for House, as percent of VEP</t>
  </si>
  <si>
    <t>"Untouchable"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</si>
</sst>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dd\-mmm\-yy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9"/>
      <name val="Geneva"/>
    </font>
    <font>
      <sz val="9"/>
      <color indexed="9"/>
      <name val="Geneva"/>
    </font>
    <font>
      <sz val="18"/>
      <color indexed="9"/>
      <name val="Geneva"/>
    </font>
    <font>
      <sz val="10"/>
      <name val="Arial"/>
      <family val="2"/>
    </font>
    <font>
      <sz val="12"/>
      <color indexed="5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0"/>
      <color indexed="54"/>
      <name val="Arial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 style="thin">
        <color rgb="FF888888"/>
      </left>
      <right style="medium">
        <color auto="1"/>
      </right>
      <top style="thin">
        <color rgb="FF888888"/>
      </top>
      <bottom style="thin">
        <color rgb="FF88888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11" fillId="0" borderId="0">
      <protection locked="0"/>
    </xf>
    <xf numFmtId="43" fontId="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2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22" fillId="6" borderId="0" applyNumberFormat="0" applyBorder="0" applyAlignment="0" applyProtection="0"/>
    <xf numFmtId="0" fontId="2" fillId="7" borderId="0" applyNumberFormat="0" applyBorder="0" applyAlignment="0" applyProtection="0"/>
  </cellStyleXfs>
  <cellXfs count="427">
    <xf numFmtId="0" fontId="0" fillId="0" borderId="0" xfId="0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2" applyNumberFormat="1" applyFont="1" applyAlignment="1">
      <alignment horizontal="right"/>
    </xf>
    <xf numFmtId="165" fontId="5" fillId="0" borderId="0" xfId="10" applyNumberFormat="1" applyFont="1"/>
    <xf numFmtId="1" fontId="5" fillId="0" borderId="0" xfId="0" applyNumberFormat="1" applyFont="1"/>
    <xf numFmtId="43" fontId="5" fillId="0" borderId="0" xfId="0" applyNumberFormat="1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5" fillId="0" borderId="0" xfId="2" applyNumberFormat="1" applyFont="1" applyAlignment="1">
      <alignment horizontal="left"/>
    </xf>
    <xf numFmtId="0" fontId="6" fillId="0" borderId="0" xfId="0" applyFont="1"/>
    <xf numFmtId="17" fontId="5" fillId="0" borderId="0" xfId="0" applyNumberFormat="1" applyFont="1"/>
    <xf numFmtId="0" fontId="4" fillId="0" borderId="1" xfId="0" applyFont="1" applyBorder="1"/>
    <xf numFmtId="0" fontId="5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5" fillId="0" borderId="0" xfId="0" applyFont="1" applyFill="1" applyBorder="1"/>
    <xf numFmtId="165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11" xfId="0" applyFont="1" applyFill="1" applyBorder="1" applyAlignment="1"/>
    <xf numFmtId="0" fontId="5" fillId="0" borderId="0" xfId="0" applyFont="1" applyFill="1" applyBorder="1" applyAlignment="1"/>
    <xf numFmtId="0" fontId="4" fillId="2" borderId="7" xfId="0" applyFont="1" applyFill="1" applyBorder="1" applyAlignment="1">
      <alignment horizontal="center"/>
    </xf>
    <xf numFmtId="165" fontId="5" fillId="0" borderId="0" xfId="0" applyNumberFormat="1" applyFont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5" fillId="0" borderId="4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165" fontId="5" fillId="0" borderId="0" xfId="10" applyNumberFormat="1" applyFont="1" applyBorder="1" applyAlignment="1">
      <alignment horizontal="right"/>
    </xf>
    <xf numFmtId="164" fontId="4" fillId="0" borderId="14" xfId="2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 vertical="center"/>
    </xf>
    <xf numFmtId="165" fontId="5" fillId="0" borderId="16" xfId="0" applyNumberFormat="1" applyFont="1" applyBorder="1" applyAlignment="1">
      <alignment horizontal="right"/>
    </xf>
    <xf numFmtId="1" fontId="4" fillId="0" borderId="15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3" fontId="4" fillId="0" borderId="15" xfId="0" applyNumberFormat="1" applyFont="1" applyBorder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5" fontId="4" fillId="2" borderId="12" xfId="0" applyNumberFormat="1" applyFont="1" applyFill="1" applyBorder="1" applyAlignment="1">
      <alignment horizontal="center"/>
    </xf>
    <xf numFmtId="3" fontId="5" fillId="0" borderId="20" xfId="0" applyNumberFormat="1" applyFont="1" applyBorder="1" applyAlignment="1">
      <alignment horizontal="right"/>
    </xf>
    <xf numFmtId="3" fontId="4" fillId="0" borderId="17" xfId="0" applyNumberFormat="1" applyFont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4" fillId="0" borderId="14" xfId="0" applyFont="1" applyBorder="1"/>
    <xf numFmtId="3" fontId="4" fillId="0" borderId="17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0" fontId="4" fillId="0" borderId="0" xfId="0" applyFont="1" applyFill="1" applyBorder="1"/>
    <xf numFmtId="1" fontId="5" fillId="0" borderId="0" xfId="0" applyNumberFormat="1" applyFont="1" applyFill="1" applyBorder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Border="1" applyAlignment="1">
      <alignment horizontal="right" vertical="center"/>
    </xf>
    <xf numFmtId="165" fontId="5" fillId="0" borderId="0" xfId="10" applyNumberFormat="1" applyFont="1" applyBorder="1" applyAlignment="1">
      <alignment horizontal="center"/>
    </xf>
    <xf numFmtId="165" fontId="4" fillId="2" borderId="10" xfId="0" applyNumberFormat="1" applyFont="1" applyFill="1" applyBorder="1" applyAlignment="1">
      <alignment horizontal="right"/>
    </xf>
    <xf numFmtId="166" fontId="5" fillId="0" borderId="0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Fill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164" fontId="4" fillId="0" borderId="15" xfId="2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right"/>
    </xf>
    <xf numFmtId="0" fontId="5" fillId="0" borderId="0" xfId="0" quotePrefix="1" applyFont="1"/>
    <xf numFmtId="0" fontId="7" fillId="0" borderId="0" xfId="0" applyFont="1"/>
    <xf numFmtId="0" fontId="9" fillId="0" borderId="0" xfId="0" applyFont="1" applyBorder="1"/>
    <xf numFmtId="0" fontId="8" fillId="0" borderId="0" xfId="0" applyFont="1" applyBorder="1"/>
    <xf numFmtId="0" fontId="4" fillId="0" borderId="15" xfId="0" applyFont="1" applyBorder="1"/>
    <xf numFmtId="0" fontId="5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6" fontId="5" fillId="0" borderId="1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165" fontId="4" fillId="0" borderId="18" xfId="10" applyNumberFormat="1" applyFont="1" applyBorder="1" applyAlignment="1">
      <alignment horizontal="center"/>
    </xf>
    <xf numFmtId="165" fontId="5" fillId="0" borderId="16" xfId="10" applyNumberFormat="1" applyFont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5" fontId="4" fillId="0" borderId="23" xfId="0" applyNumberFormat="1" applyFont="1" applyFill="1" applyBorder="1"/>
    <xf numFmtId="0" fontId="4" fillId="0" borderId="23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23" xfId="0" applyFont="1" applyFill="1" applyBorder="1" applyAlignment="1">
      <alignment horizontal="left"/>
    </xf>
    <xf numFmtId="0" fontId="5" fillId="2" borderId="8" xfId="0" applyFont="1" applyFill="1" applyBorder="1"/>
    <xf numFmtId="166" fontId="4" fillId="0" borderId="15" xfId="0" applyNumberFormat="1" applyFont="1" applyBorder="1" applyAlignment="1">
      <alignment horizontal="center"/>
    </xf>
    <xf numFmtId="165" fontId="4" fillId="0" borderId="15" xfId="10" applyNumberFormat="1" applyFont="1" applyBorder="1" applyAlignment="1">
      <alignment horizontal="center"/>
    </xf>
    <xf numFmtId="165" fontId="5" fillId="0" borderId="0" xfId="0" applyNumberFormat="1" applyFont="1" applyBorder="1"/>
    <xf numFmtId="167" fontId="4" fillId="0" borderId="0" xfId="0" applyNumberFormat="1" applyFont="1"/>
    <xf numFmtId="165" fontId="4" fillId="0" borderId="0" xfId="0" applyNumberFormat="1" applyFont="1" applyBorder="1"/>
    <xf numFmtId="165" fontId="4" fillId="0" borderId="0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6" xfId="0" applyFont="1" applyBorder="1"/>
    <xf numFmtId="0" fontId="4" fillId="0" borderId="16" xfId="0" applyFont="1" applyFill="1" applyBorder="1"/>
    <xf numFmtId="165" fontId="4" fillId="0" borderId="16" xfId="0" applyNumberFormat="1" applyFont="1" applyBorder="1" applyAlignment="1">
      <alignment horizontal="right"/>
    </xf>
    <xf numFmtId="1" fontId="5" fillId="0" borderId="0" xfId="1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15" xfId="1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24" xfId="0" applyFont="1" applyFill="1" applyBorder="1" applyAlignment="1">
      <alignment horizontal="left"/>
    </xf>
    <xf numFmtId="166" fontId="5" fillId="0" borderId="25" xfId="0" applyNumberFormat="1" applyFont="1" applyBorder="1" applyAlignment="1">
      <alignment horizontal="center"/>
    </xf>
    <xf numFmtId="165" fontId="5" fillId="0" borderId="25" xfId="1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5" xfId="1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4" fillId="0" borderId="25" xfId="0" applyFont="1" applyFill="1" applyBorder="1" applyAlignment="1">
      <alignment horizontal="left"/>
    </xf>
    <xf numFmtId="166" fontId="5" fillId="0" borderId="26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65" fontId="5" fillId="0" borderId="26" xfId="10" applyNumberFormat="1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Border="1"/>
    <xf numFmtId="165" fontId="9" fillId="0" borderId="0" xfId="10" applyNumberFormat="1" applyFont="1" applyBorder="1"/>
    <xf numFmtId="3" fontId="4" fillId="0" borderId="19" xfId="0" applyNumberFormat="1" applyFont="1" applyBorder="1" applyAlignment="1">
      <alignment horizontal="center"/>
    </xf>
    <xf numFmtId="3" fontId="4" fillId="0" borderId="15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9" fontId="5" fillId="4" borderId="3" xfId="10" applyFont="1" applyFill="1" applyBorder="1" applyAlignment="1">
      <alignment horizontal="center"/>
    </xf>
    <xf numFmtId="0" fontId="4" fillId="3" borderId="14" xfId="0" applyFont="1" applyFill="1" applyBorder="1"/>
    <xf numFmtId="0" fontId="4" fillId="3" borderId="18" xfId="0" applyFont="1" applyFill="1" applyBorder="1" applyAlignment="1"/>
    <xf numFmtId="0" fontId="4" fillId="3" borderId="6" xfId="0" applyFont="1" applyFill="1" applyBorder="1"/>
    <xf numFmtId="165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/>
    <xf numFmtId="165" fontId="4" fillId="3" borderId="7" xfId="0" applyNumberFormat="1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/>
    <xf numFmtId="1" fontId="4" fillId="3" borderId="7" xfId="0" applyNumberFormat="1" applyFont="1" applyFill="1" applyBorder="1"/>
    <xf numFmtId="165" fontId="4" fillId="3" borderId="12" xfId="0" applyNumberFormat="1" applyFont="1" applyFill="1" applyBorder="1" applyAlignment="1">
      <alignment horizontal="center"/>
    </xf>
    <xf numFmtId="3" fontId="4" fillId="3" borderId="30" xfId="0" applyNumberFormat="1" applyFont="1" applyFill="1" applyBorder="1" applyAlignment="1">
      <alignment horizontal="right"/>
    </xf>
    <xf numFmtId="0" fontId="4" fillId="3" borderId="29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29" xfId="0" applyFont="1" applyFill="1" applyBorder="1"/>
    <xf numFmtId="0" fontId="4" fillId="3" borderId="12" xfId="0" applyFont="1" applyFill="1" applyBorder="1"/>
    <xf numFmtId="0" fontId="4" fillId="3" borderId="30" xfId="0" applyFont="1" applyFill="1" applyBorder="1"/>
    <xf numFmtId="0" fontId="4" fillId="3" borderId="31" xfId="0" applyFont="1" applyFill="1" applyBorder="1"/>
    <xf numFmtId="0" fontId="4" fillId="3" borderId="9" xfId="0" applyFont="1" applyFill="1" applyBorder="1" applyAlignment="1">
      <alignment horizontal="center"/>
    </xf>
    <xf numFmtId="0" fontId="4" fillId="3" borderId="32" xfId="0" applyFont="1" applyFill="1" applyBorder="1"/>
    <xf numFmtId="165" fontId="4" fillId="3" borderId="9" xfId="0" applyNumberFormat="1" applyFont="1" applyFill="1" applyBorder="1"/>
    <xf numFmtId="0" fontId="4" fillId="3" borderId="32" xfId="0" applyFont="1" applyFill="1" applyBorder="1" applyAlignment="1">
      <alignment horizontal="center"/>
    </xf>
    <xf numFmtId="0" fontId="4" fillId="3" borderId="33" xfId="0" applyFont="1" applyFill="1" applyBorder="1"/>
    <xf numFmtId="1" fontId="5" fillId="3" borderId="9" xfId="0" applyNumberFormat="1" applyFont="1" applyFill="1" applyBorder="1"/>
    <xf numFmtId="1" fontId="4" fillId="3" borderId="9" xfId="0" applyNumberFormat="1" applyFont="1" applyFill="1" applyBorder="1"/>
    <xf numFmtId="0" fontId="4" fillId="3" borderId="10" xfId="0" applyFont="1" applyFill="1" applyBorder="1" applyAlignment="1">
      <alignment horizontal="center"/>
    </xf>
    <xf numFmtId="3" fontId="4" fillId="3" borderId="34" xfId="0" applyNumberFormat="1" applyFont="1" applyFill="1" applyBorder="1" applyAlignment="1">
      <alignment horizontal="right"/>
    </xf>
    <xf numFmtId="0" fontId="4" fillId="3" borderId="33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33" xfId="0" applyFont="1" applyFill="1" applyBorder="1"/>
    <xf numFmtId="0" fontId="4" fillId="3" borderId="34" xfId="0" applyFont="1" applyFill="1" applyBorder="1"/>
    <xf numFmtId="0" fontId="5" fillId="3" borderId="10" xfId="0" applyFont="1" applyFill="1" applyBorder="1"/>
    <xf numFmtId="0" fontId="4" fillId="3" borderId="35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66" fontId="5" fillId="0" borderId="11" xfId="0" applyNumberFormat="1" applyFont="1" applyFill="1" applyBorder="1" applyAlignment="1">
      <alignment horizontal="center"/>
    </xf>
    <xf numFmtId="165" fontId="5" fillId="0" borderId="0" xfId="10" applyNumberFormat="1" applyFont="1" applyFill="1" applyBorder="1" applyAlignment="1">
      <alignment horizontal="center"/>
    </xf>
    <xf numFmtId="165" fontId="5" fillId="0" borderId="0" xfId="1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0" borderId="11" xfId="0" applyNumberFormat="1" applyFont="1" applyFill="1" applyBorder="1" applyAlignment="1">
      <alignment horizontal="center"/>
    </xf>
    <xf numFmtId="165" fontId="5" fillId="0" borderId="2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center"/>
    </xf>
    <xf numFmtId="165" fontId="5" fillId="0" borderId="11" xfId="10" applyNumberFormat="1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1" fontId="5" fillId="0" borderId="25" xfId="10" applyNumberFormat="1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166" fontId="5" fillId="0" borderId="25" xfId="0" applyNumberFormat="1" applyFont="1" applyFill="1" applyBorder="1" applyAlignment="1">
      <alignment horizontal="center"/>
    </xf>
    <xf numFmtId="165" fontId="5" fillId="0" borderId="25" xfId="10" applyNumberFormat="1" applyFont="1" applyFill="1" applyBorder="1" applyAlignment="1">
      <alignment horizontal="center"/>
    </xf>
    <xf numFmtId="165" fontId="5" fillId="0" borderId="26" xfId="0" applyNumberFormat="1" applyFont="1" applyFill="1" applyBorder="1" applyAlignment="1">
      <alignment horizontal="center"/>
    </xf>
    <xf numFmtId="165" fontId="5" fillId="0" borderId="0" xfId="0" applyNumberFormat="1" applyFont="1" applyFill="1" applyBorder="1"/>
    <xf numFmtId="0" fontId="5" fillId="0" borderId="24" xfId="0" applyFont="1" applyFill="1" applyBorder="1" applyAlignment="1">
      <alignment horizontal="center"/>
    </xf>
    <xf numFmtId="166" fontId="5" fillId="0" borderId="26" xfId="0" applyNumberFormat="1" applyFont="1" applyFill="1" applyBorder="1" applyAlignment="1">
      <alignment horizontal="center"/>
    </xf>
    <xf numFmtId="165" fontId="5" fillId="0" borderId="16" xfId="0" applyNumberFormat="1" applyFont="1" applyFill="1" applyBorder="1" applyAlignment="1">
      <alignment horizontal="right"/>
    </xf>
    <xf numFmtId="0" fontId="5" fillId="0" borderId="25" xfId="0" applyFont="1" applyFill="1" applyBorder="1" applyAlignment="1">
      <alignment horizontal="center"/>
    </xf>
    <xf numFmtId="165" fontId="5" fillId="0" borderId="26" xfId="10" applyNumberFormat="1" applyFont="1" applyFill="1" applyBorder="1" applyAlignment="1">
      <alignment horizontal="center"/>
    </xf>
    <xf numFmtId="1" fontId="5" fillId="0" borderId="0" xfId="0" applyNumberFormat="1" applyFont="1" applyFill="1"/>
    <xf numFmtId="0" fontId="4" fillId="0" borderId="18" xfId="0" applyFont="1" applyFill="1" applyBorder="1" applyAlignment="1"/>
    <xf numFmtId="0" fontId="15" fillId="0" borderId="0" xfId="0" applyFont="1" applyFill="1"/>
    <xf numFmtId="3" fontId="5" fillId="0" borderId="0" xfId="0" applyNumberFormat="1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2" applyNumberFormat="1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0" applyNumberFormat="1" applyFont="1"/>
    <xf numFmtId="0" fontId="17" fillId="0" borderId="0" xfId="0" applyFont="1"/>
    <xf numFmtId="164" fontId="16" fillId="0" borderId="0" xfId="2" applyNumberFormat="1" applyFont="1" applyAlignment="1">
      <alignment horizontal="left"/>
    </xf>
    <xf numFmtId="0" fontId="16" fillId="3" borderId="8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left"/>
    </xf>
    <xf numFmtId="0" fontId="16" fillId="3" borderId="10" xfId="0" applyFont="1" applyFill="1" applyBorder="1" applyAlignment="1">
      <alignment horizontal="left"/>
    </xf>
    <xf numFmtId="164" fontId="16" fillId="3" borderId="9" xfId="2" applyNumberFormat="1" applyFont="1" applyFill="1" applyBorder="1" applyAlignment="1">
      <alignment horizontal="left"/>
    </xf>
    <xf numFmtId="164" fontId="16" fillId="3" borderId="33" xfId="2" applyNumberFormat="1" applyFont="1" applyFill="1" applyBorder="1" applyAlignment="1">
      <alignment horizontal="left"/>
    </xf>
    <xf numFmtId="0" fontId="16" fillId="3" borderId="9" xfId="0" applyFont="1" applyFill="1" applyBorder="1" applyAlignment="1">
      <alignment horizontal="right"/>
    </xf>
    <xf numFmtId="165" fontId="16" fillId="3" borderId="10" xfId="10" applyNumberFormat="1" applyFont="1" applyFill="1" applyBorder="1" applyAlignment="1">
      <alignment horizontal="center"/>
    </xf>
    <xf numFmtId="0" fontId="16" fillId="3" borderId="8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6" xfId="0" applyFont="1" applyFill="1" applyBorder="1" applyAlignment="1">
      <alignment horizontal="right"/>
    </xf>
    <xf numFmtId="0" fontId="16" fillId="3" borderId="7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right"/>
    </xf>
    <xf numFmtId="164" fontId="16" fillId="3" borderId="7" xfId="2" applyNumberFormat="1" applyFont="1" applyFill="1" applyBorder="1" applyAlignment="1">
      <alignment horizontal="right"/>
    </xf>
    <xf numFmtId="164" fontId="16" fillId="3" borderId="29" xfId="2" applyNumberFormat="1" applyFont="1" applyFill="1" applyBorder="1" applyAlignment="1">
      <alignment horizontal="right"/>
    </xf>
    <xf numFmtId="0" fontId="16" fillId="3" borderId="7" xfId="0" applyFont="1" applyFill="1" applyBorder="1" applyAlignment="1">
      <alignment horizontal="right"/>
    </xf>
    <xf numFmtId="165" fontId="16" fillId="3" borderId="12" xfId="10" applyNumberFormat="1" applyFont="1" applyFill="1" applyBorder="1" applyAlignment="1">
      <alignment horizontal="center"/>
    </xf>
    <xf numFmtId="0" fontId="16" fillId="3" borderId="6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left"/>
    </xf>
    <xf numFmtId="0" fontId="17" fillId="0" borderId="23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164" fontId="17" fillId="4" borderId="0" xfId="2" applyNumberFormat="1" applyFont="1" applyFill="1" applyBorder="1" applyAlignment="1">
      <alignment horizontal="right"/>
    </xf>
    <xf numFmtId="164" fontId="17" fillId="0" borderId="0" xfId="2" applyNumberFormat="1" applyFont="1" applyBorder="1" applyAlignment="1">
      <alignment horizontal="right"/>
    </xf>
    <xf numFmtId="164" fontId="17" fillId="4" borderId="36" xfId="2" applyNumberFormat="1" applyFont="1" applyFill="1" applyBorder="1" applyAlignment="1">
      <alignment horizontal="right"/>
    </xf>
    <xf numFmtId="3" fontId="17" fillId="0" borderId="16" xfId="2" applyNumberFormat="1" applyFont="1" applyFill="1" applyBorder="1" applyAlignment="1">
      <alignment horizontal="center"/>
    </xf>
    <xf numFmtId="3" fontId="17" fillId="0" borderId="0" xfId="10" applyNumberFormat="1" applyFont="1" applyBorder="1" applyAlignment="1">
      <alignment horizontal="right"/>
    </xf>
    <xf numFmtId="165" fontId="17" fillId="0" borderId="0" xfId="10" applyNumberFormat="1" applyFont="1" applyBorder="1" applyAlignment="1">
      <alignment horizontal="right"/>
    </xf>
    <xf numFmtId="165" fontId="17" fillId="0" borderId="16" xfId="10" applyNumberFormat="1" applyFont="1" applyBorder="1"/>
    <xf numFmtId="1" fontId="17" fillId="0" borderId="0" xfId="0" applyNumberFormat="1" applyFont="1" applyBorder="1"/>
    <xf numFmtId="166" fontId="17" fillId="0" borderId="0" xfId="0" applyNumberFormat="1" applyFont="1" applyBorder="1"/>
    <xf numFmtId="166" fontId="17" fillId="0" borderId="16" xfId="0" applyNumberFormat="1" applyFont="1" applyBorder="1"/>
    <xf numFmtId="3" fontId="17" fillId="0" borderId="0" xfId="0" applyNumberFormat="1" applyFont="1" applyBorder="1"/>
    <xf numFmtId="3" fontId="17" fillId="0" borderId="16" xfId="0" applyNumberFormat="1" applyFont="1" applyBorder="1"/>
    <xf numFmtId="164" fontId="17" fillId="0" borderId="16" xfId="2" applyNumberFormat="1" applyFont="1" applyFill="1" applyBorder="1" applyAlignment="1">
      <alignment horizontal="center"/>
    </xf>
    <xf numFmtId="3" fontId="17" fillId="4" borderId="11" xfId="0" applyNumberFormat="1" applyFont="1" applyFill="1" applyBorder="1"/>
    <xf numFmtId="0" fontId="17" fillId="0" borderId="23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164" fontId="17" fillId="0" borderId="0" xfId="2" applyNumberFormat="1" applyFont="1" applyFill="1" applyBorder="1" applyAlignment="1">
      <alignment horizontal="right"/>
    </xf>
    <xf numFmtId="3" fontId="17" fillId="0" borderId="0" xfId="10" applyNumberFormat="1" applyFont="1" applyFill="1" applyBorder="1" applyAlignment="1">
      <alignment horizontal="right"/>
    </xf>
    <xf numFmtId="165" fontId="17" fillId="0" borderId="16" xfId="10" applyNumberFormat="1" applyFont="1" applyFill="1" applyBorder="1"/>
    <xf numFmtId="1" fontId="17" fillId="0" borderId="0" xfId="0" applyNumberFormat="1" applyFont="1" applyFill="1" applyBorder="1"/>
    <xf numFmtId="166" fontId="17" fillId="0" borderId="0" xfId="0" applyNumberFormat="1" applyFont="1" applyFill="1" applyBorder="1"/>
    <xf numFmtId="3" fontId="17" fillId="0" borderId="0" xfId="0" applyNumberFormat="1" applyFont="1" applyFill="1" applyBorder="1"/>
    <xf numFmtId="3" fontId="17" fillId="0" borderId="16" xfId="0" applyNumberFormat="1" applyFont="1" applyFill="1" applyBorder="1"/>
    <xf numFmtId="0" fontId="17" fillId="0" borderId="24" xfId="0" applyFont="1" applyBorder="1" applyAlignment="1">
      <alignment horizontal="left"/>
    </xf>
    <xf numFmtId="0" fontId="16" fillId="0" borderId="37" xfId="0" applyFont="1" applyBorder="1"/>
    <xf numFmtId="0" fontId="16" fillId="0" borderId="38" xfId="0" applyFont="1" applyBorder="1" applyAlignment="1">
      <alignment horizontal="center"/>
    </xf>
    <xf numFmtId="3" fontId="16" fillId="0" borderId="40" xfId="0" applyNumberFormat="1" applyFont="1" applyBorder="1" applyAlignment="1">
      <alignment horizontal="right"/>
    </xf>
    <xf numFmtId="3" fontId="16" fillId="0" borderId="41" xfId="0" applyNumberFormat="1" applyFont="1" applyBorder="1" applyAlignment="1">
      <alignment horizontal="right"/>
    </xf>
    <xf numFmtId="3" fontId="16" fillId="0" borderId="39" xfId="0" applyNumberFormat="1" applyFont="1" applyBorder="1" applyAlignment="1">
      <alignment horizontal="center"/>
    </xf>
    <xf numFmtId="1" fontId="16" fillId="0" borderId="37" xfId="0" applyNumberFormat="1" applyFont="1" applyBorder="1"/>
    <xf numFmtId="0" fontId="16" fillId="0" borderId="38" xfId="0" applyFont="1" applyBorder="1"/>
    <xf numFmtId="0" fontId="16" fillId="0" borderId="39" xfId="0" applyFont="1" applyBorder="1"/>
    <xf numFmtId="3" fontId="16" fillId="0" borderId="37" xfId="0" applyNumberFormat="1" applyFont="1" applyBorder="1"/>
    <xf numFmtId="3" fontId="16" fillId="0" borderId="38" xfId="0" applyNumberFormat="1" applyFont="1" applyBorder="1"/>
    <xf numFmtId="3" fontId="16" fillId="0" borderId="39" xfId="0" applyNumberFormat="1" applyFont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165" fontId="16" fillId="0" borderId="0" xfId="10" applyNumberFormat="1" applyFont="1" applyBorder="1" applyAlignment="1">
      <alignment horizontal="right"/>
    </xf>
    <xf numFmtId="165" fontId="16" fillId="0" borderId="0" xfId="1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0" fontId="17" fillId="0" borderId="0" xfId="0" applyFont="1" applyAlignment="1">
      <alignment horizontal="center"/>
    </xf>
    <xf numFmtId="164" fontId="17" fillId="0" borderId="0" xfId="2" applyNumberFormat="1" applyFont="1" applyAlignment="1">
      <alignment horizontal="right"/>
    </xf>
    <xf numFmtId="1" fontId="16" fillId="0" borderId="0" xfId="0" applyNumberFormat="1" applyFont="1"/>
    <xf numFmtId="0" fontId="16" fillId="0" borderId="0" xfId="2" applyNumberFormat="1" applyFont="1" applyAlignment="1"/>
    <xf numFmtId="164" fontId="16" fillId="0" borderId="0" xfId="2" applyNumberFormat="1" applyFont="1" applyAlignment="1">
      <alignment horizontal="right"/>
    </xf>
    <xf numFmtId="0" fontId="16" fillId="0" borderId="0" xfId="0" applyFont="1" applyAlignment="1">
      <alignment horizontal="right"/>
    </xf>
    <xf numFmtId="165" fontId="16" fillId="0" borderId="0" xfId="10" applyNumberFormat="1" applyFont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Alignment="1"/>
    <xf numFmtId="0" fontId="0" fillId="0" borderId="9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1" fontId="0" fillId="0" borderId="9" xfId="0" applyNumberFormat="1" applyFill="1" applyBorder="1" applyAlignment="1"/>
    <xf numFmtId="3" fontId="0" fillId="0" borderId="9" xfId="0" applyNumberFormat="1" applyFill="1" applyBorder="1" applyAlignment="1"/>
    <xf numFmtId="3" fontId="0" fillId="0" borderId="7" xfId="0" applyNumberFormat="1" applyFill="1" applyBorder="1" applyAlignment="1"/>
    <xf numFmtId="0" fontId="0" fillId="0" borderId="12" xfId="0" applyFill="1" applyBorder="1" applyAlignment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0" fillId="0" borderId="0" xfId="0" applyAlignment="1"/>
    <xf numFmtId="1" fontId="0" fillId="0" borderId="0" xfId="0" applyNumberFormat="1" applyFill="1" applyBorder="1" applyAlignment="1"/>
    <xf numFmtId="3" fontId="0" fillId="0" borderId="0" xfId="0" applyNumberFormat="1" applyFill="1" applyBorder="1" applyAlignment="1"/>
    <xf numFmtId="0" fontId="19" fillId="0" borderId="0" xfId="0" applyFont="1" applyFill="1" applyBorder="1" applyAlignment="1"/>
    <xf numFmtId="0" fontId="0" fillId="0" borderId="0" xfId="0" applyFill="1" applyBorder="1"/>
    <xf numFmtId="0" fontId="0" fillId="0" borderId="0" xfId="0" applyFill="1"/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23" xfId="0" applyNumberFormat="1" applyFont="1" applyBorder="1" applyAlignment="1">
      <alignment horizontal="center"/>
    </xf>
    <xf numFmtId="165" fontId="5" fillId="0" borderId="23" xfId="0" applyNumberFormat="1" applyFont="1" applyFill="1" applyBorder="1" applyAlignment="1">
      <alignment horizontal="center"/>
    </xf>
    <xf numFmtId="165" fontId="5" fillId="0" borderId="16" xfId="0" applyNumberFormat="1" applyFont="1" applyFill="1" applyBorder="1" applyAlignment="1">
      <alignment horizontal="center"/>
    </xf>
    <xf numFmtId="165" fontId="5" fillId="0" borderId="3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65" fontId="4" fillId="0" borderId="19" xfId="10" applyNumberFormat="1" applyFont="1" applyBorder="1" applyAlignment="1">
      <alignment horizontal="center"/>
    </xf>
    <xf numFmtId="9" fontId="0" fillId="0" borderId="0" xfId="10" applyFont="1" applyFill="1" applyBorder="1"/>
    <xf numFmtId="165" fontId="0" fillId="0" borderId="0" xfId="10" applyNumberFormat="1" applyFont="1" applyFill="1" applyBorder="1" applyAlignment="1"/>
    <xf numFmtId="1" fontId="0" fillId="0" borderId="0" xfId="0" applyNumberFormat="1" applyBorder="1"/>
    <xf numFmtId="164" fontId="0" fillId="0" borderId="0" xfId="2" applyNumberFormat="1" applyFont="1" applyFill="1" applyBorder="1" applyAlignment="1">
      <alignment horizontal="right"/>
    </xf>
    <xf numFmtId="165" fontId="0" fillId="0" borderId="0" xfId="1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16" fillId="0" borderId="0" xfId="0" applyNumberFormat="1" applyFont="1"/>
    <xf numFmtId="1" fontId="0" fillId="0" borderId="16" xfId="0" applyNumberFormat="1" applyFill="1" applyBorder="1" applyAlignment="1"/>
    <xf numFmtId="0" fontId="0" fillId="0" borderId="0" xfId="0" applyFill="1" applyBorder="1" applyAlignment="1">
      <alignment horizontal="right"/>
    </xf>
    <xf numFmtId="0" fontId="0" fillId="0" borderId="14" xfId="0" applyFill="1" applyBorder="1" applyAlignment="1"/>
    <xf numFmtId="0" fontId="19" fillId="3" borderId="18" xfId="0" applyFont="1" applyFill="1" applyBorder="1" applyAlignment="1">
      <alignment horizontal="center"/>
    </xf>
    <xf numFmtId="1" fontId="18" fillId="3" borderId="35" xfId="0" applyNumberFormat="1" applyFont="1" applyFill="1" applyBorder="1" applyAlignment="1">
      <alignment horizontal="left"/>
    </xf>
    <xf numFmtId="1" fontId="18" fillId="3" borderId="42" xfId="0" applyNumberFormat="1" applyFont="1" applyFill="1" applyBorder="1" applyAlignment="1">
      <alignment horizontal="left"/>
    </xf>
    <xf numFmtId="165" fontId="18" fillId="3" borderId="42" xfId="0" applyNumberFormat="1" applyFont="1" applyFill="1" applyBorder="1" applyAlignment="1">
      <alignment horizontal="left"/>
    </xf>
    <xf numFmtId="0" fontId="19" fillId="3" borderId="43" xfId="0" applyFont="1" applyFill="1" applyBorder="1" applyAlignment="1">
      <alignment horizontal="left"/>
    </xf>
    <xf numFmtId="9" fontId="0" fillId="0" borderId="0" xfId="10" applyFont="1" applyFill="1" applyBorder="1" applyAlignment="1"/>
    <xf numFmtId="9" fontId="0" fillId="0" borderId="9" xfId="10" applyFont="1" applyFill="1" applyBorder="1" applyAlignment="1"/>
    <xf numFmtId="1" fontId="0" fillId="0" borderId="10" xfId="0" applyNumberFormat="1" applyFill="1" applyBorder="1" applyAlignment="1"/>
    <xf numFmtId="0" fontId="0" fillId="0" borderId="10" xfId="0" applyFill="1" applyBorder="1" applyAlignment="1"/>
    <xf numFmtId="0" fontId="19" fillId="3" borderId="44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right"/>
    </xf>
    <xf numFmtId="0" fontId="18" fillId="3" borderId="35" xfId="0" applyFont="1" applyFill="1" applyBorder="1" applyAlignment="1"/>
    <xf numFmtId="0" fontId="18" fillId="3" borderId="43" xfId="0" applyFont="1" applyFill="1" applyBorder="1" applyAlignment="1"/>
    <xf numFmtId="0" fontId="0" fillId="0" borderId="16" xfId="0" applyFill="1" applyBorder="1" applyAlignment="1">
      <alignment horizontal="right"/>
    </xf>
    <xf numFmtId="0" fontId="0" fillId="0" borderId="7" xfId="0" applyBorder="1"/>
    <xf numFmtId="0" fontId="19" fillId="3" borderId="8" xfId="0" applyFont="1" applyFill="1" applyBorder="1" applyAlignment="1">
      <alignment horizontal="left"/>
    </xf>
    <xf numFmtId="0" fontId="19" fillId="3" borderId="23" xfId="0" applyFont="1" applyFill="1" applyBorder="1" applyAlignment="1">
      <alignment horizontal="left"/>
    </xf>
    <xf numFmtId="0" fontId="0" fillId="3" borderId="6" xfId="0" applyFill="1" applyBorder="1"/>
    <xf numFmtId="0" fontId="14" fillId="0" borderId="0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23" xfId="0" applyFill="1" applyBorder="1"/>
    <xf numFmtId="0" fontId="14" fillId="0" borderId="16" xfId="0" applyFont="1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18" fillId="0" borderId="0" xfId="0" applyFont="1" applyFill="1" applyBorder="1"/>
    <xf numFmtId="0" fontId="14" fillId="3" borderId="42" xfId="0" applyFont="1" applyFill="1" applyBorder="1" applyAlignment="1">
      <alignment horizontal="left"/>
    </xf>
    <xf numFmtId="0" fontId="14" fillId="3" borderId="43" xfId="0" applyFont="1" applyFill="1" applyBorder="1" applyAlignment="1">
      <alignment horizontal="left"/>
    </xf>
    <xf numFmtId="0" fontId="14" fillId="3" borderId="42" xfId="0" applyFont="1" applyFill="1" applyBorder="1" applyAlignment="1"/>
    <xf numFmtId="0" fontId="14" fillId="3" borderId="43" xfId="0" applyFont="1" applyFill="1" applyBorder="1" applyAlignment="1"/>
    <xf numFmtId="0" fontId="18" fillId="3" borderId="45" xfId="0" applyFont="1" applyFill="1" applyBorder="1" applyAlignment="1"/>
    <xf numFmtId="0" fontId="18" fillId="3" borderId="46" xfId="0" applyFont="1" applyFill="1" applyBorder="1" applyAlignment="1"/>
    <xf numFmtId="0" fontId="18" fillId="3" borderId="47" xfId="0" applyFont="1" applyFill="1" applyBorder="1" applyAlignment="1"/>
    <xf numFmtId="1" fontId="18" fillId="3" borderId="46" xfId="0" applyNumberFormat="1" applyFont="1" applyFill="1" applyBorder="1" applyAlignment="1"/>
    <xf numFmtId="3" fontId="0" fillId="0" borderId="0" xfId="1" applyNumberFormat="1" applyFont="1" applyFill="1" applyBorder="1" applyAlignment="1">
      <alignment horizontal="right"/>
      <protection locked="0"/>
    </xf>
    <xf numFmtId="10" fontId="0" fillId="0" borderId="0" xfId="1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18" fillId="3" borderId="35" xfId="0" applyNumberFormat="1" applyFont="1" applyFill="1" applyBorder="1" applyAlignment="1">
      <alignment horizontal="left"/>
    </xf>
    <xf numFmtId="164" fontId="20" fillId="0" borderId="0" xfId="2" applyNumberFormat="1" applyFont="1" applyAlignment="1" applyProtection="1">
      <protection locked="0"/>
    </xf>
    <xf numFmtId="1" fontId="0" fillId="0" borderId="0" xfId="3" applyNumberFormat="1" applyFont="1" applyFill="1" applyBorder="1" applyAlignment="1">
      <alignment horizontal="right"/>
      <protection locked="0"/>
    </xf>
    <xf numFmtId="165" fontId="0" fillId="0" borderId="0" xfId="0" applyNumberFormat="1" applyFill="1" applyBorder="1" applyAlignment="1">
      <alignment horizontal="right"/>
    </xf>
    <xf numFmtId="165" fontId="0" fillId="0" borderId="0" xfId="10" applyNumberFormat="1" applyFont="1" applyFill="1"/>
    <xf numFmtId="3" fontId="4" fillId="0" borderId="22" xfId="0" applyNumberFormat="1" applyFont="1" applyBorder="1" applyAlignment="1">
      <alignment horizontal="right"/>
    </xf>
    <xf numFmtId="165" fontId="4" fillId="0" borderId="22" xfId="0" applyNumberFormat="1" applyFont="1" applyBorder="1" applyAlignment="1">
      <alignment horizontal="right"/>
    </xf>
    <xf numFmtId="164" fontId="4" fillId="0" borderId="22" xfId="2" applyNumberFormat="1" applyFont="1" applyBorder="1" applyAlignment="1">
      <alignment horizontal="center" vertical="center"/>
    </xf>
    <xf numFmtId="165" fontId="4" fillId="0" borderId="15" xfId="0" applyNumberFormat="1" applyFont="1" applyBorder="1"/>
    <xf numFmtId="164" fontId="16" fillId="3" borderId="9" xfId="2" applyNumberFormat="1" applyFont="1" applyFill="1" applyBorder="1" applyAlignment="1">
      <alignment horizontal="center"/>
    </xf>
    <xf numFmtId="164" fontId="16" fillId="3" borderId="7" xfId="2" applyNumberFormat="1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1" fontId="17" fillId="0" borderId="38" xfId="9" applyNumberFormat="1" applyFont="1" applyFill="1" applyBorder="1" applyAlignment="1"/>
    <xf numFmtId="0" fontId="17" fillId="0" borderId="38" xfId="0" applyFont="1" applyBorder="1"/>
    <xf numFmtId="1" fontId="4" fillId="3" borderId="9" xfId="0" applyNumberFormat="1" applyFont="1" applyFill="1" applyBorder="1" applyAlignment="1">
      <alignment horizontal="center"/>
    </xf>
    <xf numFmtId="1" fontId="5" fillId="3" borderId="9" xfId="0" applyNumberFormat="1" applyFont="1" applyFill="1" applyBorder="1" applyAlignment="1">
      <alignment horizontal="center"/>
    </xf>
    <xf numFmtId="165" fontId="4" fillId="3" borderId="7" xfId="0" applyNumberFormat="1" applyFont="1" applyFill="1" applyBorder="1"/>
    <xf numFmtId="9" fontId="5" fillId="0" borderId="0" xfId="0" applyNumberFormat="1" applyFont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9" fontId="4" fillId="0" borderId="15" xfId="0" applyNumberFormat="1" applyFont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165" fontId="5" fillId="0" borderId="21" xfId="0" applyNumberFormat="1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3" fontId="16" fillId="0" borderId="44" xfId="0" applyNumberFormat="1" applyFont="1" applyBorder="1" applyAlignment="1">
      <alignment horizontal="center"/>
    </xf>
    <xf numFmtId="3" fontId="16" fillId="0" borderId="19" xfId="0" applyNumberFormat="1" applyFont="1" applyBorder="1" applyAlignment="1">
      <alignment horizontal="right"/>
    </xf>
    <xf numFmtId="165" fontId="16" fillId="0" borderId="15" xfId="10" applyNumberFormat="1" applyFont="1" applyBorder="1" applyAlignment="1">
      <alignment horizontal="right"/>
    </xf>
    <xf numFmtId="165" fontId="16" fillId="0" borderId="18" xfId="1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5" fontId="4" fillId="0" borderId="19" xfId="0" applyNumberFormat="1" applyFont="1" applyBorder="1" applyAlignment="1">
      <alignment horizontal="center"/>
    </xf>
    <xf numFmtId="37" fontId="5" fillId="0" borderId="0" xfId="0" applyNumberFormat="1" applyFont="1"/>
    <xf numFmtId="37" fontId="4" fillId="0" borderId="48" xfId="0" applyNumberFormat="1" applyFont="1" applyBorder="1"/>
    <xf numFmtId="0" fontId="5" fillId="5" borderId="0" xfId="0" applyFont="1" applyFill="1"/>
    <xf numFmtId="3" fontId="4" fillId="0" borderId="0" xfId="0" applyNumberFormat="1" applyFont="1"/>
    <xf numFmtId="0" fontId="21" fillId="0" borderId="0" xfId="8" applyFont="1" applyFill="1" applyAlignment="1" applyProtection="1"/>
    <xf numFmtId="1" fontId="0" fillId="0" borderId="0" xfId="0" applyNumberFormat="1"/>
    <xf numFmtId="165" fontId="4" fillId="0" borderId="26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/>
    <xf numFmtId="1" fontId="4" fillId="0" borderId="14" xfId="0" applyNumberFormat="1" applyFont="1" applyBorder="1" applyAlignment="1">
      <alignment horizontal="center"/>
    </xf>
    <xf numFmtId="0" fontId="3" fillId="0" borderId="0" xfId="0" applyFont="1"/>
    <xf numFmtId="165" fontId="4" fillId="3" borderId="12" xfId="0" applyNumberFormat="1" applyFont="1" applyFill="1" applyBorder="1"/>
    <xf numFmtId="9" fontId="5" fillId="0" borderId="10" xfId="0" applyNumberFormat="1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9" fontId="5" fillId="0" borderId="16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16" fillId="0" borderId="38" xfId="0" applyFont="1" applyBorder="1" applyAlignment="1">
      <alignment horizontal="right"/>
    </xf>
    <xf numFmtId="3" fontId="16" fillId="0" borderId="51" xfId="0" applyNumberFormat="1" applyFont="1" applyBorder="1" applyAlignment="1">
      <alignment horizontal="right"/>
    </xf>
    <xf numFmtId="3" fontId="16" fillId="0" borderId="39" xfId="0" applyNumberFormat="1" applyFont="1" applyBorder="1" applyAlignment="1">
      <alignment horizontal="right"/>
    </xf>
    <xf numFmtId="3" fontId="0" fillId="8" borderId="0" xfId="0" applyNumberFormat="1" applyFill="1"/>
    <xf numFmtId="41" fontId="0" fillId="8" borderId="8" xfId="0" applyNumberFormat="1" applyFill="1" applyBorder="1"/>
    <xf numFmtId="41" fontId="0" fillId="8" borderId="10" xfId="0" applyNumberFormat="1" applyFill="1" applyBorder="1"/>
    <xf numFmtId="41" fontId="0" fillId="8" borderId="23" xfId="0" applyNumberFormat="1" applyFill="1" applyBorder="1"/>
    <xf numFmtId="41" fontId="0" fillId="8" borderId="16" xfId="0" applyNumberFormat="1" applyFill="1" applyBorder="1"/>
    <xf numFmtId="41" fontId="0" fillId="8" borderId="49" xfId="0" applyNumberFormat="1" applyFill="1" applyBorder="1" applyAlignment="1">
      <alignment horizontal="right" wrapText="1"/>
    </xf>
    <xf numFmtId="41" fontId="0" fillId="8" borderId="50" xfId="0" applyNumberFormat="1" applyFill="1" applyBorder="1" applyAlignment="1">
      <alignment horizontal="right" wrapText="1"/>
    </xf>
    <xf numFmtId="41" fontId="23" fillId="8" borderId="49" xfId="11" applyNumberFormat="1" applyFont="1" applyFill="1" applyBorder="1" applyAlignment="1">
      <alignment horizontal="right" wrapText="1"/>
    </xf>
    <xf numFmtId="41" fontId="1" fillId="8" borderId="50" xfId="11" applyNumberFormat="1" applyFont="1" applyFill="1" applyBorder="1" applyAlignment="1">
      <alignment horizontal="right" wrapText="1"/>
    </xf>
    <xf numFmtId="41" fontId="0" fillId="8" borderId="23" xfId="2" applyNumberFormat="1" applyFont="1" applyFill="1" applyBorder="1" applyAlignment="1">
      <alignment wrapText="1"/>
    </xf>
    <xf numFmtId="41" fontId="23" fillId="8" borderId="23" xfId="12" applyNumberFormat="1" applyFont="1" applyFill="1" applyBorder="1"/>
    <xf numFmtId="41" fontId="23" fillId="8" borderId="16" xfId="12" applyNumberFormat="1" applyFont="1" applyFill="1" applyBorder="1"/>
    <xf numFmtId="3" fontId="0" fillId="8" borderId="35" xfId="0" applyNumberFormat="1" applyFill="1" applyBorder="1"/>
    <xf numFmtId="3" fontId="0" fillId="8" borderId="42" xfId="0" applyNumberFormat="1" applyFill="1" applyBorder="1"/>
    <xf numFmtId="0" fontId="16" fillId="8" borderId="0" xfId="0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0" fillId="9" borderId="0" xfId="0" applyFill="1"/>
  </cellXfs>
  <cellStyles count="13">
    <cellStyle name="20% - Accent3" xfId="12" builtinId="38"/>
    <cellStyle name="Bad" xfId="11" builtinId="27"/>
    <cellStyle name="Body" xfId="1"/>
    <cellStyle name="Comma" xfId="2" builtinId="3"/>
    <cellStyle name="Default" xfId="3"/>
    <cellStyle name="Default SS" xfId="4"/>
    <cellStyle name="Default TB" xfId="5"/>
    <cellStyle name="Footer" xfId="6"/>
    <cellStyle name="Header" xfId="7"/>
    <cellStyle name="Hyperlink" xfId="8" builtinId="8"/>
    <cellStyle name="Normal" xfId="0" builtinId="0"/>
    <cellStyle name="Normal_Sheet2" xfId="9"/>
    <cellStyle name="Percent" xfId="10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777777"/>
      <rgbColor rgb="00555555"/>
      <rgbColor rgb="00FFFF00"/>
      <rgbColor rgb="00FF6600"/>
      <rgbColor rgb="00DD0000"/>
      <rgbColor rgb="00FF0099"/>
      <rgbColor rgb="00660099"/>
      <rgbColor rgb="000000DD"/>
      <rgbColor rgb="000099FF"/>
      <rgbColor rgb="0000EE00"/>
      <rgbColor rgb="00006600"/>
      <rgbColor rgb="00663300"/>
      <rgbColor rgb="00996633"/>
      <rgbColor rgb="00C0C0C0"/>
      <rgbColor rgb="00FFFBF0"/>
      <rgbColor rgb="00FFFF99"/>
      <rgbColor rgb="00FFFF66"/>
      <rgbColor rgb="00FFFF33"/>
      <rgbColor rgb="00FFCCFF"/>
      <rgbColor rgb="00FFCCCC"/>
      <rgbColor rgb="00FFCC99"/>
      <rgbColor rgb="00FFCC66"/>
      <rgbColor rgb="00FFCC33"/>
      <rgbColor rgb="00FFCC00"/>
      <rgbColor rgb="00FF99FF"/>
      <rgbColor rgb="00FF99CC"/>
      <rgbColor rgb="00FF9999"/>
      <rgbColor rgb="00FF9966"/>
      <rgbColor rgb="00FF9933"/>
      <rgbColor rgb="00FF9900"/>
      <rgbColor rgb="00FF66FF"/>
      <rgbColor rgb="00FF66CC"/>
      <rgbColor rgb="00FF6699"/>
      <rgbColor rgb="00FF6666"/>
      <rgbColor rgb="00FF6633"/>
      <rgbColor rgb="00FF33FF"/>
      <rgbColor rgb="00FF33CC"/>
      <rgbColor rgb="00FF3399"/>
      <rgbColor rgb="00FF3366"/>
      <rgbColor rgb="00FF3333"/>
      <rgbColor rgb="00FF3300"/>
      <rgbColor rgb="00FF00FF"/>
      <rgbColor rgb="00FF00CC"/>
      <rgbColor rgb="00FF0066"/>
      <rgbColor rgb="00FF0033"/>
      <rgbColor rgb="00FF0000"/>
      <rgbColor rgb="00CCFFFF"/>
      <rgbColor rgb="00C0DCC0"/>
      <rgbColor rgb="00CCFF99"/>
      <rgbColor rgb="00CCFF66"/>
      <rgbColor rgb="00CCFF33"/>
      <rgbColor rgb="00CCFF00"/>
      <rgbColor rgb="00CCCC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United States of America Seats-to-Votes 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0894186171935"/>
          <c:y val="0.2024567426702"/>
          <c:w val="0.691984683421422"/>
          <c:h val="0.641205607592895"/>
        </c:manualLayout>
      </c:layout>
      <c:barChart>
        <c:barDir val="col"/>
        <c:grouping val="clustered"/>
        <c:varyColors val="0"/>
        <c:ser>
          <c:idx val="0"/>
          <c:order val="0"/>
          <c:tx>
            <c:v>Vote Percentage</c:v>
          </c:tx>
          <c:invertIfNegative val="0"/>
          <c:cat>
            <c:strLit>
              <c:ptCount val="3"/>
              <c:pt idx="0">
                <c:v>Dem.</c:v>
              </c:pt>
              <c:pt idx="1">
                <c:v>Rep.</c:v>
              </c:pt>
              <c:pt idx="2">
                <c:v>Other</c:v>
              </c:pt>
            </c:strLit>
          </c:cat>
          <c:val>
            <c:numRef>
              <c:f>'Seats to Votes'!$E$2:$E$4</c:f>
              <c:numCache>
                <c:formatCode>0%</c:formatCode>
                <c:ptCount val="3"/>
                <c:pt idx="0">
                  <c:v>0.447789378673334</c:v>
                </c:pt>
                <c:pt idx="1">
                  <c:v>0.516468614536304</c:v>
                </c:pt>
                <c:pt idx="2">
                  <c:v>0.035742006790362</c:v>
                </c:pt>
              </c:numCache>
            </c:numRef>
          </c:val>
        </c:ser>
        <c:ser>
          <c:idx val="1"/>
          <c:order val="1"/>
          <c:tx>
            <c:v>Seat Percentage</c:v>
          </c:tx>
          <c:invertIfNegative val="0"/>
          <c:cat>
            <c:strLit>
              <c:ptCount val="3"/>
              <c:pt idx="0">
                <c:v>Dem.</c:v>
              </c:pt>
              <c:pt idx="1">
                <c:v>Rep.</c:v>
              </c:pt>
              <c:pt idx="2">
                <c:v>Other</c:v>
              </c:pt>
            </c:strLit>
          </c:cat>
          <c:val>
            <c:numRef>
              <c:f>'Seats to Votes'!$C$2:$C$4</c:f>
              <c:numCache>
                <c:formatCode>0%</c:formatCode>
                <c:ptCount val="3"/>
                <c:pt idx="0">
                  <c:v>0.44367816091954</c:v>
                </c:pt>
                <c:pt idx="1">
                  <c:v>0.55632183908046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54488"/>
        <c:axId val="2073857464"/>
      </c:barChart>
      <c:catAx>
        <c:axId val="2073854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857464"/>
        <c:crosses val="autoZero"/>
        <c:auto val="1"/>
        <c:lblAlgn val="ctr"/>
        <c:lblOffset val="100"/>
        <c:noMultiLvlLbl val="0"/>
      </c:catAx>
      <c:valAx>
        <c:axId val="20738574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7385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189371876462"/>
          <c:y val="0.91373785622769"/>
          <c:w val="0.789449897529934"/>
          <c:h val="0.07474344143001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United States of America Competitiveness 2010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2"/>
              <c:pt idx="0">
                <c:v>Competitive</c:v>
              </c:pt>
              <c:pt idx="1">
                <c:v>Non-Competitive</c:v>
              </c:pt>
            </c:strLit>
          </c:cat>
          <c:val>
            <c:numRef>
              <c:f>Charts!$N$4:$N$5</c:f>
              <c:numCache>
                <c:formatCode>0</c:formatCode>
                <c:ptCount val="2"/>
                <c:pt idx="0">
                  <c:v>155.0</c:v>
                </c:pt>
                <c:pt idx="1">
                  <c:v>280.0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aseline="0"/>
              <a:t>Wyoming Seats-to-Votes 2010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6036291311338"/>
          <c:y val="0.17835278786873"/>
          <c:w val="0.672201182464651"/>
          <c:h val="0.675542852225443"/>
        </c:manualLayout>
      </c:layout>
      <c:barChart>
        <c:barDir val="col"/>
        <c:grouping val="clustered"/>
        <c:varyColors val="0"/>
        <c:ser>
          <c:idx val="0"/>
          <c:order val="0"/>
          <c:tx>
            <c:v>Vote Percentage</c:v>
          </c:tx>
          <c:invertIfNegative val="0"/>
          <c:cat>
            <c:strLit>
              <c:ptCount val="3"/>
              <c:pt idx="0">
                <c:v>Dem.</c:v>
              </c:pt>
              <c:pt idx="1">
                <c:v> Rep.</c:v>
              </c:pt>
              <c:pt idx="2">
                <c:v> Other</c:v>
              </c:pt>
            </c:strLit>
          </c:cat>
          <c:val>
            <c:numRef>
              <c:f>'Data By State'!$AV$56:$AX$56</c:f>
              <c:numCache>
                <c:formatCode>0.0%</c:formatCode>
                <c:ptCount val="3"/>
                <c:pt idx="0">
                  <c:v>0.239846558572911</c:v>
                </c:pt>
                <c:pt idx="1">
                  <c:v>0.689967613797151</c:v>
                </c:pt>
                <c:pt idx="2">
                  <c:v>0.0701858276299378</c:v>
                </c:pt>
              </c:numCache>
            </c:numRef>
          </c:val>
        </c:ser>
        <c:ser>
          <c:idx val="1"/>
          <c:order val="1"/>
          <c:tx>
            <c:v>Seat Percentage</c:v>
          </c:tx>
          <c:invertIfNegative val="0"/>
          <c:cat>
            <c:strLit>
              <c:ptCount val="3"/>
              <c:pt idx="0">
                <c:v>Dem.</c:v>
              </c:pt>
              <c:pt idx="1">
                <c:v> Rep.</c:v>
              </c:pt>
              <c:pt idx="2">
                <c:v> Other</c:v>
              </c:pt>
            </c:strLit>
          </c:cat>
          <c:val>
            <c:numRef>
              <c:f>'Data By State'!$BB$56:$BD$56</c:f>
              <c:numCache>
                <c:formatCode>0.0%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55896"/>
        <c:axId val="2073958872"/>
      </c:barChart>
      <c:catAx>
        <c:axId val="2073955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958872"/>
        <c:crosses val="autoZero"/>
        <c:auto val="1"/>
        <c:lblAlgn val="ctr"/>
        <c:lblOffset val="100"/>
        <c:noMultiLvlLbl val="0"/>
      </c:catAx>
      <c:valAx>
        <c:axId val="20739588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2073955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0832629485328"/>
          <c:y val="0.918172933301369"/>
          <c:w val="0.783804048715363"/>
          <c:h val="0.07693079828436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aseline="0"/>
              <a:t>Wyoming </a:t>
            </a:r>
            <a:r>
              <a:rPr lang="en-US" sz="1100"/>
              <a:t>Competitiveness 2010</a:t>
            </a:r>
          </a:p>
        </c:rich>
      </c:tx>
      <c:layout>
        <c:manualLayout>
          <c:xMode val="edge"/>
          <c:yMode val="edge"/>
          <c:x val="0.146963290547586"/>
          <c:y val="0.021806853582554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721461187215"/>
          <c:y val="0.23351558858881"/>
          <c:w val="0.78082191780822"/>
          <c:h val="0.532710280373832"/>
        </c:manualLayout>
      </c:layout>
      <c:pieChart>
        <c:varyColors val="1"/>
        <c:ser>
          <c:idx val="0"/>
          <c:order val="0"/>
          <c:tx>
            <c:v>Alabama Competitiveness 2010</c:v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2"/>
              <c:pt idx="0">
                <c:v>Competitive</c:v>
              </c:pt>
              <c:pt idx="1">
                <c:v> Non-Competitive</c:v>
              </c:pt>
            </c:strLit>
          </c:cat>
          <c:val>
            <c:numRef>
              <c:f>Charts!$N$30:$N$31</c:f>
              <c:numCache>
                <c:formatCode>0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152400</xdr:rowOff>
    </xdr:from>
    <xdr:to>
      <xdr:col>5</xdr:col>
      <xdr:colOff>333375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</xdr:row>
      <xdr:rowOff>152401</xdr:rowOff>
    </xdr:from>
    <xdr:to>
      <xdr:col>10</xdr:col>
      <xdr:colOff>304800</xdr:colOff>
      <xdr:row>26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29</xdr:row>
      <xdr:rowOff>28574</xdr:rowOff>
    </xdr:from>
    <xdr:to>
      <xdr:col>5</xdr:col>
      <xdr:colOff>361950</xdr:colOff>
      <xdr:row>54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29</xdr:row>
      <xdr:rowOff>28575</xdr:rowOff>
    </xdr:from>
    <xdr:to>
      <xdr:col>10</xdr:col>
      <xdr:colOff>314325</xdr:colOff>
      <xdr:row>54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fairvote.or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tabSelected="1" zoomScale="75" zoomScaleNormal="75" zoomScalePageLayoutView="75" workbookViewId="0">
      <pane xSplit="14" ySplit="6" topLeftCell="O7" activePane="bottomRight" state="frozen"/>
      <selection pane="topRight" activeCell="D1" sqref="D1"/>
      <selection pane="bottomLeft" activeCell="A5" sqref="A5"/>
      <selection pane="bottomRight" activeCell="F25" sqref="F25"/>
    </sheetView>
  </sheetViews>
  <sheetFormatPr baseColWidth="10" defaultColWidth="8.83203125" defaultRowHeight="15" x14ac:dyDescent="0"/>
  <cols>
    <col min="1" max="1" width="13.5" style="7" customWidth="1"/>
    <col min="2" max="2" width="5.6640625" style="11" customWidth="1"/>
    <col min="3" max="3" width="29.33203125" style="11" customWidth="1"/>
    <col min="4" max="4" width="8.5" style="11" customWidth="1"/>
    <col min="5" max="5" width="7.83203125" style="11" customWidth="1"/>
    <col min="6" max="6" width="7.1640625" style="11" customWidth="1"/>
    <col min="7" max="7" width="7.33203125" style="11" customWidth="1"/>
    <col min="8" max="8" width="7" style="11" customWidth="1"/>
    <col min="9" max="9" width="16.1640625" style="11" customWidth="1"/>
    <col min="10" max="10" width="16.33203125" style="11" customWidth="1"/>
    <col min="11" max="11" width="20.1640625" style="11" customWidth="1"/>
    <col min="12" max="12" width="15.1640625" style="11" customWidth="1"/>
    <col min="13" max="13" width="10.5" style="11" customWidth="1"/>
    <col min="14" max="14" width="4.33203125" style="2" bestFit="1" customWidth="1"/>
    <col min="15" max="15" width="11.33203125" style="3" bestFit="1" customWidth="1"/>
    <col min="16" max="16" width="12.6640625" style="3" customWidth="1"/>
    <col min="17" max="17" width="11" style="3" customWidth="1"/>
    <col min="18" max="18" width="12.6640625" style="3" customWidth="1"/>
    <col min="19" max="19" width="10.83203125" style="3" hidden="1" customWidth="1"/>
    <col min="20" max="20" width="11.6640625" style="2" customWidth="1"/>
    <col min="21" max="21" width="11.33203125" style="2" customWidth="1"/>
    <col min="22" max="22" width="10.33203125" style="2" customWidth="1"/>
    <col min="23" max="23" width="10.33203125" style="4" customWidth="1"/>
    <col min="24" max="24" width="12.83203125" style="7" bestFit="1" customWidth="1"/>
    <col min="25" max="25" width="10.5" style="7" customWidth="1"/>
    <col min="26" max="26" width="17" style="7" bestFit="1" customWidth="1"/>
    <col min="27" max="28" width="11.6640625" style="7" customWidth="1"/>
    <col min="29" max="29" width="10.6640625" style="7" customWidth="1"/>
    <col min="30" max="30" width="16.6640625" style="7" customWidth="1"/>
    <col min="31" max="31" width="20" style="7" customWidth="1"/>
    <col min="32" max="32" width="18" style="7" customWidth="1"/>
    <col min="33" max="16384" width="8.83203125" style="7"/>
  </cols>
  <sheetData>
    <row r="1" spans="1:31">
      <c r="A1" s="8" t="s">
        <v>253</v>
      </c>
    </row>
    <row r="2" spans="1:31">
      <c r="A2" s="199" t="s">
        <v>126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00"/>
      <c r="O2" s="201"/>
      <c r="P2" s="201"/>
      <c r="Q2" s="201"/>
      <c r="R2" s="201"/>
      <c r="S2" s="201"/>
      <c r="T2" s="200"/>
      <c r="U2" s="202"/>
      <c r="V2" s="202"/>
      <c r="W2" s="203"/>
      <c r="X2" s="204"/>
      <c r="Y2" s="204"/>
      <c r="Z2" s="204"/>
      <c r="AA2" s="204"/>
      <c r="AB2" s="204"/>
      <c r="AC2" s="204"/>
    </row>
    <row r="3" spans="1:31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200"/>
      <c r="O3" s="199" t="s">
        <v>251</v>
      </c>
      <c r="P3" s="201"/>
      <c r="Q3" s="201"/>
      <c r="R3" s="205"/>
      <c r="S3" s="205"/>
      <c r="T3" s="200"/>
      <c r="U3" s="202"/>
      <c r="V3" s="202"/>
      <c r="W3" s="203"/>
      <c r="X3" s="204"/>
      <c r="Y3" s="204"/>
      <c r="Z3" s="204"/>
      <c r="AA3" s="204"/>
      <c r="AB3" s="204"/>
      <c r="AC3" s="204"/>
    </row>
    <row r="4" spans="1:31" ht="16" thickBot="1">
      <c r="A4" s="199"/>
      <c r="B4" s="199"/>
      <c r="C4" s="425" t="s">
        <v>856</v>
      </c>
      <c r="D4" s="424"/>
      <c r="E4" s="424"/>
      <c r="F4" s="424"/>
      <c r="G4" s="424"/>
      <c r="H4" s="424"/>
      <c r="I4" s="199"/>
      <c r="J4" s="199"/>
      <c r="K4" s="424"/>
      <c r="L4" s="424" t="s">
        <v>310</v>
      </c>
      <c r="M4" s="424" t="s">
        <v>310</v>
      </c>
      <c r="N4" s="200"/>
      <c r="O4" s="201"/>
      <c r="P4" s="201"/>
      <c r="Q4" s="201"/>
      <c r="R4" s="201"/>
      <c r="S4" s="201"/>
      <c r="T4"/>
      <c r="U4"/>
      <c r="V4"/>
      <c r="W4" s="203"/>
      <c r="X4"/>
      <c r="Y4" s="204"/>
      <c r="Z4" s="204"/>
      <c r="AA4" s="204"/>
      <c r="AB4" s="204"/>
      <c r="AC4" s="204"/>
    </row>
    <row r="5" spans="1:31">
      <c r="A5" s="206"/>
      <c r="B5" s="207"/>
      <c r="C5" s="207"/>
      <c r="D5" s="207"/>
      <c r="E5" s="207"/>
      <c r="F5" s="207"/>
      <c r="G5" s="207"/>
      <c r="H5" s="207"/>
      <c r="I5" s="207"/>
      <c r="J5" s="207"/>
      <c r="K5" s="367" t="s">
        <v>761</v>
      </c>
      <c r="L5" s="207"/>
      <c r="M5" s="367" t="s">
        <v>300</v>
      </c>
      <c r="N5" s="208"/>
      <c r="O5" s="209"/>
      <c r="P5" s="209" t="s">
        <v>117</v>
      </c>
      <c r="Q5" s="209"/>
      <c r="R5" s="210"/>
      <c r="S5" s="365" t="s">
        <v>319</v>
      </c>
      <c r="T5" s="207" t="s">
        <v>125</v>
      </c>
      <c r="U5" s="211"/>
      <c r="V5" s="211" t="s">
        <v>311</v>
      </c>
      <c r="W5" s="212" t="s">
        <v>122</v>
      </c>
      <c r="X5" s="213" t="s">
        <v>311</v>
      </c>
      <c r="Y5" s="214"/>
      <c r="Z5" s="215"/>
      <c r="AA5" s="214"/>
      <c r="AB5" s="214" t="s">
        <v>127</v>
      </c>
      <c r="AC5" s="215"/>
    </row>
    <row r="6" spans="1:31" s="1" customFormat="1" ht="17.25" customHeight="1" thickBot="1">
      <c r="A6" s="216" t="s">
        <v>51</v>
      </c>
      <c r="B6" s="217" t="s">
        <v>116</v>
      </c>
      <c r="C6" s="217" t="s">
        <v>298</v>
      </c>
      <c r="D6" s="217" t="s">
        <v>764</v>
      </c>
      <c r="E6" s="217" t="s">
        <v>221</v>
      </c>
      <c r="F6" s="217" t="s">
        <v>766</v>
      </c>
      <c r="G6" s="217" t="s">
        <v>765</v>
      </c>
      <c r="H6" s="217" t="s">
        <v>763</v>
      </c>
      <c r="I6" s="217" t="s">
        <v>759</v>
      </c>
      <c r="J6" s="217" t="s">
        <v>306</v>
      </c>
      <c r="K6" s="217" t="s">
        <v>762</v>
      </c>
      <c r="L6" s="217" t="s">
        <v>301</v>
      </c>
      <c r="M6" s="217" t="s">
        <v>299</v>
      </c>
      <c r="N6" s="218" t="s">
        <v>52</v>
      </c>
      <c r="O6" s="219" t="s">
        <v>118</v>
      </c>
      <c r="P6" s="219" t="s">
        <v>119</v>
      </c>
      <c r="Q6" s="219" t="s">
        <v>120</v>
      </c>
      <c r="R6" s="220" t="s">
        <v>121</v>
      </c>
      <c r="S6" s="366" t="s">
        <v>320</v>
      </c>
      <c r="T6" s="221" t="s">
        <v>123</v>
      </c>
      <c r="U6" s="221" t="s">
        <v>124</v>
      </c>
      <c r="V6" s="221" t="s">
        <v>129</v>
      </c>
      <c r="W6" s="222" t="s">
        <v>128</v>
      </c>
      <c r="X6" s="223" t="s">
        <v>149</v>
      </c>
      <c r="Y6" s="224" t="s">
        <v>53</v>
      </c>
      <c r="Z6" s="218" t="s">
        <v>55</v>
      </c>
      <c r="AA6" s="221" t="s">
        <v>118</v>
      </c>
      <c r="AB6" s="221" t="s">
        <v>119</v>
      </c>
      <c r="AC6" s="218" t="s">
        <v>120</v>
      </c>
      <c r="AD6" s="1" t="s">
        <v>312</v>
      </c>
      <c r="AE6" s="1" t="s">
        <v>313</v>
      </c>
    </row>
    <row r="7" spans="1:31">
      <c r="A7" s="225" t="s">
        <v>66</v>
      </c>
      <c r="B7" s="226" t="s">
        <v>0</v>
      </c>
      <c r="C7" s="426" t="s">
        <v>321</v>
      </c>
      <c r="D7"/>
      <c r="E7"/>
      <c r="F7"/>
      <c r="G7"/>
      <c r="H7"/>
      <c r="I7" t="str">
        <f>B7&amp;"-"&amp;IF(K7=1, "Yes", IF(K7="", "Yes", IF(K7=0, "No")))</f>
        <v>AL-Yes</v>
      </c>
      <c r="J7" t="str">
        <f>B7&amp;"-"&amp;IF(K7=1, "No", IF(L7=1, "No", IF(K7="", "Yes", IF(K7=0, "No"))))</f>
        <v>AL-Yes</v>
      </c>
      <c r="K7"/>
      <c r="L7"/>
      <c r="M7">
        <v>2002</v>
      </c>
      <c r="N7" s="242">
        <v>1</v>
      </c>
      <c r="O7" s="411">
        <v>0</v>
      </c>
      <c r="P7" s="412">
        <v>129063</v>
      </c>
      <c r="Q7" s="228">
        <f t="shared" ref="Q7:Q70" si="0">R7-P7-O7</f>
        <v>26357</v>
      </c>
      <c r="R7" s="422">
        <v>155420</v>
      </c>
      <c r="S7" s="230"/>
      <c r="T7" s="231">
        <f>MAX(O7:Q7)</f>
        <v>129063</v>
      </c>
      <c r="U7" s="231">
        <f t="shared" ref="U7:U70" si="1">IF(Q7=MAX(O7:Q7),MAX(O7:P7),IF(P7&gt;O7,MAX(O7,Q7),MAX(P7,Q7)))</f>
        <v>26357</v>
      </c>
      <c r="V7" s="232">
        <f>ABS(O7-P7)/(O7+P7)</f>
        <v>1</v>
      </c>
      <c r="W7" s="233">
        <f t="shared" ref="W7:W38" si="2">T7/R7</f>
        <v>0.83041436108608935</v>
      </c>
      <c r="X7" s="234" t="str">
        <f t="shared" ref="X7:X38" si="3">B7&amp;"-"&amp;IF(O7*P7=0,"Yes","No")</f>
        <v>AL-Yes</v>
      </c>
      <c r="Y7" s="235" t="str">
        <f t="shared" ref="Y7:Y38" si="4">B7&amp;"-"&amp;IF(Q7=MAX(O7:Q7),"Other",IF(P7&gt;O7,"Rep","Dem"))</f>
        <v>AL-Rep</v>
      </c>
      <c r="Z7" s="236" t="str">
        <f>B7&amp;"-"&amp;IF(V7&gt;Instructions!$H$14,Instructions!$I$14,IF(V7&gt;Instructions!$H$15,Instructions!$I$15,IF(V7&gt;Instructions!$H$16,Instructions!$I$16,IF(V7&gt;Instructions!$H$17,Instructions!$I$17,Instructions!$I$18))))</f>
        <v>AL-No contest</v>
      </c>
      <c r="AA7" s="237">
        <f t="shared" ref="AA7:AA38" si="5">IF(T7=O7,0,O7)</f>
        <v>0</v>
      </c>
      <c r="AB7" s="237">
        <f t="shared" ref="AB7:AB38" si="6">IF(T7=P7,0,P7)</f>
        <v>0</v>
      </c>
      <c r="AC7" s="238">
        <f t="shared" ref="AC7:AC38" si="7">IF(T7=Q7,0,Q7)</f>
        <v>26357</v>
      </c>
      <c r="AD7" s="389">
        <f>SUM(AA7:AC7)</f>
        <v>26357</v>
      </c>
    </row>
    <row r="8" spans="1:31">
      <c r="A8" s="225" t="s">
        <v>66</v>
      </c>
      <c r="B8" s="226" t="s">
        <v>0</v>
      </c>
      <c r="C8" t="s">
        <v>322</v>
      </c>
      <c r="D8" t="s">
        <v>769</v>
      </c>
      <c r="E8"/>
      <c r="F8"/>
      <c r="G8"/>
      <c r="H8"/>
      <c r="I8" t="str">
        <f t="shared" ref="I8:I71" si="8">B8&amp;"-"&amp;IF(K8=1, "Yes", IF(K8="", "Yes", IF(K8=0, "No")))</f>
        <v>AL-Yes</v>
      </c>
      <c r="J8" t="str">
        <f t="shared" ref="J8:J71" si="9">B8&amp;"-"&amp;IF(K8=1, "No", IF(L8=1, "No", IF(K8="", "Yes", IF(K8=0, "No"))))</f>
        <v>AL-No</v>
      </c>
      <c r="K8">
        <f>IF(M8=2010, 1, "")</f>
        <v>1</v>
      </c>
      <c r="L8" t="str">
        <f>B8&amp;"-"&amp;IF(M8=2010, 1, "")</f>
        <v>AL-1</v>
      </c>
      <c r="M8">
        <v>2010</v>
      </c>
      <c r="N8" s="242">
        <v>2</v>
      </c>
      <c r="O8" s="413">
        <v>106646</v>
      </c>
      <c r="P8" s="414">
        <v>111503</v>
      </c>
      <c r="Q8" s="228">
        <f t="shared" si="0"/>
        <v>0</v>
      </c>
      <c r="R8" s="423">
        <v>218149</v>
      </c>
      <c r="S8" s="239"/>
      <c r="T8" s="231">
        <f t="shared" ref="T8:T70" si="10">MAX(O8:Q8)</f>
        <v>111503</v>
      </c>
      <c r="U8" s="231">
        <f t="shared" si="1"/>
        <v>106646</v>
      </c>
      <c r="V8" s="232">
        <f t="shared" ref="V8:V71" si="11">ABS(O8-P8)/(O8+P8)</f>
        <v>2.2264598966761251E-2</v>
      </c>
      <c r="W8" s="233">
        <f t="shared" si="2"/>
        <v>0.51113229948338057</v>
      </c>
      <c r="X8" s="234" t="str">
        <f t="shared" si="3"/>
        <v>AL-No</v>
      </c>
      <c r="Y8" s="235" t="str">
        <f t="shared" si="4"/>
        <v>AL-Rep</v>
      </c>
      <c r="Z8" s="236" t="str">
        <f>B8&amp;"-"&amp;IF(V8&gt;Instructions!$H$14,Instructions!$I$14,IF(V8&gt;Instructions!$H$15,Instructions!$I$15,IF(V8&gt;Instructions!$H$16,Instructions!$I$16,IF(V8&gt;Instructions!$H$17,Instructions!$I$17,Instructions!$I$18))))</f>
        <v>AL-Tight</v>
      </c>
      <c r="AA8" s="237">
        <f t="shared" si="5"/>
        <v>106646</v>
      </c>
      <c r="AB8" s="237">
        <f t="shared" si="6"/>
        <v>0</v>
      </c>
      <c r="AC8" s="238">
        <f t="shared" si="7"/>
        <v>0</v>
      </c>
      <c r="AD8" s="389">
        <f t="shared" ref="AD8:AD71" si="12">SUM(AA8:AC8)</f>
        <v>106646</v>
      </c>
    </row>
    <row r="9" spans="1:31">
      <c r="A9" s="225" t="s">
        <v>66</v>
      </c>
      <c r="B9" s="226" t="s">
        <v>0</v>
      </c>
      <c r="C9" t="s">
        <v>323</v>
      </c>
      <c r="D9"/>
      <c r="E9"/>
      <c r="F9"/>
      <c r="G9"/>
      <c r="H9"/>
      <c r="I9" t="str">
        <f t="shared" si="8"/>
        <v>AL-Yes</v>
      </c>
      <c r="J9" t="str">
        <f t="shared" si="9"/>
        <v>AL-Yes</v>
      </c>
      <c r="K9"/>
      <c r="L9"/>
      <c r="M9">
        <v>2002</v>
      </c>
      <c r="N9" s="242">
        <v>3</v>
      </c>
      <c r="O9" s="413">
        <v>80155</v>
      </c>
      <c r="P9" s="414">
        <v>117698</v>
      </c>
      <c r="Q9" s="228">
        <f t="shared" si="0"/>
        <v>0</v>
      </c>
      <c r="R9" s="423">
        <v>197853</v>
      </c>
      <c r="S9" s="239"/>
      <c r="T9" s="231">
        <f t="shared" si="10"/>
        <v>117698</v>
      </c>
      <c r="U9" s="231">
        <f t="shared" si="1"/>
        <v>80155</v>
      </c>
      <c r="V9" s="232">
        <f t="shared" si="11"/>
        <v>0.18975198758674369</v>
      </c>
      <c r="W9" s="233">
        <f t="shared" si="2"/>
        <v>0.59487599379337186</v>
      </c>
      <c r="X9" s="234" t="str">
        <f t="shared" si="3"/>
        <v>AL-No</v>
      </c>
      <c r="Y9" s="235" t="str">
        <f t="shared" si="4"/>
        <v>AL-Rep</v>
      </c>
      <c r="Z9" s="236" t="str">
        <f>B9&amp;"-"&amp;IF(V9&gt;Instructions!$H$14,Instructions!$I$14,IF(V9&gt;Instructions!$H$15,Instructions!$I$15,IF(V9&gt;Instructions!$H$16,Instructions!$I$16,IF(V9&gt;Instructions!$H$17,Instructions!$I$17,Instructions!$I$18))))</f>
        <v>AL-Opportunity</v>
      </c>
      <c r="AA9" s="237">
        <f t="shared" si="5"/>
        <v>80155</v>
      </c>
      <c r="AB9" s="237">
        <f t="shared" si="6"/>
        <v>0</v>
      </c>
      <c r="AC9" s="238">
        <f t="shared" si="7"/>
        <v>0</v>
      </c>
      <c r="AD9" s="389">
        <f t="shared" si="12"/>
        <v>80155</v>
      </c>
    </row>
    <row r="10" spans="1:31">
      <c r="A10" s="225" t="s">
        <v>66</v>
      </c>
      <c r="B10" s="226" t="s">
        <v>0</v>
      </c>
      <c r="C10" s="426" t="s">
        <v>324</v>
      </c>
      <c r="D10"/>
      <c r="E10"/>
      <c r="F10"/>
      <c r="G10"/>
      <c r="H10"/>
      <c r="I10" t="str">
        <f t="shared" si="8"/>
        <v>AL-Yes</v>
      </c>
      <c r="J10" t="str">
        <f t="shared" si="9"/>
        <v>AL-Yes</v>
      </c>
      <c r="K10"/>
      <c r="L10"/>
      <c r="M10">
        <v>1996</v>
      </c>
      <c r="N10" s="242">
        <v>4</v>
      </c>
      <c r="O10" s="413">
        <v>0</v>
      </c>
      <c r="P10" s="414">
        <v>167709</v>
      </c>
      <c r="Q10" s="228">
        <f t="shared" si="0"/>
        <v>0</v>
      </c>
      <c r="R10" s="423">
        <v>167709</v>
      </c>
      <c r="S10" s="239"/>
      <c r="T10" s="231">
        <f t="shared" si="10"/>
        <v>167709</v>
      </c>
      <c r="U10" s="231">
        <f t="shared" si="1"/>
        <v>0</v>
      </c>
      <c r="V10" s="232">
        <f t="shared" si="11"/>
        <v>1</v>
      </c>
      <c r="W10" s="233">
        <f t="shared" si="2"/>
        <v>1</v>
      </c>
      <c r="X10" s="234" t="str">
        <f t="shared" si="3"/>
        <v>AL-Yes</v>
      </c>
      <c r="Y10" s="235" t="str">
        <f t="shared" si="4"/>
        <v>AL-Rep</v>
      </c>
      <c r="Z10" s="236" t="str">
        <f>B10&amp;"-"&amp;IF(V10&gt;Instructions!$H$14,Instructions!$I$14,IF(V10&gt;Instructions!$H$15,Instructions!$I$15,IF(V10&gt;Instructions!$H$16,Instructions!$I$16,IF(V10&gt;Instructions!$H$17,Instructions!$I$17,Instructions!$I$18))))</f>
        <v>AL-No contest</v>
      </c>
      <c r="AA10" s="237">
        <f t="shared" si="5"/>
        <v>0</v>
      </c>
      <c r="AB10" s="237">
        <f t="shared" si="6"/>
        <v>0</v>
      </c>
      <c r="AC10" s="238">
        <f t="shared" si="7"/>
        <v>0</v>
      </c>
      <c r="AD10" s="389">
        <f t="shared" si="12"/>
        <v>0</v>
      </c>
    </row>
    <row r="11" spans="1:31">
      <c r="A11" s="225" t="s">
        <v>66</v>
      </c>
      <c r="B11" s="226" t="s">
        <v>0</v>
      </c>
      <c r="C11" t="s">
        <v>325</v>
      </c>
      <c r="D11"/>
      <c r="E11"/>
      <c r="F11"/>
      <c r="G11"/>
      <c r="H11"/>
      <c r="I11" t="str">
        <f t="shared" si="8"/>
        <v>AL-No</v>
      </c>
      <c r="J11" t="str">
        <f t="shared" si="9"/>
        <v>AL-No</v>
      </c>
      <c r="K11">
        <v>0</v>
      </c>
      <c r="L11"/>
      <c r="M11">
        <v>2010</v>
      </c>
      <c r="N11" s="242">
        <v>5</v>
      </c>
      <c r="O11" s="413">
        <v>95192</v>
      </c>
      <c r="P11" s="414">
        <v>131109</v>
      </c>
      <c r="Q11" s="228">
        <f t="shared" si="0"/>
        <v>0</v>
      </c>
      <c r="R11" s="423">
        <v>226301</v>
      </c>
      <c r="S11" s="239"/>
      <c r="T11" s="231">
        <f t="shared" si="10"/>
        <v>131109</v>
      </c>
      <c r="U11" s="231">
        <f t="shared" si="1"/>
        <v>95192</v>
      </c>
      <c r="V11" s="232">
        <f t="shared" si="11"/>
        <v>0.15871339499162621</v>
      </c>
      <c r="W11" s="233">
        <f t="shared" si="2"/>
        <v>0.57935669749581309</v>
      </c>
      <c r="X11" s="234" t="str">
        <f t="shared" si="3"/>
        <v>AL-No</v>
      </c>
      <c r="Y11" s="235" t="str">
        <f t="shared" si="4"/>
        <v>AL-Rep</v>
      </c>
      <c r="Z11" s="236" t="str">
        <f>B11&amp;"-"&amp;IF(V11&gt;Instructions!$H$14,Instructions!$I$14,IF(V11&gt;Instructions!$H$15,Instructions!$I$15,IF(V11&gt;Instructions!$H$16,Instructions!$I$16,IF(V11&gt;Instructions!$H$17,Instructions!$I$17,Instructions!$I$18))))</f>
        <v>AL-Opportunity</v>
      </c>
      <c r="AA11" s="237">
        <f t="shared" si="5"/>
        <v>95192</v>
      </c>
      <c r="AB11" s="237">
        <f t="shared" si="6"/>
        <v>0</v>
      </c>
      <c r="AC11" s="238">
        <f t="shared" si="7"/>
        <v>0</v>
      </c>
      <c r="AD11" s="389">
        <f t="shared" si="12"/>
        <v>95192</v>
      </c>
    </row>
    <row r="12" spans="1:31">
      <c r="A12" s="225" t="s">
        <v>66</v>
      </c>
      <c r="B12" s="226" t="s">
        <v>0</v>
      </c>
      <c r="C12" s="426" t="s">
        <v>326</v>
      </c>
      <c r="D12"/>
      <c r="E12"/>
      <c r="F12"/>
      <c r="G12"/>
      <c r="H12"/>
      <c r="I12" t="str">
        <f>B12&amp;"-"&amp;IF(K12=1, "Yes", IF(K12="", "Yes", IF(K12=0, "No")))</f>
        <v>AL-Yes</v>
      </c>
      <c r="J12" t="str">
        <f t="shared" si="9"/>
        <v>AL-Yes</v>
      </c>
      <c r="K12"/>
      <c r="L12"/>
      <c r="M12">
        <v>1992</v>
      </c>
      <c r="N12" s="242">
        <v>6</v>
      </c>
      <c r="O12" s="413">
        <v>0</v>
      </c>
      <c r="P12" s="414">
        <v>205288</v>
      </c>
      <c r="Q12" s="228">
        <f t="shared" si="0"/>
        <v>0</v>
      </c>
      <c r="R12" s="423">
        <v>205288</v>
      </c>
      <c r="S12" s="239"/>
      <c r="T12" s="231">
        <f t="shared" si="10"/>
        <v>205288</v>
      </c>
      <c r="U12" s="231">
        <f t="shared" si="1"/>
        <v>0</v>
      </c>
      <c r="V12" s="232">
        <f t="shared" si="11"/>
        <v>1</v>
      </c>
      <c r="W12" s="233">
        <f t="shared" si="2"/>
        <v>1</v>
      </c>
      <c r="X12" s="234" t="str">
        <f t="shared" si="3"/>
        <v>AL-Yes</v>
      </c>
      <c r="Y12" s="235" t="str">
        <f t="shared" si="4"/>
        <v>AL-Rep</v>
      </c>
      <c r="Z12" s="236" t="str">
        <f>B12&amp;"-"&amp;IF(V12&gt;Instructions!$H$14,Instructions!$I$14,IF(V12&gt;Instructions!$H$15,Instructions!$I$15,IF(V12&gt;Instructions!$H$16,Instructions!$I$16,IF(V12&gt;Instructions!$H$17,Instructions!$I$17,Instructions!$I$18))))</f>
        <v>AL-No contest</v>
      </c>
      <c r="AA12" s="237">
        <f t="shared" si="5"/>
        <v>0</v>
      </c>
      <c r="AB12" s="237">
        <f t="shared" si="6"/>
        <v>0</v>
      </c>
      <c r="AC12" s="238">
        <f t="shared" si="7"/>
        <v>0</v>
      </c>
      <c r="AD12" s="389">
        <f t="shared" si="12"/>
        <v>0</v>
      </c>
    </row>
    <row r="13" spans="1:31">
      <c r="A13" s="225" t="s">
        <v>66</v>
      </c>
      <c r="B13" s="226" t="s">
        <v>0</v>
      </c>
      <c r="C13" t="s">
        <v>327</v>
      </c>
      <c r="D13" t="s">
        <v>769</v>
      </c>
      <c r="E13" t="s">
        <v>769</v>
      </c>
      <c r="F13"/>
      <c r="G13"/>
      <c r="H13"/>
      <c r="I13" t="str">
        <f t="shared" si="8"/>
        <v>AL-No</v>
      </c>
      <c r="J13" t="str">
        <f t="shared" si="9"/>
        <v>AL-No</v>
      </c>
      <c r="K13">
        <v>0</v>
      </c>
      <c r="L13"/>
      <c r="M13">
        <v>2010</v>
      </c>
      <c r="N13" s="242">
        <v>7</v>
      </c>
      <c r="O13" s="413">
        <v>136223</v>
      </c>
      <c r="P13" s="414">
        <v>51882</v>
      </c>
      <c r="Q13" s="228">
        <f t="shared" si="0"/>
        <v>0</v>
      </c>
      <c r="R13" s="423">
        <v>188105</v>
      </c>
      <c r="S13" s="239"/>
      <c r="T13" s="231">
        <f t="shared" si="10"/>
        <v>136223</v>
      </c>
      <c r="U13" s="231">
        <f t="shared" si="1"/>
        <v>51882</v>
      </c>
      <c r="V13" s="232">
        <f t="shared" si="11"/>
        <v>0.44837191993833231</v>
      </c>
      <c r="W13" s="233">
        <f t="shared" si="2"/>
        <v>0.72418595996916613</v>
      </c>
      <c r="X13" s="234" t="str">
        <f t="shared" si="3"/>
        <v>AL-No</v>
      </c>
      <c r="Y13" s="235" t="str">
        <f t="shared" si="4"/>
        <v>AL-Dem</v>
      </c>
      <c r="Z13" s="236" t="str">
        <f>B13&amp;"-"&amp;IF(V13&gt;Instructions!$H$14,Instructions!$I$14,IF(V13&gt;Instructions!$H$15,Instructions!$I$15,IF(V13&gt;Instructions!$H$16,Instructions!$I$16,IF(V13&gt;Instructions!$H$17,Instructions!$I$17,Instructions!$I$18))))</f>
        <v>AL-No contest</v>
      </c>
      <c r="AA13" s="237">
        <f t="shared" si="5"/>
        <v>0</v>
      </c>
      <c r="AB13" s="237">
        <f t="shared" si="6"/>
        <v>51882</v>
      </c>
      <c r="AC13" s="238">
        <f t="shared" si="7"/>
        <v>0</v>
      </c>
      <c r="AD13" s="389">
        <f t="shared" si="12"/>
        <v>51882</v>
      </c>
      <c r="AE13" s="389">
        <f>SUM(AD7:AD13)</f>
        <v>360232</v>
      </c>
    </row>
    <row r="14" spans="1:31">
      <c r="A14" s="225" t="s">
        <v>67</v>
      </c>
      <c r="B14" s="226" t="s">
        <v>1</v>
      </c>
      <c r="C14" t="s">
        <v>328</v>
      </c>
      <c r="D14"/>
      <c r="E14"/>
      <c r="F14"/>
      <c r="G14"/>
      <c r="H14"/>
      <c r="I14" t="str">
        <f t="shared" si="8"/>
        <v>AK-Yes</v>
      </c>
      <c r="J14" t="str">
        <f t="shared" si="9"/>
        <v>AK-Yes</v>
      </c>
      <c r="K14"/>
      <c r="L14"/>
      <c r="M14">
        <v>1973</v>
      </c>
      <c r="N14" s="242">
        <v>1</v>
      </c>
      <c r="O14" s="413">
        <v>77606</v>
      </c>
      <c r="P14" s="414">
        <v>175384</v>
      </c>
      <c r="Q14" s="228">
        <f t="shared" si="0"/>
        <v>1345</v>
      </c>
      <c r="R14" s="423">
        <v>254335</v>
      </c>
      <c r="S14" s="239"/>
      <c r="T14" s="231">
        <f t="shared" si="10"/>
        <v>175384</v>
      </c>
      <c r="U14" s="231">
        <f t="shared" si="1"/>
        <v>77606</v>
      </c>
      <c r="V14" s="232">
        <f t="shared" si="11"/>
        <v>0.38648958456856003</v>
      </c>
      <c r="W14" s="233">
        <f t="shared" si="2"/>
        <v>0.68957870525094855</v>
      </c>
      <c r="X14" s="234" t="str">
        <f t="shared" si="3"/>
        <v>AK-No</v>
      </c>
      <c r="Y14" s="235" t="str">
        <f t="shared" si="4"/>
        <v>AK-Rep</v>
      </c>
      <c r="Z14" s="236" t="str">
        <f>B14&amp;"-"&amp;IF(V14&gt;Instructions!$H$14,Instructions!$I$14,IF(V14&gt;Instructions!$H$15,Instructions!$I$15,IF(V14&gt;Instructions!$H$16,Instructions!$I$16,IF(V14&gt;Instructions!$H$17,Instructions!$I$17,Instructions!$I$18))))</f>
        <v>AK-Landslide</v>
      </c>
      <c r="AA14" s="237">
        <f t="shared" si="5"/>
        <v>77606</v>
      </c>
      <c r="AB14" s="237">
        <f t="shared" si="6"/>
        <v>0</v>
      </c>
      <c r="AC14" s="238">
        <f t="shared" si="7"/>
        <v>1345</v>
      </c>
      <c r="AD14" s="389">
        <f t="shared" si="12"/>
        <v>78951</v>
      </c>
      <c r="AE14" s="389">
        <f>SUM(AD14)</f>
        <v>78951</v>
      </c>
    </row>
    <row r="15" spans="1:31">
      <c r="A15" s="225" t="s">
        <v>68</v>
      </c>
      <c r="B15" s="226" t="s">
        <v>2</v>
      </c>
      <c r="C15" t="s">
        <v>329</v>
      </c>
      <c r="D15"/>
      <c r="E15"/>
      <c r="F15"/>
      <c r="G15"/>
      <c r="H15"/>
      <c r="I15" t="str">
        <f t="shared" si="8"/>
        <v>AZ-Yes</v>
      </c>
      <c r="J15" t="str">
        <f t="shared" si="9"/>
        <v>AZ-No</v>
      </c>
      <c r="K15">
        <f>IF(M15=2010, 1, "")</f>
        <v>1</v>
      </c>
      <c r="L15" t="str">
        <f>B15&amp;"-"&amp;IF(M15=2010, 1, "")</f>
        <v>AZ-1</v>
      </c>
      <c r="M15">
        <v>2010</v>
      </c>
      <c r="N15" s="242">
        <v>1</v>
      </c>
      <c r="O15" s="413">
        <v>99233</v>
      </c>
      <c r="P15" s="414">
        <v>112816</v>
      </c>
      <c r="Q15" s="228">
        <f t="shared" si="0"/>
        <v>14869</v>
      </c>
      <c r="R15" s="423">
        <v>226918</v>
      </c>
      <c r="S15" s="239"/>
      <c r="T15" s="231">
        <f t="shared" si="10"/>
        <v>112816</v>
      </c>
      <c r="U15" s="231">
        <f t="shared" si="1"/>
        <v>99233</v>
      </c>
      <c r="V15" s="232">
        <f t="shared" si="11"/>
        <v>6.4055949332465612E-2</v>
      </c>
      <c r="W15" s="233">
        <f t="shared" si="2"/>
        <v>0.49716637728166124</v>
      </c>
      <c r="X15" s="234" t="str">
        <f t="shared" si="3"/>
        <v>AZ-No</v>
      </c>
      <c r="Y15" s="235" t="str">
        <f t="shared" si="4"/>
        <v>AZ-Rep</v>
      </c>
      <c r="Z15" s="236" t="str">
        <f>B15&amp;"-"&amp;IF(V15&gt;Instructions!$H$14,Instructions!$I$14,IF(V15&gt;Instructions!$H$15,Instructions!$I$15,IF(V15&gt;Instructions!$H$16,Instructions!$I$16,IF(V15&gt;Instructions!$H$17,Instructions!$I$17,Instructions!$I$18))))</f>
        <v>AZ-Competitive</v>
      </c>
      <c r="AA15" s="237">
        <f t="shared" si="5"/>
        <v>99233</v>
      </c>
      <c r="AB15" s="237">
        <f t="shared" si="6"/>
        <v>0</v>
      </c>
      <c r="AC15" s="238">
        <f t="shared" si="7"/>
        <v>14869</v>
      </c>
      <c r="AD15" s="389">
        <f t="shared" si="12"/>
        <v>114102</v>
      </c>
    </row>
    <row r="16" spans="1:31">
      <c r="A16" s="225" t="s">
        <v>68</v>
      </c>
      <c r="B16" s="226" t="s">
        <v>2</v>
      </c>
      <c r="C16" t="s">
        <v>330</v>
      </c>
      <c r="D16"/>
      <c r="E16"/>
      <c r="F16"/>
      <c r="G16"/>
      <c r="H16"/>
      <c r="I16" t="str">
        <f t="shared" si="8"/>
        <v>AZ-Yes</v>
      </c>
      <c r="J16" t="str">
        <f t="shared" si="9"/>
        <v>AZ-Yes</v>
      </c>
      <c r="K16"/>
      <c r="L16" t="str">
        <f t="shared" ref="L16:L18" si="13">IF(M16=2010, 1, "")</f>
        <v/>
      </c>
      <c r="M16">
        <v>2002</v>
      </c>
      <c r="N16" s="242">
        <v>2</v>
      </c>
      <c r="O16" s="413">
        <v>82891</v>
      </c>
      <c r="P16" s="414">
        <v>173173</v>
      </c>
      <c r="Q16" s="228">
        <f t="shared" si="0"/>
        <v>10830</v>
      </c>
      <c r="R16" s="423">
        <v>266894</v>
      </c>
      <c r="S16" s="239"/>
      <c r="T16" s="231">
        <f t="shared" si="10"/>
        <v>173173</v>
      </c>
      <c r="U16" s="231">
        <f t="shared" si="1"/>
        <v>82891</v>
      </c>
      <c r="V16" s="232">
        <f t="shared" si="11"/>
        <v>0.3525759185203699</v>
      </c>
      <c r="W16" s="233">
        <f t="shared" si="2"/>
        <v>0.64884560911822675</v>
      </c>
      <c r="X16" s="234" t="str">
        <f t="shared" si="3"/>
        <v>AZ-No</v>
      </c>
      <c r="Y16" s="235" t="str">
        <f t="shared" si="4"/>
        <v>AZ-Rep</v>
      </c>
      <c r="Z16" s="236" t="str">
        <f>B16&amp;"-"&amp;IF(V16&gt;Instructions!$H$14,Instructions!$I$14,IF(V16&gt;Instructions!$H$15,Instructions!$I$15,IF(V16&gt;Instructions!$H$16,Instructions!$I$16,IF(V16&gt;Instructions!$H$17,Instructions!$I$17,Instructions!$I$18))))</f>
        <v>AZ-Landslide</v>
      </c>
      <c r="AA16" s="237">
        <f t="shared" si="5"/>
        <v>82891</v>
      </c>
      <c r="AB16" s="237">
        <f t="shared" si="6"/>
        <v>0</v>
      </c>
      <c r="AC16" s="238">
        <f t="shared" si="7"/>
        <v>10830</v>
      </c>
      <c r="AD16" s="389">
        <f t="shared" si="12"/>
        <v>93721</v>
      </c>
    </row>
    <row r="17" spans="1:31">
      <c r="A17" s="225" t="s">
        <v>68</v>
      </c>
      <c r="B17" s="226" t="s">
        <v>2</v>
      </c>
      <c r="C17" t="s">
        <v>331</v>
      </c>
      <c r="D17"/>
      <c r="E17"/>
      <c r="F17"/>
      <c r="G17"/>
      <c r="H17"/>
      <c r="I17" t="str">
        <f t="shared" si="8"/>
        <v>AZ-No</v>
      </c>
      <c r="J17" t="str">
        <f t="shared" si="9"/>
        <v>AZ-No</v>
      </c>
      <c r="K17">
        <v>0</v>
      </c>
      <c r="L17"/>
      <c r="M17">
        <v>2010</v>
      </c>
      <c r="N17" s="242">
        <v>3</v>
      </c>
      <c r="O17" s="413">
        <v>85610</v>
      </c>
      <c r="P17" s="414">
        <v>108689</v>
      </c>
      <c r="Q17" s="228">
        <f t="shared" si="0"/>
        <v>13772</v>
      </c>
      <c r="R17" s="423">
        <v>208071</v>
      </c>
      <c r="S17" s="239"/>
      <c r="T17" s="231">
        <f t="shared" si="10"/>
        <v>108689</v>
      </c>
      <c r="U17" s="231">
        <f t="shared" si="1"/>
        <v>85610</v>
      </c>
      <c r="V17" s="232">
        <f t="shared" si="11"/>
        <v>0.11878084807435962</v>
      </c>
      <c r="W17" s="233">
        <f t="shared" si="2"/>
        <v>0.52236496196010018</v>
      </c>
      <c r="X17" s="234" t="str">
        <f t="shared" si="3"/>
        <v>AZ-No</v>
      </c>
      <c r="Y17" s="235" t="str">
        <f t="shared" si="4"/>
        <v>AZ-Rep</v>
      </c>
      <c r="Z17" s="236" t="str">
        <f>B17&amp;"-"&amp;IF(V17&gt;Instructions!$H$14,Instructions!$I$14,IF(V17&gt;Instructions!$H$15,Instructions!$I$15,IF(V17&gt;Instructions!$H$16,Instructions!$I$16,IF(V17&gt;Instructions!$H$17,Instructions!$I$17,Instructions!$I$18))))</f>
        <v>AZ-Opportunity</v>
      </c>
      <c r="AA17" s="237">
        <f t="shared" si="5"/>
        <v>85610</v>
      </c>
      <c r="AB17" s="237">
        <f t="shared" si="6"/>
        <v>0</v>
      </c>
      <c r="AC17" s="238">
        <f t="shared" si="7"/>
        <v>13772</v>
      </c>
      <c r="AD17" s="389">
        <f t="shared" si="12"/>
        <v>99382</v>
      </c>
    </row>
    <row r="18" spans="1:31">
      <c r="A18" s="225" t="s">
        <v>68</v>
      </c>
      <c r="B18" s="226" t="s">
        <v>2</v>
      </c>
      <c r="C18" s="426" t="s">
        <v>332</v>
      </c>
      <c r="D18"/>
      <c r="E18"/>
      <c r="F18" t="s">
        <v>770</v>
      </c>
      <c r="G18"/>
      <c r="H18"/>
      <c r="I18" t="str">
        <f t="shared" si="8"/>
        <v>AZ-Yes</v>
      </c>
      <c r="J18" t="str">
        <f t="shared" si="9"/>
        <v>AZ-Yes</v>
      </c>
      <c r="K18"/>
      <c r="L18" t="str">
        <f t="shared" si="13"/>
        <v/>
      </c>
      <c r="M18">
        <v>1991</v>
      </c>
      <c r="N18" s="242">
        <v>4</v>
      </c>
      <c r="O18" s="413">
        <v>61524</v>
      </c>
      <c r="P18" s="414">
        <v>25300</v>
      </c>
      <c r="Q18" s="228">
        <f t="shared" si="0"/>
        <v>5083</v>
      </c>
      <c r="R18" s="423">
        <v>91907</v>
      </c>
      <c r="S18" s="239"/>
      <c r="T18" s="231">
        <f t="shared" si="10"/>
        <v>61524</v>
      </c>
      <c r="U18" s="231">
        <f t="shared" si="1"/>
        <v>25300</v>
      </c>
      <c r="V18" s="232">
        <f t="shared" si="11"/>
        <v>0.4172118308301852</v>
      </c>
      <c r="W18" s="233">
        <f t="shared" si="2"/>
        <v>0.66941582251623921</v>
      </c>
      <c r="X18" s="234" t="str">
        <f t="shared" si="3"/>
        <v>AZ-No</v>
      </c>
      <c r="Y18" s="235" t="str">
        <f t="shared" si="4"/>
        <v>AZ-Dem</v>
      </c>
      <c r="Z18" s="236" t="str">
        <f>B18&amp;"-"&amp;IF(V18&gt;Instructions!$H$14,Instructions!$I$14,IF(V18&gt;Instructions!$H$15,Instructions!$I$15,IF(V18&gt;Instructions!$H$16,Instructions!$I$16,IF(V18&gt;Instructions!$H$17,Instructions!$I$17,Instructions!$I$18))))</f>
        <v>AZ-No contest</v>
      </c>
      <c r="AA18" s="237">
        <f t="shared" si="5"/>
        <v>0</v>
      </c>
      <c r="AB18" s="237">
        <f t="shared" si="6"/>
        <v>25300</v>
      </c>
      <c r="AC18" s="238">
        <f t="shared" si="7"/>
        <v>5083</v>
      </c>
      <c r="AD18" s="389">
        <f t="shared" si="12"/>
        <v>30383</v>
      </c>
    </row>
    <row r="19" spans="1:31">
      <c r="A19" s="225" t="s">
        <v>68</v>
      </c>
      <c r="B19" s="226" t="s">
        <v>2</v>
      </c>
      <c r="C19" t="s">
        <v>333</v>
      </c>
      <c r="D19"/>
      <c r="E19"/>
      <c r="F19"/>
      <c r="G19"/>
      <c r="H19"/>
      <c r="I19" t="str">
        <f t="shared" si="8"/>
        <v>AZ-Yes</v>
      </c>
      <c r="J19" t="str">
        <f t="shared" si="9"/>
        <v>AZ-No</v>
      </c>
      <c r="K19">
        <f>IF(M19=2010, 1, "")</f>
        <v>1</v>
      </c>
      <c r="L19" t="str">
        <f>B19&amp;"-"&amp;IF(M19=2010, 1, "")</f>
        <v>AZ-1</v>
      </c>
      <c r="M19">
        <v>2010</v>
      </c>
      <c r="N19" s="242">
        <v>5</v>
      </c>
      <c r="O19" s="413">
        <v>91749</v>
      </c>
      <c r="P19" s="414">
        <v>110374</v>
      </c>
      <c r="Q19" s="228">
        <f t="shared" si="0"/>
        <v>10127</v>
      </c>
      <c r="R19" s="423">
        <v>212250</v>
      </c>
      <c r="S19" s="239"/>
      <c r="T19" s="231">
        <f t="shared" si="10"/>
        <v>110374</v>
      </c>
      <c r="U19" s="231">
        <f t="shared" si="1"/>
        <v>91749</v>
      </c>
      <c r="V19" s="232">
        <f t="shared" si="11"/>
        <v>9.2146861069744665E-2</v>
      </c>
      <c r="W19" s="233">
        <f t="shared" si="2"/>
        <v>0.52001884570082446</v>
      </c>
      <c r="X19" s="234" t="str">
        <f t="shared" si="3"/>
        <v>AZ-No</v>
      </c>
      <c r="Y19" s="235" t="str">
        <f t="shared" si="4"/>
        <v>AZ-Rep</v>
      </c>
      <c r="Z19" s="236" t="str">
        <f>B19&amp;"-"&amp;IF(V19&gt;Instructions!$H$14,Instructions!$I$14,IF(V19&gt;Instructions!$H$15,Instructions!$I$15,IF(V19&gt;Instructions!$H$16,Instructions!$I$16,IF(V19&gt;Instructions!$H$17,Instructions!$I$17,Instructions!$I$18))))</f>
        <v>AZ-Competitive</v>
      </c>
      <c r="AA19" s="237">
        <f t="shared" si="5"/>
        <v>91749</v>
      </c>
      <c r="AB19" s="237">
        <f t="shared" si="6"/>
        <v>0</v>
      </c>
      <c r="AC19" s="238">
        <f t="shared" si="7"/>
        <v>10127</v>
      </c>
      <c r="AD19" s="389">
        <f t="shared" si="12"/>
        <v>101876</v>
      </c>
    </row>
    <row r="20" spans="1:31">
      <c r="A20" s="225" t="s">
        <v>68</v>
      </c>
      <c r="B20" s="226" t="s">
        <v>2</v>
      </c>
      <c r="C20" t="s">
        <v>334</v>
      </c>
      <c r="D20"/>
      <c r="E20"/>
      <c r="F20"/>
      <c r="G20"/>
      <c r="H20"/>
      <c r="I20" t="str">
        <f t="shared" si="8"/>
        <v>AZ-Yes</v>
      </c>
      <c r="J20" t="str">
        <f t="shared" si="9"/>
        <v>AZ-Yes</v>
      </c>
      <c r="K20"/>
      <c r="L20"/>
      <c r="M20">
        <v>2000</v>
      </c>
      <c r="N20" s="242">
        <v>6</v>
      </c>
      <c r="O20" s="413">
        <v>72615</v>
      </c>
      <c r="P20" s="414">
        <v>165649</v>
      </c>
      <c r="Q20" s="228">
        <f t="shared" si="0"/>
        <v>11119</v>
      </c>
      <c r="R20" s="423">
        <v>249383</v>
      </c>
      <c r="S20" s="239"/>
      <c r="T20" s="231">
        <f t="shared" si="10"/>
        <v>165649</v>
      </c>
      <c r="U20" s="231">
        <f t="shared" si="1"/>
        <v>72615</v>
      </c>
      <c r="V20" s="232">
        <f t="shared" si="11"/>
        <v>0.39046603767249771</v>
      </c>
      <c r="W20" s="233">
        <f t="shared" si="2"/>
        <v>0.66423533280135372</v>
      </c>
      <c r="X20" s="234" t="str">
        <f t="shared" si="3"/>
        <v>AZ-No</v>
      </c>
      <c r="Y20" s="235" t="str">
        <f t="shared" si="4"/>
        <v>AZ-Rep</v>
      </c>
      <c r="Z20" s="236" t="str">
        <f>B20&amp;"-"&amp;IF(V20&gt;Instructions!$H$14,Instructions!$I$14,IF(V20&gt;Instructions!$H$15,Instructions!$I$15,IF(V20&gt;Instructions!$H$16,Instructions!$I$16,IF(V20&gt;Instructions!$H$17,Instructions!$I$17,Instructions!$I$18))))</f>
        <v>AZ-Landslide</v>
      </c>
      <c r="AA20" s="237">
        <f t="shared" si="5"/>
        <v>72615</v>
      </c>
      <c r="AB20" s="237">
        <f t="shared" si="6"/>
        <v>0</v>
      </c>
      <c r="AC20" s="238">
        <f t="shared" si="7"/>
        <v>11119</v>
      </c>
      <c r="AD20" s="389">
        <f t="shared" si="12"/>
        <v>83734</v>
      </c>
    </row>
    <row r="21" spans="1:31">
      <c r="A21" s="225" t="s">
        <v>68</v>
      </c>
      <c r="B21" s="226" t="s">
        <v>2</v>
      </c>
      <c r="C21" t="s">
        <v>335</v>
      </c>
      <c r="D21"/>
      <c r="E21"/>
      <c r="F21" t="s">
        <v>770</v>
      </c>
      <c r="G21"/>
      <c r="H21"/>
      <c r="I21" t="str">
        <f t="shared" si="8"/>
        <v>AZ-Yes</v>
      </c>
      <c r="J21" t="str">
        <f t="shared" si="9"/>
        <v>AZ-Yes</v>
      </c>
      <c r="K21"/>
      <c r="L21"/>
      <c r="M21">
        <v>2002</v>
      </c>
      <c r="N21" s="242">
        <v>7</v>
      </c>
      <c r="O21" s="413">
        <v>79935</v>
      </c>
      <c r="P21" s="414">
        <v>70385</v>
      </c>
      <c r="Q21" s="228">
        <f t="shared" si="0"/>
        <v>8824</v>
      </c>
      <c r="R21" s="423">
        <v>159144</v>
      </c>
      <c r="S21" s="239"/>
      <c r="T21" s="231">
        <f t="shared" si="10"/>
        <v>79935</v>
      </c>
      <c r="U21" s="231">
        <f t="shared" si="1"/>
        <v>70385</v>
      </c>
      <c r="V21" s="232">
        <f t="shared" si="11"/>
        <v>6.3531133581692392E-2</v>
      </c>
      <c r="W21" s="233">
        <f t="shared" si="2"/>
        <v>0.50228095309908005</v>
      </c>
      <c r="X21" s="234" t="str">
        <f t="shared" si="3"/>
        <v>AZ-No</v>
      </c>
      <c r="Y21" s="235" t="str">
        <f t="shared" si="4"/>
        <v>AZ-Dem</v>
      </c>
      <c r="Z21" s="236" t="str">
        <f>B21&amp;"-"&amp;IF(V21&gt;Instructions!$H$14,Instructions!$I$14,IF(V21&gt;Instructions!$H$15,Instructions!$I$15,IF(V21&gt;Instructions!$H$16,Instructions!$I$16,IF(V21&gt;Instructions!$H$17,Instructions!$I$17,Instructions!$I$18))))</f>
        <v>AZ-Competitive</v>
      </c>
      <c r="AA21" s="237">
        <f t="shared" si="5"/>
        <v>0</v>
      </c>
      <c r="AB21" s="237">
        <f t="shared" si="6"/>
        <v>70385</v>
      </c>
      <c r="AC21" s="238">
        <f t="shared" si="7"/>
        <v>8824</v>
      </c>
      <c r="AD21" s="389">
        <f t="shared" si="12"/>
        <v>79209</v>
      </c>
    </row>
    <row r="22" spans="1:31">
      <c r="A22" s="225" t="s">
        <v>68</v>
      </c>
      <c r="B22" s="226" t="s">
        <v>2</v>
      </c>
      <c r="C22" t="s">
        <v>336</v>
      </c>
      <c r="D22" t="s">
        <v>770</v>
      </c>
      <c r="E22"/>
      <c r="F22"/>
      <c r="G22"/>
      <c r="H22"/>
      <c r="I22" t="str">
        <f t="shared" si="8"/>
        <v>AZ-Yes</v>
      </c>
      <c r="J22" t="str">
        <f t="shared" si="9"/>
        <v>AZ-Yes</v>
      </c>
      <c r="K22"/>
      <c r="L22"/>
      <c r="M22">
        <v>2006</v>
      </c>
      <c r="N22" s="242">
        <v>8</v>
      </c>
      <c r="O22" s="413">
        <v>138280</v>
      </c>
      <c r="P22" s="414">
        <v>134124</v>
      </c>
      <c r="Q22" s="228">
        <f t="shared" si="0"/>
        <v>11174</v>
      </c>
      <c r="R22" s="423">
        <v>283578</v>
      </c>
      <c r="S22" s="239"/>
      <c r="T22" s="231">
        <f t="shared" si="10"/>
        <v>138280</v>
      </c>
      <c r="U22" s="231">
        <f t="shared" si="1"/>
        <v>134124</v>
      </c>
      <c r="V22" s="232">
        <f t="shared" si="11"/>
        <v>1.5256751002187928E-2</v>
      </c>
      <c r="W22" s="233">
        <f t="shared" si="2"/>
        <v>0.48762597944833519</v>
      </c>
      <c r="X22" s="234" t="str">
        <f t="shared" si="3"/>
        <v>AZ-No</v>
      </c>
      <c r="Y22" s="235" t="str">
        <f t="shared" si="4"/>
        <v>AZ-Dem</v>
      </c>
      <c r="Z22" s="236" t="str">
        <f>B22&amp;"-"&amp;IF(V22&gt;Instructions!$H$14,Instructions!$I$14,IF(V22&gt;Instructions!$H$15,Instructions!$I$15,IF(V22&gt;Instructions!$H$16,Instructions!$I$16,IF(V22&gt;Instructions!$H$17,Instructions!$I$17,Instructions!$I$18))))</f>
        <v>AZ-Tight</v>
      </c>
      <c r="AA22" s="237">
        <f t="shared" si="5"/>
        <v>0</v>
      </c>
      <c r="AB22" s="237">
        <f t="shared" si="6"/>
        <v>134124</v>
      </c>
      <c r="AC22" s="238">
        <f t="shared" si="7"/>
        <v>11174</v>
      </c>
      <c r="AD22" s="389">
        <f t="shared" si="12"/>
        <v>145298</v>
      </c>
      <c r="AE22" s="389">
        <f>SUM(AD15:AD22)</f>
        <v>747705</v>
      </c>
    </row>
    <row r="23" spans="1:31">
      <c r="A23" s="225" t="s">
        <v>69</v>
      </c>
      <c r="B23" s="226" t="s">
        <v>3</v>
      </c>
      <c r="C23" t="s">
        <v>337</v>
      </c>
      <c r="D23"/>
      <c r="E23"/>
      <c r="F23"/>
      <c r="G23"/>
      <c r="H23"/>
      <c r="I23" t="str">
        <f t="shared" si="8"/>
        <v>AR-No</v>
      </c>
      <c r="J23" t="str">
        <f t="shared" si="9"/>
        <v>AR-No</v>
      </c>
      <c r="K23">
        <v>0</v>
      </c>
      <c r="L23" t="str">
        <f>B23&amp;"-"&amp;IF(M23=2010, 1, "")</f>
        <v>AR-1</v>
      </c>
      <c r="M23">
        <v>2010</v>
      </c>
      <c r="N23" s="242">
        <v>1</v>
      </c>
      <c r="O23" s="413">
        <v>78267</v>
      </c>
      <c r="P23" s="414">
        <v>93224</v>
      </c>
      <c r="Q23" s="228">
        <f t="shared" si="0"/>
        <v>8525</v>
      </c>
      <c r="R23" s="423">
        <v>180016</v>
      </c>
      <c r="S23" s="239"/>
      <c r="T23" s="231">
        <f t="shared" si="10"/>
        <v>93224</v>
      </c>
      <c r="U23" s="231">
        <f t="shared" si="1"/>
        <v>78267</v>
      </c>
      <c r="V23" s="232">
        <f t="shared" si="11"/>
        <v>8.7217404995014319E-2</v>
      </c>
      <c r="W23" s="233">
        <f t="shared" si="2"/>
        <v>0.51786507865967468</v>
      </c>
      <c r="X23" s="234" t="str">
        <f t="shared" si="3"/>
        <v>AR-No</v>
      </c>
      <c r="Y23" s="235" t="str">
        <f t="shared" si="4"/>
        <v>AR-Rep</v>
      </c>
      <c r="Z23" s="236" t="str">
        <f>B23&amp;"-"&amp;IF(V23&gt;Instructions!$H$14,Instructions!$I$14,IF(V23&gt;Instructions!$H$15,Instructions!$I$15,IF(V23&gt;Instructions!$H$16,Instructions!$I$16,IF(V23&gt;Instructions!$H$17,Instructions!$I$17,Instructions!$I$18))))</f>
        <v>AR-Competitive</v>
      </c>
      <c r="AA23" s="237">
        <f t="shared" si="5"/>
        <v>78267</v>
      </c>
      <c r="AB23" s="237">
        <f t="shared" si="6"/>
        <v>0</v>
      </c>
      <c r="AC23" s="238">
        <f t="shared" si="7"/>
        <v>8525</v>
      </c>
      <c r="AD23" s="389">
        <f t="shared" si="12"/>
        <v>86792</v>
      </c>
    </row>
    <row r="24" spans="1:31">
      <c r="A24" s="225" t="s">
        <v>69</v>
      </c>
      <c r="B24" s="226" t="s">
        <v>3</v>
      </c>
      <c r="C24" t="s">
        <v>338</v>
      </c>
      <c r="D24"/>
      <c r="E24"/>
      <c r="F24"/>
      <c r="G24"/>
      <c r="H24"/>
      <c r="I24" t="str">
        <f t="shared" si="8"/>
        <v>AR-No</v>
      </c>
      <c r="J24" t="str">
        <f t="shared" si="9"/>
        <v>AR-No</v>
      </c>
      <c r="K24">
        <v>0</v>
      </c>
      <c r="L24" t="str">
        <f>B24&amp;"-"&amp;IF(M24=2010, 1, "")</f>
        <v>AR-1</v>
      </c>
      <c r="M24">
        <v>2010</v>
      </c>
      <c r="N24" s="242">
        <v>2</v>
      </c>
      <c r="O24" s="413">
        <v>80687</v>
      </c>
      <c r="P24" s="414">
        <v>122091</v>
      </c>
      <c r="Q24" s="228">
        <f t="shared" si="0"/>
        <v>8074</v>
      </c>
      <c r="R24" s="423">
        <v>210852</v>
      </c>
      <c r="S24" s="239"/>
      <c r="T24" s="231">
        <f t="shared" si="10"/>
        <v>122091</v>
      </c>
      <c r="U24" s="231">
        <f t="shared" si="1"/>
        <v>80687</v>
      </c>
      <c r="V24" s="232">
        <f t="shared" si="11"/>
        <v>0.20418388582587854</v>
      </c>
      <c r="W24" s="233">
        <f t="shared" si="2"/>
        <v>0.57903648056456658</v>
      </c>
      <c r="X24" s="234" t="str">
        <f t="shared" si="3"/>
        <v>AR-No</v>
      </c>
      <c r="Y24" s="235" t="str">
        <f t="shared" si="4"/>
        <v>AR-Rep</v>
      </c>
      <c r="Z24" s="236" t="str">
        <f>B24&amp;"-"&amp;IF(V24&gt;Instructions!$H$14,Instructions!$I$14,IF(V24&gt;Instructions!$H$15,Instructions!$I$15,IF(V24&gt;Instructions!$H$16,Instructions!$I$16,IF(V24&gt;Instructions!$H$17,Instructions!$I$17,Instructions!$I$18))))</f>
        <v>AR-Landslide</v>
      </c>
      <c r="AA24" s="237">
        <f t="shared" si="5"/>
        <v>80687</v>
      </c>
      <c r="AB24" s="237">
        <f t="shared" si="6"/>
        <v>0</v>
      </c>
      <c r="AC24" s="238">
        <f t="shared" si="7"/>
        <v>8074</v>
      </c>
      <c r="AD24" s="389">
        <f t="shared" si="12"/>
        <v>88761</v>
      </c>
    </row>
    <row r="25" spans="1:31">
      <c r="A25" s="225" t="s">
        <v>69</v>
      </c>
      <c r="B25" s="226" t="s">
        <v>3</v>
      </c>
      <c r="C25" t="s">
        <v>339</v>
      </c>
      <c r="D25"/>
      <c r="E25"/>
      <c r="F25"/>
      <c r="G25"/>
      <c r="H25"/>
      <c r="I25" t="str">
        <f t="shared" si="8"/>
        <v>AR-No</v>
      </c>
      <c r="J25" t="str">
        <f t="shared" si="9"/>
        <v>AR-No</v>
      </c>
      <c r="K25">
        <v>0</v>
      </c>
      <c r="L25"/>
      <c r="M25">
        <v>2010</v>
      </c>
      <c r="N25" s="242">
        <v>3</v>
      </c>
      <c r="O25" s="413">
        <v>56542</v>
      </c>
      <c r="P25" s="414">
        <v>148581</v>
      </c>
      <c r="Q25" s="228">
        <f t="shared" si="0"/>
        <v>0</v>
      </c>
      <c r="R25" s="423">
        <v>205123</v>
      </c>
      <c r="S25" s="239"/>
      <c r="T25" s="231">
        <f t="shared" si="10"/>
        <v>148581</v>
      </c>
      <c r="U25" s="231">
        <f t="shared" si="1"/>
        <v>56542</v>
      </c>
      <c r="V25" s="232">
        <f t="shared" si="11"/>
        <v>0.44870151080083659</v>
      </c>
      <c r="W25" s="233">
        <f t="shared" si="2"/>
        <v>0.72435075540041827</v>
      </c>
      <c r="X25" s="234" t="str">
        <f t="shared" si="3"/>
        <v>AR-No</v>
      </c>
      <c r="Y25" s="235" t="str">
        <f t="shared" si="4"/>
        <v>AR-Rep</v>
      </c>
      <c r="Z25" s="236" t="str">
        <f>B25&amp;"-"&amp;IF(V25&gt;Instructions!$H$14,Instructions!$I$14,IF(V25&gt;Instructions!$H$15,Instructions!$I$15,IF(V25&gt;Instructions!$H$16,Instructions!$I$16,IF(V25&gt;Instructions!$H$17,Instructions!$I$17,Instructions!$I$18))))</f>
        <v>AR-No contest</v>
      </c>
      <c r="AA25" s="237">
        <f t="shared" si="5"/>
        <v>56542</v>
      </c>
      <c r="AB25" s="237">
        <f t="shared" si="6"/>
        <v>0</v>
      </c>
      <c r="AC25" s="238">
        <f t="shared" si="7"/>
        <v>0</v>
      </c>
      <c r="AD25" s="389">
        <f t="shared" si="12"/>
        <v>56542</v>
      </c>
    </row>
    <row r="26" spans="1:31">
      <c r="A26" s="225" t="s">
        <v>69</v>
      </c>
      <c r="B26" s="226" t="s">
        <v>3</v>
      </c>
      <c r="C26" t="s">
        <v>340</v>
      </c>
      <c r="D26"/>
      <c r="E26"/>
      <c r="F26"/>
      <c r="G26"/>
      <c r="H26"/>
      <c r="I26" t="str">
        <f t="shared" si="8"/>
        <v>AR-Yes</v>
      </c>
      <c r="J26" t="str">
        <f t="shared" si="9"/>
        <v>AR-Yes</v>
      </c>
      <c r="K26"/>
      <c r="L26"/>
      <c r="M26">
        <v>2000</v>
      </c>
      <c r="N26" s="242">
        <v>4</v>
      </c>
      <c r="O26" s="413">
        <v>102479</v>
      </c>
      <c r="P26" s="414">
        <v>71526</v>
      </c>
      <c r="Q26" s="228">
        <f t="shared" si="0"/>
        <v>4129</v>
      </c>
      <c r="R26" s="423">
        <v>178134</v>
      </c>
      <c r="S26" s="239"/>
      <c r="T26" s="231">
        <f t="shared" si="10"/>
        <v>102479</v>
      </c>
      <c r="U26" s="231">
        <f t="shared" si="1"/>
        <v>71526</v>
      </c>
      <c r="V26" s="232">
        <f t="shared" si="11"/>
        <v>0.17788569293985804</v>
      </c>
      <c r="W26" s="233">
        <f t="shared" si="2"/>
        <v>0.5752916343875959</v>
      </c>
      <c r="X26" s="234" t="str">
        <f t="shared" si="3"/>
        <v>AR-No</v>
      </c>
      <c r="Y26" s="235" t="str">
        <f t="shared" si="4"/>
        <v>AR-Dem</v>
      </c>
      <c r="Z26" s="236" t="str">
        <f>B26&amp;"-"&amp;IF(V26&gt;Instructions!$H$14,Instructions!$I$14,IF(V26&gt;Instructions!$H$15,Instructions!$I$15,IF(V26&gt;Instructions!$H$16,Instructions!$I$16,IF(V26&gt;Instructions!$H$17,Instructions!$I$17,Instructions!$I$18))))</f>
        <v>AR-Opportunity</v>
      </c>
      <c r="AA26" s="237">
        <f t="shared" si="5"/>
        <v>0</v>
      </c>
      <c r="AB26" s="237">
        <f t="shared" si="6"/>
        <v>71526</v>
      </c>
      <c r="AC26" s="238">
        <f t="shared" si="7"/>
        <v>4129</v>
      </c>
      <c r="AD26" s="389">
        <f t="shared" si="12"/>
        <v>75655</v>
      </c>
      <c r="AE26" s="389">
        <f>SUM(AD23:AD26)</f>
        <v>307750</v>
      </c>
    </row>
    <row r="27" spans="1:31">
      <c r="A27" s="225" t="s">
        <v>70</v>
      </c>
      <c r="B27" s="226" t="s">
        <v>4</v>
      </c>
      <c r="C27" s="426" t="s">
        <v>341</v>
      </c>
      <c r="D27"/>
      <c r="E27"/>
      <c r="F27"/>
      <c r="G27"/>
      <c r="H27"/>
      <c r="I27" t="str">
        <f t="shared" si="8"/>
        <v>CA-Yes</v>
      </c>
      <c r="J27" t="str">
        <f t="shared" si="9"/>
        <v>CA-Yes</v>
      </c>
      <c r="K27"/>
      <c r="L27"/>
      <c r="M27">
        <v>1998</v>
      </c>
      <c r="N27" s="242">
        <v>1</v>
      </c>
      <c r="O27" s="413">
        <v>147307</v>
      </c>
      <c r="P27" s="414">
        <v>72803</v>
      </c>
      <c r="Q27" s="228">
        <f t="shared" si="0"/>
        <v>14482</v>
      </c>
      <c r="R27" s="423">
        <v>234592</v>
      </c>
      <c r="S27" s="239"/>
      <c r="T27" s="231">
        <f t="shared" si="10"/>
        <v>147307</v>
      </c>
      <c r="U27" s="231">
        <f t="shared" si="1"/>
        <v>72803</v>
      </c>
      <c r="V27" s="232">
        <f t="shared" si="11"/>
        <v>0.33848530280314387</v>
      </c>
      <c r="W27" s="233">
        <f t="shared" si="2"/>
        <v>0.62792848861001227</v>
      </c>
      <c r="X27" s="234" t="str">
        <f t="shared" si="3"/>
        <v>CA-No</v>
      </c>
      <c r="Y27" s="235" t="str">
        <f t="shared" si="4"/>
        <v>CA-Dem</v>
      </c>
      <c r="Z27" s="236" t="str">
        <f>B27&amp;"-"&amp;IF(V27&gt;Instructions!$H$14,Instructions!$I$14,IF(V27&gt;Instructions!$H$15,Instructions!$I$15,IF(V27&gt;Instructions!$H$16,Instructions!$I$16,IF(V27&gt;Instructions!$H$17,Instructions!$I$17,Instructions!$I$18))))</f>
        <v>CA-Landslide</v>
      </c>
      <c r="AA27" s="237">
        <f t="shared" si="5"/>
        <v>0</v>
      </c>
      <c r="AB27" s="237">
        <f t="shared" si="6"/>
        <v>72803</v>
      </c>
      <c r="AC27" s="238">
        <f t="shared" si="7"/>
        <v>14482</v>
      </c>
      <c r="AD27" s="389">
        <f t="shared" si="12"/>
        <v>87285</v>
      </c>
    </row>
    <row r="28" spans="1:31">
      <c r="A28" s="225" t="s">
        <v>70</v>
      </c>
      <c r="B28" s="226" t="s">
        <v>4</v>
      </c>
      <c r="C28" t="s">
        <v>342</v>
      </c>
      <c r="D28"/>
      <c r="E28"/>
      <c r="F28"/>
      <c r="G28"/>
      <c r="H28"/>
      <c r="I28" t="str">
        <f t="shared" si="8"/>
        <v>CA-Yes</v>
      </c>
      <c r="J28" t="str">
        <f t="shared" si="9"/>
        <v>CA-Yes</v>
      </c>
      <c r="K28"/>
      <c r="L28"/>
      <c r="M28">
        <v>1986</v>
      </c>
      <c r="N28" s="242">
        <v>2</v>
      </c>
      <c r="O28" s="413">
        <v>98092</v>
      </c>
      <c r="P28" s="414">
        <v>130837</v>
      </c>
      <c r="Q28" s="228">
        <f t="shared" si="0"/>
        <v>11</v>
      </c>
      <c r="R28" s="423">
        <v>228940</v>
      </c>
      <c r="S28" s="239"/>
      <c r="T28" s="231">
        <f t="shared" si="10"/>
        <v>130837</v>
      </c>
      <c r="U28" s="231">
        <f t="shared" si="1"/>
        <v>98092</v>
      </c>
      <c r="V28" s="232">
        <f t="shared" si="11"/>
        <v>0.1430356136618777</v>
      </c>
      <c r="W28" s="233">
        <f t="shared" si="2"/>
        <v>0.57149034681575961</v>
      </c>
      <c r="X28" s="234" t="str">
        <f t="shared" si="3"/>
        <v>CA-No</v>
      </c>
      <c r="Y28" s="235" t="str">
        <f t="shared" si="4"/>
        <v>CA-Rep</v>
      </c>
      <c r="Z28" s="236" t="str">
        <f>B28&amp;"-"&amp;IF(V28&gt;Instructions!$H$14,Instructions!$I$14,IF(V28&gt;Instructions!$H$15,Instructions!$I$15,IF(V28&gt;Instructions!$H$16,Instructions!$I$16,IF(V28&gt;Instructions!$H$17,Instructions!$I$17,Instructions!$I$18))))</f>
        <v>CA-Opportunity</v>
      </c>
      <c r="AA28" s="237">
        <f t="shared" si="5"/>
        <v>98092</v>
      </c>
      <c r="AB28" s="237">
        <f t="shared" si="6"/>
        <v>0</v>
      </c>
      <c r="AC28" s="238">
        <f t="shared" si="7"/>
        <v>11</v>
      </c>
      <c r="AD28" s="389">
        <f t="shared" si="12"/>
        <v>98103</v>
      </c>
    </row>
    <row r="29" spans="1:31">
      <c r="A29" s="225" t="s">
        <v>70</v>
      </c>
      <c r="B29" s="226" t="s">
        <v>4</v>
      </c>
      <c r="C29" t="s">
        <v>343</v>
      </c>
      <c r="D29"/>
      <c r="E29"/>
      <c r="F29"/>
      <c r="G29"/>
      <c r="H29"/>
      <c r="I29" t="str">
        <f t="shared" si="8"/>
        <v>CA-Yes</v>
      </c>
      <c r="J29" t="str">
        <f t="shared" si="9"/>
        <v>CA-Yes</v>
      </c>
      <c r="K29"/>
      <c r="L29"/>
      <c r="M29">
        <v>2004</v>
      </c>
      <c r="N29" s="242">
        <v>3</v>
      </c>
      <c r="O29" s="413">
        <v>113128</v>
      </c>
      <c r="P29" s="414">
        <v>131169</v>
      </c>
      <c r="Q29" s="228">
        <f t="shared" si="0"/>
        <v>17641</v>
      </c>
      <c r="R29" s="423">
        <v>261938</v>
      </c>
      <c r="S29" s="239"/>
      <c r="T29" s="231">
        <f t="shared" si="10"/>
        <v>131169</v>
      </c>
      <c r="U29" s="231">
        <f t="shared" si="1"/>
        <v>113128</v>
      </c>
      <c r="V29" s="232">
        <f t="shared" si="11"/>
        <v>7.3848635063058485E-2</v>
      </c>
      <c r="W29" s="233">
        <f t="shared" si="2"/>
        <v>0.50076353946353713</v>
      </c>
      <c r="X29" s="234" t="str">
        <f t="shared" si="3"/>
        <v>CA-No</v>
      </c>
      <c r="Y29" s="235" t="str">
        <f t="shared" si="4"/>
        <v>CA-Rep</v>
      </c>
      <c r="Z29" s="236" t="str">
        <f>B29&amp;"-"&amp;IF(V29&gt;Instructions!$H$14,Instructions!$I$14,IF(V29&gt;Instructions!$H$15,Instructions!$I$15,IF(V29&gt;Instructions!$H$16,Instructions!$I$16,IF(V29&gt;Instructions!$H$17,Instructions!$I$17,Instructions!$I$18))))</f>
        <v>CA-Competitive</v>
      </c>
      <c r="AA29" s="237">
        <f t="shared" si="5"/>
        <v>113128</v>
      </c>
      <c r="AB29" s="237">
        <f t="shared" si="6"/>
        <v>0</v>
      </c>
      <c r="AC29" s="238">
        <f t="shared" si="7"/>
        <v>17641</v>
      </c>
      <c r="AD29" s="389">
        <f t="shared" si="12"/>
        <v>130769</v>
      </c>
    </row>
    <row r="30" spans="1:31">
      <c r="A30" s="225" t="s">
        <v>70</v>
      </c>
      <c r="B30" s="226" t="s">
        <v>4</v>
      </c>
      <c r="C30" t="s">
        <v>344</v>
      </c>
      <c r="D30"/>
      <c r="E30"/>
      <c r="F30"/>
      <c r="G30"/>
      <c r="H30"/>
      <c r="I30" t="str">
        <f t="shared" si="8"/>
        <v>CA-Yes</v>
      </c>
      <c r="J30" t="str">
        <f t="shared" si="9"/>
        <v>CA-Yes</v>
      </c>
      <c r="K30"/>
      <c r="L30"/>
      <c r="M30">
        <v>2008</v>
      </c>
      <c r="N30" s="242">
        <v>4</v>
      </c>
      <c r="O30" s="413">
        <v>95653</v>
      </c>
      <c r="P30" s="414">
        <v>186397</v>
      </c>
      <c r="Q30" s="228">
        <f t="shared" si="0"/>
        <v>22179</v>
      </c>
      <c r="R30" s="423">
        <v>304229</v>
      </c>
      <c r="S30" s="239"/>
      <c r="T30" s="231">
        <f t="shared" si="10"/>
        <v>186397</v>
      </c>
      <c r="U30" s="231">
        <f t="shared" si="1"/>
        <v>95653</v>
      </c>
      <c r="V30" s="232">
        <f t="shared" si="11"/>
        <v>0.32173018968268036</v>
      </c>
      <c r="W30" s="233">
        <f t="shared" si="2"/>
        <v>0.61268649602766334</v>
      </c>
      <c r="X30" s="234" t="str">
        <f t="shared" si="3"/>
        <v>CA-No</v>
      </c>
      <c r="Y30" s="235" t="str">
        <f t="shared" si="4"/>
        <v>CA-Rep</v>
      </c>
      <c r="Z30" s="236" t="str">
        <f>B30&amp;"-"&amp;IF(V30&gt;Instructions!$H$14,Instructions!$I$14,IF(V30&gt;Instructions!$H$15,Instructions!$I$15,IF(V30&gt;Instructions!$H$16,Instructions!$I$16,IF(V30&gt;Instructions!$H$17,Instructions!$I$17,Instructions!$I$18))))</f>
        <v>CA-Landslide</v>
      </c>
      <c r="AA30" s="237">
        <f t="shared" si="5"/>
        <v>95653</v>
      </c>
      <c r="AB30" s="237">
        <f t="shared" si="6"/>
        <v>0</v>
      </c>
      <c r="AC30" s="238">
        <f t="shared" si="7"/>
        <v>22179</v>
      </c>
      <c r="AD30" s="389">
        <f t="shared" si="12"/>
        <v>117832</v>
      </c>
    </row>
    <row r="31" spans="1:31">
      <c r="A31" s="225" t="s">
        <v>70</v>
      </c>
      <c r="B31" s="226" t="s">
        <v>4</v>
      </c>
      <c r="C31" s="426" t="s">
        <v>345</v>
      </c>
      <c r="D31" t="s">
        <v>771</v>
      </c>
      <c r="E31"/>
      <c r="F31"/>
      <c r="G31" t="s">
        <v>771</v>
      </c>
      <c r="H31"/>
      <c r="I31" t="str">
        <f t="shared" si="8"/>
        <v>CA-Yes</v>
      </c>
      <c r="J31" t="str">
        <f t="shared" si="9"/>
        <v>CA-Yes</v>
      </c>
      <c r="K31"/>
      <c r="L31"/>
      <c r="M31">
        <v>2005</v>
      </c>
      <c r="N31" s="242">
        <v>5</v>
      </c>
      <c r="O31" s="413">
        <v>124220</v>
      </c>
      <c r="P31" s="414">
        <v>43577</v>
      </c>
      <c r="Q31" s="228">
        <f t="shared" si="0"/>
        <v>4613</v>
      </c>
      <c r="R31" s="423">
        <v>172410</v>
      </c>
      <c r="S31" s="239"/>
      <c r="T31" s="231">
        <f t="shared" si="10"/>
        <v>124220</v>
      </c>
      <c r="U31" s="231">
        <f t="shared" si="1"/>
        <v>43577</v>
      </c>
      <c r="V31" s="232">
        <f t="shared" si="11"/>
        <v>0.48059858042754044</v>
      </c>
      <c r="W31" s="233">
        <f t="shared" si="2"/>
        <v>0.72049185082071809</v>
      </c>
      <c r="X31" s="234" t="str">
        <f t="shared" si="3"/>
        <v>CA-No</v>
      </c>
      <c r="Y31" s="235" t="str">
        <f t="shared" si="4"/>
        <v>CA-Dem</v>
      </c>
      <c r="Z31" s="236" t="str">
        <f>B31&amp;"-"&amp;IF(V31&gt;Instructions!$H$14,Instructions!$I$14,IF(V31&gt;Instructions!$H$15,Instructions!$I$15,IF(V31&gt;Instructions!$H$16,Instructions!$I$16,IF(V31&gt;Instructions!$H$17,Instructions!$I$17,Instructions!$I$18))))</f>
        <v>CA-No contest</v>
      </c>
      <c r="AA31" s="237">
        <f t="shared" si="5"/>
        <v>0</v>
      </c>
      <c r="AB31" s="237">
        <f t="shared" si="6"/>
        <v>43577</v>
      </c>
      <c r="AC31" s="238">
        <f t="shared" si="7"/>
        <v>4613</v>
      </c>
      <c r="AD31" s="389">
        <f t="shared" si="12"/>
        <v>48190</v>
      </c>
    </row>
    <row r="32" spans="1:31">
      <c r="A32" s="225" t="s">
        <v>70</v>
      </c>
      <c r="B32" s="226" t="s">
        <v>4</v>
      </c>
      <c r="C32" s="426" t="s">
        <v>346</v>
      </c>
      <c r="D32" t="s">
        <v>771</v>
      </c>
      <c r="E32"/>
      <c r="F32"/>
      <c r="G32"/>
      <c r="H32"/>
      <c r="I32" t="str">
        <f t="shared" si="8"/>
        <v>CA-Yes</v>
      </c>
      <c r="J32" t="str">
        <f t="shared" si="9"/>
        <v>CA-Yes</v>
      </c>
      <c r="K32"/>
      <c r="L32"/>
      <c r="M32">
        <v>1992</v>
      </c>
      <c r="N32" s="242">
        <v>6</v>
      </c>
      <c r="O32" s="413">
        <v>172216</v>
      </c>
      <c r="P32" s="414">
        <v>77361</v>
      </c>
      <c r="Q32" s="228">
        <f t="shared" si="0"/>
        <v>11575</v>
      </c>
      <c r="R32" s="423">
        <v>261152</v>
      </c>
      <c r="S32" s="239"/>
      <c r="T32" s="231">
        <f t="shared" si="10"/>
        <v>172216</v>
      </c>
      <c r="U32" s="231">
        <f t="shared" si="1"/>
        <v>77361</v>
      </c>
      <c r="V32" s="232">
        <f t="shared" si="11"/>
        <v>0.38006306670887141</v>
      </c>
      <c r="W32" s="233">
        <f t="shared" si="2"/>
        <v>0.65944737164563161</v>
      </c>
      <c r="X32" s="234" t="str">
        <f t="shared" si="3"/>
        <v>CA-No</v>
      </c>
      <c r="Y32" s="235" t="str">
        <f t="shared" si="4"/>
        <v>CA-Dem</v>
      </c>
      <c r="Z32" s="236" t="str">
        <f>B32&amp;"-"&amp;IF(V32&gt;Instructions!$H$14,Instructions!$I$14,IF(V32&gt;Instructions!$H$15,Instructions!$I$15,IF(V32&gt;Instructions!$H$16,Instructions!$I$16,IF(V32&gt;Instructions!$H$17,Instructions!$I$17,Instructions!$I$18))))</f>
        <v>CA-Landslide</v>
      </c>
      <c r="AA32" s="237">
        <f t="shared" si="5"/>
        <v>0</v>
      </c>
      <c r="AB32" s="237">
        <f t="shared" si="6"/>
        <v>77361</v>
      </c>
      <c r="AC32" s="238">
        <f t="shared" si="7"/>
        <v>11575</v>
      </c>
      <c r="AD32" s="389">
        <f t="shared" si="12"/>
        <v>88936</v>
      </c>
    </row>
    <row r="33" spans="1:30">
      <c r="A33" s="225" t="s">
        <v>70</v>
      </c>
      <c r="B33" s="226" t="s">
        <v>4</v>
      </c>
      <c r="C33" s="426" t="s">
        <v>347</v>
      </c>
      <c r="D33"/>
      <c r="E33"/>
      <c r="F33"/>
      <c r="G33"/>
      <c r="H33"/>
      <c r="I33" t="str">
        <f t="shared" si="8"/>
        <v>CA-Yes</v>
      </c>
      <c r="J33" t="str">
        <f t="shared" si="9"/>
        <v>CA-Yes</v>
      </c>
      <c r="K33"/>
      <c r="L33"/>
      <c r="M33">
        <v>1974</v>
      </c>
      <c r="N33" s="242">
        <v>7</v>
      </c>
      <c r="O33" s="413">
        <v>122118</v>
      </c>
      <c r="P33" s="414">
        <v>56798</v>
      </c>
      <c r="Q33" s="228">
        <f t="shared" si="0"/>
        <v>0</v>
      </c>
      <c r="R33" s="423">
        <v>178916</v>
      </c>
      <c r="S33" s="239"/>
      <c r="T33" s="231">
        <f t="shared" si="10"/>
        <v>122118</v>
      </c>
      <c r="U33" s="231">
        <f t="shared" si="1"/>
        <v>56798</v>
      </c>
      <c r="V33" s="232">
        <f t="shared" si="11"/>
        <v>0.36508752710769299</v>
      </c>
      <c r="W33" s="233">
        <f t="shared" si="2"/>
        <v>0.68254376355384649</v>
      </c>
      <c r="X33" s="234" t="str">
        <f t="shared" si="3"/>
        <v>CA-No</v>
      </c>
      <c r="Y33" s="235" t="str">
        <f t="shared" si="4"/>
        <v>CA-Dem</v>
      </c>
      <c r="Z33" s="236" t="str">
        <f>B33&amp;"-"&amp;IF(V33&gt;Instructions!$H$14,Instructions!$I$14,IF(V33&gt;Instructions!$H$15,Instructions!$I$15,IF(V33&gt;Instructions!$H$16,Instructions!$I$16,IF(V33&gt;Instructions!$H$17,Instructions!$I$17,Instructions!$I$18))))</f>
        <v>CA-Landslide</v>
      </c>
      <c r="AA33" s="237">
        <f t="shared" si="5"/>
        <v>0</v>
      </c>
      <c r="AB33" s="237">
        <f t="shared" si="6"/>
        <v>56798</v>
      </c>
      <c r="AC33" s="238">
        <f t="shared" si="7"/>
        <v>0</v>
      </c>
      <c r="AD33" s="389">
        <f t="shared" si="12"/>
        <v>56798</v>
      </c>
    </row>
    <row r="34" spans="1:30">
      <c r="A34" s="225" t="s">
        <v>70</v>
      </c>
      <c r="B34" s="226" t="s">
        <v>4</v>
      </c>
      <c r="C34" s="426" t="s">
        <v>348</v>
      </c>
      <c r="D34" t="s">
        <v>771</v>
      </c>
      <c r="E34"/>
      <c r="F34"/>
      <c r="G34"/>
      <c r="H34"/>
      <c r="I34" t="str">
        <f t="shared" si="8"/>
        <v>CA-Yes</v>
      </c>
      <c r="J34" t="str">
        <f t="shared" si="9"/>
        <v>CA-Yes</v>
      </c>
      <c r="K34"/>
      <c r="L34"/>
      <c r="M34">
        <v>1987</v>
      </c>
      <c r="N34" s="242">
        <v>8</v>
      </c>
      <c r="O34" s="413">
        <v>167957</v>
      </c>
      <c r="P34" s="414">
        <v>31711</v>
      </c>
      <c r="Q34" s="228">
        <f t="shared" si="0"/>
        <v>10028</v>
      </c>
      <c r="R34" s="423">
        <v>209696</v>
      </c>
      <c r="S34" s="239"/>
      <c r="T34" s="231">
        <f t="shared" si="10"/>
        <v>167957</v>
      </c>
      <c r="U34" s="231">
        <f t="shared" si="1"/>
        <v>31711</v>
      </c>
      <c r="V34" s="232">
        <f t="shared" si="11"/>
        <v>0.68236272211871707</v>
      </c>
      <c r="W34" s="233">
        <f t="shared" si="2"/>
        <v>0.80095471539752783</v>
      </c>
      <c r="X34" s="234" t="str">
        <f t="shared" si="3"/>
        <v>CA-No</v>
      </c>
      <c r="Y34" s="235" t="str">
        <f t="shared" si="4"/>
        <v>CA-Dem</v>
      </c>
      <c r="Z34" s="236" t="str">
        <f>B34&amp;"-"&amp;IF(V34&gt;Instructions!$H$14,Instructions!$I$14,IF(V34&gt;Instructions!$H$15,Instructions!$I$15,IF(V34&gt;Instructions!$H$16,Instructions!$I$16,IF(V34&gt;Instructions!$H$17,Instructions!$I$17,Instructions!$I$18))))</f>
        <v>CA-No contest</v>
      </c>
      <c r="AA34" s="237">
        <f t="shared" si="5"/>
        <v>0</v>
      </c>
      <c r="AB34" s="237">
        <f t="shared" si="6"/>
        <v>31711</v>
      </c>
      <c r="AC34" s="238">
        <f t="shared" si="7"/>
        <v>10028</v>
      </c>
      <c r="AD34" s="389">
        <f t="shared" si="12"/>
        <v>41739</v>
      </c>
    </row>
    <row r="35" spans="1:30">
      <c r="A35" s="225" t="s">
        <v>70</v>
      </c>
      <c r="B35" s="226" t="s">
        <v>4</v>
      </c>
      <c r="C35" s="426" t="s">
        <v>349</v>
      </c>
      <c r="D35" t="s">
        <v>771</v>
      </c>
      <c r="E35" t="s">
        <v>771</v>
      </c>
      <c r="F35"/>
      <c r="G35"/>
      <c r="H35"/>
      <c r="I35" t="str">
        <f t="shared" si="8"/>
        <v>CA-Yes</v>
      </c>
      <c r="J35" t="str">
        <f t="shared" si="9"/>
        <v>CA-Yes</v>
      </c>
      <c r="K35"/>
      <c r="L35"/>
      <c r="M35">
        <v>1998</v>
      </c>
      <c r="N35" s="242">
        <v>9</v>
      </c>
      <c r="O35" s="413">
        <v>180400</v>
      </c>
      <c r="P35" s="414">
        <v>23054</v>
      </c>
      <c r="Q35" s="228">
        <f t="shared" si="0"/>
        <v>10631</v>
      </c>
      <c r="R35" s="423">
        <v>214085</v>
      </c>
      <c r="S35" s="239"/>
      <c r="T35" s="231">
        <f t="shared" si="10"/>
        <v>180400</v>
      </c>
      <c r="U35" s="231">
        <f t="shared" si="1"/>
        <v>23054</v>
      </c>
      <c r="V35" s="232">
        <f t="shared" si="11"/>
        <v>0.77337383388874148</v>
      </c>
      <c r="W35" s="233">
        <f t="shared" si="2"/>
        <v>0.84265595441063124</v>
      </c>
      <c r="X35" s="234" t="str">
        <f t="shared" si="3"/>
        <v>CA-No</v>
      </c>
      <c r="Y35" s="235" t="str">
        <f t="shared" si="4"/>
        <v>CA-Dem</v>
      </c>
      <c r="Z35" s="236" t="str">
        <f>B35&amp;"-"&amp;IF(V35&gt;Instructions!$H$14,Instructions!$I$14,IF(V35&gt;Instructions!$H$15,Instructions!$I$15,IF(V35&gt;Instructions!$H$16,Instructions!$I$16,IF(V35&gt;Instructions!$H$17,Instructions!$I$17,Instructions!$I$18))))</f>
        <v>CA-No contest</v>
      </c>
      <c r="AA35" s="237">
        <f t="shared" si="5"/>
        <v>0</v>
      </c>
      <c r="AB35" s="237">
        <f t="shared" si="6"/>
        <v>23054</v>
      </c>
      <c r="AC35" s="238">
        <f t="shared" si="7"/>
        <v>10631</v>
      </c>
      <c r="AD35" s="389">
        <f t="shared" si="12"/>
        <v>33685</v>
      </c>
    </row>
    <row r="36" spans="1:30">
      <c r="A36" s="225" t="s">
        <v>70</v>
      </c>
      <c r="B36" s="226" t="s">
        <v>4</v>
      </c>
      <c r="C36" t="s">
        <v>350</v>
      </c>
      <c r="D36"/>
      <c r="E36"/>
      <c r="F36"/>
      <c r="G36"/>
      <c r="H36"/>
      <c r="I36" t="str">
        <f t="shared" si="8"/>
        <v>CA-Yes</v>
      </c>
      <c r="J36" t="str">
        <f t="shared" si="9"/>
        <v>CA-Yes</v>
      </c>
      <c r="K36"/>
      <c r="L36"/>
      <c r="M36">
        <v>2009</v>
      </c>
      <c r="N36" s="242">
        <v>10</v>
      </c>
      <c r="O36" s="413">
        <v>137578</v>
      </c>
      <c r="P36" s="414">
        <v>88512</v>
      </c>
      <c r="Q36" s="228">
        <f t="shared" si="0"/>
        <v>7716</v>
      </c>
      <c r="R36" s="423">
        <v>233806</v>
      </c>
      <c r="S36" s="239"/>
      <c r="T36" s="231">
        <f t="shared" si="10"/>
        <v>137578</v>
      </c>
      <c r="U36" s="231">
        <f t="shared" si="1"/>
        <v>88512</v>
      </c>
      <c r="V36" s="232">
        <f t="shared" si="11"/>
        <v>0.21701977088769958</v>
      </c>
      <c r="W36" s="233">
        <f t="shared" si="2"/>
        <v>0.58842801296801617</v>
      </c>
      <c r="X36" s="234" t="str">
        <f t="shared" si="3"/>
        <v>CA-No</v>
      </c>
      <c r="Y36" s="235" t="str">
        <f t="shared" si="4"/>
        <v>CA-Dem</v>
      </c>
      <c r="Z36" s="236" t="str">
        <f>B36&amp;"-"&amp;IF(V36&gt;Instructions!$H$14,Instructions!$I$14,IF(V36&gt;Instructions!$H$15,Instructions!$I$15,IF(V36&gt;Instructions!$H$16,Instructions!$I$16,IF(V36&gt;Instructions!$H$17,Instructions!$I$17,Instructions!$I$18))))</f>
        <v>CA-Landslide</v>
      </c>
      <c r="AA36" s="237">
        <f t="shared" si="5"/>
        <v>0</v>
      </c>
      <c r="AB36" s="237">
        <f t="shared" si="6"/>
        <v>88512</v>
      </c>
      <c r="AC36" s="238">
        <f t="shared" si="7"/>
        <v>7716</v>
      </c>
      <c r="AD36" s="389">
        <f t="shared" si="12"/>
        <v>96228</v>
      </c>
    </row>
    <row r="37" spans="1:30">
      <c r="A37" s="225" t="s">
        <v>70</v>
      </c>
      <c r="B37" s="226" t="s">
        <v>4</v>
      </c>
      <c r="C37" t="s">
        <v>351</v>
      </c>
      <c r="D37"/>
      <c r="E37"/>
      <c r="F37"/>
      <c r="G37"/>
      <c r="H37"/>
      <c r="I37" t="str">
        <f t="shared" si="8"/>
        <v>CA-Yes</v>
      </c>
      <c r="J37" t="str">
        <f t="shared" si="9"/>
        <v>CA-Yes</v>
      </c>
      <c r="K37"/>
      <c r="L37"/>
      <c r="M37">
        <v>2006</v>
      </c>
      <c r="N37" s="242">
        <v>11</v>
      </c>
      <c r="O37" s="413">
        <v>115361</v>
      </c>
      <c r="P37" s="414">
        <v>112703</v>
      </c>
      <c r="Q37" s="228">
        <f t="shared" si="0"/>
        <v>12439</v>
      </c>
      <c r="R37" s="423">
        <v>240503</v>
      </c>
      <c r="S37" s="239"/>
      <c r="T37" s="231">
        <f t="shared" si="10"/>
        <v>115361</v>
      </c>
      <c r="U37" s="231">
        <f t="shared" si="1"/>
        <v>112703</v>
      </c>
      <c r="V37" s="232">
        <f t="shared" si="11"/>
        <v>1.1654623263645292E-2</v>
      </c>
      <c r="W37" s="233">
        <f t="shared" si="2"/>
        <v>0.47966553431765924</v>
      </c>
      <c r="X37" s="234" t="str">
        <f t="shared" si="3"/>
        <v>CA-No</v>
      </c>
      <c r="Y37" s="235" t="str">
        <f t="shared" si="4"/>
        <v>CA-Dem</v>
      </c>
      <c r="Z37" s="236" t="str">
        <f>B37&amp;"-"&amp;IF(V37&gt;Instructions!$H$14,Instructions!$I$14,IF(V37&gt;Instructions!$H$15,Instructions!$I$15,IF(V37&gt;Instructions!$H$16,Instructions!$I$16,IF(V37&gt;Instructions!$H$17,Instructions!$I$17,Instructions!$I$18))))</f>
        <v>CA-Tight</v>
      </c>
      <c r="AA37" s="237">
        <f t="shared" si="5"/>
        <v>0</v>
      </c>
      <c r="AB37" s="237">
        <f t="shared" si="6"/>
        <v>112703</v>
      </c>
      <c r="AC37" s="238">
        <f t="shared" si="7"/>
        <v>12439</v>
      </c>
      <c r="AD37" s="389">
        <f t="shared" si="12"/>
        <v>125142</v>
      </c>
    </row>
    <row r="38" spans="1:30">
      <c r="A38" s="225" t="s">
        <v>70</v>
      </c>
      <c r="B38" s="226" t="s">
        <v>4</v>
      </c>
      <c r="C38" t="s">
        <v>352</v>
      </c>
      <c r="D38" t="s">
        <v>771</v>
      </c>
      <c r="E38"/>
      <c r="F38"/>
      <c r="G38"/>
      <c r="H38"/>
      <c r="I38" t="str">
        <f t="shared" si="8"/>
        <v>CA-Yes</v>
      </c>
      <c r="J38" t="str">
        <f t="shared" si="9"/>
        <v>CA-Yes</v>
      </c>
      <c r="K38"/>
      <c r="L38"/>
      <c r="M38">
        <v>2007.5</v>
      </c>
      <c r="N38" s="242">
        <v>12</v>
      </c>
      <c r="O38" s="413">
        <v>152044</v>
      </c>
      <c r="P38" s="414">
        <v>44475</v>
      </c>
      <c r="Q38" s="228">
        <f t="shared" si="0"/>
        <v>4643</v>
      </c>
      <c r="R38" s="423">
        <v>201162</v>
      </c>
      <c r="S38" s="239"/>
      <c r="T38" s="231">
        <f t="shared" si="10"/>
        <v>152044</v>
      </c>
      <c r="U38" s="231">
        <f t="shared" si="1"/>
        <v>44475</v>
      </c>
      <c r="V38" s="232">
        <f t="shared" si="11"/>
        <v>0.54737200983111045</v>
      </c>
      <c r="W38" s="233">
        <f t="shared" si="2"/>
        <v>0.75582863562700708</v>
      </c>
      <c r="X38" s="234" t="str">
        <f t="shared" si="3"/>
        <v>CA-No</v>
      </c>
      <c r="Y38" s="235" t="str">
        <f t="shared" si="4"/>
        <v>CA-Dem</v>
      </c>
      <c r="Z38" s="236" t="str">
        <f>B38&amp;"-"&amp;IF(V38&gt;Instructions!$H$14,Instructions!$I$14,IF(V38&gt;Instructions!$H$15,Instructions!$I$15,IF(V38&gt;Instructions!$H$16,Instructions!$I$16,IF(V38&gt;Instructions!$H$17,Instructions!$I$17,Instructions!$I$18))))</f>
        <v>CA-No contest</v>
      </c>
      <c r="AA38" s="237">
        <f t="shared" si="5"/>
        <v>0</v>
      </c>
      <c r="AB38" s="237">
        <f t="shared" si="6"/>
        <v>44475</v>
      </c>
      <c r="AC38" s="238">
        <f t="shared" si="7"/>
        <v>4643</v>
      </c>
      <c r="AD38" s="389">
        <f t="shared" si="12"/>
        <v>49118</v>
      </c>
    </row>
    <row r="39" spans="1:30">
      <c r="A39" s="225" t="s">
        <v>70</v>
      </c>
      <c r="B39" s="226" t="s">
        <v>4</v>
      </c>
      <c r="C39" s="426" t="s">
        <v>353</v>
      </c>
      <c r="D39"/>
      <c r="E39"/>
      <c r="F39"/>
      <c r="G39"/>
      <c r="H39"/>
      <c r="I39" t="str">
        <f t="shared" si="8"/>
        <v>CA-Yes</v>
      </c>
      <c r="J39" t="str">
        <f t="shared" si="9"/>
        <v>CA-Yes</v>
      </c>
      <c r="K39"/>
      <c r="L39"/>
      <c r="M39">
        <v>1972</v>
      </c>
      <c r="N39" s="242">
        <v>13</v>
      </c>
      <c r="O39" s="413">
        <v>118278</v>
      </c>
      <c r="P39" s="414">
        <v>45575</v>
      </c>
      <c r="Q39" s="228">
        <f t="shared" si="0"/>
        <v>525</v>
      </c>
      <c r="R39" s="423">
        <v>164378</v>
      </c>
      <c r="S39" s="239"/>
      <c r="T39" s="231">
        <f t="shared" si="10"/>
        <v>118278</v>
      </c>
      <c r="U39" s="231">
        <f t="shared" si="1"/>
        <v>45575</v>
      </c>
      <c r="V39" s="232">
        <f t="shared" si="11"/>
        <v>0.44370869010637581</v>
      </c>
      <c r="W39" s="233">
        <f t="shared" ref="W39:W70" si="14">T39/R39</f>
        <v>0.71954884473591352</v>
      </c>
      <c r="X39" s="234" t="str">
        <f t="shared" ref="X39:X70" si="15">B39&amp;"-"&amp;IF(O39*P39=0,"Yes","No")</f>
        <v>CA-No</v>
      </c>
      <c r="Y39" s="235" t="str">
        <f t="shared" ref="Y39:Y70" si="16">B39&amp;"-"&amp;IF(Q39=MAX(O39:Q39),"Other",IF(P39&gt;O39,"Rep","Dem"))</f>
        <v>CA-Dem</v>
      </c>
      <c r="Z39" s="236" t="str">
        <f>B39&amp;"-"&amp;IF(V39&gt;Instructions!$H$14,Instructions!$I$14,IF(V39&gt;Instructions!$H$15,Instructions!$I$15,IF(V39&gt;Instructions!$H$16,Instructions!$I$16,IF(V39&gt;Instructions!$H$17,Instructions!$I$17,Instructions!$I$18))))</f>
        <v>CA-No contest</v>
      </c>
      <c r="AA39" s="237">
        <f t="shared" ref="AA39:AA70" si="17">IF(T39=O39,0,O39)</f>
        <v>0</v>
      </c>
      <c r="AB39" s="237">
        <f t="shared" ref="AB39:AB70" si="18">IF(T39=P39,0,P39)</f>
        <v>45575</v>
      </c>
      <c r="AC39" s="238">
        <f t="shared" ref="AC39:AC70" si="19">IF(T39=Q39,0,Q39)</f>
        <v>525</v>
      </c>
      <c r="AD39" s="389">
        <f t="shared" si="12"/>
        <v>46100</v>
      </c>
    </row>
    <row r="40" spans="1:30">
      <c r="A40" s="225" t="s">
        <v>70</v>
      </c>
      <c r="B40" s="226" t="s">
        <v>4</v>
      </c>
      <c r="C40" s="426" t="s">
        <v>354</v>
      </c>
      <c r="D40" t="s">
        <v>771</v>
      </c>
      <c r="E40"/>
      <c r="F40"/>
      <c r="G40"/>
      <c r="H40"/>
      <c r="I40" t="str">
        <f t="shared" si="8"/>
        <v>CA-Yes</v>
      </c>
      <c r="J40" t="str">
        <f t="shared" si="9"/>
        <v>CA-Yes</v>
      </c>
      <c r="K40"/>
      <c r="L40"/>
      <c r="M40">
        <v>1992</v>
      </c>
      <c r="N40" s="242">
        <v>14</v>
      </c>
      <c r="O40" s="413">
        <v>151217</v>
      </c>
      <c r="P40" s="414">
        <v>60917</v>
      </c>
      <c r="Q40" s="228">
        <f t="shared" si="0"/>
        <v>6735</v>
      </c>
      <c r="R40" s="423">
        <v>218869</v>
      </c>
      <c r="S40" s="239"/>
      <c r="T40" s="231">
        <f t="shared" si="10"/>
        <v>151217</v>
      </c>
      <c r="U40" s="231">
        <f t="shared" si="1"/>
        <v>60917</v>
      </c>
      <c r="V40" s="232">
        <f t="shared" si="11"/>
        <v>0.42567433791848547</v>
      </c>
      <c r="W40" s="233">
        <f t="shared" si="14"/>
        <v>0.69090186367187678</v>
      </c>
      <c r="X40" s="234" t="str">
        <f t="shared" si="15"/>
        <v>CA-No</v>
      </c>
      <c r="Y40" s="235" t="str">
        <f t="shared" si="16"/>
        <v>CA-Dem</v>
      </c>
      <c r="Z40" s="236" t="str">
        <f>B40&amp;"-"&amp;IF(V40&gt;Instructions!$H$14,Instructions!$I$14,IF(V40&gt;Instructions!$H$15,Instructions!$I$15,IF(V40&gt;Instructions!$H$16,Instructions!$I$16,IF(V40&gt;Instructions!$H$17,Instructions!$I$17,Instructions!$I$18))))</f>
        <v>CA-No contest</v>
      </c>
      <c r="AA40" s="237">
        <f t="shared" si="17"/>
        <v>0</v>
      </c>
      <c r="AB40" s="237">
        <f t="shared" si="18"/>
        <v>60917</v>
      </c>
      <c r="AC40" s="238">
        <f t="shared" si="19"/>
        <v>6735</v>
      </c>
      <c r="AD40" s="389">
        <f t="shared" si="12"/>
        <v>67652</v>
      </c>
    </row>
    <row r="41" spans="1:30">
      <c r="A41" s="225" t="s">
        <v>70</v>
      </c>
      <c r="B41" s="226" t="s">
        <v>4</v>
      </c>
      <c r="C41" s="426" t="s">
        <v>355</v>
      </c>
      <c r="D41"/>
      <c r="E41"/>
      <c r="F41"/>
      <c r="G41" t="s">
        <v>771</v>
      </c>
      <c r="H41"/>
      <c r="I41" t="str">
        <f t="shared" si="8"/>
        <v>CA-Yes</v>
      </c>
      <c r="J41" t="str">
        <f t="shared" si="9"/>
        <v>CA-Yes</v>
      </c>
      <c r="K41"/>
      <c r="L41"/>
      <c r="M41">
        <v>2000</v>
      </c>
      <c r="N41" s="242">
        <v>15</v>
      </c>
      <c r="O41" s="413">
        <v>126147</v>
      </c>
      <c r="P41" s="414">
        <v>60468</v>
      </c>
      <c r="Q41" s="228">
        <f t="shared" si="0"/>
        <v>0</v>
      </c>
      <c r="R41" s="423">
        <v>186615</v>
      </c>
      <c r="S41" s="239"/>
      <c r="T41" s="231">
        <f t="shared" si="10"/>
        <v>126147</v>
      </c>
      <c r="U41" s="231">
        <f t="shared" si="1"/>
        <v>60468</v>
      </c>
      <c r="V41" s="232">
        <f t="shared" si="11"/>
        <v>0.35194920022506232</v>
      </c>
      <c r="W41" s="233">
        <f t="shared" si="14"/>
        <v>0.67597460011253119</v>
      </c>
      <c r="X41" s="234" t="str">
        <f t="shared" si="15"/>
        <v>CA-No</v>
      </c>
      <c r="Y41" s="235" t="str">
        <f t="shared" si="16"/>
        <v>CA-Dem</v>
      </c>
      <c r="Z41" s="236" t="str">
        <f>B41&amp;"-"&amp;IF(V41&gt;Instructions!$H$14,Instructions!$I$14,IF(V41&gt;Instructions!$H$15,Instructions!$I$15,IF(V41&gt;Instructions!$H$16,Instructions!$I$16,IF(V41&gt;Instructions!$H$17,Instructions!$I$17,Instructions!$I$18))))</f>
        <v>CA-Landslide</v>
      </c>
      <c r="AA41" s="237">
        <f t="shared" si="17"/>
        <v>0</v>
      </c>
      <c r="AB41" s="237">
        <f t="shared" si="18"/>
        <v>60468</v>
      </c>
      <c r="AC41" s="238">
        <f t="shared" si="19"/>
        <v>0</v>
      </c>
      <c r="AD41" s="389">
        <f t="shared" si="12"/>
        <v>60468</v>
      </c>
    </row>
    <row r="42" spans="1:30">
      <c r="A42" s="225" t="s">
        <v>70</v>
      </c>
      <c r="B42" s="226" t="s">
        <v>4</v>
      </c>
      <c r="C42" s="426" t="s">
        <v>356</v>
      </c>
      <c r="D42" t="s">
        <v>771</v>
      </c>
      <c r="E42"/>
      <c r="F42"/>
      <c r="G42"/>
      <c r="H42"/>
      <c r="I42" t="str">
        <f t="shared" si="8"/>
        <v>CA-Yes</v>
      </c>
      <c r="J42" t="str">
        <f t="shared" si="9"/>
        <v>CA-Yes</v>
      </c>
      <c r="K42"/>
      <c r="L42"/>
      <c r="M42">
        <v>1994</v>
      </c>
      <c r="N42" s="242">
        <v>16</v>
      </c>
      <c r="O42" s="413">
        <v>105841</v>
      </c>
      <c r="P42" s="414">
        <v>37913</v>
      </c>
      <c r="Q42" s="228">
        <f t="shared" si="0"/>
        <v>12304</v>
      </c>
      <c r="R42" s="423">
        <v>156058</v>
      </c>
      <c r="S42" s="239"/>
      <c r="T42" s="231">
        <f t="shared" si="10"/>
        <v>105841</v>
      </c>
      <c r="U42" s="231">
        <f t="shared" si="1"/>
        <v>37913</v>
      </c>
      <c r="V42" s="232">
        <f t="shared" si="11"/>
        <v>0.47252946004980734</v>
      </c>
      <c r="W42" s="233">
        <f t="shared" si="14"/>
        <v>0.67821579156467471</v>
      </c>
      <c r="X42" s="234" t="str">
        <f t="shared" si="15"/>
        <v>CA-No</v>
      </c>
      <c r="Y42" s="235" t="str">
        <f t="shared" si="16"/>
        <v>CA-Dem</v>
      </c>
      <c r="Z42" s="236" t="str">
        <f>B42&amp;"-"&amp;IF(V42&gt;Instructions!$H$14,Instructions!$I$14,IF(V42&gt;Instructions!$H$15,Instructions!$I$15,IF(V42&gt;Instructions!$H$16,Instructions!$I$16,IF(V42&gt;Instructions!$H$17,Instructions!$I$17,Instructions!$I$18))))</f>
        <v>CA-No contest</v>
      </c>
      <c r="AA42" s="237">
        <f t="shared" si="17"/>
        <v>0</v>
      </c>
      <c r="AB42" s="237">
        <f t="shared" si="18"/>
        <v>37913</v>
      </c>
      <c r="AC42" s="238">
        <f t="shared" si="19"/>
        <v>12304</v>
      </c>
      <c r="AD42" s="389">
        <f t="shared" si="12"/>
        <v>50217</v>
      </c>
    </row>
    <row r="43" spans="1:30">
      <c r="A43" s="225" t="s">
        <v>70</v>
      </c>
      <c r="B43" s="226" t="s">
        <v>4</v>
      </c>
      <c r="C43" s="426" t="s">
        <v>357</v>
      </c>
      <c r="D43"/>
      <c r="E43"/>
      <c r="F43"/>
      <c r="G43"/>
      <c r="H43"/>
      <c r="I43" t="str">
        <f t="shared" si="8"/>
        <v>CA-Yes</v>
      </c>
      <c r="J43" t="str">
        <f t="shared" si="9"/>
        <v>CA-Yes</v>
      </c>
      <c r="K43"/>
      <c r="L43"/>
      <c r="M43">
        <v>1993</v>
      </c>
      <c r="N43" s="242">
        <v>17</v>
      </c>
      <c r="O43" s="413">
        <v>118734</v>
      </c>
      <c r="P43" s="414">
        <v>53176</v>
      </c>
      <c r="Q43" s="228">
        <f t="shared" si="0"/>
        <v>6229</v>
      </c>
      <c r="R43" s="423">
        <v>178139</v>
      </c>
      <c r="S43" s="239"/>
      <c r="T43" s="231">
        <f t="shared" si="10"/>
        <v>118734</v>
      </c>
      <c r="U43" s="231">
        <f t="shared" si="1"/>
        <v>53176</v>
      </c>
      <c r="V43" s="232">
        <f t="shared" si="11"/>
        <v>0.3813507067651678</v>
      </c>
      <c r="W43" s="233">
        <f t="shared" si="14"/>
        <v>0.66652445562173357</v>
      </c>
      <c r="X43" s="234" t="str">
        <f t="shared" si="15"/>
        <v>CA-No</v>
      </c>
      <c r="Y43" s="235" t="str">
        <f t="shared" si="16"/>
        <v>CA-Dem</v>
      </c>
      <c r="Z43" s="236" t="str">
        <f>B43&amp;"-"&amp;IF(V43&gt;Instructions!$H$14,Instructions!$I$14,IF(V43&gt;Instructions!$H$15,Instructions!$I$15,IF(V43&gt;Instructions!$H$16,Instructions!$I$16,IF(V43&gt;Instructions!$H$17,Instructions!$I$17,Instructions!$I$18))))</f>
        <v>CA-Landslide</v>
      </c>
      <c r="AA43" s="237">
        <f t="shared" si="17"/>
        <v>0</v>
      </c>
      <c r="AB43" s="237">
        <f t="shared" si="18"/>
        <v>53176</v>
      </c>
      <c r="AC43" s="238">
        <f t="shared" si="19"/>
        <v>6229</v>
      </c>
      <c r="AD43" s="389">
        <f t="shared" si="12"/>
        <v>59405</v>
      </c>
    </row>
    <row r="44" spans="1:30">
      <c r="A44" s="225" t="s">
        <v>70</v>
      </c>
      <c r="B44" s="226" t="s">
        <v>4</v>
      </c>
      <c r="C44" t="s">
        <v>358</v>
      </c>
      <c r="D44"/>
      <c r="E44"/>
      <c r="F44"/>
      <c r="G44"/>
      <c r="H44"/>
      <c r="I44" t="str">
        <f t="shared" si="8"/>
        <v>CA-Yes</v>
      </c>
      <c r="J44" t="str">
        <f t="shared" si="9"/>
        <v>CA-Yes</v>
      </c>
      <c r="K44"/>
      <c r="L44"/>
      <c r="M44">
        <v>2002</v>
      </c>
      <c r="N44" s="242">
        <v>18</v>
      </c>
      <c r="O44" s="413">
        <v>72853</v>
      </c>
      <c r="P44" s="414">
        <v>51716</v>
      </c>
      <c r="Q44" s="228">
        <f t="shared" si="0"/>
        <v>0</v>
      </c>
      <c r="R44" s="423">
        <v>124569</v>
      </c>
      <c r="S44" s="239"/>
      <c r="T44" s="231">
        <f t="shared" si="10"/>
        <v>72853</v>
      </c>
      <c r="U44" s="231">
        <f t="shared" si="1"/>
        <v>51716</v>
      </c>
      <c r="V44" s="232">
        <f t="shared" si="11"/>
        <v>0.16968106029590027</v>
      </c>
      <c r="W44" s="233">
        <f t="shared" si="14"/>
        <v>0.58484053014795012</v>
      </c>
      <c r="X44" s="234" t="str">
        <f t="shared" si="15"/>
        <v>CA-No</v>
      </c>
      <c r="Y44" s="235" t="str">
        <f t="shared" si="16"/>
        <v>CA-Dem</v>
      </c>
      <c r="Z44" s="236" t="str">
        <f>B44&amp;"-"&amp;IF(V44&gt;Instructions!$H$14,Instructions!$I$14,IF(V44&gt;Instructions!$H$15,Instructions!$I$15,IF(V44&gt;Instructions!$H$16,Instructions!$I$16,IF(V44&gt;Instructions!$H$17,Instructions!$I$17,Instructions!$I$18))))</f>
        <v>CA-Opportunity</v>
      </c>
      <c r="AA44" s="237">
        <f t="shared" si="17"/>
        <v>0</v>
      </c>
      <c r="AB44" s="237">
        <f t="shared" si="18"/>
        <v>51716</v>
      </c>
      <c r="AC44" s="238">
        <f t="shared" si="19"/>
        <v>0</v>
      </c>
      <c r="AD44" s="389">
        <f t="shared" si="12"/>
        <v>51716</v>
      </c>
    </row>
    <row r="45" spans="1:30">
      <c r="A45" s="225" t="s">
        <v>70</v>
      </c>
      <c r="B45" s="226" t="s">
        <v>4</v>
      </c>
      <c r="C45" t="s">
        <v>359</v>
      </c>
      <c r="D45"/>
      <c r="E45"/>
      <c r="F45"/>
      <c r="G45"/>
      <c r="H45"/>
      <c r="I45" t="str">
        <f t="shared" si="8"/>
        <v>CA-No</v>
      </c>
      <c r="J45" t="str">
        <f t="shared" si="9"/>
        <v>CA-No</v>
      </c>
      <c r="K45">
        <v>0</v>
      </c>
      <c r="L45"/>
      <c r="M45">
        <v>2010</v>
      </c>
      <c r="N45" s="242">
        <v>19</v>
      </c>
      <c r="O45" s="413">
        <v>69912</v>
      </c>
      <c r="P45" s="414">
        <v>128394</v>
      </c>
      <c r="Q45" s="228">
        <f t="shared" si="0"/>
        <v>596</v>
      </c>
      <c r="R45" s="423">
        <v>198902</v>
      </c>
      <c r="S45" s="239"/>
      <c r="T45" s="231">
        <f t="shared" si="10"/>
        <v>128394</v>
      </c>
      <c r="U45" s="231">
        <f t="shared" si="1"/>
        <v>69912</v>
      </c>
      <c r="V45" s="232">
        <f t="shared" si="11"/>
        <v>0.2949078696559862</v>
      </c>
      <c r="W45" s="233">
        <f t="shared" si="14"/>
        <v>0.64551387115262793</v>
      </c>
      <c r="X45" s="234" t="str">
        <f t="shared" si="15"/>
        <v>CA-No</v>
      </c>
      <c r="Y45" s="235" t="str">
        <f t="shared" si="16"/>
        <v>CA-Rep</v>
      </c>
      <c r="Z45" s="236" t="str">
        <f>B45&amp;"-"&amp;IF(V45&gt;Instructions!$H$14,Instructions!$I$14,IF(V45&gt;Instructions!$H$15,Instructions!$I$15,IF(V45&gt;Instructions!$H$16,Instructions!$I$16,IF(V45&gt;Instructions!$H$17,Instructions!$I$17,Instructions!$I$18))))</f>
        <v>CA-Landslide</v>
      </c>
      <c r="AA45" s="237">
        <f t="shared" si="17"/>
        <v>69912</v>
      </c>
      <c r="AB45" s="237">
        <f t="shared" si="18"/>
        <v>0</v>
      </c>
      <c r="AC45" s="238">
        <f t="shared" si="19"/>
        <v>596</v>
      </c>
      <c r="AD45" s="389">
        <f t="shared" si="12"/>
        <v>70508</v>
      </c>
    </row>
    <row r="46" spans="1:30">
      <c r="A46" s="225" t="s">
        <v>70</v>
      </c>
      <c r="B46" s="226" t="s">
        <v>4</v>
      </c>
      <c r="C46" t="s">
        <v>360</v>
      </c>
      <c r="D46"/>
      <c r="E46"/>
      <c r="F46"/>
      <c r="G46"/>
      <c r="H46"/>
      <c r="I46" t="str">
        <f t="shared" si="8"/>
        <v>CA-Yes</v>
      </c>
      <c r="J46" t="str">
        <f t="shared" si="9"/>
        <v>CA-Yes</v>
      </c>
      <c r="K46"/>
      <c r="L46"/>
      <c r="M46">
        <v>2004</v>
      </c>
      <c r="N46" s="242">
        <v>20</v>
      </c>
      <c r="O46" s="413">
        <v>46247</v>
      </c>
      <c r="P46" s="414">
        <v>43197</v>
      </c>
      <c r="Q46" s="228">
        <f t="shared" si="0"/>
        <v>0</v>
      </c>
      <c r="R46" s="423">
        <v>89444</v>
      </c>
      <c r="S46" s="239"/>
      <c r="T46" s="231">
        <f t="shared" si="10"/>
        <v>46247</v>
      </c>
      <c r="U46" s="231">
        <f t="shared" si="1"/>
        <v>43197</v>
      </c>
      <c r="V46" s="232">
        <f t="shared" si="11"/>
        <v>3.4099548320737E-2</v>
      </c>
      <c r="W46" s="233">
        <f t="shared" si="14"/>
        <v>0.51704977416036846</v>
      </c>
      <c r="X46" s="234" t="str">
        <f t="shared" si="15"/>
        <v>CA-No</v>
      </c>
      <c r="Y46" s="235" t="str">
        <f t="shared" si="16"/>
        <v>CA-Dem</v>
      </c>
      <c r="Z46" s="236" t="str">
        <f>B46&amp;"-"&amp;IF(V46&gt;Instructions!$H$14,Instructions!$I$14,IF(V46&gt;Instructions!$H$15,Instructions!$I$15,IF(V46&gt;Instructions!$H$16,Instructions!$I$16,IF(V46&gt;Instructions!$H$17,Instructions!$I$17,Instructions!$I$18))))</f>
        <v>CA-Tight</v>
      </c>
      <c r="AA46" s="237">
        <f t="shared" si="17"/>
        <v>0</v>
      </c>
      <c r="AB46" s="237">
        <f t="shared" si="18"/>
        <v>43197</v>
      </c>
      <c r="AC46" s="238">
        <f t="shared" si="19"/>
        <v>0</v>
      </c>
      <c r="AD46" s="389">
        <f t="shared" si="12"/>
        <v>43197</v>
      </c>
    </row>
    <row r="47" spans="1:30">
      <c r="A47" s="225" t="s">
        <v>70</v>
      </c>
      <c r="B47" s="226" t="s">
        <v>4</v>
      </c>
      <c r="C47" s="426" t="s">
        <v>361</v>
      </c>
      <c r="D47"/>
      <c r="E47"/>
      <c r="F47"/>
      <c r="G47"/>
      <c r="H47"/>
      <c r="I47" t="str">
        <f t="shared" si="8"/>
        <v>CA-Yes</v>
      </c>
      <c r="J47" t="str">
        <f t="shared" si="9"/>
        <v>CA-Yes</v>
      </c>
      <c r="K47"/>
      <c r="L47"/>
      <c r="M47">
        <v>2002</v>
      </c>
      <c r="N47" s="242">
        <v>21</v>
      </c>
      <c r="O47" s="413">
        <v>0</v>
      </c>
      <c r="P47" s="414">
        <v>135979</v>
      </c>
      <c r="Q47" s="228">
        <f t="shared" si="0"/>
        <v>0</v>
      </c>
      <c r="R47" s="423">
        <v>135979</v>
      </c>
      <c r="S47" s="239"/>
      <c r="T47" s="231">
        <f t="shared" si="10"/>
        <v>135979</v>
      </c>
      <c r="U47" s="231">
        <f t="shared" si="1"/>
        <v>0</v>
      </c>
      <c r="V47" s="232">
        <f t="shared" si="11"/>
        <v>1</v>
      </c>
      <c r="W47" s="233">
        <f t="shared" si="14"/>
        <v>1</v>
      </c>
      <c r="X47" s="234" t="str">
        <f t="shared" si="15"/>
        <v>CA-Yes</v>
      </c>
      <c r="Y47" s="235" t="str">
        <f t="shared" si="16"/>
        <v>CA-Rep</v>
      </c>
      <c r="Z47" s="236" t="str">
        <f>B47&amp;"-"&amp;IF(V47&gt;Instructions!$H$14,Instructions!$I$14,IF(V47&gt;Instructions!$H$15,Instructions!$I$15,IF(V47&gt;Instructions!$H$16,Instructions!$I$16,IF(V47&gt;Instructions!$H$17,Instructions!$I$17,Instructions!$I$18))))</f>
        <v>CA-No contest</v>
      </c>
      <c r="AA47" s="237">
        <f t="shared" si="17"/>
        <v>0</v>
      </c>
      <c r="AB47" s="237">
        <f t="shared" si="18"/>
        <v>0</v>
      </c>
      <c r="AC47" s="238">
        <f t="shared" si="19"/>
        <v>0</v>
      </c>
      <c r="AD47" s="389">
        <f t="shared" si="12"/>
        <v>0</v>
      </c>
    </row>
    <row r="48" spans="1:30">
      <c r="A48" s="225" t="s">
        <v>70</v>
      </c>
      <c r="B48" s="226" t="s">
        <v>4</v>
      </c>
      <c r="C48" s="426" t="s">
        <v>362</v>
      </c>
      <c r="D48"/>
      <c r="E48"/>
      <c r="F48"/>
      <c r="G48"/>
      <c r="H48"/>
      <c r="I48" t="str">
        <f t="shared" si="8"/>
        <v>CA-Yes</v>
      </c>
      <c r="J48" t="str">
        <f t="shared" si="9"/>
        <v>CA-Yes</v>
      </c>
      <c r="K48"/>
      <c r="L48"/>
      <c r="M48">
        <v>2006</v>
      </c>
      <c r="N48" s="242">
        <v>22</v>
      </c>
      <c r="O48" s="413">
        <v>0</v>
      </c>
      <c r="P48" s="414">
        <v>173490</v>
      </c>
      <c r="Q48" s="228">
        <f t="shared" si="0"/>
        <v>2173</v>
      </c>
      <c r="R48" s="423">
        <v>175663</v>
      </c>
      <c r="S48" s="239"/>
      <c r="T48" s="231">
        <f t="shared" si="10"/>
        <v>173490</v>
      </c>
      <c r="U48" s="231">
        <f t="shared" si="1"/>
        <v>2173</v>
      </c>
      <c r="V48" s="232">
        <f t="shared" si="11"/>
        <v>1</v>
      </c>
      <c r="W48" s="233">
        <f t="shared" si="14"/>
        <v>0.98762972282153894</v>
      </c>
      <c r="X48" s="234" t="str">
        <f t="shared" si="15"/>
        <v>CA-Yes</v>
      </c>
      <c r="Y48" s="235" t="str">
        <f t="shared" si="16"/>
        <v>CA-Rep</v>
      </c>
      <c r="Z48" s="236" t="str">
        <f>B48&amp;"-"&amp;IF(V48&gt;Instructions!$H$14,Instructions!$I$14,IF(V48&gt;Instructions!$H$15,Instructions!$I$15,IF(V48&gt;Instructions!$H$16,Instructions!$I$16,IF(V48&gt;Instructions!$H$17,Instructions!$I$17,Instructions!$I$18))))</f>
        <v>CA-No contest</v>
      </c>
      <c r="AA48" s="237">
        <f t="shared" si="17"/>
        <v>0</v>
      </c>
      <c r="AB48" s="237">
        <f t="shared" si="18"/>
        <v>0</v>
      </c>
      <c r="AC48" s="238">
        <f t="shared" si="19"/>
        <v>2173</v>
      </c>
      <c r="AD48" s="389">
        <f t="shared" si="12"/>
        <v>2173</v>
      </c>
    </row>
    <row r="49" spans="1:30">
      <c r="A49" s="225" t="s">
        <v>70</v>
      </c>
      <c r="B49" s="226" t="s">
        <v>4</v>
      </c>
      <c r="C49" s="426" t="s">
        <v>363</v>
      </c>
      <c r="D49" t="s">
        <v>771</v>
      </c>
      <c r="E49"/>
      <c r="F49"/>
      <c r="G49"/>
      <c r="H49"/>
      <c r="I49" t="str">
        <f t="shared" si="8"/>
        <v>CA-Yes</v>
      </c>
      <c r="J49" t="str">
        <f t="shared" si="9"/>
        <v>CA-Yes</v>
      </c>
      <c r="K49"/>
      <c r="L49"/>
      <c r="M49">
        <v>1998</v>
      </c>
      <c r="N49" s="242">
        <v>23</v>
      </c>
      <c r="O49" s="413">
        <v>111768</v>
      </c>
      <c r="P49" s="414">
        <v>72744</v>
      </c>
      <c r="Q49" s="228">
        <f t="shared" si="0"/>
        <v>8951</v>
      </c>
      <c r="R49" s="423">
        <v>193463</v>
      </c>
      <c r="S49" s="239"/>
      <c r="T49" s="231">
        <f t="shared" si="10"/>
        <v>111768</v>
      </c>
      <c r="U49" s="231">
        <f t="shared" si="1"/>
        <v>72744</v>
      </c>
      <c r="V49" s="232">
        <f t="shared" si="11"/>
        <v>0.21149843912591051</v>
      </c>
      <c r="W49" s="233">
        <f t="shared" si="14"/>
        <v>0.57772287207372985</v>
      </c>
      <c r="X49" s="234" t="str">
        <f t="shared" si="15"/>
        <v>CA-No</v>
      </c>
      <c r="Y49" s="235" t="str">
        <f t="shared" si="16"/>
        <v>CA-Dem</v>
      </c>
      <c r="Z49" s="236" t="str">
        <f>B49&amp;"-"&amp;IF(V49&gt;Instructions!$H$14,Instructions!$I$14,IF(V49&gt;Instructions!$H$15,Instructions!$I$15,IF(V49&gt;Instructions!$H$16,Instructions!$I$16,IF(V49&gt;Instructions!$H$17,Instructions!$I$17,Instructions!$I$18))))</f>
        <v>CA-Landslide</v>
      </c>
      <c r="AA49" s="237">
        <f t="shared" si="17"/>
        <v>0</v>
      </c>
      <c r="AB49" s="237">
        <f t="shared" si="18"/>
        <v>72744</v>
      </c>
      <c r="AC49" s="238">
        <f t="shared" si="19"/>
        <v>8951</v>
      </c>
      <c r="AD49" s="389">
        <f t="shared" si="12"/>
        <v>81695</v>
      </c>
    </row>
    <row r="50" spans="1:30">
      <c r="A50" s="225" t="s">
        <v>70</v>
      </c>
      <c r="B50" s="226" t="s">
        <v>4</v>
      </c>
      <c r="C50" t="s">
        <v>364</v>
      </c>
      <c r="D50"/>
      <c r="E50"/>
      <c r="F50"/>
      <c r="G50"/>
      <c r="H50"/>
      <c r="I50" t="str">
        <f t="shared" si="8"/>
        <v>CA-Yes</v>
      </c>
      <c r="J50" t="str">
        <f t="shared" si="9"/>
        <v>CA-Yes</v>
      </c>
      <c r="K50"/>
      <c r="L50"/>
      <c r="M50">
        <v>1986</v>
      </c>
      <c r="N50" s="242">
        <v>24</v>
      </c>
      <c r="O50" s="413">
        <v>96279</v>
      </c>
      <c r="P50" s="414">
        <v>144055</v>
      </c>
      <c r="Q50" s="228">
        <f t="shared" si="0"/>
        <v>0</v>
      </c>
      <c r="R50" s="423">
        <v>240334</v>
      </c>
      <c r="S50" s="239"/>
      <c r="T50" s="231">
        <f t="shared" si="10"/>
        <v>144055</v>
      </c>
      <c r="U50" s="231">
        <f t="shared" si="1"/>
        <v>96279</v>
      </c>
      <c r="V50" s="232">
        <f t="shared" si="11"/>
        <v>0.1987900172260271</v>
      </c>
      <c r="W50" s="233">
        <f t="shared" si="14"/>
        <v>0.59939500861301354</v>
      </c>
      <c r="X50" s="234" t="str">
        <f t="shared" si="15"/>
        <v>CA-No</v>
      </c>
      <c r="Y50" s="235" t="str">
        <f t="shared" si="16"/>
        <v>CA-Rep</v>
      </c>
      <c r="Z50" s="236" t="str">
        <f>B50&amp;"-"&amp;IF(V50&gt;Instructions!$H$14,Instructions!$I$14,IF(V50&gt;Instructions!$H$15,Instructions!$I$15,IF(V50&gt;Instructions!$H$16,Instructions!$I$16,IF(V50&gt;Instructions!$H$17,Instructions!$I$17,Instructions!$I$18))))</f>
        <v>CA-Opportunity</v>
      </c>
      <c r="AA50" s="237">
        <f t="shared" si="17"/>
        <v>96279</v>
      </c>
      <c r="AB50" s="237">
        <f t="shared" si="18"/>
        <v>0</v>
      </c>
      <c r="AC50" s="238">
        <f t="shared" si="19"/>
        <v>0</v>
      </c>
      <c r="AD50" s="389">
        <f t="shared" si="12"/>
        <v>96279</v>
      </c>
    </row>
    <row r="51" spans="1:30">
      <c r="A51" s="225" t="s">
        <v>70</v>
      </c>
      <c r="B51" s="226" t="s">
        <v>4</v>
      </c>
      <c r="C51" t="s">
        <v>365</v>
      </c>
      <c r="D51"/>
      <c r="E51"/>
      <c r="F51"/>
      <c r="G51"/>
      <c r="H51"/>
      <c r="I51" t="str">
        <f t="shared" si="8"/>
        <v>CA-Yes</v>
      </c>
      <c r="J51" t="str">
        <f t="shared" si="9"/>
        <v>CA-Yes</v>
      </c>
      <c r="K51"/>
      <c r="L51"/>
      <c r="M51">
        <v>1992</v>
      </c>
      <c r="N51" s="242">
        <v>25</v>
      </c>
      <c r="O51" s="413">
        <v>73028</v>
      </c>
      <c r="P51" s="414">
        <v>118308</v>
      </c>
      <c r="Q51" s="228">
        <f t="shared" si="0"/>
        <v>0</v>
      </c>
      <c r="R51" s="423">
        <v>191336</v>
      </c>
      <c r="S51" s="239"/>
      <c r="T51" s="231">
        <f t="shared" si="10"/>
        <v>118308</v>
      </c>
      <c r="U51" s="231">
        <f t="shared" si="1"/>
        <v>73028</v>
      </c>
      <c r="V51" s="232">
        <f t="shared" si="11"/>
        <v>0.23665175398252289</v>
      </c>
      <c r="W51" s="233">
        <f t="shared" si="14"/>
        <v>0.6183258769912614</v>
      </c>
      <c r="X51" s="234" t="str">
        <f t="shared" si="15"/>
        <v>CA-No</v>
      </c>
      <c r="Y51" s="235" t="str">
        <f t="shared" si="16"/>
        <v>CA-Rep</v>
      </c>
      <c r="Z51" s="236" t="str">
        <f>B51&amp;"-"&amp;IF(V51&gt;Instructions!$H$14,Instructions!$I$14,IF(V51&gt;Instructions!$H$15,Instructions!$I$15,IF(V51&gt;Instructions!$H$16,Instructions!$I$16,IF(V51&gt;Instructions!$H$17,Instructions!$I$17,Instructions!$I$18))))</f>
        <v>CA-Landslide</v>
      </c>
      <c r="AA51" s="237">
        <f t="shared" si="17"/>
        <v>73028</v>
      </c>
      <c r="AB51" s="237">
        <f t="shared" si="18"/>
        <v>0</v>
      </c>
      <c r="AC51" s="238">
        <f t="shared" si="19"/>
        <v>0</v>
      </c>
      <c r="AD51" s="389">
        <f t="shared" si="12"/>
        <v>73028</v>
      </c>
    </row>
    <row r="52" spans="1:30">
      <c r="A52" s="225" t="s">
        <v>70</v>
      </c>
      <c r="B52" s="226" t="s">
        <v>4</v>
      </c>
      <c r="C52" t="s">
        <v>366</v>
      </c>
      <c r="D52"/>
      <c r="E52"/>
      <c r="F52"/>
      <c r="G52"/>
      <c r="H52"/>
      <c r="I52" t="str">
        <f t="shared" si="8"/>
        <v>CA-Yes</v>
      </c>
      <c r="J52" t="str">
        <f t="shared" si="9"/>
        <v>CA-Yes</v>
      </c>
      <c r="K52"/>
      <c r="L52"/>
      <c r="M52">
        <v>1980</v>
      </c>
      <c r="N52" s="242">
        <v>26</v>
      </c>
      <c r="O52" s="413">
        <v>76093</v>
      </c>
      <c r="P52" s="414">
        <v>112774</v>
      </c>
      <c r="Q52" s="228">
        <f t="shared" si="0"/>
        <v>19480</v>
      </c>
      <c r="R52" s="423">
        <v>208347</v>
      </c>
      <c r="S52" s="239"/>
      <c r="T52" s="231">
        <f t="shared" si="10"/>
        <v>112774</v>
      </c>
      <c r="U52" s="231">
        <f t="shared" si="1"/>
        <v>76093</v>
      </c>
      <c r="V52" s="232">
        <f t="shared" si="11"/>
        <v>0.19421603562295159</v>
      </c>
      <c r="W52" s="233">
        <f t="shared" si="14"/>
        <v>0.54127969205220139</v>
      </c>
      <c r="X52" s="234" t="str">
        <f t="shared" si="15"/>
        <v>CA-No</v>
      </c>
      <c r="Y52" s="235" t="str">
        <f t="shared" si="16"/>
        <v>CA-Rep</v>
      </c>
      <c r="Z52" s="236" t="str">
        <f>B52&amp;"-"&amp;IF(V52&gt;Instructions!$H$14,Instructions!$I$14,IF(V52&gt;Instructions!$H$15,Instructions!$I$15,IF(V52&gt;Instructions!$H$16,Instructions!$I$16,IF(V52&gt;Instructions!$H$17,Instructions!$I$17,Instructions!$I$18))))</f>
        <v>CA-Opportunity</v>
      </c>
      <c r="AA52" s="237">
        <f t="shared" si="17"/>
        <v>76093</v>
      </c>
      <c r="AB52" s="237">
        <f t="shared" si="18"/>
        <v>0</v>
      </c>
      <c r="AC52" s="238">
        <f t="shared" si="19"/>
        <v>19480</v>
      </c>
      <c r="AD52" s="389">
        <f t="shared" si="12"/>
        <v>95573</v>
      </c>
    </row>
    <row r="53" spans="1:30">
      <c r="A53" s="225" t="s">
        <v>70</v>
      </c>
      <c r="B53" s="226" t="s">
        <v>4</v>
      </c>
      <c r="C53" s="426" t="s">
        <v>367</v>
      </c>
      <c r="D53"/>
      <c r="E53"/>
      <c r="F53"/>
      <c r="G53"/>
      <c r="H53"/>
      <c r="I53" t="str">
        <f t="shared" si="8"/>
        <v>CA-Yes</v>
      </c>
      <c r="J53" t="str">
        <f t="shared" si="9"/>
        <v>CA-Yes</v>
      </c>
      <c r="K53"/>
      <c r="L53"/>
      <c r="M53">
        <v>1996</v>
      </c>
      <c r="N53" s="242">
        <v>27</v>
      </c>
      <c r="O53" s="413">
        <v>102927</v>
      </c>
      <c r="P53" s="414">
        <v>55056</v>
      </c>
      <c r="Q53" s="228">
        <f t="shared" si="0"/>
        <v>0</v>
      </c>
      <c r="R53" s="423">
        <v>157983</v>
      </c>
      <c r="S53" s="239"/>
      <c r="T53" s="231">
        <f t="shared" si="10"/>
        <v>102927</v>
      </c>
      <c r="U53" s="231">
        <f t="shared" si="1"/>
        <v>55056</v>
      </c>
      <c r="V53" s="232">
        <f t="shared" si="11"/>
        <v>0.30301361538899757</v>
      </c>
      <c r="W53" s="233">
        <f t="shared" si="14"/>
        <v>0.65150680769449876</v>
      </c>
      <c r="X53" s="234" t="str">
        <f t="shared" si="15"/>
        <v>CA-No</v>
      </c>
      <c r="Y53" s="235" t="str">
        <f t="shared" si="16"/>
        <v>CA-Dem</v>
      </c>
      <c r="Z53" s="236" t="str">
        <f>B53&amp;"-"&amp;IF(V53&gt;Instructions!$H$14,Instructions!$I$14,IF(V53&gt;Instructions!$H$15,Instructions!$I$15,IF(V53&gt;Instructions!$H$16,Instructions!$I$16,IF(V53&gt;Instructions!$H$17,Instructions!$I$17,Instructions!$I$18))))</f>
        <v>CA-Landslide</v>
      </c>
      <c r="AA53" s="237">
        <f t="shared" si="17"/>
        <v>0</v>
      </c>
      <c r="AB53" s="237">
        <f t="shared" si="18"/>
        <v>55056</v>
      </c>
      <c r="AC53" s="238">
        <f t="shared" si="19"/>
        <v>0</v>
      </c>
      <c r="AD53" s="389">
        <f t="shared" si="12"/>
        <v>55056</v>
      </c>
    </row>
    <row r="54" spans="1:30">
      <c r="A54" s="225" t="s">
        <v>70</v>
      </c>
      <c r="B54" s="226" t="s">
        <v>4</v>
      </c>
      <c r="C54" s="426" t="s">
        <v>368</v>
      </c>
      <c r="D54"/>
      <c r="E54"/>
      <c r="F54"/>
      <c r="G54"/>
      <c r="H54"/>
      <c r="I54" t="str">
        <f t="shared" si="8"/>
        <v>CA-Yes</v>
      </c>
      <c r="J54" t="str">
        <f t="shared" si="9"/>
        <v>CA-Yes</v>
      </c>
      <c r="K54"/>
      <c r="L54"/>
      <c r="M54">
        <v>1982</v>
      </c>
      <c r="N54" s="242">
        <v>28</v>
      </c>
      <c r="O54" s="413">
        <v>88385</v>
      </c>
      <c r="P54" s="414">
        <v>28493</v>
      </c>
      <c r="Q54" s="228">
        <f t="shared" si="0"/>
        <v>10229</v>
      </c>
      <c r="R54" s="423">
        <v>127107</v>
      </c>
      <c r="S54" s="239"/>
      <c r="T54" s="231">
        <f t="shared" si="10"/>
        <v>88385</v>
      </c>
      <c r="U54" s="231">
        <f t="shared" si="1"/>
        <v>28493</v>
      </c>
      <c r="V54" s="232">
        <f t="shared" si="11"/>
        <v>0.51243176645733157</v>
      </c>
      <c r="W54" s="233">
        <f t="shared" si="14"/>
        <v>0.69535902822031836</v>
      </c>
      <c r="X54" s="234" t="str">
        <f t="shared" si="15"/>
        <v>CA-No</v>
      </c>
      <c r="Y54" s="235" t="str">
        <f t="shared" si="16"/>
        <v>CA-Dem</v>
      </c>
      <c r="Z54" s="236" t="str">
        <f>B54&amp;"-"&amp;IF(V54&gt;Instructions!$H$14,Instructions!$I$14,IF(V54&gt;Instructions!$H$15,Instructions!$I$15,IF(V54&gt;Instructions!$H$16,Instructions!$I$16,IF(V54&gt;Instructions!$H$17,Instructions!$I$17,Instructions!$I$18))))</f>
        <v>CA-No contest</v>
      </c>
      <c r="AA54" s="237">
        <f t="shared" si="17"/>
        <v>0</v>
      </c>
      <c r="AB54" s="237">
        <f t="shared" si="18"/>
        <v>28493</v>
      </c>
      <c r="AC54" s="238">
        <f t="shared" si="19"/>
        <v>10229</v>
      </c>
      <c r="AD54" s="389">
        <f t="shared" si="12"/>
        <v>38722</v>
      </c>
    </row>
    <row r="55" spans="1:30">
      <c r="A55" s="225" t="s">
        <v>70</v>
      </c>
      <c r="B55" s="226" t="s">
        <v>4</v>
      </c>
      <c r="C55" s="426" t="s">
        <v>369</v>
      </c>
      <c r="D55"/>
      <c r="E55"/>
      <c r="F55"/>
      <c r="G55"/>
      <c r="H55"/>
      <c r="I55" t="str">
        <f t="shared" si="8"/>
        <v>CA-Yes</v>
      </c>
      <c r="J55" t="str">
        <f t="shared" si="9"/>
        <v>CA-Yes</v>
      </c>
      <c r="K55"/>
      <c r="L55"/>
      <c r="M55">
        <v>2000</v>
      </c>
      <c r="N55" s="242">
        <v>29</v>
      </c>
      <c r="O55" s="413">
        <v>104374</v>
      </c>
      <c r="P55" s="414">
        <v>51534</v>
      </c>
      <c r="Q55" s="228">
        <f t="shared" si="0"/>
        <v>5218</v>
      </c>
      <c r="R55" s="423">
        <v>161126</v>
      </c>
      <c r="S55" s="239"/>
      <c r="T55" s="231">
        <f t="shared" si="10"/>
        <v>104374</v>
      </c>
      <c r="U55" s="231">
        <f t="shared" si="1"/>
        <v>51534</v>
      </c>
      <c r="V55" s="232">
        <f t="shared" si="11"/>
        <v>0.33891782333170845</v>
      </c>
      <c r="W55" s="233">
        <f t="shared" si="14"/>
        <v>0.64777875699762921</v>
      </c>
      <c r="X55" s="234" t="str">
        <f t="shared" si="15"/>
        <v>CA-No</v>
      </c>
      <c r="Y55" s="235" t="str">
        <f t="shared" si="16"/>
        <v>CA-Dem</v>
      </c>
      <c r="Z55" s="236" t="str">
        <f>B55&amp;"-"&amp;IF(V55&gt;Instructions!$H$14,Instructions!$I$14,IF(V55&gt;Instructions!$H$15,Instructions!$I$15,IF(V55&gt;Instructions!$H$16,Instructions!$I$16,IF(V55&gt;Instructions!$H$17,Instructions!$I$17,Instructions!$I$18))))</f>
        <v>CA-Landslide</v>
      </c>
      <c r="AA55" s="237">
        <f t="shared" si="17"/>
        <v>0</v>
      </c>
      <c r="AB55" s="237">
        <f t="shared" si="18"/>
        <v>51534</v>
      </c>
      <c r="AC55" s="238">
        <f t="shared" si="19"/>
        <v>5218</v>
      </c>
      <c r="AD55" s="389">
        <f t="shared" si="12"/>
        <v>56752</v>
      </c>
    </row>
    <row r="56" spans="1:30">
      <c r="A56" s="225" t="s">
        <v>70</v>
      </c>
      <c r="B56" s="226" t="s">
        <v>4</v>
      </c>
      <c r="C56" s="426" t="s">
        <v>370</v>
      </c>
      <c r="D56"/>
      <c r="E56"/>
      <c r="F56"/>
      <c r="G56"/>
      <c r="H56"/>
      <c r="I56" t="str">
        <f t="shared" si="8"/>
        <v>CA-Yes</v>
      </c>
      <c r="J56" t="str">
        <f t="shared" si="9"/>
        <v>CA-Yes</v>
      </c>
      <c r="K56"/>
      <c r="L56"/>
      <c r="M56">
        <v>1974</v>
      </c>
      <c r="N56" s="242">
        <v>30</v>
      </c>
      <c r="O56" s="413">
        <v>153663</v>
      </c>
      <c r="P56" s="414">
        <v>75948</v>
      </c>
      <c r="Q56" s="228">
        <f t="shared" si="0"/>
        <v>8136</v>
      </c>
      <c r="R56" s="423">
        <v>237747</v>
      </c>
      <c r="S56" s="239"/>
      <c r="T56" s="231">
        <f t="shared" si="10"/>
        <v>153663</v>
      </c>
      <c r="U56" s="231">
        <f t="shared" si="1"/>
        <v>75948</v>
      </c>
      <c r="V56" s="232">
        <f t="shared" si="11"/>
        <v>0.3384637495590368</v>
      </c>
      <c r="W56" s="233">
        <f t="shared" si="14"/>
        <v>0.64632992214412799</v>
      </c>
      <c r="X56" s="234" t="str">
        <f t="shared" si="15"/>
        <v>CA-No</v>
      </c>
      <c r="Y56" s="235" t="str">
        <f t="shared" si="16"/>
        <v>CA-Dem</v>
      </c>
      <c r="Z56" s="236" t="str">
        <f>B56&amp;"-"&amp;IF(V56&gt;Instructions!$H$14,Instructions!$I$14,IF(V56&gt;Instructions!$H$15,Instructions!$I$15,IF(V56&gt;Instructions!$H$16,Instructions!$I$16,IF(V56&gt;Instructions!$H$17,Instructions!$I$17,Instructions!$I$18))))</f>
        <v>CA-Landslide</v>
      </c>
      <c r="AA56" s="237">
        <f t="shared" si="17"/>
        <v>0</v>
      </c>
      <c r="AB56" s="237">
        <f t="shared" si="18"/>
        <v>75948</v>
      </c>
      <c r="AC56" s="238">
        <f t="shared" si="19"/>
        <v>8136</v>
      </c>
      <c r="AD56" s="389">
        <f t="shared" si="12"/>
        <v>84084</v>
      </c>
    </row>
    <row r="57" spans="1:30">
      <c r="A57" s="225" t="s">
        <v>70</v>
      </c>
      <c r="B57" s="226" t="s">
        <v>4</v>
      </c>
      <c r="C57" s="426" t="s">
        <v>371</v>
      </c>
      <c r="D57"/>
      <c r="E57"/>
      <c r="F57" t="s">
        <v>771</v>
      </c>
      <c r="G57"/>
      <c r="H57"/>
      <c r="I57" t="str">
        <f t="shared" si="8"/>
        <v>CA-Yes</v>
      </c>
      <c r="J57" t="str">
        <f t="shared" si="9"/>
        <v>CA-Yes</v>
      </c>
      <c r="K57"/>
      <c r="L57"/>
      <c r="M57">
        <v>1992</v>
      </c>
      <c r="N57" s="242">
        <v>31</v>
      </c>
      <c r="O57" s="413">
        <v>76363</v>
      </c>
      <c r="P57" s="414">
        <v>14740</v>
      </c>
      <c r="Q57" s="228">
        <f t="shared" si="0"/>
        <v>3</v>
      </c>
      <c r="R57" s="423">
        <v>91106</v>
      </c>
      <c r="S57" s="239"/>
      <c r="T57" s="231">
        <f t="shared" si="10"/>
        <v>76363</v>
      </c>
      <c r="U57" s="231">
        <f t="shared" si="1"/>
        <v>14740</v>
      </c>
      <c r="V57" s="232">
        <f t="shared" si="11"/>
        <v>0.67641021700712378</v>
      </c>
      <c r="W57" s="233">
        <f t="shared" si="14"/>
        <v>0.83817750751871445</v>
      </c>
      <c r="X57" s="234" t="str">
        <f t="shared" si="15"/>
        <v>CA-No</v>
      </c>
      <c r="Y57" s="235" t="str">
        <f t="shared" si="16"/>
        <v>CA-Dem</v>
      </c>
      <c r="Z57" s="236" t="str">
        <f>B57&amp;"-"&amp;IF(V57&gt;Instructions!$H$14,Instructions!$I$14,IF(V57&gt;Instructions!$H$15,Instructions!$I$15,IF(V57&gt;Instructions!$H$16,Instructions!$I$16,IF(V57&gt;Instructions!$H$17,Instructions!$I$17,Instructions!$I$18))))</f>
        <v>CA-No contest</v>
      </c>
      <c r="AA57" s="237">
        <f t="shared" si="17"/>
        <v>0</v>
      </c>
      <c r="AB57" s="237">
        <f t="shared" si="18"/>
        <v>14740</v>
      </c>
      <c r="AC57" s="238">
        <f t="shared" si="19"/>
        <v>3</v>
      </c>
      <c r="AD57" s="389">
        <f t="shared" si="12"/>
        <v>14743</v>
      </c>
    </row>
    <row r="58" spans="1:30">
      <c r="A58" s="225" t="s">
        <v>70</v>
      </c>
      <c r="B58" s="226" t="s">
        <v>4</v>
      </c>
      <c r="C58" t="s">
        <v>372</v>
      </c>
      <c r="D58" t="s">
        <v>771</v>
      </c>
      <c r="E58"/>
      <c r="F58"/>
      <c r="G58" t="s">
        <v>771</v>
      </c>
      <c r="H58"/>
      <c r="I58" t="str">
        <f t="shared" si="8"/>
        <v>CA-Yes</v>
      </c>
      <c r="J58" t="str">
        <f t="shared" si="9"/>
        <v>CA-Yes</v>
      </c>
      <c r="K58"/>
      <c r="L58"/>
      <c r="M58">
        <v>2009</v>
      </c>
      <c r="N58" s="242">
        <v>32</v>
      </c>
      <c r="O58" s="413">
        <v>77759</v>
      </c>
      <c r="P58" s="414">
        <v>31697</v>
      </c>
      <c r="Q58" s="228">
        <f t="shared" si="0"/>
        <v>0</v>
      </c>
      <c r="R58" s="423">
        <v>109456</v>
      </c>
      <c r="S58" s="239"/>
      <c r="T58" s="231">
        <f t="shared" si="10"/>
        <v>77759</v>
      </c>
      <c r="U58" s="231">
        <f t="shared" si="1"/>
        <v>31697</v>
      </c>
      <c r="V58" s="232">
        <f t="shared" si="11"/>
        <v>0.42082663353310917</v>
      </c>
      <c r="W58" s="233">
        <f t="shared" si="14"/>
        <v>0.71041331676655461</v>
      </c>
      <c r="X58" s="234" t="str">
        <f t="shared" si="15"/>
        <v>CA-No</v>
      </c>
      <c r="Y58" s="235" t="str">
        <f t="shared" si="16"/>
        <v>CA-Dem</v>
      </c>
      <c r="Z58" s="236" t="str">
        <f>B58&amp;"-"&amp;IF(V58&gt;Instructions!$H$14,Instructions!$I$14,IF(V58&gt;Instructions!$H$15,Instructions!$I$15,IF(V58&gt;Instructions!$H$16,Instructions!$I$16,IF(V58&gt;Instructions!$H$17,Instructions!$I$17,Instructions!$I$18))))</f>
        <v>CA-No contest</v>
      </c>
      <c r="AA58" s="237">
        <f t="shared" si="17"/>
        <v>0</v>
      </c>
      <c r="AB58" s="237">
        <f t="shared" si="18"/>
        <v>31697</v>
      </c>
      <c r="AC58" s="238">
        <f t="shared" si="19"/>
        <v>0</v>
      </c>
      <c r="AD58" s="389">
        <f t="shared" si="12"/>
        <v>31697</v>
      </c>
    </row>
    <row r="59" spans="1:30">
      <c r="A59" s="225" t="s">
        <v>70</v>
      </c>
      <c r="B59" s="226" t="s">
        <v>4</v>
      </c>
      <c r="C59" t="s">
        <v>373</v>
      </c>
      <c r="D59" t="s">
        <v>771</v>
      </c>
      <c r="E59" t="s">
        <v>771</v>
      </c>
      <c r="F59"/>
      <c r="G59"/>
      <c r="H59"/>
      <c r="I59" t="str">
        <f t="shared" si="8"/>
        <v>CA-No</v>
      </c>
      <c r="J59" t="str">
        <f t="shared" si="9"/>
        <v>CA-No</v>
      </c>
      <c r="K59">
        <v>0</v>
      </c>
      <c r="L59"/>
      <c r="M59">
        <v>2010</v>
      </c>
      <c r="N59" s="242">
        <v>33</v>
      </c>
      <c r="O59" s="413">
        <v>131990</v>
      </c>
      <c r="P59" s="414">
        <v>21342</v>
      </c>
      <c r="Q59" s="228">
        <f t="shared" si="0"/>
        <v>1</v>
      </c>
      <c r="R59" s="423">
        <v>153333</v>
      </c>
      <c r="S59" s="239"/>
      <c r="T59" s="231">
        <f t="shared" si="10"/>
        <v>131990</v>
      </c>
      <c r="U59" s="231">
        <f t="shared" si="1"/>
        <v>21342</v>
      </c>
      <c r="V59" s="232">
        <f t="shared" si="11"/>
        <v>0.72162366629275032</v>
      </c>
      <c r="W59" s="233">
        <f t="shared" si="14"/>
        <v>0.86080621914395461</v>
      </c>
      <c r="X59" s="234" t="str">
        <f t="shared" si="15"/>
        <v>CA-No</v>
      </c>
      <c r="Y59" s="235" t="str">
        <f t="shared" si="16"/>
        <v>CA-Dem</v>
      </c>
      <c r="Z59" s="236" t="str">
        <f>B59&amp;"-"&amp;IF(V59&gt;Instructions!$H$14,Instructions!$I$14,IF(V59&gt;Instructions!$H$15,Instructions!$I$15,IF(V59&gt;Instructions!$H$16,Instructions!$I$16,IF(V59&gt;Instructions!$H$17,Instructions!$I$17,Instructions!$I$18))))</f>
        <v>CA-No contest</v>
      </c>
      <c r="AA59" s="237">
        <f t="shared" si="17"/>
        <v>0</v>
      </c>
      <c r="AB59" s="237">
        <f t="shared" si="18"/>
        <v>21342</v>
      </c>
      <c r="AC59" s="238">
        <f t="shared" si="19"/>
        <v>1</v>
      </c>
      <c r="AD59" s="389">
        <f t="shared" si="12"/>
        <v>21343</v>
      </c>
    </row>
    <row r="60" spans="1:30">
      <c r="A60" s="225" t="s">
        <v>70</v>
      </c>
      <c r="B60" s="226" t="s">
        <v>4</v>
      </c>
      <c r="C60" s="426" t="s">
        <v>374</v>
      </c>
      <c r="D60" t="s">
        <v>771</v>
      </c>
      <c r="E60"/>
      <c r="F60" t="s">
        <v>771</v>
      </c>
      <c r="G60"/>
      <c r="H60"/>
      <c r="I60" t="str">
        <f t="shared" si="8"/>
        <v>CA-Yes</v>
      </c>
      <c r="J60" t="str">
        <f t="shared" si="9"/>
        <v>CA-Yes</v>
      </c>
      <c r="K60"/>
      <c r="L60"/>
      <c r="M60">
        <v>1992</v>
      </c>
      <c r="N60" s="242">
        <v>34</v>
      </c>
      <c r="O60" s="413">
        <v>69382</v>
      </c>
      <c r="P60" s="414">
        <v>20457</v>
      </c>
      <c r="Q60" s="228">
        <f t="shared" si="0"/>
        <v>0</v>
      </c>
      <c r="R60" s="423">
        <v>89839</v>
      </c>
      <c r="S60" s="239"/>
      <c r="T60" s="231">
        <f t="shared" si="10"/>
        <v>69382</v>
      </c>
      <c r="U60" s="231">
        <f t="shared" si="1"/>
        <v>20457</v>
      </c>
      <c r="V60" s="232">
        <f t="shared" si="11"/>
        <v>0.54458531372789099</v>
      </c>
      <c r="W60" s="233">
        <f t="shared" si="14"/>
        <v>0.77229265686394555</v>
      </c>
      <c r="X60" s="234" t="str">
        <f t="shared" si="15"/>
        <v>CA-No</v>
      </c>
      <c r="Y60" s="235" t="str">
        <f t="shared" si="16"/>
        <v>CA-Dem</v>
      </c>
      <c r="Z60" s="236" t="str">
        <f>B60&amp;"-"&amp;IF(V60&gt;Instructions!$H$14,Instructions!$I$14,IF(V60&gt;Instructions!$H$15,Instructions!$I$15,IF(V60&gt;Instructions!$H$16,Instructions!$I$16,IF(V60&gt;Instructions!$H$17,Instructions!$I$17,Instructions!$I$18))))</f>
        <v>CA-No contest</v>
      </c>
      <c r="AA60" s="237">
        <f t="shared" si="17"/>
        <v>0</v>
      </c>
      <c r="AB60" s="237">
        <f t="shared" si="18"/>
        <v>20457</v>
      </c>
      <c r="AC60" s="238">
        <f t="shared" si="19"/>
        <v>0</v>
      </c>
      <c r="AD60" s="389">
        <f t="shared" si="12"/>
        <v>20457</v>
      </c>
    </row>
    <row r="61" spans="1:30">
      <c r="A61" s="225" t="s">
        <v>70</v>
      </c>
      <c r="B61" s="226" t="s">
        <v>4</v>
      </c>
      <c r="C61" s="426" t="s">
        <v>375</v>
      </c>
      <c r="D61" t="s">
        <v>771</v>
      </c>
      <c r="E61" t="s">
        <v>771</v>
      </c>
      <c r="F61"/>
      <c r="G61"/>
      <c r="H61"/>
      <c r="I61" t="str">
        <f t="shared" si="8"/>
        <v>CA-Yes</v>
      </c>
      <c r="J61" t="str">
        <f t="shared" si="9"/>
        <v>CA-Yes</v>
      </c>
      <c r="K61"/>
      <c r="L61"/>
      <c r="M61">
        <v>1990</v>
      </c>
      <c r="N61" s="242">
        <v>35</v>
      </c>
      <c r="O61" s="413">
        <v>98131</v>
      </c>
      <c r="P61" s="414">
        <v>25561</v>
      </c>
      <c r="Q61" s="228">
        <f t="shared" si="0"/>
        <v>0</v>
      </c>
      <c r="R61" s="423">
        <v>123692</v>
      </c>
      <c r="S61" s="239"/>
      <c r="T61" s="231">
        <f t="shared" si="10"/>
        <v>98131</v>
      </c>
      <c r="U61" s="231">
        <f t="shared" si="1"/>
        <v>25561</v>
      </c>
      <c r="V61" s="232">
        <f t="shared" si="11"/>
        <v>0.58669922064482749</v>
      </c>
      <c r="W61" s="233">
        <f t="shared" si="14"/>
        <v>0.79334961032241369</v>
      </c>
      <c r="X61" s="234" t="str">
        <f t="shared" si="15"/>
        <v>CA-No</v>
      </c>
      <c r="Y61" s="235" t="str">
        <f t="shared" si="16"/>
        <v>CA-Dem</v>
      </c>
      <c r="Z61" s="236" t="str">
        <f>B61&amp;"-"&amp;IF(V61&gt;Instructions!$H$14,Instructions!$I$14,IF(V61&gt;Instructions!$H$15,Instructions!$I$15,IF(V61&gt;Instructions!$H$16,Instructions!$I$16,IF(V61&gt;Instructions!$H$17,Instructions!$I$17,Instructions!$I$18))))</f>
        <v>CA-No contest</v>
      </c>
      <c r="AA61" s="237">
        <f t="shared" si="17"/>
        <v>0</v>
      </c>
      <c r="AB61" s="237">
        <f t="shared" si="18"/>
        <v>25561</v>
      </c>
      <c r="AC61" s="238">
        <f t="shared" si="19"/>
        <v>0</v>
      </c>
      <c r="AD61" s="389">
        <f t="shared" si="12"/>
        <v>25561</v>
      </c>
    </row>
    <row r="62" spans="1:30">
      <c r="A62" s="225" t="s">
        <v>70</v>
      </c>
      <c r="B62" s="226" t="s">
        <v>4</v>
      </c>
      <c r="C62" s="426" t="s">
        <v>376</v>
      </c>
      <c r="D62" t="s">
        <v>771</v>
      </c>
      <c r="E62"/>
      <c r="F62"/>
      <c r="G62"/>
      <c r="H62"/>
      <c r="I62" t="str">
        <f t="shared" si="8"/>
        <v>CA-Yes</v>
      </c>
      <c r="J62" t="str">
        <f t="shared" si="9"/>
        <v>CA-Yes</v>
      </c>
      <c r="K62"/>
      <c r="L62"/>
      <c r="M62">
        <v>2000</v>
      </c>
      <c r="N62" s="242">
        <v>36</v>
      </c>
      <c r="O62" s="413">
        <v>114489</v>
      </c>
      <c r="P62" s="414">
        <v>66706</v>
      </c>
      <c r="Q62" s="228">
        <f t="shared" si="0"/>
        <v>10840</v>
      </c>
      <c r="R62" s="423">
        <v>192035</v>
      </c>
      <c r="S62" s="239"/>
      <c r="T62" s="231">
        <f t="shared" si="10"/>
        <v>114489</v>
      </c>
      <c r="U62" s="231">
        <f t="shared" si="1"/>
        <v>66706</v>
      </c>
      <c r="V62" s="232">
        <f t="shared" si="11"/>
        <v>0.26371036728386543</v>
      </c>
      <c r="W62" s="233">
        <f t="shared" si="14"/>
        <v>0.59618819486031194</v>
      </c>
      <c r="X62" s="234" t="str">
        <f t="shared" si="15"/>
        <v>CA-No</v>
      </c>
      <c r="Y62" s="235" t="str">
        <f t="shared" si="16"/>
        <v>CA-Dem</v>
      </c>
      <c r="Z62" s="236" t="str">
        <f>B62&amp;"-"&amp;IF(V62&gt;Instructions!$H$14,Instructions!$I$14,IF(V62&gt;Instructions!$H$15,Instructions!$I$15,IF(V62&gt;Instructions!$H$16,Instructions!$I$16,IF(V62&gt;Instructions!$H$17,Instructions!$I$17,Instructions!$I$18))))</f>
        <v>CA-Landslide</v>
      </c>
      <c r="AA62" s="237">
        <f t="shared" si="17"/>
        <v>0</v>
      </c>
      <c r="AB62" s="237">
        <f t="shared" si="18"/>
        <v>66706</v>
      </c>
      <c r="AC62" s="238">
        <f t="shared" si="19"/>
        <v>10840</v>
      </c>
      <c r="AD62" s="389">
        <f t="shared" si="12"/>
        <v>77546</v>
      </c>
    </row>
    <row r="63" spans="1:30">
      <c r="A63" s="225" t="s">
        <v>70</v>
      </c>
      <c r="B63" s="226" t="s">
        <v>4</v>
      </c>
      <c r="C63" s="426" t="s">
        <v>377</v>
      </c>
      <c r="D63" t="s">
        <v>771</v>
      </c>
      <c r="E63" t="s">
        <v>771</v>
      </c>
      <c r="F63"/>
      <c r="G63"/>
      <c r="H63"/>
      <c r="I63" t="str">
        <f t="shared" si="8"/>
        <v>CA-Yes</v>
      </c>
      <c r="J63" t="str">
        <f t="shared" si="9"/>
        <v>CA-Yes</v>
      </c>
      <c r="K63"/>
      <c r="L63"/>
      <c r="M63">
        <v>2007</v>
      </c>
      <c r="N63" s="242">
        <v>37</v>
      </c>
      <c r="O63" s="413">
        <v>85799</v>
      </c>
      <c r="P63" s="414">
        <v>29159</v>
      </c>
      <c r="Q63" s="228">
        <f t="shared" si="0"/>
        <v>10560</v>
      </c>
      <c r="R63" s="423">
        <v>125518</v>
      </c>
      <c r="S63" s="239"/>
      <c r="T63" s="231">
        <f t="shared" si="10"/>
        <v>85799</v>
      </c>
      <c r="U63" s="231">
        <f t="shared" si="1"/>
        <v>29159</v>
      </c>
      <c r="V63" s="232">
        <f t="shared" si="11"/>
        <v>0.49270168235355521</v>
      </c>
      <c r="W63" s="233">
        <f t="shared" si="14"/>
        <v>0.68355933013591674</v>
      </c>
      <c r="X63" s="234" t="str">
        <f t="shared" si="15"/>
        <v>CA-No</v>
      </c>
      <c r="Y63" s="235" t="str">
        <f t="shared" si="16"/>
        <v>CA-Dem</v>
      </c>
      <c r="Z63" s="236" t="str">
        <f>B63&amp;"-"&amp;IF(V63&gt;Instructions!$H$14,Instructions!$I$14,IF(V63&gt;Instructions!$H$15,Instructions!$I$15,IF(V63&gt;Instructions!$H$16,Instructions!$I$16,IF(V63&gt;Instructions!$H$17,Instructions!$I$17,Instructions!$I$18))))</f>
        <v>CA-No contest</v>
      </c>
      <c r="AA63" s="237">
        <f t="shared" si="17"/>
        <v>0</v>
      </c>
      <c r="AB63" s="237">
        <f t="shared" si="18"/>
        <v>29159</v>
      </c>
      <c r="AC63" s="238">
        <f t="shared" si="19"/>
        <v>10560</v>
      </c>
      <c r="AD63" s="389">
        <f t="shared" si="12"/>
        <v>39719</v>
      </c>
    </row>
    <row r="64" spans="1:30">
      <c r="A64" s="225" t="s">
        <v>70</v>
      </c>
      <c r="B64" s="226" t="s">
        <v>4</v>
      </c>
      <c r="C64" s="426" t="s">
        <v>378</v>
      </c>
      <c r="D64" t="s">
        <v>771</v>
      </c>
      <c r="E64"/>
      <c r="F64" t="s">
        <v>771</v>
      </c>
      <c r="G64"/>
      <c r="H64"/>
      <c r="I64" t="str">
        <f t="shared" si="8"/>
        <v>CA-Yes</v>
      </c>
      <c r="J64" t="str">
        <f t="shared" si="9"/>
        <v>CA-Yes</v>
      </c>
      <c r="K64"/>
      <c r="L64"/>
      <c r="M64">
        <v>1998</v>
      </c>
      <c r="N64" s="242">
        <v>38</v>
      </c>
      <c r="O64" s="413">
        <v>85459</v>
      </c>
      <c r="P64" s="414">
        <v>30883</v>
      </c>
      <c r="Q64" s="228">
        <f t="shared" si="0"/>
        <v>0</v>
      </c>
      <c r="R64" s="423">
        <v>116342</v>
      </c>
      <c r="S64" s="239"/>
      <c r="T64" s="231">
        <f t="shared" si="10"/>
        <v>85459</v>
      </c>
      <c r="U64" s="231">
        <f t="shared" si="1"/>
        <v>30883</v>
      </c>
      <c r="V64" s="232">
        <f t="shared" si="11"/>
        <v>0.46909972322978805</v>
      </c>
      <c r="W64" s="233">
        <f t="shared" si="14"/>
        <v>0.734549861614894</v>
      </c>
      <c r="X64" s="234" t="str">
        <f t="shared" si="15"/>
        <v>CA-No</v>
      </c>
      <c r="Y64" s="235" t="str">
        <f t="shared" si="16"/>
        <v>CA-Dem</v>
      </c>
      <c r="Z64" s="236" t="str">
        <f>B64&amp;"-"&amp;IF(V64&gt;Instructions!$H$14,Instructions!$I$14,IF(V64&gt;Instructions!$H$15,Instructions!$I$15,IF(V64&gt;Instructions!$H$16,Instructions!$I$16,IF(V64&gt;Instructions!$H$17,Instructions!$I$17,Instructions!$I$18))))</f>
        <v>CA-No contest</v>
      </c>
      <c r="AA64" s="237">
        <f t="shared" si="17"/>
        <v>0</v>
      </c>
      <c r="AB64" s="237">
        <f t="shared" si="18"/>
        <v>30883</v>
      </c>
      <c r="AC64" s="238">
        <f t="shared" si="19"/>
        <v>0</v>
      </c>
      <c r="AD64" s="389">
        <f t="shared" si="12"/>
        <v>30883</v>
      </c>
    </row>
    <row r="65" spans="1:31">
      <c r="A65" s="225" t="s">
        <v>70</v>
      </c>
      <c r="B65" s="226" t="s">
        <v>4</v>
      </c>
      <c r="C65" s="426" t="s">
        <v>379</v>
      </c>
      <c r="D65" t="s">
        <v>771</v>
      </c>
      <c r="E65"/>
      <c r="F65" t="s">
        <v>771</v>
      </c>
      <c r="G65"/>
      <c r="H65"/>
      <c r="I65" t="str">
        <f t="shared" si="8"/>
        <v>CA-Yes</v>
      </c>
      <c r="J65" t="str">
        <f t="shared" si="9"/>
        <v>CA-Yes</v>
      </c>
      <c r="K65"/>
      <c r="L65"/>
      <c r="M65">
        <v>2002</v>
      </c>
      <c r="N65" s="242">
        <v>39</v>
      </c>
      <c r="O65" s="413">
        <v>81590</v>
      </c>
      <c r="P65" s="414">
        <v>42037</v>
      </c>
      <c r="Q65" s="228">
        <f t="shared" si="0"/>
        <v>5334</v>
      </c>
      <c r="R65" s="423">
        <v>128961</v>
      </c>
      <c r="S65" s="239"/>
      <c r="T65" s="231">
        <f t="shared" si="10"/>
        <v>81590</v>
      </c>
      <c r="U65" s="231">
        <f t="shared" si="1"/>
        <v>42037</v>
      </c>
      <c r="V65" s="232">
        <f t="shared" si="11"/>
        <v>0.31993820120200278</v>
      </c>
      <c r="W65" s="233">
        <f t="shared" si="14"/>
        <v>0.63267189305293847</v>
      </c>
      <c r="X65" s="234" t="str">
        <f t="shared" si="15"/>
        <v>CA-No</v>
      </c>
      <c r="Y65" s="235" t="str">
        <f t="shared" si="16"/>
        <v>CA-Dem</v>
      </c>
      <c r="Z65" s="236" t="str">
        <f>B65&amp;"-"&amp;IF(V65&gt;Instructions!$H$14,Instructions!$I$14,IF(V65&gt;Instructions!$H$15,Instructions!$I$15,IF(V65&gt;Instructions!$H$16,Instructions!$I$16,IF(V65&gt;Instructions!$H$17,Instructions!$I$17,Instructions!$I$18))))</f>
        <v>CA-Landslide</v>
      </c>
      <c r="AA65" s="237">
        <f t="shared" si="17"/>
        <v>0</v>
      </c>
      <c r="AB65" s="237">
        <f t="shared" si="18"/>
        <v>42037</v>
      </c>
      <c r="AC65" s="238">
        <f t="shared" si="19"/>
        <v>5334</v>
      </c>
      <c r="AD65" s="389">
        <f t="shared" si="12"/>
        <v>47371</v>
      </c>
    </row>
    <row r="66" spans="1:31">
      <c r="A66" s="225" t="s">
        <v>70</v>
      </c>
      <c r="B66" s="226" t="s">
        <v>4</v>
      </c>
      <c r="C66" s="426" t="s">
        <v>380</v>
      </c>
      <c r="D66"/>
      <c r="E66"/>
      <c r="F66"/>
      <c r="G66"/>
      <c r="H66"/>
      <c r="I66" t="str">
        <f t="shared" si="8"/>
        <v>CA-Yes</v>
      </c>
      <c r="J66" t="str">
        <f t="shared" si="9"/>
        <v>CA-Yes</v>
      </c>
      <c r="K66"/>
      <c r="L66"/>
      <c r="M66">
        <v>1992</v>
      </c>
      <c r="N66" s="242">
        <v>40</v>
      </c>
      <c r="O66" s="413">
        <v>59400</v>
      </c>
      <c r="P66" s="414">
        <v>119455</v>
      </c>
      <c r="Q66" s="228">
        <f t="shared" si="0"/>
        <v>0</v>
      </c>
      <c r="R66" s="423">
        <v>178855</v>
      </c>
      <c r="S66" s="239"/>
      <c r="T66" s="231">
        <f t="shared" si="10"/>
        <v>119455</v>
      </c>
      <c r="U66" s="231">
        <f t="shared" si="1"/>
        <v>59400</v>
      </c>
      <c r="V66" s="232">
        <f t="shared" si="11"/>
        <v>0.3357747896340611</v>
      </c>
      <c r="W66" s="233">
        <f t="shared" si="14"/>
        <v>0.66788739481703052</v>
      </c>
      <c r="X66" s="234" t="str">
        <f t="shared" si="15"/>
        <v>CA-No</v>
      </c>
      <c r="Y66" s="235" t="str">
        <f t="shared" si="16"/>
        <v>CA-Rep</v>
      </c>
      <c r="Z66" s="236" t="str">
        <f>B66&amp;"-"&amp;IF(V66&gt;Instructions!$H$14,Instructions!$I$14,IF(V66&gt;Instructions!$H$15,Instructions!$I$15,IF(V66&gt;Instructions!$H$16,Instructions!$I$16,IF(V66&gt;Instructions!$H$17,Instructions!$I$17,Instructions!$I$18))))</f>
        <v>CA-Landslide</v>
      </c>
      <c r="AA66" s="237">
        <f t="shared" si="17"/>
        <v>59400</v>
      </c>
      <c r="AB66" s="237">
        <f t="shared" si="18"/>
        <v>0</v>
      </c>
      <c r="AC66" s="238">
        <f t="shared" si="19"/>
        <v>0</v>
      </c>
      <c r="AD66" s="389">
        <f t="shared" si="12"/>
        <v>59400</v>
      </c>
    </row>
    <row r="67" spans="1:31">
      <c r="A67" s="225" t="s">
        <v>70</v>
      </c>
      <c r="B67" s="226" t="s">
        <v>4</v>
      </c>
      <c r="C67" s="426" t="s">
        <v>381</v>
      </c>
      <c r="D67"/>
      <c r="E67"/>
      <c r="F67"/>
      <c r="G67"/>
      <c r="H67"/>
      <c r="I67" t="str">
        <f t="shared" si="8"/>
        <v>CA-Yes</v>
      </c>
      <c r="J67" t="str">
        <f t="shared" si="9"/>
        <v>CA-Yes</v>
      </c>
      <c r="K67"/>
      <c r="L67"/>
      <c r="M67">
        <v>1978</v>
      </c>
      <c r="N67" s="242">
        <v>41</v>
      </c>
      <c r="O67" s="413">
        <v>74394</v>
      </c>
      <c r="P67" s="414">
        <v>127857</v>
      </c>
      <c r="Q67" s="228">
        <f t="shared" si="0"/>
        <v>35</v>
      </c>
      <c r="R67" s="423">
        <v>202286</v>
      </c>
      <c r="S67" s="239"/>
      <c r="T67" s="231">
        <f t="shared" si="10"/>
        <v>127857</v>
      </c>
      <c r="U67" s="231">
        <f t="shared" si="1"/>
        <v>74394</v>
      </c>
      <c r="V67" s="232">
        <f t="shared" si="11"/>
        <v>0.2643398549327321</v>
      </c>
      <c r="W67" s="233">
        <f t="shared" si="14"/>
        <v>0.63206054793707922</v>
      </c>
      <c r="X67" s="234" t="str">
        <f t="shared" si="15"/>
        <v>CA-No</v>
      </c>
      <c r="Y67" s="235" t="str">
        <f t="shared" si="16"/>
        <v>CA-Rep</v>
      </c>
      <c r="Z67" s="236" t="str">
        <f>B67&amp;"-"&amp;IF(V67&gt;Instructions!$H$14,Instructions!$I$14,IF(V67&gt;Instructions!$H$15,Instructions!$I$15,IF(V67&gt;Instructions!$H$16,Instructions!$I$16,IF(V67&gt;Instructions!$H$17,Instructions!$I$17,Instructions!$I$18))))</f>
        <v>CA-Landslide</v>
      </c>
      <c r="AA67" s="237">
        <f t="shared" si="17"/>
        <v>74394</v>
      </c>
      <c r="AB67" s="237">
        <f t="shared" si="18"/>
        <v>0</v>
      </c>
      <c r="AC67" s="238">
        <f t="shared" si="19"/>
        <v>35</v>
      </c>
      <c r="AD67" s="389">
        <f t="shared" si="12"/>
        <v>74429</v>
      </c>
    </row>
    <row r="68" spans="1:31">
      <c r="A68" s="225" t="s">
        <v>70</v>
      </c>
      <c r="B68" s="226" t="s">
        <v>4</v>
      </c>
      <c r="C68" s="426" t="s">
        <v>382</v>
      </c>
      <c r="D68"/>
      <c r="E68"/>
      <c r="F68"/>
      <c r="G68"/>
      <c r="H68"/>
      <c r="I68" t="str">
        <f t="shared" si="8"/>
        <v>CA-Yes</v>
      </c>
      <c r="J68" t="str">
        <f t="shared" si="9"/>
        <v>CA-Yes</v>
      </c>
      <c r="K68"/>
      <c r="L68"/>
      <c r="M68">
        <v>1998</v>
      </c>
      <c r="N68" s="242">
        <v>42</v>
      </c>
      <c r="O68" s="413">
        <v>65122</v>
      </c>
      <c r="P68" s="414">
        <v>127161</v>
      </c>
      <c r="Q68" s="228">
        <f t="shared" si="0"/>
        <v>12115</v>
      </c>
      <c r="R68" s="423">
        <v>204398</v>
      </c>
      <c r="S68" s="239"/>
      <c r="T68" s="231">
        <f t="shared" si="10"/>
        <v>127161</v>
      </c>
      <c r="U68" s="231">
        <f t="shared" si="1"/>
        <v>65122</v>
      </c>
      <c r="V68" s="232">
        <f t="shared" si="11"/>
        <v>0.32264422751881344</v>
      </c>
      <c r="W68" s="233">
        <f t="shared" si="14"/>
        <v>0.62212448262703157</v>
      </c>
      <c r="X68" s="234" t="str">
        <f t="shared" si="15"/>
        <v>CA-No</v>
      </c>
      <c r="Y68" s="235" t="str">
        <f t="shared" si="16"/>
        <v>CA-Rep</v>
      </c>
      <c r="Z68" s="236" t="str">
        <f>B68&amp;"-"&amp;IF(V68&gt;Instructions!$H$14,Instructions!$I$14,IF(V68&gt;Instructions!$H$15,Instructions!$I$15,IF(V68&gt;Instructions!$H$16,Instructions!$I$16,IF(V68&gt;Instructions!$H$17,Instructions!$I$17,Instructions!$I$18))))</f>
        <v>CA-Landslide</v>
      </c>
      <c r="AA68" s="237">
        <f t="shared" si="17"/>
        <v>65122</v>
      </c>
      <c r="AB68" s="237">
        <f t="shared" si="18"/>
        <v>0</v>
      </c>
      <c r="AC68" s="238">
        <f t="shared" si="19"/>
        <v>12115</v>
      </c>
      <c r="AD68" s="389">
        <f t="shared" si="12"/>
        <v>77237</v>
      </c>
    </row>
    <row r="69" spans="1:31">
      <c r="A69" s="225" t="s">
        <v>70</v>
      </c>
      <c r="B69" s="226" t="s">
        <v>4</v>
      </c>
      <c r="C69" s="426" t="s">
        <v>383</v>
      </c>
      <c r="D69"/>
      <c r="E69"/>
      <c r="F69" t="s">
        <v>771</v>
      </c>
      <c r="G69"/>
      <c r="H69"/>
      <c r="I69" t="str">
        <f t="shared" si="8"/>
        <v>CA-Yes</v>
      </c>
      <c r="J69" t="str">
        <f t="shared" si="9"/>
        <v>CA-Yes</v>
      </c>
      <c r="K69"/>
      <c r="L69"/>
      <c r="M69">
        <v>1999</v>
      </c>
      <c r="N69" s="242">
        <v>43</v>
      </c>
      <c r="O69" s="413">
        <v>70026</v>
      </c>
      <c r="P69" s="414">
        <v>36890</v>
      </c>
      <c r="Q69" s="228">
        <f t="shared" si="0"/>
        <v>0</v>
      </c>
      <c r="R69" s="423">
        <v>106916</v>
      </c>
      <c r="S69" s="239"/>
      <c r="T69" s="231">
        <f t="shared" si="10"/>
        <v>70026</v>
      </c>
      <c r="U69" s="231">
        <f t="shared" si="1"/>
        <v>36890</v>
      </c>
      <c r="V69" s="232">
        <f t="shared" si="11"/>
        <v>0.30992554902914438</v>
      </c>
      <c r="W69" s="233">
        <f t="shared" si="14"/>
        <v>0.65496277451457219</v>
      </c>
      <c r="X69" s="234" t="str">
        <f t="shared" si="15"/>
        <v>CA-No</v>
      </c>
      <c r="Y69" s="235" t="str">
        <f t="shared" si="16"/>
        <v>CA-Dem</v>
      </c>
      <c r="Z69" s="236" t="str">
        <f>B69&amp;"-"&amp;IF(V69&gt;Instructions!$H$14,Instructions!$I$14,IF(V69&gt;Instructions!$H$15,Instructions!$I$15,IF(V69&gt;Instructions!$H$16,Instructions!$I$16,IF(V69&gt;Instructions!$H$17,Instructions!$I$17,Instructions!$I$18))))</f>
        <v>CA-Landslide</v>
      </c>
      <c r="AA69" s="237">
        <f t="shared" si="17"/>
        <v>0</v>
      </c>
      <c r="AB69" s="237">
        <f t="shared" si="18"/>
        <v>36890</v>
      </c>
      <c r="AC69" s="238">
        <f t="shared" si="19"/>
        <v>0</v>
      </c>
      <c r="AD69" s="389">
        <f t="shared" si="12"/>
        <v>36890</v>
      </c>
    </row>
    <row r="70" spans="1:31">
      <c r="A70" s="225" t="s">
        <v>70</v>
      </c>
      <c r="B70" s="226" t="s">
        <v>4</v>
      </c>
      <c r="C70" t="s">
        <v>384</v>
      </c>
      <c r="D70"/>
      <c r="E70"/>
      <c r="F70"/>
      <c r="G70"/>
      <c r="H70"/>
      <c r="I70" t="str">
        <f t="shared" si="8"/>
        <v>CA-Yes</v>
      </c>
      <c r="J70" t="str">
        <f t="shared" si="9"/>
        <v>CA-Yes</v>
      </c>
      <c r="K70"/>
      <c r="L70"/>
      <c r="M70">
        <v>1992</v>
      </c>
      <c r="N70" s="242">
        <v>44</v>
      </c>
      <c r="O70" s="413">
        <v>85784</v>
      </c>
      <c r="P70" s="414">
        <v>107482</v>
      </c>
      <c r="Q70" s="228">
        <f t="shared" si="0"/>
        <v>0</v>
      </c>
      <c r="R70" s="423">
        <v>193266</v>
      </c>
      <c r="S70" s="239"/>
      <c r="T70" s="231">
        <f t="shared" si="10"/>
        <v>107482</v>
      </c>
      <c r="U70" s="231">
        <f t="shared" si="1"/>
        <v>85784</v>
      </c>
      <c r="V70" s="232">
        <f t="shared" si="11"/>
        <v>0.11227013546097089</v>
      </c>
      <c r="W70" s="233">
        <f t="shared" si="14"/>
        <v>0.55613506773048549</v>
      </c>
      <c r="X70" s="234" t="str">
        <f t="shared" si="15"/>
        <v>CA-No</v>
      </c>
      <c r="Y70" s="235" t="str">
        <f t="shared" si="16"/>
        <v>CA-Rep</v>
      </c>
      <c r="Z70" s="236" t="str">
        <f>B70&amp;"-"&amp;IF(V70&gt;Instructions!$H$14,Instructions!$I$14,IF(V70&gt;Instructions!$H$15,Instructions!$I$15,IF(V70&gt;Instructions!$H$16,Instructions!$I$16,IF(V70&gt;Instructions!$H$17,Instructions!$I$17,Instructions!$I$18))))</f>
        <v>CA-Opportunity</v>
      </c>
      <c r="AA70" s="237">
        <f t="shared" si="17"/>
        <v>85784</v>
      </c>
      <c r="AB70" s="237">
        <f t="shared" si="18"/>
        <v>0</v>
      </c>
      <c r="AC70" s="238">
        <f t="shared" si="19"/>
        <v>0</v>
      </c>
      <c r="AD70" s="389">
        <f t="shared" si="12"/>
        <v>85784</v>
      </c>
    </row>
    <row r="71" spans="1:31">
      <c r="A71" s="225" t="s">
        <v>70</v>
      </c>
      <c r="B71" s="226" t="s">
        <v>4</v>
      </c>
      <c r="C71" t="s">
        <v>385</v>
      </c>
      <c r="D71" t="s">
        <v>771</v>
      </c>
      <c r="E71"/>
      <c r="F71"/>
      <c r="G71"/>
      <c r="H71"/>
      <c r="I71" t="str">
        <f t="shared" si="8"/>
        <v>CA-Yes</v>
      </c>
      <c r="J71" t="str">
        <f t="shared" si="9"/>
        <v>CA-Yes</v>
      </c>
      <c r="K71"/>
      <c r="L71"/>
      <c r="M71">
        <v>1998</v>
      </c>
      <c r="N71" s="242">
        <v>45</v>
      </c>
      <c r="O71" s="413">
        <v>87141</v>
      </c>
      <c r="P71" s="414">
        <v>106472</v>
      </c>
      <c r="Q71" s="228">
        <f t="shared" ref="Q71:Q134" si="20">R71-P71-O71</f>
        <v>13188</v>
      </c>
      <c r="R71" s="423">
        <v>206801</v>
      </c>
      <c r="S71" s="239"/>
      <c r="T71" s="231">
        <f>MAX(O71:Q71)</f>
        <v>106472</v>
      </c>
      <c r="U71" s="231">
        <f t="shared" ref="U71:U134" si="21">IF(Q71=MAX(O71:Q71),MAX(O71:P71),IF(P71&gt;O71,MAX(O71,Q71),MAX(P71,Q71)))</f>
        <v>87141</v>
      </c>
      <c r="V71" s="232">
        <f t="shared" si="11"/>
        <v>9.9843502244167492E-2</v>
      </c>
      <c r="W71" s="233">
        <f t="shared" ref="W71:W102" si="22">T71/R71</f>
        <v>0.51485244268644736</v>
      </c>
      <c r="X71" s="234" t="str">
        <f t="shared" ref="X71:X102" si="23">B71&amp;"-"&amp;IF(O71*P71=0,"Yes","No")</f>
        <v>CA-No</v>
      </c>
      <c r="Y71" s="235" t="str">
        <f t="shared" ref="Y71:Y102" si="24">B71&amp;"-"&amp;IF(Q71=MAX(O71:Q71),"Other",IF(P71&gt;O71,"Rep","Dem"))</f>
        <v>CA-Rep</v>
      </c>
      <c r="Z71" s="236" t="str">
        <f>B71&amp;"-"&amp;IF(V71&gt;Instructions!$H$14,Instructions!$I$14,IF(V71&gt;Instructions!$H$15,Instructions!$I$15,IF(V71&gt;Instructions!$H$16,Instructions!$I$16,IF(V71&gt;Instructions!$H$17,Instructions!$I$17,Instructions!$I$18))))</f>
        <v>CA-Competitive</v>
      </c>
      <c r="AA71" s="237">
        <f t="shared" ref="AA71:AA102" si="25">IF(T71=O71,0,O71)</f>
        <v>87141</v>
      </c>
      <c r="AB71" s="237">
        <f t="shared" ref="AB71:AB102" si="26">IF(T71=P71,0,P71)</f>
        <v>0</v>
      </c>
      <c r="AC71" s="238">
        <f t="shared" ref="AC71:AC102" si="27">IF(T71=Q71,0,Q71)</f>
        <v>13188</v>
      </c>
      <c r="AD71" s="389">
        <f t="shared" si="12"/>
        <v>100329</v>
      </c>
    </row>
    <row r="72" spans="1:31">
      <c r="A72" s="225" t="s">
        <v>70</v>
      </c>
      <c r="B72" s="226" t="s">
        <v>4</v>
      </c>
      <c r="C72" t="s">
        <v>386</v>
      </c>
      <c r="D72"/>
      <c r="E72"/>
      <c r="F72"/>
      <c r="G72"/>
      <c r="H72"/>
      <c r="I72" t="str">
        <f t="shared" ref="I72:I135" si="28">B72&amp;"-"&amp;IF(K72=1, "Yes", IF(K72="", "Yes", IF(K72=0, "No")))</f>
        <v>CA-Yes</v>
      </c>
      <c r="J72" t="str">
        <f t="shared" ref="J72:J135" si="29">B72&amp;"-"&amp;IF(K72=1, "No", IF(L72=1, "No", IF(K72="", "Yes", IF(K72=0, "No"))))</f>
        <v>CA-Yes</v>
      </c>
      <c r="K72"/>
      <c r="L72"/>
      <c r="M72">
        <v>1988</v>
      </c>
      <c r="N72" s="242">
        <v>46</v>
      </c>
      <c r="O72" s="413">
        <v>84940</v>
      </c>
      <c r="P72" s="414">
        <v>139822</v>
      </c>
      <c r="Q72" s="228">
        <f t="shared" si="20"/>
        <v>20</v>
      </c>
      <c r="R72" s="423">
        <v>224782</v>
      </c>
      <c r="S72" s="239"/>
      <c r="T72" s="231">
        <f t="shared" ref="T72:T135" si="30">MAX(O72:Q72)</f>
        <v>139822</v>
      </c>
      <c r="U72" s="231">
        <f t="shared" si="21"/>
        <v>84940</v>
      </c>
      <c r="V72" s="232">
        <f t="shared" ref="V72:V135" si="31">ABS(O72-P72)/(O72+P72)</f>
        <v>0.24417828636513289</v>
      </c>
      <c r="W72" s="233">
        <f t="shared" si="22"/>
        <v>0.62203379274141168</v>
      </c>
      <c r="X72" s="234" t="str">
        <f t="shared" si="23"/>
        <v>CA-No</v>
      </c>
      <c r="Y72" s="235" t="str">
        <f t="shared" si="24"/>
        <v>CA-Rep</v>
      </c>
      <c r="Z72" s="236" t="str">
        <f>B72&amp;"-"&amp;IF(V72&gt;Instructions!$H$14,Instructions!$I$14,IF(V72&gt;Instructions!$H$15,Instructions!$I$15,IF(V72&gt;Instructions!$H$16,Instructions!$I$16,IF(V72&gt;Instructions!$H$17,Instructions!$I$17,Instructions!$I$18))))</f>
        <v>CA-Landslide</v>
      </c>
      <c r="AA72" s="237">
        <f t="shared" si="25"/>
        <v>84940</v>
      </c>
      <c r="AB72" s="237">
        <f t="shared" si="26"/>
        <v>0</v>
      </c>
      <c r="AC72" s="238">
        <f t="shared" si="27"/>
        <v>20</v>
      </c>
      <c r="AD72" s="389">
        <f t="shared" ref="AD72:AD135" si="32">SUM(AA72:AC72)</f>
        <v>84960</v>
      </c>
    </row>
    <row r="73" spans="1:31">
      <c r="A73" s="225" t="s">
        <v>70</v>
      </c>
      <c r="B73" s="226" t="s">
        <v>4</v>
      </c>
      <c r="C73" t="s">
        <v>387</v>
      </c>
      <c r="D73" t="s">
        <v>771</v>
      </c>
      <c r="E73"/>
      <c r="F73" t="s">
        <v>771</v>
      </c>
      <c r="G73"/>
      <c r="H73"/>
      <c r="I73" t="str">
        <f t="shared" si="28"/>
        <v>CA-Yes</v>
      </c>
      <c r="J73" t="str">
        <f t="shared" si="29"/>
        <v>CA-Yes</v>
      </c>
      <c r="K73"/>
      <c r="L73"/>
      <c r="M73">
        <v>1996</v>
      </c>
      <c r="N73" s="242">
        <v>47</v>
      </c>
      <c r="O73" s="413">
        <v>50832</v>
      </c>
      <c r="P73" s="414">
        <v>37679</v>
      </c>
      <c r="Q73" s="228">
        <f t="shared" si="20"/>
        <v>7443</v>
      </c>
      <c r="R73" s="423">
        <v>95954</v>
      </c>
      <c r="S73" s="239"/>
      <c r="T73" s="231">
        <f t="shared" si="30"/>
        <v>50832</v>
      </c>
      <c r="U73" s="231">
        <f t="shared" si="21"/>
        <v>37679</v>
      </c>
      <c r="V73" s="232">
        <f t="shared" si="31"/>
        <v>0.14860299849736192</v>
      </c>
      <c r="W73" s="233">
        <f t="shared" si="22"/>
        <v>0.52975384038184958</v>
      </c>
      <c r="X73" s="234" t="str">
        <f t="shared" si="23"/>
        <v>CA-No</v>
      </c>
      <c r="Y73" s="235" t="str">
        <f t="shared" si="24"/>
        <v>CA-Dem</v>
      </c>
      <c r="Z73" s="236" t="str">
        <f>B73&amp;"-"&amp;IF(V73&gt;Instructions!$H$14,Instructions!$I$14,IF(V73&gt;Instructions!$H$15,Instructions!$I$15,IF(V73&gt;Instructions!$H$16,Instructions!$I$16,IF(V73&gt;Instructions!$H$17,Instructions!$I$17,Instructions!$I$18))))</f>
        <v>CA-Opportunity</v>
      </c>
      <c r="AA73" s="237">
        <f t="shared" si="25"/>
        <v>0</v>
      </c>
      <c r="AB73" s="237">
        <f t="shared" si="26"/>
        <v>37679</v>
      </c>
      <c r="AC73" s="238">
        <f t="shared" si="27"/>
        <v>7443</v>
      </c>
      <c r="AD73" s="389">
        <f t="shared" si="32"/>
        <v>45122</v>
      </c>
    </row>
    <row r="74" spans="1:31">
      <c r="A74" s="225" t="s">
        <v>70</v>
      </c>
      <c r="B74" s="226" t="s">
        <v>4</v>
      </c>
      <c r="C74" t="s">
        <v>388</v>
      </c>
      <c r="D74"/>
      <c r="E74"/>
      <c r="F74"/>
      <c r="G74"/>
      <c r="H74"/>
      <c r="I74" t="str">
        <f t="shared" si="28"/>
        <v>CA-Yes</v>
      </c>
      <c r="J74" t="str">
        <f t="shared" si="29"/>
        <v>CA-Yes</v>
      </c>
      <c r="K74"/>
      <c r="L74"/>
      <c r="M74">
        <v>2005</v>
      </c>
      <c r="N74" s="242">
        <v>48</v>
      </c>
      <c r="O74" s="413">
        <v>88465</v>
      </c>
      <c r="P74" s="414">
        <v>145481</v>
      </c>
      <c r="Q74" s="228">
        <f t="shared" si="20"/>
        <v>8773</v>
      </c>
      <c r="R74" s="423">
        <v>242719</v>
      </c>
      <c r="S74" s="239"/>
      <c r="T74" s="231">
        <f t="shared" si="30"/>
        <v>145481</v>
      </c>
      <c r="U74" s="231">
        <f t="shared" si="21"/>
        <v>88465</v>
      </c>
      <c r="V74" s="232">
        <f t="shared" si="31"/>
        <v>0.24371436143383515</v>
      </c>
      <c r="W74" s="233">
        <f t="shared" si="22"/>
        <v>0.59938035341279416</v>
      </c>
      <c r="X74" s="234" t="str">
        <f t="shared" si="23"/>
        <v>CA-No</v>
      </c>
      <c r="Y74" s="235" t="str">
        <f t="shared" si="24"/>
        <v>CA-Rep</v>
      </c>
      <c r="Z74" s="236" t="str">
        <f>B74&amp;"-"&amp;IF(V74&gt;Instructions!$H$14,Instructions!$I$14,IF(V74&gt;Instructions!$H$15,Instructions!$I$15,IF(V74&gt;Instructions!$H$16,Instructions!$I$16,IF(V74&gt;Instructions!$H$17,Instructions!$I$17,Instructions!$I$18))))</f>
        <v>CA-Landslide</v>
      </c>
      <c r="AA74" s="237">
        <f t="shared" si="25"/>
        <v>88465</v>
      </c>
      <c r="AB74" s="237">
        <f t="shared" si="26"/>
        <v>0</v>
      </c>
      <c r="AC74" s="238">
        <f t="shared" si="27"/>
        <v>8773</v>
      </c>
      <c r="AD74" s="389">
        <f t="shared" si="32"/>
        <v>97238</v>
      </c>
    </row>
    <row r="75" spans="1:31">
      <c r="A75" s="225" t="s">
        <v>70</v>
      </c>
      <c r="B75" s="226" t="s">
        <v>4</v>
      </c>
      <c r="C75" s="426" t="s">
        <v>389</v>
      </c>
      <c r="D75"/>
      <c r="E75"/>
      <c r="F75"/>
      <c r="G75"/>
      <c r="H75"/>
      <c r="I75" t="str">
        <f t="shared" si="28"/>
        <v>CA-Yes</v>
      </c>
      <c r="J75" t="str">
        <f t="shared" si="29"/>
        <v>CA-Yes</v>
      </c>
      <c r="K75"/>
      <c r="L75"/>
      <c r="M75">
        <v>2000</v>
      </c>
      <c r="N75" s="242">
        <v>49</v>
      </c>
      <c r="O75" s="413">
        <v>59714</v>
      </c>
      <c r="P75" s="414">
        <v>119088</v>
      </c>
      <c r="Q75" s="228">
        <f t="shared" si="20"/>
        <v>10875</v>
      </c>
      <c r="R75" s="423">
        <v>189677</v>
      </c>
      <c r="S75" s="239"/>
      <c r="T75" s="231">
        <f t="shared" si="30"/>
        <v>119088</v>
      </c>
      <c r="U75" s="231">
        <f t="shared" si="21"/>
        <v>59714</v>
      </c>
      <c r="V75" s="232">
        <f t="shared" si="31"/>
        <v>0.33206563684969964</v>
      </c>
      <c r="W75" s="233">
        <f t="shared" si="22"/>
        <v>0.62784628605471404</v>
      </c>
      <c r="X75" s="234" t="str">
        <f t="shared" si="23"/>
        <v>CA-No</v>
      </c>
      <c r="Y75" s="235" t="str">
        <f t="shared" si="24"/>
        <v>CA-Rep</v>
      </c>
      <c r="Z75" s="236" t="str">
        <f>B75&amp;"-"&amp;IF(V75&gt;Instructions!$H$14,Instructions!$I$14,IF(V75&gt;Instructions!$H$15,Instructions!$I$15,IF(V75&gt;Instructions!$H$16,Instructions!$I$16,IF(V75&gt;Instructions!$H$17,Instructions!$I$17,Instructions!$I$18))))</f>
        <v>CA-Landslide</v>
      </c>
      <c r="AA75" s="237">
        <f t="shared" si="25"/>
        <v>59714</v>
      </c>
      <c r="AB75" s="237">
        <f t="shared" si="26"/>
        <v>0</v>
      </c>
      <c r="AC75" s="238">
        <f t="shared" si="27"/>
        <v>10875</v>
      </c>
      <c r="AD75" s="389">
        <f t="shared" si="32"/>
        <v>70589</v>
      </c>
    </row>
    <row r="76" spans="1:31">
      <c r="A76" s="225" t="s">
        <v>70</v>
      </c>
      <c r="B76" s="226" t="s">
        <v>4</v>
      </c>
      <c r="C76" t="s">
        <v>390</v>
      </c>
      <c r="D76"/>
      <c r="E76"/>
      <c r="F76"/>
      <c r="G76"/>
      <c r="H76"/>
      <c r="I76" t="str">
        <f t="shared" si="28"/>
        <v>CA-Yes</v>
      </c>
      <c r="J76" t="str">
        <f t="shared" si="29"/>
        <v>CA-Yes</v>
      </c>
      <c r="K76"/>
      <c r="L76"/>
      <c r="M76">
        <v>2006</v>
      </c>
      <c r="N76" s="242">
        <v>50</v>
      </c>
      <c r="O76" s="413">
        <v>97818</v>
      </c>
      <c r="P76" s="414">
        <v>142247</v>
      </c>
      <c r="Q76" s="228">
        <f t="shared" si="20"/>
        <v>11016</v>
      </c>
      <c r="R76" s="423">
        <v>251081</v>
      </c>
      <c r="S76" s="239"/>
      <c r="T76" s="231">
        <f t="shared" si="30"/>
        <v>142247</v>
      </c>
      <c r="U76" s="231">
        <f t="shared" si="21"/>
        <v>97818</v>
      </c>
      <c r="V76" s="232">
        <f t="shared" si="31"/>
        <v>0.18507071001603731</v>
      </c>
      <c r="W76" s="233">
        <f t="shared" si="22"/>
        <v>0.56653828844078202</v>
      </c>
      <c r="X76" s="234" t="str">
        <f t="shared" si="23"/>
        <v>CA-No</v>
      </c>
      <c r="Y76" s="235" t="str">
        <f t="shared" si="24"/>
        <v>CA-Rep</v>
      </c>
      <c r="Z76" s="236" t="str">
        <f>B76&amp;"-"&amp;IF(V76&gt;Instructions!$H$14,Instructions!$I$14,IF(V76&gt;Instructions!$H$15,Instructions!$I$15,IF(V76&gt;Instructions!$H$16,Instructions!$I$16,IF(V76&gt;Instructions!$H$17,Instructions!$I$17,Instructions!$I$18))))</f>
        <v>CA-Opportunity</v>
      </c>
      <c r="AA76" s="237">
        <f t="shared" si="25"/>
        <v>97818</v>
      </c>
      <c r="AB76" s="237">
        <f t="shared" si="26"/>
        <v>0</v>
      </c>
      <c r="AC76" s="238">
        <f t="shared" si="27"/>
        <v>11016</v>
      </c>
      <c r="AD76" s="389">
        <f t="shared" si="32"/>
        <v>108834</v>
      </c>
    </row>
    <row r="77" spans="1:31">
      <c r="A77" s="225" t="s">
        <v>70</v>
      </c>
      <c r="B77" s="226" t="s">
        <v>4</v>
      </c>
      <c r="C77" s="426" t="s">
        <v>391</v>
      </c>
      <c r="D77"/>
      <c r="E77"/>
      <c r="F77"/>
      <c r="G77"/>
      <c r="H77"/>
      <c r="I77" t="str">
        <f t="shared" si="28"/>
        <v>CA-Yes</v>
      </c>
      <c r="J77" t="str">
        <f t="shared" si="29"/>
        <v>CA-Yes</v>
      </c>
      <c r="K77"/>
      <c r="L77"/>
      <c r="M77">
        <v>1992</v>
      </c>
      <c r="N77" s="242">
        <v>51</v>
      </c>
      <c r="O77" s="413">
        <v>86423</v>
      </c>
      <c r="P77" s="414">
        <v>57488</v>
      </c>
      <c r="Q77" s="228">
        <f t="shared" si="20"/>
        <v>5</v>
      </c>
      <c r="R77" s="423">
        <v>143916</v>
      </c>
      <c r="S77" s="239"/>
      <c r="T77" s="231">
        <f t="shared" si="30"/>
        <v>86423</v>
      </c>
      <c r="U77" s="231">
        <f t="shared" si="21"/>
        <v>57488</v>
      </c>
      <c r="V77" s="232">
        <f t="shared" si="31"/>
        <v>0.20106176734231573</v>
      </c>
      <c r="W77" s="233">
        <f t="shared" si="22"/>
        <v>0.60051001973373352</v>
      </c>
      <c r="X77" s="234" t="str">
        <f t="shared" si="23"/>
        <v>CA-No</v>
      </c>
      <c r="Y77" s="235" t="str">
        <f t="shared" si="24"/>
        <v>CA-Dem</v>
      </c>
      <c r="Z77" s="236" t="str">
        <f>B77&amp;"-"&amp;IF(V77&gt;Instructions!$H$14,Instructions!$I$14,IF(V77&gt;Instructions!$H$15,Instructions!$I$15,IF(V77&gt;Instructions!$H$16,Instructions!$I$16,IF(V77&gt;Instructions!$H$17,Instructions!$I$17,Instructions!$I$18))))</f>
        <v>CA-Landslide</v>
      </c>
      <c r="AA77" s="237">
        <f t="shared" si="25"/>
        <v>0</v>
      </c>
      <c r="AB77" s="237">
        <f t="shared" si="26"/>
        <v>57488</v>
      </c>
      <c r="AC77" s="238">
        <f t="shared" si="27"/>
        <v>5</v>
      </c>
      <c r="AD77" s="389">
        <f t="shared" si="32"/>
        <v>57493</v>
      </c>
    </row>
    <row r="78" spans="1:31">
      <c r="A78" s="225" t="s">
        <v>70</v>
      </c>
      <c r="B78" s="226" t="s">
        <v>4</v>
      </c>
      <c r="C78" t="s">
        <v>392</v>
      </c>
      <c r="D78"/>
      <c r="E78"/>
      <c r="F78"/>
      <c r="G78"/>
      <c r="H78"/>
      <c r="I78" t="str">
        <f t="shared" si="28"/>
        <v>CA-Yes</v>
      </c>
      <c r="J78" t="str">
        <f t="shared" si="29"/>
        <v>CA-Yes</v>
      </c>
      <c r="K78"/>
      <c r="L78"/>
      <c r="M78">
        <v>2008</v>
      </c>
      <c r="N78" s="242">
        <v>52</v>
      </c>
      <c r="O78" s="413">
        <v>70870</v>
      </c>
      <c r="P78" s="414">
        <v>139460</v>
      </c>
      <c r="Q78" s="228">
        <f t="shared" si="20"/>
        <v>10732</v>
      </c>
      <c r="R78" s="423">
        <v>221062</v>
      </c>
      <c r="S78" s="239"/>
      <c r="T78" s="231">
        <f t="shared" si="30"/>
        <v>139460</v>
      </c>
      <c r="U78" s="231">
        <f t="shared" si="21"/>
        <v>70870</v>
      </c>
      <c r="V78" s="232">
        <f t="shared" si="31"/>
        <v>0.32610659439927731</v>
      </c>
      <c r="W78" s="233">
        <f t="shared" si="22"/>
        <v>0.63086373958437003</v>
      </c>
      <c r="X78" s="234" t="str">
        <f t="shared" si="23"/>
        <v>CA-No</v>
      </c>
      <c r="Y78" s="235" t="str">
        <f t="shared" si="24"/>
        <v>CA-Rep</v>
      </c>
      <c r="Z78" s="236" t="str">
        <f>B78&amp;"-"&amp;IF(V78&gt;Instructions!$H$14,Instructions!$I$14,IF(V78&gt;Instructions!$H$15,Instructions!$I$15,IF(V78&gt;Instructions!$H$16,Instructions!$I$16,IF(V78&gt;Instructions!$H$17,Instructions!$I$17,Instructions!$I$18))))</f>
        <v>CA-Landslide</v>
      </c>
      <c r="AA78" s="237">
        <f t="shared" si="25"/>
        <v>70870</v>
      </c>
      <c r="AB78" s="237">
        <f t="shared" si="26"/>
        <v>0</v>
      </c>
      <c r="AC78" s="238">
        <f t="shared" si="27"/>
        <v>10732</v>
      </c>
      <c r="AD78" s="389">
        <f t="shared" si="32"/>
        <v>81602</v>
      </c>
    </row>
    <row r="79" spans="1:31">
      <c r="A79" s="225" t="s">
        <v>70</v>
      </c>
      <c r="B79" s="226" t="s">
        <v>4</v>
      </c>
      <c r="C79" s="426" t="s">
        <v>393</v>
      </c>
      <c r="D79" t="s">
        <v>771</v>
      </c>
      <c r="E79"/>
      <c r="F79"/>
      <c r="G79"/>
      <c r="H79"/>
      <c r="I79" t="str">
        <f t="shared" si="28"/>
        <v>CA-Yes</v>
      </c>
      <c r="J79" t="str">
        <f t="shared" si="29"/>
        <v>CA-Yes</v>
      </c>
      <c r="K79"/>
      <c r="L79"/>
      <c r="M79">
        <v>2000</v>
      </c>
      <c r="N79" s="242">
        <v>53</v>
      </c>
      <c r="O79" s="413">
        <v>104800</v>
      </c>
      <c r="P79" s="414">
        <v>57230</v>
      </c>
      <c r="Q79" s="228">
        <f t="shared" si="20"/>
        <v>6298</v>
      </c>
      <c r="R79" s="423">
        <v>168328</v>
      </c>
      <c r="S79" s="239"/>
      <c r="T79" s="231">
        <f t="shared" si="30"/>
        <v>104800</v>
      </c>
      <c r="U79" s="231">
        <f t="shared" si="21"/>
        <v>57230</v>
      </c>
      <c r="V79" s="232">
        <f t="shared" si="31"/>
        <v>0.29358760723322841</v>
      </c>
      <c r="W79" s="233">
        <f t="shared" si="22"/>
        <v>0.62259398317570458</v>
      </c>
      <c r="X79" s="234" t="str">
        <f t="shared" si="23"/>
        <v>CA-No</v>
      </c>
      <c r="Y79" s="235" t="str">
        <f t="shared" si="24"/>
        <v>CA-Dem</v>
      </c>
      <c r="Z79" s="236" t="str">
        <f>B79&amp;"-"&amp;IF(V79&gt;Instructions!$H$14,Instructions!$I$14,IF(V79&gt;Instructions!$H$15,Instructions!$I$15,IF(V79&gt;Instructions!$H$16,Instructions!$I$16,IF(V79&gt;Instructions!$H$17,Instructions!$I$17,Instructions!$I$18))))</f>
        <v>CA-Landslide</v>
      </c>
      <c r="AA79" s="237">
        <f t="shared" si="25"/>
        <v>0</v>
      </c>
      <c r="AB79" s="237">
        <f t="shared" si="26"/>
        <v>57230</v>
      </c>
      <c r="AC79" s="238">
        <f t="shared" si="27"/>
        <v>6298</v>
      </c>
      <c r="AD79" s="389">
        <f t="shared" si="32"/>
        <v>63528</v>
      </c>
      <c r="AE79" s="389">
        <f>SUM(AD27:AD79)</f>
        <v>3359205</v>
      </c>
    </row>
    <row r="80" spans="1:31">
      <c r="A80" s="225" t="s">
        <v>71</v>
      </c>
      <c r="B80" s="226" t="s">
        <v>5</v>
      </c>
      <c r="C80" s="426" t="s">
        <v>394</v>
      </c>
      <c r="D80" t="s">
        <v>772</v>
      </c>
      <c r="E80"/>
      <c r="F80"/>
      <c r="G80"/>
      <c r="H80"/>
      <c r="I80" t="str">
        <f t="shared" si="28"/>
        <v>CO-Yes</v>
      </c>
      <c r="J80" t="str">
        <f t="shared" si="29"/>
        <v>CO-Yes</v>
      </c>
      <c r="K80"/>
      <c r="L80"/>
      <c r="M80">
        <v>1996</v>
      </c>
      <c r="N80" s="242">
        <v>1</v>
      </c>
      <c r="O80" s="413">
        <v>140073</v>
      </c>
      <c r="P80" s="414">
        <v>59747</v>
      </c>
      <c r="Q80" s="228">
        <f t="shared" si="20"/>
        <v>7931</v>
      </c>
      <c r="R80" s="423">
        <v>207751</v>
      </c>
      <c r="S80" s="239"/>
      <c r="T80" s="231">
        <f t="shared" si="30"/>
        <v>140073</v>
      </c>
      <c r="U80" s="231">
        <f t="shared" si="21"/>
        <v>59747</v>
      </c>
      <c r="V80" s="232">
        <f t="shared" si="31"/>
        <v>0.40199179261335199</v>
      </c>
      <c r="W80" s="233">
        <f t="shared" si="22"/>
        <v>0.67423502173274741</v>
      </c>
      <c r="X80" s="234" t="str">
        <f t="shared" si="23"/>
        <v>CO-No</v>
      </c>
      <c r="Y80" s="235" t="str">
        <f t="shared" si="24"/>
        <v>CO-Dem</v>
      </c>
      <c r="Z80" s="236" t="str">
        <f>B80&amp;"-"&amp;IF(V80&gt;Instructions!$H$14,Instructions!$I$14,IF(V80&gt;Instructions!$H$15,Instructions!$I$15,IF(V80&gt;Instructions!$H$16,Instructions!$I$16,IF(V80&gt;Instructions!$H$17,Instructions!$I$17,Instructions!$I$18))))</f>
        <v>CO-No contest</v>
      </c>
      <c r="AA80" s="237">
        <f t="shared" si="25"/>
        <v>0</v>
      </c>
      <c r="AB80" s="237">
        <f t="shared" si="26"/>
        <v>59747</v>
      </c>
      <c r="AC80" s="238">
        <f t="shared" si="27"/>
        <v>7931</v>
      </c>
      <c r="AD80" s="389">
        <f t="shared" si="32"/>
        <v>67678</v>
      </c>
    </row>
    <row r="81" spans="1:31">
      <c r="A81" s="225" t="s">
        <v>71</v>
      </c>
      <c r="B81" s="226" t="s">
        <v>5</v>
      </c>
      <c r="C81" t="s">
        <v>395</v>
      </c>
      <c r="D81"/>
      <c r="E81"/>
      <c r="F81"/>
      <c r="G81"/>
      <c r="H81"/>
      <c r="I81" t="str">
        <f t="shared" si="28"/>
        <v>CO-Yes</v>
      </c>
      <c r="J81" t="str">
        <f t="shared" si="29"/>
        <v>CO-Yes</v>
      </c>
      <c r="K81"/>
      <c r="L81"/>
      <c r="M81">
        <v>2008</v>
      </c>
      <c r="N81" s="242">
        <v>2</v>
      </c>
      <c r="O81" s="413">
        <v>148720</v>
      </c>
      <c r="P81" s="414">
        <v>98171</v>
      </c>
      <c r="Q81" s="228">
        <f t="shared" si="20"/>
        <v>12143</v>
      </c>
      <c r="R81" s="423">
        <v>259034</v>
      </c>
      <c r="S81" s="239"/>
      <c r="T81" s="231">
        <f t="shared" si="30"/>
        <v>148720</v>
      </c>
      <c r="U81" s="231">
        <f t="shared" si="21"/>
        <v>98171</v>
      </c>
      <c r="V81" s="232">
        <f t="shared" si="31"/>
        <v>0.2047421736717823</v>
      </c>
      <c r="W81" s="233">
        <f t="shared" si="22"/>
        <v>0.57413312538122407</v>
      </c>
      <c r="X81" s="234" t="str">
        <f t="shared" si="23"/>
        <v>CO-No</v>
      </c>
      <c r="Y81" s="235" t="str">
        <f t="shared" si="24"/>
        <v>CO-Dem</v>
      </c>
      <c r="Z81" s="236" t="str">
        <f>B81&amp;"-"&amp;IF(V81&gt;Instructions!$H$14,Instructions!$I$14,IF(V81&gt;Instructions!$H$15,Instructions!$I$15,IF(V81&gt;Instructions!$H$16,Instructions!$I$16,IF(V81&gt;Instructions!$H$17,Instructions!$I$17,Instructions!$I$18))))</f>
        <v>CO-Landslide</v>
      </c>
      <c r="AA81" s="237">
        <f t="shared" si="25"/>
        <v>0</v>
      </c>
      <c r="AB81" s="237">
        <f t="shared" si="26"/>
        <v>98171</v>
      </c>
      <c r="AC81" s="238">
        <f t="shared" si="27"/>
        <v>12143</v>
      </c>
      <c r="AD81" s="389">
        <f t="shared" si="32"/>
        <v>110314</v>
      </c>
    </row>
    <row r="82" spans="1:31">
      <c r="A82" s="225" t="s">
        <v>71</v>
      </c>
      <c r="B82" s="226" t="s">
        <v>5</v>
      </c>
      <c r="C82" t="s">
        <v>396</v>
      </c>
      <c r="D82"/>
      <c r="E82"/>
      <c r="F82"/>
      <c r="G82"/>
      <c r="H82"/>
      <c r="I82" t="str">
        <f t="shared" si="28"/>
        <v>CO-Yes</v>
      </c>
      <c r="J82" t="str">
        <f t="shared" si="29"/>
        <v>CO-No</v>
      </c>
      <c r="K82">
        <f>IF(M82=2010, 1, "")</f>
        <v>1</v>
      </c>
      <c r="L82" t="str">
        <f>B82&amp;"-"&amp;IF(M82=2010, 1, "")</f>
        <v>CO-1</v>
      </c>
      <c r="M82">
        <v>2010</v>
      </c>
      <c r="N82" s="242">
        <v>3</v>
      </c>
      <c r="O82" s="413">
        <v>118048</v>
      </c>
      <c r="P82" s="414">
        <v>129257</v>
      </c>
      <c r="Q82" s="228">
        <f t="shared" si="20"/>
        <v>10694</v>
      </c>
      <c r="R82" s="423">
        <v>257999</v>
      </c>
      <c r="S82" s="239"/>
      <c r="T82" s="231">
        <f t="shared" si="30"/>
        <v>129257</v>
      </c>
      <c r="U82" s="231">
        <f t="shared" si="21"/>
        <v>118048</v>
      </c>
      <c r="V82" s="232">
        <f t="shared" si="31"/>
        <v>4.532459917915125E-2</v>
      </c>
      <c r="W82" s="233">
        <f t="shared" si="22"/>
        <v>0.50099806588397633</v>
      </c>
      <c r="X82" s="234" t="str">
        <f t="shared" si="23"/>
        <v>CO-No</v>
      </c>
      <c r="Y82" s="235" t="str">
        <f t="shared" si="24"/>
        <v>CO-Rep</v>
      </c>
      <c r="Z82" s="236" t="str">
        <f>B82&amp;"-"&amp;IF(V82&gt;Instructions!$H$14,Instructions!$I$14,IF(V82&gt;Instructions!$H$15,Instructions!$I$15,IF(V82&gt;Instructions!$H$16,Instructions!$I$16,IF(V82&gt;Instructions!$H$17,Instructions!$I$17,Instructions!$I$18))))</f>
        <v>CO-Tight</v>
      </c>
      <c r="AA82" s="237">
        <f t="shared" si="25"/>
        <v>118048</v>
      </c>
      <c r="AB82" s="237">
        <f t="shared" si="26"/>
        <v>0</v>
      </c>
      <c r="AC82" s="238">
        <f t="shared" si="27"/>
        <v>10694</v>
      </c>
      <c r="AD82" s="389">
        <f t="shared" si="32"/>
        <v>128742</v>
      </c>
    </row>
    <row r="83" spans="1:31">
      <c r="A83" s="225" t="s">
        <v>71</v>
      </c>
      <c r="B83" s="226" t="s">
        <v>5</v>
      </c>
      <c r="C83" t="s">
        <v>397</v>
      </c>
      <c r="D83"/>
      <c r="E83"/>
      <c r="F83"/>
      <c r="G83"/>
      <c r="H83"/>
      <c r="I83" t="str">
        <f t="shared" si="28"/>
        <v>CO-Yes</v>
      </c>
      <c r="J83" t="str">
        <f t="shared" si="29"/>
        <v>CO-No</v>
      </c>
      <c r="K83">
        <f>IF(M83=2010, 1, "")</f>
        <v>1</v>
      </c>
      <c r="L83" t="str">
        <f>B83&amp;"-"&amp;IF(M83=2010, 1, "")</f>
        <v>CO-1</v>
      </c>
      <c r="M83">
        <v>2010</v>
      </c>
      <c r="N83" s="242">
        <v>4</v>
      </c>
      <c r="O83" s="413">
        <v>109249</v>
      </c>
      <c r="P83" s="414">
        <v>138634</v>
      </c>
      <c r="Q83" s="228">
        <f t="shared" si="20"/>
        <v>16298</v>
      </c>
      <c r="R83" s="423">
        <v>264181</v>
      </c>
      <c r="S83" s="239"/>
      <c r="T83" s="231">
        <f t="shared" si="30"/>
        <v>138634</v>
      </c>
      <c r="U83" s="231">
        <f t="shared" si="21"/>
        <v>109249</v>
      </c>
      <c r="V83" s="232">
        <f t="shared" si="31"/>
        <v>0.11854382914520156</v>
      </c>
      <c r="W83" s="233">
        <f t="shared" si="22"/>
        <v>0.52476900306986496</v>
      </c>
      <c r="X83" s="234" t="str">
        <f t="shared" si="23"/>
        <v>CO-No</v>
      </c>
      <c r="Y83" s="235" t="str">
        <f t="shared" si="24"/>
        <v>CO-Rep</v>
      </c>
      <c r="Z83" s="236" t="str">
        <f>B83&amp;"-"&amp;IF(V83&gt;Instructions!$H$14,Instructions!$I$14,IF(V83&gt;Instructions!$H$15,Instructions!$I$15,IF(V83&gt;Instructions!$H$16,Instructions!$I$16,IF(V83&gt;Instructions!$H$17,Instructions!$I$17,Instructions!$I$18))))</f>
        <v>CO-Opportunity</v>
      </c>
      <c r="AA83" s="237">
        <f t="shared" si="25"/>
        <v>109249</v>
      </c>
      <c r="AB83" s="237">
        <f t="shared" si="26"/>
        <v>0</v>
      </c>
      <c r="AC83" s="238">
        <f t="shared" si="27"/>
        <v>16298</v>
      </c>
      <c r="AD83" s="389">
        <f t="shared" si="32"/>
        <v>125547</v>
      </c>
    </row>
    <row r="84" spans="1:31">
      <c r="A84" s="225" t="s">
        <v>71</v>
      </c>
      <c r="B84" s="226" t="s">
        <v>5</v>
      </c>
      <c r="C84" t="s">
        <v>398</v>
      </c>
      <c r="D84"/>
      <c r="E84"/>
      <c r="F84"/>
      <c r="G84"/>
      <c r="H84"/>
      <c r="I84" t="str">
        <f t="shared" si="28"/>
        <v>CO-Yes</v>
      </c>
      <c r="J84" t="str">
        <f t="shared" si="29"/>
        <v>CO-Yes</v>
      </c>
      <c r="K84"/>
      <c r="L84"/>
      <c r="M84">
        <v>2006</v>
      </c>
      <c r="N84" s="242">
        <v>5</v>
      </c>
      <c r="O84" s="413">
        <v>68039</v>
      </c>
      <c r="P84" s="414">
        <v>152829</v>
      </c>
      <c r="Q84" s="228">
        <f t="shared" si="20"/>
        <v>11566</v>
      </c>
      <c r="R84" s="423">
        <v>232434</v>
      </c>
      <c r="S84" s="239"/>
      <c r="T84" s="231">
        <f t="shared" si="30"/>
        <v>152829</v>
      </c>
      <c r="U84" s="231">
        <f t="shared" si="21"/>
        <v>68039</v>
      </c>
      <c r="V84" s="232">
        <f t="shared" si="31"/>
        <v>0.3838944527953348</v>
      </c>
      <c r="W84" s="233">
        <f t="shared" si="22"/>
        <v>0.65751568187098275</v>
      </c>
      <c r="X84" s="234" t="str">
        <f t="shared" si="23"/>
        <v>CO-No</v>
      </c>
      <c r="Y84" s="235" t="str">
        <f t="shared" si="24"/>
        <v>CO-Rep</v>
      </c>
      <c r="Z84" s="236" t="str">
        <f>B84&amp;"-"&amp;IF(V84&gt;Instructions!$H$14,Instructions!$I$14,IF(V84&gt;Instructions!$H$15,Instructions!$I$15,IF(V84&gt;Instructions!$H$16,Instructions!$I$16,IF(V84&gt;Instructions!$H$17,Instructions!$I$17,Instructions!$I$18))))</f>
        <v>CO-Landslide</v>
      </c>
      <c r="AA84" s="237">
        <f t="shared" si="25"/>
        <v>68039</v>
      </c>
      <c r="AB84" s="237">
        <f t="shared" si="26"/>
        <v>0</v>
      </c>
      <c r="AC84" s="238">
        <f t="shared" si="27"/>
        <v>11566</v>
      </c>
      <c r="AD84" s="389">
        <f t="shared" si="32"/>
        <v>79605</v>
      </c>
    </row>
    <row r="85" spans="1:31">
      <c r="A85" s="225" t="s">
        <v>71</v>
      </c>
      <c r="B85" s="226" t="s">
        <v>5</v>
      </c>
      <c r="C85" t="s">
        <v>399</v>
      </c>
      <c r="D85"/>
      <c r="E85"/>
      <c r="F85"/>
      <c r="G85"/>
      <c r="H85"/>
      <c r="I85" t="str">
        <f t="shared" si="28"/>
        <v>CO-Yes</v>
      </c>
      <c r="J85" t="str">
        <f t="shared" si="29"/>
        <v>CO-Yes</v>
      </c>
      <c r="K85"/>
      <c r="L85"/>
      <c r="M85">
        <v>2008</v>
      </c>
      <c r="N85" s="242">
        <v>6</v>
      </c>
      <c r="O85" s="413">
        <v>104104</v>
      </c>
      <c r="P85" s="414">
        <v>217368</v>
      </c>
      <c r="Q85" s="228">
        <f t="shared" si="20"/>
        <v>9471</v>
      </c>
      <c r="R85" s="423">
        <v>330943</v>
      </c>
      <c r="S85" s="239"/>
      <c r="T85" s="231">
        <f t="shared" si="30"/>
        <v>217368</v>
      </c>
      <c r="U85" s="231">
        <f t="shared" si="21"/>
        <v>104104</v>
      </c>
      <c r="V85" s="232">
        <f t="shared" si="31"/>
        <v>0.35232928528767671</v>
      </c>
      <c r="W85" s="233">
        <f t="shared" si="22"/>
        <v>0.65681401328929756</v>
      </c>
      <c r="X85" s="234" t="str">
        <f t="shared" si="23"/>
        <v>CO-No</v>
      </c>
      <c r="Y85" s="235" t="str">
        <f t="shared" si="24"/>
        <v>CO-Rep</v>
      </c>
      <c r="Z85" s="236" t="str">
        <f>B85&amp;"-"&amp;IF(V85&gt;Instructions!$H$14,Instructions!$I$14,IF(V85&gt;Instructions!$H$15,Instructions!$I$15,IF(V85&gt;Instructions!$H$16,Instructions!$I$16,IF(V85&gt;Instructions!$H$17,Instructions!$I$17,Instructions!$I$18))))</f>
        <v>CO-Landslide</v>
      </c>
      <c r="AA85" s="237">
        <f t="shared" si="25"/>
        <v>104104</v>
      </c>
      <c r="AB85" s="237">
        <f t="shared" si="26"/>
        <v>0</v>
      </c>
      <c r="AC85" s="238">
        <f t="shared" si="27"/>
        <v>9471</v>
      </c>
      <c r="AD85" s="389">
        <f t="shared" si="32"/>
        <v>113575</v>
      </c>
    </row>
    <row r="86" spans="1:31">
      <c r="A86" s="225" t="s">
        <v>71</v>
      </c>
      <c r="B86" s="226" t="s">
        <v>5</v>
      </c>
      <c r="C86" t="s">
        <v>400</v>
      </c>
      <c r="D86"/>
      <c r="E86"/>
      <c r="F86"/>
      <c r="G86"/>
      <c r="H86"/>
      <c r="I86" t="str">
        <f t="shared" si="28"/>
        <v>CO-Yes</v>
      </c>
      <c r="J86" t="str">
        <f t="shared" si="29"/>
        <v>CO-Yes</v>
      </c>
      <c r="K86"/>
      <c r="L86"/>
      <c r="M86">
        <v>2006</v>
      </c>
      <c r="N86" s="242">
        <v>7</v>
      </c>
      <c r="O86" s="413">
        <v>112667</v>
      </c>
      <c r="P86" s="414">
        <v>88026</v>
      </c>
      <c r="Q86" s="228">
        <f t="shared" si="20"/>
        <v>10117</v>
      </c>
      <c r="R86" s="423">
        <v>210810</v>
      </c>
      <c r="S86" s="239"/>
      <c r="T86" s="231">
        <f t="shared" si="30"/>
        <v>112667</v>
      </c>
      <c r="U86" s="231">
        <f t="shared" si="21"/>
        <v>88026</v>
      </c>
      <c r="V86" s="232">
        <f t="shared" si="31"/>
        <v>0.12277956879412835</v>
      </c>
      <c r="W86" s="233">
        <f t="shared" si="22"/>
        <v>0.53444808121056875</v>
      </c>
      <c r="X86" s="234" t="str">
        <f t="shared" si="23"/>
        <v>CO-No</v>
      </c>
      <c r="Y86" s="235" t="str">
        <f t="shared" si="24"/>
        <v>CO-Dem</v>
      </c>
      <c r="Z86" s="236" t="str">
        <f>B86&amp;"-"&amp;IF(V86&gt;Instructions!$H$14,Instructions!$I$14,IF(V86&gt;Instructions!$H$15,Instructions!$I$15,IF(V86&gt;Instructions!$H$16,Instructions!$I$16,IF(V86&gt;Instructions!$H$17,Instructions!$I$17,Instructions!$I$18))))</f>
        <v>CO-Opportunity</v>
      </c>
      <c r="AA86" s="237">
        <f t="shared" si="25"/>
        <v>0</v>
      </c>
      <c r="AB86" s="237">
        <f t="shared" si="26"/>
        <v>88026</v>
      </c>
      <c r="AC86" s="238">
        <f t="shared" si="27"/>
        <v>10117</v>
      </c>
      <c r="AD86" s="389">
        <f t="shared" si="32"/>
        <v>98143</v>
      </c>
      <c r="AE86" s="389">
        <f>SUM(AD80:AD86)</f>
        <v>723604</v>
      </c>
    </row>
    <row r="87" spans="1:31">
      <c r="A87" s="225" t="s">
        <v>72</v>
      </c>
      <c r="B87" s="226" t="s">
        <v>6</v>
      </c>
      <c r="C87" s="426" t="s">
        <v>401</v>
      </c>
      <c r="D87"/>
      <c r="E87"/>
      <c r="F87"/>
      <c r="G87"/>
      <c r="H87"/>
      <c r="I87" t="str">
        <f t="shared" si="28"/>
        <v>CT-Yes</v>
      </c>
      <c r="J87" t="str">
        <f t="shared" si="29"/>
        <v>CT-Yes</v>
      </c>
      <c r="K87"/>
      <c r="L87"/>
      <c r="M87">
        <v>1998</v>
      </c>
      <c r="N87" s="242">
        <v>1</v>
      </c>
      <c r="O87" s="413">
        <v>138440</v>
      </c>
      <c r="P87" s="414">
        <v>84076</v>
      </c>
      <c r="Q87" s="228">
        <f t="shared" si="20"/>
        <v>3519</v>
      </c>
      <c r="R87" s="423">
        <v>226035</v>
      </c>
      <c r="S87" s="239"/>
      <c r="T87" s="231">
        <f t="shared" si="30"/>
        <v>138440</v>
      </c>
      <c r="U87" s="231">
        <f t="shared" si="21"/>
        <v>84076</v>
      </c>
      <c r="V87" s="232">
        <f t="shared" si="31"/>
        <v>0.24431501554944363</v>
      </c>
      <c r="W87" s="233">
        <f t="shared" si="22"/>
        <v>0.61247151989736104</v>
      </c>
      <c r="X87" s="234" t="str">
        <f t="shared" si="23"/>
        <v>CT-No</v>
      </c>
      <c r="Y87" s="235" t="str">
        <f t="shared" si="24"/>
        <v>CT-Dem</v>
      </c>
      <c r="Z87" s="236" t="str">
        <f>B87&amp;"-"&amp;IF(V87&gt;Instructions!$H$14,Instructions!$I$14,IF(V87&gt;Instructions!$H$15,Instructions!$I$15,IF(V87&gt;Instructions!$H$16,Instructions!$I$16,IF(V87&gt;Instructions!$H$17,Instructions!$I$17,Instructions!$I$18))))</f>
        <v>CT-Landslide</v>
      </c>
      <c r="AA87" s="237">
        <f t="shared" si="25"/>
        <v>0</v>
      </c>
      <c r="AB87" s="237">
        <f t="shared" si="26"/>
        <v>84076</v>
      </c>
      <c r="AC87" s="238">
        <f t="shared" si="27"/>
        <v>3519</v>
      </c>
      <c r="AD87" s="389">
        <f t="shared" si="32"/>
        <v>87595</v>
      </c>
    </row>
    <row r="88" spans="1:31">
      <c r="A88" s="225" t="s">
        <v>72</v>
      </c>
      <c r="B88" s="226" t="s">
        <v>6</v>
      </c>
      <c r="C88" t="s">
        <v>402</v>
      </c>
      <c r="D88"/>
      <c r="E88"/>
      <c r="F88"/>
      <c r="G88"/>
      <c r="H88"/>
      <c r="I88" t="str">
        <f t="shared" si="28"/>
        <v>CT-Yes</v>
      </c>
      <c r="J88" t="str">
        <f t="shared" si="29"/>
        <v>CT-Yes</v>
      </c>
      <c r="K88"/>
      <c r="L88"/>
      <c r="M88">
        <v>2006</v>
      </c>
      <c r="N88" s="242">
        <v>2</v>
      </c>
      <c r="O88" s="413">
        <v>147748</v>
      </c>
      <c r="P88" s="414">
        <v>95671</v>
      </c>
      <c r="Q88" s="228">
        <f t="shared" si="20"/>
        <v>3344</v>
      </c>
      <c r="R88" s="423">
        <v>246763</v>
      </c>
      <c r="S88" s="239"/>
      <c r="T88" s="231">
        <f t="shared" si="30"/>
        <v>147748</v>
      </c>
      <c r="U88" s="231">
        <f t="shared" si="21"/>
        <v>95671</v>
      </c>
      <c r="V88" s="232">
        <f t="shared" si="31"/>
        <v>0.21393974997843226</v>
      </c>
      <c r="W88" s="233">
        <f t="shared" si="22"/>
        <v>0.59874454436037816</v>
      </c>
      <c r="X88" s="234" t="str">
        <f t="shared" si="23"/>
        <v>CT-No</v>
      </c>
      <c r="Y88" s="235" t="str">
        <f t="shared" si="24"/>
        <v>CT-Dem</v>
      </c>
      <c r="Z88" s="236" t="str">
        <f>B88&amp;"-"&amp;IF(V88&gt;Instructions!$H$14,Instructions!$I$14,IF(V88&gt;Instructions!$H$15,Instructions!$I$15,IF(V88&gt;Instructions!$H$16,Instructions!$I$16,IF(V88&gt;Instructions!$H$17,Instructions!$I$17,Instructions!$I$18))))</f>
        <v>CT-Landslide</v>
      </c>
      <c r="AA88" s="237">
        <f t="shared" si="25"/>
        <v>0</v>
      </c>
      <c r="AB88" s="237">
        <f t="shared" si="26"/>
        <v>95671</v>
      </c>
      <c r="AC88" s="238">
        <f t="shared" si="27"/>
        <v>3344</v>
      </c>
      <c r="AD88" s="389">
        <f t="shared" si="32"/>
        <v>99015</v>
      </c>
    </row>
    <row r="89" spans="1:31">
      <c r="A89" s="225" t="s">
        <v>72</v>
      </c>
      <c r="B89" s="226" t="s">
        <v>6</v>
      </c>
      <c r="C89" t="s">
        <v>403</v>
      </c>
      <c r="D89" t="s">
        <v>773</v>
      </c>
      <c r="E89"/>
      <c r="F89"/>
      <c r="G89"/>
      <c r="H89"/>
      <c r="I89" t="str">
        <f t="shared" si="28"/>
        <v>CT-Yes</v>
      </c>
      <c r="J89" t="str">
        <f t="shared" si="29"/>
        <v>CT-Yes</v>
      </c>
      <c r="K89"/>
      <c r="L89"/>
      <c r="M89">
        <v>1990</v>
      </c>
      <c r="N89" s="242">
        <v>3</v>
      </c>
      <c r="O89" s="413">
        <v>143565</v>
      </c>
      <c r="P89" s="414">
        <v>74107</v>
      </c>
      <c r="Q89" s="228">
        <f t="shared" si="20"/>
        <v>2984</v>
      </c>
      <c r="R89" s="423">
        <v>220656</v>
      </c>
      <c r="S89" s="239"/>
      <c r="T89" s="231">
        <f t="shared" si="30"/>
        <v>143565</v>
      </c>
      <c r="U89" s="231">
        <f t="shared" si="21"/>
        <v>74107</v>
      </c>
      <c r="V89" s="232">
        <f t="shared" si="31"/>
        <v>0.31909478481384834</v>
      </c>
      <c r="W89" s="233">
        <f t="shared" si="22"/>
        <v>0.65062812703937345</v>
      </c>
      <c r="X89" s="234" t="str">
        <f t="shared" si="23"/>
        <v>CT-No</v>
      </c>
      <c r="Y89" s="235" t="str">
        <f t="shared" si="24"/>
        <v>CT-Dem</v>
      </c>
      <c r="Z89" s="236" t="str">
        <f>B89&amp;"-"&amp;IF(V89&gt;Instructions!$H$14,Instructions!$I$14,IF(V89&gt;Instructions!$H$15,Instructions!$I$15,IF(V89&gt;Instructions!$H$16,Instructions!$I$16,IF(V89&gt;Instructions!$H$17,Instructions!$I$17,Instructions!$I$18))))</f>
        <v>CT-Landslide</v>
      </c>
      <c r="AA89" s="237">
        <f t="shared" si="25"/>
        <v>0</v>
      </c>
      <c r="AB89" s="237">
        <f t="shared" si="26"/>
        <v>74107</v>
      </c>
      <c r="AC89" s="238">
        <f t="shared" si="27"/>
        <v>2984</v>
      </c>
      <c r="AD89" s="389">
        <f t="shared" si="32"/>
        <v>77091</v>
      </c>
    </row>
    <row r="90" spans="1:31">
      <c r="A90" s="225" t="s">
        <v>72</v>
      </c>
      <c r="B90" s="226" t="s">
        <v>6</v>
      </c>
      <c r="C90" t="s">
        <v>404</v>
      </c>
      <c r="D90"/>
      <c r="E90"/>
      <c r="F90"/>
      <c r="G90"/>
      <c r="H90"/>
      <c r="I90" t="str">
        <f t="shared" si="28"/>
        <v>CT-Yes</v>
      </c>
      <c r="J90" t="str">
        <f t="shared" si="29"/>
        <v>CT-Yes</v>
      </c>
      <c r="K90"/>
      <c r="L90"/>
      <c r="M90">
        <v>2008</v>
      </c>
      <c r="N90" s="242">
        <v>4</v>
      </c>
      <c r="O90" s="413">
        <v>115351</v>
      </c>
      <c r="P90" s="414">
        <v>102030</v>
      </c>
      <c r="Q90" s="228">
        <f t="shared" si="20"/>
        <v>0</v>
      </c>
      <c r="R90" s="423">
        <v>217381</v>
      </c>
      <c r="S90" s="239"/>
      <c r="T90" s="231">
        <f t="shared" si="30"/>
        <v>115351</v>
      </c>
      <c r="U90" s="231">
        <f t="shared" si="21"/>
        <v>102030</v>
      </c>
      <c r="V90" s="232">
        <f t="shared" si="31"/>
        <v>6.127950464852034E-2</v>
      </c>
      <c r="W90" s="233">
        <f t="shared" si="22"/>
        <v>0.53063975232426019</v>
      </c>
      <c r="X90" s="234" t="str">
        <f t="shared" si="23"/>
        <v>CT-No</v>
      </c>
      <c r="Y90" s="235" t="str">
        <f t="shared" si="24"/>
        <v>CT-Dem</v>
      </c>
      <c r="Z90" s="236" t="str">
        <f>B90&amp;"-"&amp;IF(V90&gt;Instructions!$H$14,Instructions!$I$14,IF(V90&gt;Instructions!$H$15,Instructions!$I$15,IF(V90&gt;Instructions!$H$16,Instructions!$I$16,IF(V90&gt;Instructions!$H$17,Instructions!$I$17,Instructions!$I$18))))</f>
        <v>CT-Competitive</v>
      </c>
      <c r="AA90" s="237">
        <f t="shared" si="25"/>
        <v>0</v>
      </c>
      <c r="AB90" s="237">
        <f t="shared" si="26"/>
        <v>102030</v>
      </c>
      <c r="AC90" s="238">
        <f t="shared" si="27"/>
        <v>0</v>
      </c>
      <c r="AD90" s="389">
        <f t="shared" si="32"/>
        <v>102030</v>
      </c>
    </row>
    <row r="91" spans="1:31">
      <c r="A91" s="225" t="s">
        <v>72</v>
      </c>
      <c r="B91" s="226" t="s">
        <v>6</v>
      </c>
      <c r="C91" t="s">
        <v>405</v>
      </c>
      <c r="D91"/>
      <c r="E91"/>
      <c r="F91"/>
      <c r="G91"/>
      <c r="H91"/>
      <c r="I91" t="str">
        <f t="shared" si="28"/>
        <v>CT-Yes</v>
      </c>
      <c r="J91" t="str">
        <f t="shared" si="29"/>
        <v>CT-Yes</v>
      </c>
      <c r="K91"/>
      <c r="L91"/>
      <c r="M91">
        <v>2006</v>
      </c>
      <c r="N91" s="242">
        <v>5</v>
      </c>
      <c r="O91" s="413">
        <v>122879</v>
      </c>
      <c r="P91" s="414">
        <v>104402</v>
      </c>
      <c r="Q91" s="228">
        <f t="shared" si="20"/>
        <v>22</v>
      </c>
      <c r="R91" s="423">
        <v>227303</v>
      </c>
      <c r="S91" s="239"/>
      <c r="T91" s="231">
        <f t="shared" si="30"/>
        <v>122879</v>
      </c>
      <c r="U91" s="231">
        <f t="shared" si="21"/>
        <v>104402</v>
      </c>
      <c r="V91" s="232">
        <f t="shared" si="31"/>
        <v>8.129584083139374E-2</v>
      </c>
      <c r="W91" s="233">
        <f t="shared" si="22"/>
        <v>0.5405955926670567</v>
      </c>
      <c r="X91" s="234" t="str">
        <f t="shared" si="23"/>
        <v>CT-No</v>
      </c>
      <c r="Y91" s="235" t="str">
        <f t="shared" si="24"/>
        <v>CT-Dem</v>
      </c>
      <c r="Z91" s="236" t="str">
        <f>B91&amp;"-"&amp;IF(V91&gt;Instructions!$H$14,Instructions!$I$14,IF(V91&gt;Instructions!$H$15,Instructions!$I$15,IF(V91&gt;Instructions!$H$16,Instructions!$I$16,IF(V91&gt;Instructions!$H$17,Instructions!$I$17,Instructions!$I$18))))</f>
        <v>CT-Competitive</v>
      </c>
      <c r="AA91" s="237">
        <f t="shared" si="25"/>
        <v>0</v>
      </c>
      <c r="AB91" s="237">
        <f t="shared" si="26"/>
        <v>104402</v>
      </c>
      <c r="AC91" s="238">
        <f t="shared" si="27"/>
        <v>22</v>
      </c>
      <c r="AD91" s="389">
        <f t="shared" si="32"/>
        <v>104424</v>
      </c>
      <c r="AE91" s="389">
        <f>SUM(AD87:AD91)</f>
        <v>470155</v>
      </c>
    </row>
    <row r="92" spans="1:31">
      <c r="A92" s="225" t="s">
        <v>73</v>
      </c>
      <c r="B92" s="226" t="s">
        <v>7</v>
      </c>
      <c r="C92" t="s">
        <v>406</v>
      </c>
      <c r="D92"/>
      <c r="E92"/>
      <c r="F92"/>
      <c r="G92"/>
      <c r="H92"/>
      <c r="I92" t="str">
        <f t="shared" si="28"/>
        <v>DE-No</v>
      </c>
      <c r="J92" t="str">
        <f t="shared" si="29"/>
        <v>DE-No</v>
      </c>
      <c r="K92">
        <v>0</v>
      </c>
      <c r="L92" t="str">
        <f>B92&amp;"-"&amp;IF(M92=2010, 1, "")</f>
        <v>DE-1</v>
      </c>
      <c r="M92">
        <v>2010</v>
      </c>
      <c r="N92" s="242">
        <v>1</v>
      </c>
      <c r="O92" s="415">
        <v>173543</v>
      </c>
      <c r="P92" s="416">
        <v>125442</v>
      </c>
      <c r="Q92" s="228">
        <f t="shared" si="20"/>
        <v>6651</v>
      </c>
      <c r="R92" s="423">
        <v>305636</v>
      </c>
      <c r="S92" s="239"/>
      <c r="T92" s="231">
        <f t="shared" si="30"/>
        <v>173543</v>
      </c>
      <c r="U92" s="231">
        <f t="shared" si="21"/>
        <v>125442</v>
      </c>
      <c r="V92" s="232">
        <f t="shared" si="31"/>
        <v>0.16088098065120324</v>
      </c>
      <c r="W92" s="233">
        <f t="shared" si="22"/>
        <v>0.56780942035624071</v>
      </c>
      <c r="X92" s="234" t="str">
        <f t="shared" si="23"/>
        <v>DE-No</v>
      </c>
      <c r="Y92" s="235" t="str">
        <f t="shared" si="24"/>
        <v>DE-Dem</v>
      </c>
      <c r="Z92" s="236" t="str">
        <f>B92&amp;"-"&amp;IF(V92&gt;Instructions!$H$14,Instructions!$I$14,IF(V92&gt;Instructions!$H$15,Instructions!$I$15,IF(V92&gt;Instructions!$H$16,Instructions!$I$16,IF(V92&gt;Instructions!$H$17,Instructions!$I$17,Instructions!$I$18))))</f>
        <v>DE-Opportunity</v>
      </c>
      <c r="AA92" s="237">
        <f t="shared" si="25"/>
        <v>0</v>
      </c>
      <c r="AB92" s="237">
        <f t="shared" si="26"/>
        <v>125442</v>
      </c>
      <c r="AC92" s="238">
        <f t="shared" si="27"/>
        <v>6651</v>
      </c>
      <c r="AD92" s="389">
        <f t="shared" si="32"/>
        <v>132093</v>
      </c>
      <c r="AE92" s="389">
        <f>SUM(AD92)</f>
        <v>132093</v>
      </c>
    </row>
    <row r="93" spans="1:31">
      <c r="A93" s="225" t="s">
        <v>74</v>
      </c>
      <c r="B93" s="226" t="s">
        <v>8</v>
      </c>
      <c r="C93" s="426" t="s">
        <v>407</v>
      </c>
      <c r="D93"/>
      <c r="E93"/>
      <c r="F93"/>
      <c r="G93"/>
      <c r="H93"/>
      <c r="I93" t="str">
        <f t="shared" si="28"/>
        <v>FL-Yes</v>
      </c>
      <c r="J93" t="str">
        <f t="shared" si="29"/>
        <v>FL-Yes</v>
      </c>
      <c r="K93" t="str">
        <f t="shared" ref="K93:K155" si="33">IF(M93=2010, 1, "")</f>
        <v/>
      </c>
      <c r="L93" t="str">
        <f t="shared" ref="L93" si="34">IF(M93=2010, 1, "")</f>
        <v/>
      </c>
      <c r="M93">
        <v>2001</v>
      </c>
      <c r="N93" s="242">
        <v>1</v>
      </c>
      <c r="O93" s="415">
        <v>0</v>
      </c>
      <c r="P93" s="416">
        <v>170821</v>
      </c>
      <c r="Q93" s="228">
        <f t="shared" si="20"/>
        <v>42705</v>
      </c>
      <c r="R93" s="423">
        <v>213526</v>
      </c>
      <c r="S93" s="239"/>
      <c r="T93" s="231">
        <f t="shared" si="30"/>
        <v>170821</v>
      </c>
      <c r="U93" s="231">
        <f t="shared" si="21"/>
        <v>42705</v>
      </c>
      <c r="V93" s="232">
        <f t="shared" si="31"/>
        <v>1</v>
      </c>
      <c r="W93" s="233">
        <f t="shared" si="22"/>
        <v>0.80000093665408423</v>
      </c>
      <c r="X93" s="234" t="str">
        <f t="shared" si="23"/>
        <v>FL-Yes</v>
      </c>
      <c r="Y93" s="235" t="str">
        <f t="shared" si="24"/>
        <v>FL-Rep</v>
      </c>
      <c r="Z93" s="236" t="str">
        <f>B93&amp;"-"&amp;IF(V93&gt;Instructions!$H$14,Instructions!$I$14,IF(V93&gt;Instructions!$H$15,Instructions!$I$15,IF(V93&gt;Instructions!$H$16,Instructions!$I$16,IF(V93&gt;Instructions!$H$17,Instructions!$I$17,Instructions!$I$18))))</f>
        <v>FL-No contest</v>
      </c>
      <c r="AA93" s="237">
        <f t="shared" si="25"/>
        <v>0</v>
      </c>
      <c r="AB93" s="237">
        <f t="shared" si="26"/>
        <v>0</v>
      </c>
      <c r="AC93" s="238">
        <f t="shared" si="27"/>
        <v>42705</v>
      </c>
      <c r="AD93" s="389">
        <f t="shared" si="32"/>
        <v>42705</v>
      </c>
    </row>
    <row r="94" spans="1:31">
      <c r="A94" s="225" t="s">
        <v>74</v>
      </c>
      <c r="B94" s="226" t="s">
        <v>8</v>
      </c>
      <c r="C94" t="s">
        <v>408</v>
      </c>
      <c r="D94"/>
      <c r="E94"/>
      <c r="F94"/>
      <c r="G94"/>
      <c r="H94"/>
      <c r="I94" t="str">
        <f t="shared" si="28"/>
        <v>FL-Yes</v>
      </c>
      <c r="J94" t="str">
        <f t="shared" si="29"/>
        <v>FL-No</v>
      </c>
      <c r="K94">
        <f>IF(M94=2010, 1, "")</f>
        <v>1</v>
      </c>
      <c r="L94" t="str">
        <f>B94&amp;"-"&amp;IF(M94=2010, 1, "")</f>
        <v>FL-1</v>
      </c>
      <c r="M94">
        <v>2010</v>
      </c>
      <c r="N94" s="242">
        <v>2</v>
      </c>
      <c r="O94" s="415">
        <v>105211</v>
      </c>
      <c r="P94" s="416">
        <v>136371</v>
      </c>
      <c r="Q94" s="228">
        <f t="shared" si="20"/>
        <v>12856</v>
      </c>
      <c r="R94" s="423">
        <v>254438</v>
      </c>
      <c r="S94" s="239"/>
      <c r="T94" s="231">
        <f t="shared" si="30"/>
        <v>136371</v>
      </c>
      <c r="U94" s="231">
        <f t="shared" si="21"/>
        <v>105211</v>
      </c>
      <c r="V94" s="232">
        <f t="shared" si="31"/>
        <v>0.12898311960328171</v>
      </c>
      <c r="W94" s="233">
        <f t="shared" si="22"/>
        <v>0.53596946996910844</v>
      </c>
      <c r="X94" s="234" t="str">
        <f t="shared" si="23"/>
        <v>FL-No</v>
      </c>
      <c r="Y94" s="235" t="str">
        <f t="shared" si="24"/>
        <v>FL-Rep</v>
      </c>
      <c r="Z94" s="236" t="str">
        <f>B94&amp;"-"&amp;IF(V94&gt;Instructions!$H$14,Instructions!$I$14,IF(V94&gt;Instructions!$H$15,Instructions!$I$15,IF(V94&gt;Instructions!$H$16,Instructions!$I$16,IF(V94&gt;Instructions!$H$17,Instructions!$I$17,Instructions!$I$18))))</f>
        <v>FL-Opportunity</v>
      </c>
      <c r="AA94" s="237">
        <f t="shared" si="25"/>
        <v>105211</v>
      </c>
      <c r="AB94" s="237">
        <f t="shared" si="26"/>
        <v>0</v>
      </c>
      <c r="AC94" s="238">
        <f t="shared" si="27"/>
        <v>12856</v>
      </c>
      <c r="AD94" s="389">
        <f t="shared" si="32"/>
        <v>118067</v>
      </c>
    </row>
    <row r="95" spans="1:31">
      <c r="A95" s="225" t="s">
        <v>74</v>
      </c>
      <c r="B95" s="226" t="s">
        <v>8</v>
      </c>
      <c r="C95" s="426" t="s">
        <v>409</v>
      </c>
      <c r="D95" t="s">
        <v>774</v>
      </c>
      <c r="E95" t="s">
        <v>774</v>
      </c>
      <c r="F95"/>
      <c r="G95"/>
      <c r="H95"/>
      <c r="I95" t="str">
        <f t="shared" si="28"/>
        <v>FL-Yes</v>
      </c>
      <c r="J95" t="str">
        <f t="shared" si="29"/>
        <v>FL-Yes</v>
      </c>
      <c r="K95" t="str">
        <f t="shared" si="33"/>
        <v/>
      </c>
      <c r="L95" t="str">
        <f t="shared" ref="L95:L155" si="35">IF(M95=2010, 1, "")</f>
        <v/>
      </c>
      <c r="M95">
        <v>1992</v>
      </c>
      <c r="N95" s="242">
        <v>3</v>
      </c>
      <c r="O95" s="415">
        <v>94744</v>
      </c>
      <c r="P95" s="416">
        <v>50932</v>
      </c>
      <c r="Q95" s="228">
        <f t="shared" si="20"/>
        <v>4625</v>
      </c>
      <c r="R95" s="423">
        <v>150301</v>
      </c>
      <c r="S95" s="239"/>
      <c r="T95" s="231">
        <f t="shared" si="30"/>
        <v>94744</v>
      </c>
      <c r="U95" s="231">
        <f t="shared" si="21"/>
        <v>50932</v>
      </c>
      <c r="V95" s="232">
        <f t="shared" si="31"/>
        <v>0.30074960872072271</v>
      </c>
      <c r="W95" s="233">
        <f t="shared" si="22"/>
        <v>0.63036174077351448</v>
      </c>
      <c r="X95" s="234" t="str">
        <f t="shared" si="23"/>
        <v>FL-No</v>
      </c>
      <c r="Y95" s="235" t="str">
        <f t="shared" si="24"/>
        <v>FL-Dem</v>
      </c>
      <c r="Z95" s="236" t="str">
        <f>B95&amp;"-"&amp;IF(V95&gt;Instructions!$H$14,Instructions!$I$14,IF(V95&gt;Instructions!$H$15,Instructions!$I$15,IF(V95&gt;Instructions!$H$16,Instructions!$I$16,IF(V95&gt;Instructions!$H$17,Instructions!$I$17,Instructions!$I$18))))</f>
        <v>FL-Landslide</v>
      </c>
      <c r="AA95" s="237">
        <f t="shared" si="25"/>
        <v>0</v>
      </c>
      <c r="AB95" s="237">
        <f t="shared" si="26"/>
        <v>50932</v>
      </c>
      <c r="AC95" s="238">
        <f t="shared" si="27"/>
        <v>4625</v>
      </c>
      <c r="AD95" s="389">
        <f t="shared" si="32"/>
        <v>55557</v>
      </c>
    </row>
    <row r="96" spans="1:31">
      <c r="A96" s="225" t="s">
        <v>74</v>
      </c>
      <c r="B96" s="226" t="s">
        <v>8</v>
      </c>
      <c r="C96" s="426" t="s">
        <v>410</v>
      </c>
      <c r="D96"/>
      <c r="E96"/>
      <c r="F96"/>
      <c r="G96"/>
      <c r="H96"/>
      <c r="I96" t="str">
        <f t="shared" si="28"/>
        <v>FL-Yes</v>
      </c>
      <c r="J96" t="str">
        <f t="shared" si="29"/>
        <v>FL-Yes</v>
      </c>
      <c r="K96" t="str">
        <f t="shared" si="33"/>
        <v/>
      </c>
      <c r="L96" t="str">
        <f t="shared" si="35"/>
        <v/>
      </c>
      <c r="M96">
        <v>2000</v>
      </c>
      <c r="N96" s="242">
        <v>4</v>
      </c>
      <c r="O96" s="415">
        <v>0</v>
      </c>
      <c r="P96" s="416">
        <v>178238</v>
      </c>
      <c r="Q96" s="228">
        <f t="shared" si="20"/>
        <v>52607</v>
      </c>
      <c r="R96" s="423">
        <v>230845</v>
      </c>
      <c r="S96" s="239"/>
      <c r="T96" s="231">
        <f t="shared" si="30"/>
        <v>178238</v>
      </c>
      <c r="U96" s="231">
        <f t="shared" si="21"/>
        <v>52607</v>
      </c>
      <c r="V96" s="232">
        <f t="shared" si="31"/>
        <v>1</v>
      </c>
      <c r="W96" s="233">
        <f t="shared" si="22"/>
        <v>0.77211115683683862</v>
      </c>
      <c r="X96" s="234" t="str">
        <f t="shared" si="23"/>
        <v>FL-Yes</v>
      </c>
      <c r="Y96" s="235" t="str">
        <f t="shared" si="24"/>
        <v>FL-Rep</v>
      </c>
      <c r="Z96" s="236" t="str">
        <f>B96&amp;"-"&amp;IF(V96&gt;Instructions!$H$14,Instructions!$I$14,IF(V96&gt;Instructions!$H$15,Instructions!$I$15,IF(V96&gt;Instructions!$H$16,Instructions!$I$16,IF(V96&gt;Instructions!$H$17,Instructions!$I$17,Instructions!$I$18))))</f>
        <v>FL-No contest</v>
      </c>
      <c r="AA96" s="237">
        <f t="shared" si="25"/>
        <v>0</v>
      </c>
      <c r="AB96" s="237">
        <f t="shared" si="26"/>
        <v>0</v>
      </c>
      <c r="AC96" s="238">
        <f t="shared" si="27"/>
        <v>52607</v>
      </c>
      <c r="AD96" s="389">
        <f t="shared" si="32"/>
        <v>52607</v>
      </c>
    </row>
    <row r="97" spans="1:30">
      <c r="A97" s="225" t="s">
        <v>74</v>
      </c>
      <c r="B97" s="226" t="s">
        <v>8</v>
      </c>
      <c r="C97" t="s">
        <v>411</v>
      </c>
      <c r="D97"/>
      <c r="E97"/>
      <c r="F97"/>
      <c r="G97"/>
      <c r="H97"/>
      <c r="I97" t="str">
        <f t="shared" si="28"/>
        <v>FL-No</v>
      </c>
      <c r="J97" t="str">
        <f t="shared" si="29"/>
        <v>FL-No</v>
      </c>
      <c r="K97">
        <v>0</v>
      </c>
      <c r="L97"/>
      <c r="M97">
        <v>2010</v>
      </c>
      <c r="N97" s="242">
        <v>5</v>
      </c>
      <c r="O97" s="415">
        <v>100858</v>
      </c>
      <c r="P97" s="416">
        <v>208815</v>
      </c>
      <c r="Q97" s="228">
        <f t="shared" si="20"/>
        <v>0</v>
      </c>
      <c r="R97" s="423">
        <v>309673</v>
      </c>
      <c r="S97" s="239"/>
      <c r="T97" s="231">
        <f t="shared" si="30"/>
        <v>208815</v>
      </c>
      <c r="U97" s="231">
        <f t="shared" si="21"/>
        <v>100858</v>
      </c>
      <c r="V97" s="232">
        <f t="shared" si="31"/>
        <v>0.34861612087589167</v>
      </c>
      <c r="W97" s="233">
        <f t="shared" si="22"/>
        <v>0.67430806043794589</v>
      </c>
      <c r="X97" s="234" t="str">
        <f t="shared" si="23"/>
        <v>FL-No</v>
      </c>
      <c r="Y97" s="235" t="str">
        <f t="shared" si="24"/>
        <v>FL-Rep</v>
      </c>
      <c r="Z97" s="236" t="str">
        <f>B97&amp;"-"&amp;IF(V97&gt;Instructions!$H$14,Instructions!$I$14,IF(V97&gt;Instructions!$H$15,Instructions!$I$15,IF(V97&gt;Instructions!$H$16,Instructions!$I$16,IF(V97&gt;Instructions!$H$17,Instructions!$I$17,Instructions!$I$18))))</f>
        <v>FL-Landslide</v>
      </c>
      <c r="AA97" s="237">
        <f t="shared" si="25"/>
        <v>100858</v>
      </c>
      <c r="AB97" s="237">
        <f t="shared" si="26"/>
        <v>0</v>
      </c>
      <c r="AC97" s="238">
        <f t="shared" si="27"/>
        <v>0</v>
      </c>
      <c r="AD97" s="389">
        <f t="shared" si="32"/>
        <v>100858</v>
      </c>
    </row>
    <row r="98" spans="1:30">
      <c r="A98" s="225" t="s">
        <v>74</v>
      </c>
      <c r="B98" s="226" t="s">
        <v>8</v>
      </c>
      <c r="C98" t="s">
        <v>412</v>
      </c>
      <c r="D98"/>
      <c r="E98"/>
      <c r="F98"/>
      <c r="G98"/>
      <c r="H98"/>
      <c r="I98" t="str">
        <f t="shared" si="28"/>
        <v>FL-Yes</v>
      </c>
      <c r="J98" t="str">
        <f t="shared" si="29"/>
        <v>FL-Yes</v>
      </c>
      <c r="K98" t="str">
        <f t="shared" si="33"/>
        <v/>
      </c>
      <c r="L98" t="str">
        <f t="shared" si="35"/>
        <v/>
      </c>
      <c r="M98">
        <v>1988</v>
      </c>
      <c r="N98" s="242">
        <v>6</v>
      </c>
      <c r="O98" s="415">
        <v>0</v>
      </c>
      <c r="P98" s="416">
        <v>179349</v>
      </c>
      <c r="Q98" s="228">
        <f t="shared" si="20"/>
        <v>71632</v>
      </c>
      <c r="R98" s="423">
        <v>250981</v>
      </c>
      <c r="S98" s="239"/>
      <c r="T98" s="231">
        <f t="shared" si="30"/>
        <v>179349</v>
      </c>
      <c r="U98" s="231">
        <f t="shared" si="21"/>
        <v>71632</v>
      </c>
      <c r="V98" s="232">
        <f t="shared" si="31"/>
        <v>1</v>
      </c>
      <c r="W98" s="233">
        <f t="shared" si="22"/>
        <v>0.71459194122264236</v>
      </c>
      <c r="X98" s="234" t="str">
        <f t="shared" si="23"/>
        <v>FL-Yes</v>
      </c>
      <c r="Y98" s="235" t="str">
        <f t="shared" si="24"/>
        <v>FL-Rep</v>
      </c>
      <c r="Z98" s="236" t="str">
        <f>B98&amp;"-"&amp;IF(V98&gt;Instructions!$H$14,Instructions!$I$14,IF(V98&gt;Instructions!$H$15,Instructions!$I$15,IF(V98&gt;Instructions!$H$16,Instructions!$I$16,IF(V98&gt;Instructions!$H$17,Instructions!$I$17,Instructions!$I$18))))</f>
        <v>FL-No contest</v>
      </c>
      <c r="AA98" s="237">
        <f t="shared" si="25"/>
        <v>0</v>
      </c>
      <c r="AB98" s="237">
        <f t="shared" si="26"/>
        <v>0</v>
      </c>
      <c r="AC98" s="238">
        <f t="shared" si="27"/>
        <v>71632</v>
      </c>
      <c r="AD98" s="389">
        <f t="shared" si="32"/>
        <v>71632</v>
      </c>
    </row>
    <row r="99" spans="1:30">
      <c r="A99" s="225" t="s">
        <v>74</v>
      </c>
      <c r="B99" s="226" t="s">
        <v>8</v>
      </c>
      <c r="C99" s="426" t="s">
        <v>413</v>
      </c>
      <c r="D99"/>
      <c r="E99"/>
      <c r="F99"/>
      <c r="G99"/>
      <c r="H99"/>
      <c r="I99" t="str">
        <f t="shared" si="28"/>
        <v>FL-Yes</v>
      </c>
      <c r="J99" t="str">
        <f t="shared" si="29"/>
        <v>FL-Yes</v>
      </c>
      <c r="K99" t="str">
        <f t="shared" si="33"/>
        <v/>
      </c>
      <c r="L99" t="str">
        <f>IF(M99=2010, 1, "")</f>
        <v/>
      </c>
      <c r="M99">
        <v>1992</v>
      </c>
      <c r="N99" s="242">
        <v>7</v>
      </c>
      <c r="O99" s="415">
        <v>83206</v>
      </c>
      <c r="P99" s="416">
        <v>185470</v>
      </c>
      <c r="Q99" s="228">
        <f t="shared" si="20"/>
        <v>0</v>
      </c>
      <c r="R99" s="423">
        <v>268676</v>
      </c>
      <c r="S99" s="239"/>
      <c r="T99" s="231">
        <f t="shared" si="30"/>
        <v>185470</v>
      </c>
      <c r="U99" s="231">
        <f t="shared" si="21"/>
        <v>83206</v>
      </c>
      <c r="V99" s="232">
        <f t="shared" si="31"/>
        <v>0.38062201313105748</v>
      </c>
      <c r="W99" s="233">
        <f t="shared" si="22"/>
        <v>0.6903110065655288</v>
      </c>
      <c r="X99" s="234" t="str">
        <f t="shared" si="23"/>
        <v>FL-No</v>
      </c>
      <c r="Y99" s="235" t="str">
        <f t="shared" si="24"/>
        <v>FL-Rep</v>
      </c>
      <c r="Z99" s="236" t="str">
        <f>B99&amp;"-"&amp;IF(V99&gt;Instructions!$H$14,Instructions!$I$14,IF(V99&gt;Instructions!$H$15,Instructions!$I$15,IF(V99&gt;Instructions!$H$16,Instructions!$I$16,IF(V99&gt;Instructions!$H$17,Instructions!$I$17,Instructions!$I$18))))</f>
        <v>FL-Landslide</v>
      </c>
      <c r="AA99" s="237">
        <f t="shared" si="25"/>
        <v>83206</v>
      </c>
      <c r="AB99" s="237">
        <f t="shared" si="26"/>
        <v>0</v>
      </c>
      <c r="AC99" s="238">
        <f t="shared" si="27"/>
        <v>0</v>
      </c>
      <c r="AD99" s="389">
        <f t="shared" si="32"/>
        <v>83206</v>
      </c>
    </row>
    <row r="100" spans="1:30">
      <c r="A100" s="225" t="s">
        <v>74</v>
      </c>
      <c r="B100" s="226" t="s">
        <v>8</v>
      </c>
      <c r="C100" t="s">
        <v>414</v>
      </c>
      <c r="D100"/>
      <c r="E100"/>
      <c r="F100"/>
      <c r="G100"/>
      <c r="H100"/>
      <c r="I100" t="str">
        <f t="shared" si="28"/>
        <v>FL-Yes</v>
      </c>
      <c r="J100" t="str">
        <f t="shared" si="29"/>
        <v>FL-No</v>
      </c>
      <c r="K100">
        <f t="shared" si="33"/>
        <v>1</v>
      </c>
      <c r="L100" t="str">
        <f>B100&amp;"-"&amp;IF(M100=2010, 1, "")</f>
        <v>FL-1</v>
      </c>
      <c r="M100">
        <v>2010</v>
      </c>
      <c r="N100" s="242">
        <v>8</v>
      </c>
      <c r="O100" s="415">
        <v>84167</v>
      </c>
      <c r="P100" s="416">
        <v>123586</v>
      </c>
      <c r="Q100" s="228">
        <f t="shared" si="20"/>
        <v>12491</v>
      </c>
      <c r="R100" s="423">
        <v>220244</v>
      </c>
      <c r="S100" s="239"/>
      <c r="T100" s="231">
        <f t="shared" si="30"/>
        <v>123586</v>
      </c>
      <c r="U100" s="231">
        <f t="shared" si="21"/>
        <v>84167</v>
      </c>
      <c r="V100" s="232">
        <f t="shared" si="31"/>
        <v>0.18973973901700578</v>
      </c>
      <c r="W100" s="233">
        <f t="shared" si="22"/>
        <v>0.56113219883402043</v>
      </c>
      <c r="X100" s="234" t="str">
        <f t="shared" si="23"/>
        <v>FL-No</v>
      </c>
      <c r="Y100" s="235" t="str">
        <f t="shared" si="24"/>
        <v>FL-Rep</v>
      </c>
      <c r="Z100" s="236" t="str">
        <f>B100&amp;"-"&amp;IF(V100&gt;Instructions!$H$14,Instructions!$I$14,IF(V100&gt;Instructions!$H$15,Instructions!$I$15,IF(V100&gt;Instructions!$H$16,Instructions!$I$16,IF(V100&gt;Instructions!$H$17,Instructions!$I$17,Instructions!$I$18))))</f>
        <v>FL-Opportunity</v>
      </c>
      <c r="AA100" s="237">
        <f t="shared" si="25"/>
        <v>84167</v>
      </c>
      <c r="AB100" s="237">
        <f t="shared" si="26"/>
        <v>0</v>
      </c>
      <c r="AC100" s="238">
        <f t="shared" si="27"/>
        <v>12491</v>
      </c>
      <c r="AD100" s="389">
        <f t="shared" si="32"/>
        <v>96658</v>
      </c>
    </row>
    <row r="101" spans="1:30">
      <c r="A101" s="225" t="s">
        <v>74</v>
      </c>
      <c r="B101" s="226" t="s">
        <v>8</v>
      </c>
      <c r="C101" t="s">
        <v>415</v>
      </c>
      <c r="D101"/>
      <c r="E101"/>
      <c r="F101"/>
      <c r="G101"/>
      <c r="H101"/>
      <c r="I101" t="str">
        <f t="shared" si="28"/>
        <v>FL-Yes</v>
      </c>
      <c r="J101" t="str">
        <f t="shared" si="29"/>
        <v>FL-Yes</v>
      </c>
      <c r="K101" t="str">
        <f t="shared" si="33"/>
        <v/>
      </c>
      <c r="L101" t="str">
        <f t="shared" si="35"/>
        <v/>
      </c>
      <c r="M101">
        <v>2006</v>
      </c>
      <c r="N101" s="242">
        <v>9</v>
      </c>
      <c r="O101" s="415">
        <v>66158</v>
      </c>
      <c r="P101" s="416">
        <v>165433</v>
      </c>
      <c r="Q101" s="228">
        <f t="shared" si="20"/>
        <v>0</v>
      </c>
      <c r="R101" s="423">
        <v>231591</v>
      </c>
      <c r="S101" s="239"/>
      <c r="T101" s="231">
        <f t="shared" si="30"/>
        <v>165433</v>
      </c>
      <c r="U101" s="231">
        <f t="shared" si="21"/>
        <v>66158</v>
      </c>
      <c r="V101" s="232">
        <f t="shared" si="31"/>
        <v>0.42866518992534253</v>
      </c>
      <c r="W101" s="233">
        <f t="shared" si="22"/>
        <v>0.71433259496267121</v>
      </c>
      <c r="X101" s="234" t="str">
        <f t="shared" si="23"/>
        <v>FL-No</v>
      </c>
      <c r="Y101" s="235" t="str">
        <f t="shared" si="24"/>
        <v>FL-Rep</v>
      </c>
      <c r="Z101" s="236" t="str">
        <f>B101&amp;"-"&amp;IF(V101&gt;Instructions!$H$14,Instructions!$I$14,IF(V101&gt;Instructions!$H$15,Instructions!$I$15,IF(V101&gt;Instructions!$H$16,Instructions!$I$16,IF(V101&gt;Instructions!$H$17,Instructions!$I$17,Instructions!$I$18))))</f>
        <v>FL-No contest</v>
      </c>
      <c r="AA101" s="237">
        <f t="shared" si="25"/>
        <v>66158</v>
      </c>
      <c r="AB101" s="237">
        <f t="shared" si="26"/>
        <v>0</v>
      </c>
      <c r="AC101" s="238">
        <f t="shared" si="27"/>
        <v>0</v>
      </c>
      <c r="AD101" s="389">
        <f t="shared" si="32"/>
        <v>66158</v>
      </c>
    </row>
    <row r="102" spans="1:30">
      <c r="A102" s="225" t="s">
        <v>74</v>
      </c>
      <c r="B102" s="226" t="s">
        <v>8</v>
      </c>
      <c r="C102" s="426" t="s">
        <v>416</v>
      </c>
      <c r="D102"/>
      <c r="E102"/>
      <c r="F102"/>
      <c r="G102"/>
      <c r="H102"/>
      <c r="I102" t="str">
        <f t="shared" si="28"/>
        <v>FL-Yes</v>
      </c>
      <c r="J102" t="str">
        <f t="shared" si="29"/>
        <v>FL-Yes</v>
      </c>
      <c r="K102" t="str">
        <f t="shared" si="33"/>
        <v/>
      </c>
      <c r="L102" t="str">
        <f t="shared" si="35"/>
        <v/>
      </c>
      <c r="M102">
        <v>1970</v>
      </c>
      <c r="N102" s="242">
        <v>10</v>
      </c>
      <c r="O102" s="415">
        <v>71313</v>
      </c>
      <c r="P102" s="416">
        <v>137943</v>
      </c>
      <c r="Q102" s="228">
        <f t="shared" si="20"/>
        <v>0</v>
      </c>
      <c r="R102" s="423">
        <v>209256</v>
      </c>
      <c r="S102" s="239"/>
      <c r="T102" s="231">
        <f t="shared" si="30"/>
        <v>137943</v>
      </c>
      <c r="U102" s="231">
        <f t="shared" si="21"/>
        <v>71313</v>
      </c>
      <c r="V102" s="232">
        <f t="shared" si="31"/>
        <v>0.31841380892304161</v>
      </c>
      <c r="W102" s="233">
        <f t="shared" si="22"/>
        <v>0.65920690446152086</v>
      </c>
      <c r="X102" s="234" t="str">
        <f t="shared" si="23"/>
        <v>FL-No</v>
      </c>
      <c r="Y102" s="235" t="str">
        <f t="shared" si="24"/>
        <v>FL-Rep</v>
      </c>
      <c r="Z102" s="236" t="str">
        <f>B102&amp;"-"&amp;IF(V102&gt;Instructions!$H$14,Instructions!$I$14,IF(V102&gt;Instructions!$H$15,Instructions!$I$15,IF(V102&gt;Instructions!$H$16,Instructions!$I$16,IF(V102&gt;Instructions!$H$17,Instructions!$I$17,Instructions!$I$18))))</f>
        <v>FL-Landslide</v>
      </c>
      <c r="AA102" s="237">
        <f t="shared" si="25"/>
        <v>71313</v>
      </c>
      <c r="AB102" s="237">
        <f t="shared" si="26"/>
        <v>0</v>
      </c>
      <c r="AC102" s="238">
        <f t="shared" si="27"/>
        <v>0</v>
      </c>
      <c r="AD102" s="389">
        <f t="shared" si="32"/>
        <v>71313</v>
      </c>
    </row>
    <row r="103" spans="1:30">
      <c r="A103" s="225" t="s">
        <v>74</v>
      </c>
      <c r="B103" s="226" t="s">
        <v>8</v>
      </c>
      <c r="C103" t="s">
        <v>417</v>
      </c>
      <c r="D103" t="s">
        <v>774</v>
      </c>
      <c r="E103"/>
      <c r="F103"/>
      <c r="G103"/>
      <c r="H103"/>
      <c r="I103" t="str">
        <f t="shared" si="28"/>
        <v>FL-Yes</v>
      </c>
      <c r="J103" t="str">
        <f t="shared" si="29"/>
        <v>FL-Yes</v>
      </c>
      <c r="K103" t="str">
        <f t="shared" si="33"/>
        <v/>
      </c>
      <c r="L103" t="str">
        <f t="shared" si="35"/>
        <v/>
      </c>
      <c r="M103">
        <v>2006</v>
      </c>
      <c r="N103" s="242">
        <v>11</v>
      </c>
      <c r="O103" s="415">
        <v>91328</v>
      </c>
      <c r="P103" s="416">
        <v>61817</v>
      </c>
      <c r="Q103" s="228">
        <f t="shared" si="20"/>
        <v>0</v>
      </c>
      <c r="R103" s="423">
        <v>153145</v>
      </c>
      <c r="S103" s="239"/>
      <c r="T103" s="231">
        <f t="shared" si="30"/>
        <v>91328</v>
      </c>
      <c r="U103" s="231">
        <f t="shared" si="21"/>
        <v>61817</v>
      </c>
      <c r="V103" s="232">
        <f t="shared" si="31"/>
        <v>0.1926997290149858</v>
      </c>
      <c r="W103" s="233">
        <f t="shared" ref="W103:W134" si="36">T103/R103</f>
        <v>0.59634986450749294</v>
      </c>
      <c r="X103" s="234" t="str">
        <f t="shared" ref="X103:X134" si="37">B103&amp;"-"&amp;IF(O103*P103=0,"Yes","No")</f>
        <v>FL-No</v>
      </c>
      <c r="Y103" s="235" t="str">
        <f t="shared" ref="Y103:Y134" si="38">B103&amp;"-"&amp;IF(Q103=MAX(O103:Q103),"Other",IF(P103&gt;O103,"Rep","Dem"))</f>
        <v>FL-Dem</v>
      </c>
      <c r="Z103" s="236" t="str">
        <f>B103&amp;"-"&amp;IF(V103&gt;Instructions!$H$14,Instructions!$I$14,IF(V103&gt;Instructions!$H$15,Instructions!$I$15,IF(V103&gt;Instructions!$H$16,Instructions!$I$16,IF(V103&gt;Instructions!$H$17,Instructions!$I$17,Instructions!$I$18))))</f>
        <v>FL-Opportunity</v>
      </c>
      <c r="AA103" s="237">
        <f t="shared" ref="AA103:AA134" si="39">IF(T103=O103,0,O103)</f>
        <v>0</v>
      </c>
      <c r="AB103" s="237">
        <f t="shared" ref="AB103:AB134" si="40">IF(T103=P103,0,P103)</f>
        <v>61817</v>
      </c>
      <c r="AC103" s="238">
        <f t="shared" ref="AC103:AC134" si="41">IF(T103=Q103,0,Q103)</f>
        <v>0</v>
      </c>
      <c r="AD103" s="389">
        <f t="shared" si="32"/>
        <v>61817</v>
      </c>
    </row>
    <row r="104" spans="1:30">
      <c r="A104" s="225" t="s">
        <v>74</v>
      </c>
      <c r="B104" s="226" t="s">
        <v>8</v>
      </c>
      <c r="C104" t="s">
        <v>418</v>
      </c>
      <c r="D104"/>
      <c r="E104"/>
      <c r="F104"/>
      <c r="G104"/>
      <c r="H104"/>
      <c r="I104" t="str">
        <f t="shared" si="28"/>
        <v>FL-No</v>
      </c>
      <c r="J104" t="str">
        <f t="shared" si="29"/>
        <v>FL-No</v>
      </c>
      <c r="K104">
        <v>0</v>
      </c>
      <c r="L104"/>
      <c r="M104">
        <v>2010</v>
      </c>
      <c r="N104" s="242">
        <v>12</v>
      </c>
      <c r="O104" s="415">
        <v>87769</v>
      </c>
      <c r="P104" s="416">
        <v>102704</v>
      </c>
      <c r="Q104" s="228">
        <f t="shared" si="20"/>
        <v>22857</v>
      </c>
      <c r="R104" s="423">
        <v>213330</v>
      </c>
      <c r="S104" s="239"/>
      <c r="T104" s="231">
        <f t="shared" si="30"/>
        <v>102704</v>
      </c>
      <c r="U104" s="231">
        <f t="shared" si="21"/>
        <v>87769</v>
      </c>
      <c r="V104" s="232">
        <f t="shared" si="31"/>
        <v>7.841006336856142E-2</v>
      </c>
      <c r="W104" s="233">
        <f t="shared" si="36"/>
        <v>0.48143252238316225</v>
      </c>
      <c r="X104" s="234" t="str">
        <f t="shared" si="37"/>
        <v>FL-No</v>
      </c>
      <c r="Y104" s="235" t="str">
        <f t="shared" si="38"/>
        <v>FL-Rep</v>
      </c>
      <c r="Z104" s="236" t="str">
        <f>B104&amp;"-"&amp;IF(V104&gt;Instructions!$H$14,Instructions!$I$14,IF(V104&gt;Instructions!$H$15,Instructions!$I$15,IF(V104&gt;Instructions!$H$16,Instructions!$I$16,IF(V104&gt;Instructions!$H$17,Instructions!$I$17,Instructions!$I$18))))</f>
        <v>FL-Competitive</v>
      </c>
      <c r="AA104" s="237">
        <f t="shared" si="39"/>
        <v>87769</v>
      </c>
      <c r="AB104" s="237">
        <f t="shared" si="40"/>
        <v>0</v>
      </c>
      <c r="AC104" s="238">
        <f t="shared" si="41"/>
        <v>22857</v>
      </c>
      <c r="AD104" s="389">
        <f t="shared" si="32"/>
        <v>110626</v>
      </c>
    </row>
    <row r="105" spans="1:30">
      <c r="A105" s="225" t="s">
        <v>74</v>
      </c>
      <c r="B105" s="226" t="s">
        <v>8</v>
      </c>
      <c r="C105" t="s">
        <v>419</v>
      </c>
      <c r="D105"/>
      <c r="E105"/>
      <c r="F105"/>
      <c r="G105"/>
      <c r="H105"/>
      <c r="I105" t="str">
        <f t="shared" si="28"/>
        <v>FL-Yes</v>
      </c>
      <c r="J105" t="str">
        <f t="shared" si="29"/>
        <v>FL-Yes</v>
      </c>
      <c r="K105" t="str">
        <f t="shared" si="33"/>
        <v/>
      </c>
      <c r="L105" t="str">
        <f t="shared" si="35"/>
        <v/>
      </c>
      <c r="M105">
        <v>2006</v>
      </c>
      <c r="N105" s="242">
        <v>13</v>
      </c>
      <c r="O105" s="415">
        <v>83123</v>
      </c>
      <c r="P105" s="416">
        <v>183811</v>
      </c>
      <c r="Q105" s="228">
        <f t="shared" si="20"/>
        <v>0</v>
      </c>
      <c r="R105" s="423">
        <v>266934</v>
      </c>
      <c r="S105" s="239"/>
      <c r="T105" s="231">
        <f t="shared" si="30"/>
        <v>183811</v>
      </c>
      <c r="U105" s="231">
        <f t="shared" si="21"/>
        <v>83123</v>
      </c>
      <c r="V105" s="232">
        <f t="shared" si="31"/>
        <v>0.37720185514022192</v>
      </c>
      <c r="W105" s="233">
        <f t="shared" si="36"/>
        <v>0.68860092757011093</v>
      </c>
      <c r="X105" s="234" t="str">
        <f t="shared" si="37"/>
        <v>FL-No</v>
      </c>
      <c r="Y105" s="235" t="str">
        <f t="shared" si="38"/>
        <v>FL-Rep</v>
      </c>
      <c r="Z105" s="236" t="str">
        <f>B105&amp;"-"&amp;IF(V105&gt;Instructions!$H$14,Instructions!$I$14,IF(V105&gt;Instructions!$H$15,Instructions!$I$15,IF(V105&gt;Instructions!$H$16,Instructions!$I$16,IF(V105&gt;Instructions!$H$17,Instructions!$I$17,Instructions!$I$18))))</f>
        <v>FL-Landslide</v>
      </c>
      <c r="AA105" s="237">
        <f t="shared" si="39"/>
        <v>83123</v>
      </c>
      <c r="AB105" s="237">
        <f t="shared" si="40"/>
        <v>0</v>
      </c>
      <c r="AC105" s="238">
        <f t="shared" si="41"/>
        <v>0</v>
      </c>
      <c r="AD105" s="389">
        <f t="shared" si="32"/>
        <v>83123</v>
      </c>
    </row>
    <row r="106" spans="1:30">
      <c r="A106" s="225" t="s">
        <v>74</v>
      </c>
      <c r="B106" s="226" t="s">
        <v>8</v>
      </c>
      <c r="C106" s="426" t="s">
        <v>420</v>
      </c>
      <c r="D106"/>
      <c r="E106"/>
      <c r="F106"/>
      <c r="G106"/>
      <c r="H106"/>
      <c r="I106" t="str">
        <f t="shared" si="28"/>
        <v>FL-Yes</v>
      </c>
      <c r="J106" t="str">
        <f t="shared" si="29"/>
        <v>FL-Yes</v>
      </c>
      <c r="K106" t="str">
        <f t="shared" si="33"/>
        <v/>
      </c>
      <c r="L106" t="str">
        <f t="shared" si="35"/>
        <v/>
      </c>
      <c r="M106">
        <v>2004</v>
      </c>
      <c r="N106" s="242">
        <v>14</v>
      </c>
      <c r="O106" s="415">
        <v>74525</v>
      </c>
      <c r="P106" s="416">
        <v>188341</v>
      </c>
      <c r="Q106" s="228">
        <f t="shared" si="20"/>
        <v>11825</v>
      </c>
      <c r="R106" s="423">
        <v>274691</v>
      </c>
      <c r="S106" s="239"/>
      <c r="T106" s="231">
        <f t="shared" si="30"/>
        <v>188341</v>
      </c>
      <c r="U106" s="231">
        <f t="shared" si="21"/>
        <v>74525</v>
      </c>
      <c r="V106" s="232">
        <f t="shared" si="31"/>
        <v>0.43298106259462998</v>
      </c>
      <c r="W106" s="233">
        <f t="shared" si="36"/>
        <v>0.68564678129243406</v>
      </c>
      <c r="X106" s="234" t="str">
        <f t="shared" si="37"/>
        <v>FL-No</v>
      </c>
      <c r="Y106" s="235" t="str">
        <f t="shared" si="38"/>
        <v>FL-Rep</v>
      </c>
      <c r="Z106" s="236" t="str">
        <f>B106&amp;"-"&amp;IF(V106&gt;Instructions!$H$14,Instructions!$I$14,IF(V106&gt;Instructions!$H$15,Instructions!$I$15,IF(V106&gt;Instructions!$H$16,Instructions!$I$16,IF(V106&gt;Instructions!$H$17,Instructions!$I$17,Instructions!$I$18))))</f>
        <v>FL-No contest</v>
      </c>
      <c r="AA106" s="237">
        <f t="shared" si="39"/>
        <v>74525</v>
      </c>
      <c r="AB106" s="237">
        <f t="shared" si="40"/>
        <v>0</v>
      </c>
      <c r="AC106" s="238">
        <f t="shared" si="41"/>
        <v>11825</v>
      </c>
      <c r="AD106" s="389">
        <f t="shared" si="32"/>
        <v>86350</v>
      </c>
    </row>
    <row r="107" spans="1:30">
      <c r="A107" s="225" t="s">
        <v>74</v>
      </c>
      <c r="B107" s="226" t="s">
        <v>8</v>
      </c>
      <c r="C107" t="s">
        <v>421</v>
      </c>
      <c r="D107"/>
      <c r="E107"/>
      <c r="F107"/>
      <c r="G107"/>
      <c r="H107"/>
      <c r="I107" t="str">
        <f t="shared" si="28"/>
        <v>FL-Yes</v>
      </c>
      <c r="J107" t="str">
        <f t="shared" si="29"/>
        <v>FL-Yes</v>
      </c>
      <c r="K107" t="str">
        <f t="shared" si="33"/>
        <v/>
      </c>
      <c r="L107" t="str">
        <f t="shared" si="35"/>
        <v/>
      </c>
      <c r="M107">
        <v>2008</v>
      </c>
      <c r="N107" s="242">
        <v>15</v>
      </c>
      <c r="O107" s="415">
        <v>85595</v>
      </c>
      <c r="P107" s="416">
        <v>157079</v>
      </c>
      <c r="Q107" s="228">
        <f t="shared" si="20"/>
        <v>0</v>
      </c>
      <c r="R107" s="423">
        <v>242674</v>
      </c>
      <c r="S107" s="239"/>
      <c r="T107" s="231">
        <f t="shared" si="30"/>
        <v>157079</v>
      </c>
      <c r="U107" s="231">
        <f t="shared" si="21"/>
        <v>85595</v>
      </c>
      <c r="V107" s="232">
        <f t="shared" si="31"/>
        <v>0.29456802129605975</v>
      </c>
      <c r="W107" s="233">
        <f t="shared" si="36"/>
        <v>0.64728401064802987</v>
      </c>
      <c r="X107" s="234" t="str">
        <f t="shared" si="37"/>
        <v>FL-No</v>
      </c>
      <c r="Y107" s="235" t="str">
        <f t="shared" si="38"/>
        <v>FL-Rep</v>
      </c>
      <c r="Z107" s="236" t="str">
        <f>B107&amp;"-"&amp;IF(V107&gt;Instructions!$H$14,Instructions!$I$14,IF(V107&gt;Instructions!$H$15,Instructions!$I$15,IF(V107&gt;Instructions!$H$16,Instructions!$I$16,IF(V107&gt;Instructions!$H$17,Instructions!$I$17,Instructions!$I$18))))</f>
        <v>FL-Landslide</v>
      </c>
      <c r="AA107" s="237">
        <f t="shared" si="39"/>
        <v>85595</v>
      </c>
      <c r="AB107" s="237">
        <f t="shared" si="40"/>
        <v>0</v>
      </c>
      <c r="AC107" s="238">
        <f t="shared" si="41"/>
        <v>0</v>
      </c>
      <c r="AD107" s="389">
        <f t="shared" si="32"/>
        <v>85595</v>
      </c>
    </row>
    <row r="108" spans="1:30">
      <c r="A108" s="225" t="s">
        <v>74</v>
      </c>
      <c r="B108" s="226" t="s">
        <v>8</v>
      </c>
      <c r="C108" t="s">
        <v>422</v>
      </c>
      <c r="D108"/>
      <c r="E108"/>
      <c r="F108"/>
      <c r="G108"/>
      <c r="H108"/>
      <c r="I108" t="str">
        <f t="shared" si="28"/>
        <v>FL-Yes</v>
      </c>
      <c r="J108" t="str">
        <f t="shared" si="29"/>
        <v>FL-Yes</v>
      </c>
      <c r="K108" t="str">
        <f t="shared" si="33"/>
        <v/>
      </c>
      <c r="L108" t="str">
        <f t="shared" si="35"/>
        <v/>
      </c>
      <c r="M108">
        <v>2008</v>
      </c>
      <c r="N108" s="242">
        <v>16</v>
      </c>
      <c r="O108" s="415">
        <v>80327</v>
      </c>
      <c r="P108" s="416">
        <v>162285</v>
      </c>
      <c r="Q108" s="228">
        <f t="shared" si="20"/>
        <v>151</v>
      </c>
      <c r="R108" s="423">
        <v>242763</v>
      </c>
      <c r="S108" s="239"/>
      <c r="T108" s="231">
        <f t="shared" si="30"/>
        <v>162285</v>
      </c>
      <c r="U108" s="231">
        <f t="shared" si="21"/>
        <v>80327</v>
      </c>
      <c r="V108" s="232">
        <f t="shared" si="31"/>
        <v>0.33781511219560451</v>
      </c>
      <c r="W108" s="233">
        <f t="shared" si="36"/>
        <v>0.66849149170178324</v>
      </c>
      <c r="X108" s="234" t="str">
        <f t="shared" si="37"/>
        <v>FL-No</v>
      </c>
      <c r="Y108" s="235" t="str">
        <f t="shared" si="38"/>
        <v>FL-Rep</v>
      </c>
      <c r="Z108" s="236" t="str">
        <f>B108&amp;"-"&amp;IF(V108&gt;Instructions!$H$14,Instructions!$I$14,IF(V108&gt;Instructions!$H$15,Instructions!$I$15,IF(V108&gt;Instructions!$H$16,Instructions!$I$16,IF(V108&gt;Instructions!$H$17,Instructions!$I$17,Instructions!$I$18))))</f>
        <v>FL-Landslide</v>
      </c>
      <c r="AA108" s="237">
        <f t="shared" si="39"/>
        <v>80327</v>
      </c>
      <c r="AB108" s="237">
        <f t="shared" si="40"/>
        <v>0</v>
      </c>
      <c r="AC108" s="238">
        <f t="shared" si="41"/>
        <v>151</v>
      </c>
      <c r="AD108" s="389">
        <f t="shared" si="32"/>
        <v>80478</v>
      </c>
    </row>
    <row r="109" spans="1:30">
      <c r="A109" s="225" t="s">
        <v>74</v>
      </c>
      <c r="B109" s="226" t="s">
        <v>8</v>
      </c>
      <c r="C109" t="s">
        <v>423</v>
      </c>
      <c r="D109" t="s">
        <v>774</v>
      </c>
      <c r="E109" t="s">
        <v>774</v>
      </c>
      <c r="F109"/>
      <c r="G109"/>
      <c r="H109"/>
      <c r="I109" t="str">
        <f t="shared" si="28"/>
        <v>FL-No</v>
      </c>
      <c r="J109" t="str">
        <f t="shared" si="29"/>
        <v>FL-No</v>
      </c>
      <c r="K109">
        <v>0</v>
      </c>
      <c r="L109"/>
      <c r="M109">
        <v>2010</v>
      </c>
      <c r="N109" s="242">
        <v>17</v>
      </c>
      <c r="O109" s="415">
        <v>106361</v>
      </c>
      <c r="P109" s="416">
        <v>0</v>
      </c>
      <c r="Q109" s="228">
        <f t="shared" si="20"/>
        <v>17009</v>
      </c>
      <c r="R109" s="423">
        <v>123370</v>
      </c>
      <c r="S109" s="239"/>
      <c r="T109" s="231">
        <f t="shared" si="30"/>
        <v>106361</v>
      </c>
      <c r="U109" s="231">
        <f t="shared" si="21"/>
        <v>17009</v>
      </c>
      <c r="V109" s="232">
        <f t="shared" si="31"/>
        <v>1</v>
      </c>
      <c r="W109" s="233">
        <f t="shared" si="36"/>
        <v>0.86213017751479293</v>
      </c>
      <c r="X109" s="234" t="str">
        <f t="shared" si="37"/>
        <v>FL-Yes</v>
      </c>
      <c r="Y109" s="235" t="str">
        <f t="shared" si="38"/>
        <v>FL-Dem</v>
      </c>
      <c r="Z109" s="236" t="str">
        <f>B109&amp;"-"&amp;IF(V109&gt;Instructions!$H$14,Instructions!$I$14,IF(V109&gt;Instructions!$H$15,Instructions!$I$15,IF(V109&gt;Instructions!$H$16,Instructions!$I$16,IF(V109&gt;Instructions!$H$17,Instructions!$I$17,Instructions!$I$18))))</f>
        <v>FL-No contest</v>
      </c>
      <c r="AA109" s="237">
        <f t="shared" si="39"/>
        <v>0</v>
      </c>
      <c r="AB109" s="237">
        <f t="shared" si="40"/>
        <v>0</v>
      </c>
      <c r="AC109" s="238">
        <f t="shared" si="41"/>
        <v>17009</v>
      </c>
      <c r="AD109" s="389">
        <f t="shared" si="32"/>
        <v>17009</v>
      </c>
    </row>
    <row r="110" spans="1:30">
      <c r="A110" s="225" t="s">
        <v>74</v>
      </c>
      <c r="B110" s="226" t="s">
        <v>8</v>
      </c>
      <c r="C110" t="s">
        <v>424</v>
      </c>
      <c r="D110" t="s">
        <v>774</v>
      </c>
      <c r="E110"/>
      <c r="F110" t="s">
        <v>774</v>
      </c>
      <c r="G110"/>
      <c r="H110"/>
      <c r="I110" t="str">
        <f t="shared" si="28"/>
        <v>FL-Yes</v>
      </c>
      <c r="J110" t="str">
        <f t="shared" si="29"/>
        <v>FL-Yes</v>
      </c>
      <c r="K110" t="str">
        <f t="shared" si="33"/>
        <v/>
      </c>
      <c r="L110" t="str">
        <f t="shared" si="35"/>
        <v/>
      </c>
      <c r="M110">
        <v>1989</v>
      </c>
      <c r="N110" s="242">
        <v>18</v>
      </c>
      <c r="O110" s="415">
        <v>46235</v>
      </c>
      <c r="P110" s="416">
        <v>102360</v>
      </c>
      <c r="Q110" s="228">
        <f t="shared" si="20"/>
        <v>0</v>
      </c>
      <c r="R110" s="423">
        <v>148595</v>
      </c>
      <c r="S110" s="239"/>
      <c r="T110" s="231">
        <f t="shared" si="30"/>
        <v>102360</v>
      </c>
      <c r="U110" s="231">
        <f t="shared" si="21"/>
        <v>46235</v>
      </c>
      <c r="V110" s="232">
        <f t="shared" si="31"/>
        <v>0.37770449880547796</v>
      </c>
      <c r="W110" s="233">
        <f t="shared" si="36"/>
        <v>0.68885224940273904</v>
      </c>
      <c r="X110" s="234" t="str">
        <f t="shared" si="37"/>
        <v>FL-No</v>
      </c>
      <c r="Y110" s="235" t="str">
        <f t="shared" si="38"/>
        <v>FL-Rep</v>
      </c>
      <c r="Z110" s="236" t="str">
        <f>B110&amp;"-"&amp;IF(V110&gt;Instructions!$H$14,Instructions!$I$14,IF(V110&gt;Instructions!$H$15,Instructions!$I$15,IF(V110&gt;Instructions!$H$16,Instructions!$I$16,IF(V110&gt;Instructions!$H$17,Instructions!$I$17,Instructions!$I$18))))</f>
        <v>FL-Landslide</v>
      </c>
      <c r="AA110" s="237">
        <f t="shared" si="39"/>
        <v>46235</v>
      </c>
      <c r="AB110" s="237">
        <f t="shared" si="40"/>
        <v>0</v>
      </c>
      <c r="AC110" s="238">
        <f t="shared" si="41"/>
        <v>0</v>
      </c>
      <c r="AD110" s="389">
        <f t="shared" si="32"/>
        <v>46235</v>
      </c>
    </row>
    <row r="111" spans="1:30">
      <c r="A111" s="225" t="s">
        <v>74</v>
      </c>
      <c r="B111" s="226" t="s">
        <v>8</v>
      </c>
      <c r="C111" t="s">
        <v>425</v>
      </c>
      <c r="D111"/>
      <c r="E111"/>
      <c r="F111"/>
      <c r="G111"/>
      <c r="H111"/>
      <c r="I111" t="str">
        <f t="shared" si="28"/>
        <v>FL-Yes</v>
      </c>
      <c r="J111" t="str">
        <f t="shared" si="29"/>
        <v>FL-Yes</v>
      </c>
      <c r="K111"/>
      <c r="L111"/>
      <c r="M111">
        <v>2010</v>
      </c>
      <c r="N111" s="242">
        <v>19</v>
      </c>
      <c r="O111" s="415">
        <v>132098</v>
      </c>
      <c r="P111" s="416">
        <v>78733</v>
      </c>
      <c r="Q111" s="228">
        <f t="shared" si="20"/>
        <v>228</v>
      </c>
      <c r="R111" s="423">
        <v>211059</v>
      </c>
      <c r="S111" s="239"/>
      <c r="T111" s="231">
        <f t="shared" si="30"/>
        <v>132098</v>
      </c>
      <c r="U111" s="231">
        <f t="shared" si="21"/>
        <v>78733</v>
      </c>
      <c r="V111" s="232">
        <f t="shared" si="31"/>
        <v>0.253117425805503</v>
      </c>
      <c r="W111" s="233">
        <f t="shared" si="36"/>
        <v>0.62588186241761778</v>
      </c>
      <c r="X111" s="234" t="str">
        <f t="shared" si="37"/>
        <v>FL-No</v>
      </c>
      <c r="Y111" s="235" t="str">
        <f t="shared" si="38"/>
        <v>FL-Dem</v>
      </c>
      <c r="Z111" s="236" t="str">
        <f>B111&amp;"-"&amp;IF(V111&gt;Instructions!$H$14,Instructions!$I$14,IF(V111&gt;Instructions!$H$15,Instructions!$I$15,IF(V111&gt;Instructions!$H$16,Instructions!$I$16,IF(V111&gt;Instructions!$H$17,Instructions!$I$17,Instructions!$I$18))))</f>
        <v>FL-Landslide</v>
      </c>
      <c r="AA111" s="237">
        <f t="shared" si="39"/>
        <v>0</v>
      </c>
      <c r="AB111" s="237">
        <f t="shared" si="40"/>
        <v>78733</v>
      </c>
      <c r="AC111" s="238">
        <f t="shared" si="41"/>
        <v>228</v>
      </c>
      <c r="AD111" s="389">
        <f t="shared" si="32"/>
        <v>78961</v>
      </c>
    </row>
    <row r="112" spans="1:30">
      <c r="A112" s="225" t="s">
        <v>74</v>
      </c>
      <c r="B112" s="226" t="s">
        <v>8</v>
      </c>
      <c r="C112" s="426" t="s">
        <v>426</v>
      </c>
      <c r="D112" t="s">
        <v>774</v>
      </c>
      <c r="E112"/>
      <c r="F112"/>
      <c r="G112"/>
      <c r="H112"/>
      <c r="I112" t="str">
        <f t="shared" si="28"/>
        <v>FL-Yes</v>
      </c>
      <c r="J112" t="str">
        <f t="shared" si="29"/>
        <v>FL-Yes</v>
      </c>
      <c r="K112" t="str">
        <f t="shared" si="33"/>
        <v/>
      </c>
      <c r="L112" t="str">
        <f t="shared" si="35"/>
        <v/>
      </c>
      <c r="M112">
        <v>2004</v>
      </c>
      <c r="N112" s="242">
        <v>20</v>
      </c>
      <c r="O112" s="415">
        <v>100787</v>
      </c>
      <c r="P112" s="416">
        <v>63845</v>
      </c>
      <c r="Q112" s="228">
        <f t="shared" si="20"/>
        <v>2938</v>
      </c>
      <c r="R112" s="423">
        <v>167570</v>
      </c>
      <c r="S112" s="239"/>
      <c r="T112" s="231">
        <f t="shared" si="30"/>
        <v>100787</v>
      </c>
      <c r="U112" s="231">
        <f t="shared" si="21"/>
        <v>63845</v>
      </c>
      <c r="V112" s="232">
        <f t="shared" si="31"/>
        <v>0.22439136984304389</v>
      </c>
      <c r="W112" s="233">
        <f t="shared" si="36"/>
        <v>0.60146207555051623</v>
      </c>
      <c r="X112" s="234" t="str">
        <f t="shared" si="37"/>
        <v>FL-No</v>
      </c>
      <c r="Y112" s="235" t="str">
        <f t="shared" si="38"/>
        <v>FL-Dem</v>
      </c>
      <c r="Z112" s="236" t="str">
        <f>B112&amp;"-"&amp;IF(V112&gt;Instructions!$H$14,Instructions!$I$14,IF(V112&gt;Instructions!$H$15,Instructions!$I$15,IF(V112&gt;Instructions!$H$16,Instructions!$I$16,IF(V112&gt;Instructions!$H$17,Instructions!$I$17,Instructions!$I$18))))</f>
        <v>FL-Landslide</v>
      </c>
      <c r="AA112" s="237">
        <f t="shared" si="39"/>
        <v>0</v>
      </c>
      <c r="AB112" s="237">
        <f t="shared" si="40"/>
        <v>63845</v>
      </c>
      <c r="AC112" s="238">
        <f t="shared" si="41"/>
        <v>2938</v>
      </c>
      <c r="AD112" s="389">
        <f t="shared" si="32"/>
        <v>66783</v>
      </c>
    </row>
    <row r="113" spans="1:31">
      <c r="A113" s="225" t="s">
        <v>74</v>
      </c>
      <c r="B113" s="226" t="s">
        <v>8</v>
      </c>
      <c r="C113" t="s">
        <v>427</v>
      </c>
      <c r="D113"/>
      <c r="E113"/>
      <c r="F113" t="s">
        <v>774</v>
      </c>
      <c r="G113"/>
      <c r="H113"/>
      <c r="I113" t="str">
        <f t="shared" si="28"/>
        <v>FL-No</v>
      </c>
      <c r="J113" t="str">
        <f t="shared" si="29"/>
        <v>FL-No</v>
      </c>
      <c r="K113">
        <v>0</v>
      </c>
      <c r="L113"/>
      <c r="M113">
        <v>2010</v>
      </c>
      <c r="N113" s="242">
        <v>21</v>
      </c>
      <c r="O113" s="415">
        <v>0</v>
      </c>
      <c r="P113" s="416">
        <v>1</v>
      </c>
      <c r="Q113" s="228">
        <f t="shared" si="20"/>
        <v>0</v>
      </c>
      <c r="R113" s="423">
        <v>1</v>
      </c>
      <c r="S113" s="239"/>
      <c r="T113" s="231">
        <f t="shared" si="30"/>
        <v>1</v>
      </c>
      <c r="U113" s="231">
        <f t="shared" si="21"/>
        <v>0</v>
      </c>
      <c r="V113" s="232">
        <f t="shared" si="31"/>
        <v>1</v>
      </c>
      <c r="W113" s="233">
        <f t="shared" si="36"/>
        <v>1</v>
      </c>
      <c r="X113" s="234" t="str">
        <f t="shared" si="37"/>
        <v>FL-Yes</v>
      </c>
      <c r="Y113" s="235" t="str">
        <f t="shared" si="38"/>
        <v>FL-Rep</v>
      </c>
      <c r="Z113" s="236" t="str">
        <f>B113&amp;"-"&amp;IF(V113&gt;Instructions!$H$14,Instructions!$I$14,IF(V113&gt;Instructions!$H$15,Instructions!$I$15,IF(V113&gt;Instructions!$H$16,Instructions!$I$16,IF(V113&gt;Instructions!$H$17,Instructions!$I$17,Instructions!$I$18))))</f>
        <v>FL-No contest</v>
      </c>
      <c r="AA113" s="237">
        <f t="shared" si="39"/>
        <v>0</v>
      </c>
      <c r="AB113" s="237">
        <f t="shared" si="40"/>
        <v>0</v>
      </c>
      <c r="AC113" s="238">
        <f t="shared" si="41"/>
        <v>0</v>
      </c>
      <c r="AD113" s="389">
        <f t="shared" si="32"/>
        <v>0</v>
      </c>
    </row>
    <row r="114" spans="1:31">
      <c r="A114" s="225" t="s">
        <v>74</v>
      </c>
      <c r="B114" s="226" t="s">
        <v>8</v>
      </c>
      <c r="C114" t="s">
        <v>428</v>
      </c>
      <c r="D114"/>
      <c r="E114" t="s">
        <v>774</v>
      </c>
      <c r="F114"/>
      <c r="G114"/>
      <c r="H114"/>
      <c r="I114" t="str">
        <f t="shared" si="28"/>
        <v>FL-Yes</v>
      </c>
      <c r="J114" t="str">
        <f t="shared" si="29"/>
        <v>FL-No</v>
      </c>
      <c r="K114">
        <f t="shared" si="33"/>
        <v>1</v>
      </c>
      <c r="L114" t="str">
        <f>B114&amp;"-"&amp;IF(M114=2010, 1, "")</f>
        <v>FL-1</v>
      </c>
      <c r="M114">
        <v>2010</v>
      </c>
      <c r="N114" s="242">
        <v>22</v>
      </c>
      <c r="O114" s="415">
        <v>99804</v>
      </c>
      <c r="P114" s="416">
        <v>118890</v>
      </c>
      <c r="Q114" s="228">
        <f t="shared" si="20"/>
        <v>0</v>
      </c>
      <c r="R114" s="423">
        <v>218694</v>
      </c>
      <c r="S114" s="239"/>
      <c r="T114" s="231">
        <f t="shared" si="30"/>
        <v>118890</v>
      </c>
      <c r="U114" s="231">
        <f t="shared" si="21"/>
        <v>99804</v>
      </c>
      <c r="V114" s="232">
        <f t="shared" si="31"/>
        <v>8.7272627506927491E-2</v>
      </c>
      <c r="W114" s="233">
        <f t="shared" si="36"/>
        <v>0.54363631375346377</v>
      </c>
      <c r="X114" s="234" t="str">
        <f t="shared" si="37"/>
        <v>FL-No</v>
      </c>
      <c r="Y114" s="235" t="str">
        <f t="shared" si="38"/>
        <v>FL-Rep</v>
      </c>
      <c r="Z114" s="236" t="str">
        <f>B114&amp;"-"&amp;IF(V114&gt;Instructions!$H$14,Instructions!$I$14,IF(V114&gt;Instructions!$H$15,Instructions!$I$15,IF(V114&gt;Instructions!$H$16,Instructions!$I$16,IF(V114&gt;Instructions!$H$17,Instructions!$I$17,Instructions!$I$18))))</f>
        <v>FL-Competitive</v>
      </c>
      <c r="AA114" s="237">
        <f t="shared" si="39"/>
        <v>99804</v>
      </c>
      <c r="AB114" s="237">
        <f t="shared" si="40"/>
        <v>0</v>
      </c>
      <c r="AC114" s="238">
        <f t="shared" si="41"/>
        <v>0</v>
      </c>
      <c r="AD114" s="389">
        <f t="shared" si="32"/>
        <v>99804</v>
      </c>
    </row>
    <row r="115" spans="1:31">
      <c r="A115" s="225" t="s">
        <v>74</v>
      </c>
      <c r="B115" s="226" t="s">
        <v>8</v>
      </c>
      <c r="C115" s="426" t="s">
        <v>429</v>
      </c>
      <c r="D115"/>
      <c r="E115" t="s">
        <v>774</v>
      </c>
      <c r="F115"/>
      <c r="G115"/>
      <c r="H115"/>
      <c r="I115" t="str">
        <f t="shared" si="28"/>
        <v>FL-Yes</v>
      </c>
      <c r="J115" t="str">
        <f t="shared" si="29"/>
        <v>FL-Yes</v>
      </c>
      <c r="K115" t="str">
        <f t="shared" si="33"/>
        <v/>
      </c>
      <c r="L115" t="str">
        <f>IF(M115=2010, 1, "")</f>
        <v/>
      </c>
      <c r="M115">
        <v>1992</v>
      </c>
      <c r="N115" s="242">
        <v>23</v>
      </c>
      <c r="O115" s="415">
        <v>100066</v>
      </c>
      <c r="P115" s="416">
        <v>26414</v>
      </c>
      <c r="Q115" s="228">
        <f t="shared" si="20"/>
        <v>0</v>
      </c>
      <c r="R115" s="423">
        <v>126480</v>
      </c>
      <c r="S115" s="239"/>
      <c r="T115" s="231">
        <f t="shared" si="30"/>
        <v>100066</v>
      </c>
      <c r="U115" s="231">
        <f t="shared" si="21"/>
        <v>26414</v>
      </c>
      <c r="V115" s="232">
        <f t="shared" si="31"/>
        <v>0.58232131562302336</v>
      </c>
      <c r="W115" s="233">
        <f t="shared" si="36"/>
        <v>0.79116065781151168</v>
      </c>
      <c r="X115" s="234" t="str">
        <f t="shared" si="37"/>
        <v>FL-No</v>
      </c>
      <c r="Y115" s="235" t="str">
        <f t="shared" si="38"/>
        <v>FL-Dem</v>
      </c>
      <c r="Z115" s="236" t="str">
        <f>B115&amp;"-"&amp;IF(V115&gt;Instructions!$H$14,Instructions!$I$14,IF(V115&gt;Instructions!$H$15,Instructions!$I$15,IF(V115&gt;Instructions!$H$16,Instructions!$I$16,IF(V115&gt;Instructions!$H$17,Instructions!$I$17,Instructions!$I$18))))</f>
        <v>FL-No contest</v>
      </c>
      <c r="AA115" s="237">
        <f t="shared" si="39"/>
        <v>0</v>
      </c>
      <c r="AB115" s="237">
        <f t="shared" si="40"/>
        <v>26414</v>
      </c>
      <c r="AC115" s="238">
        <f t="shared" si="41"/>
        <v>0</v>
      </c>
      <c r="AD115" s="389">
        <f t="shared" si="32"/>
        <v>26414</v>
      </c>
    </row>
    <row r="116" spans="1:31">
      <c r="A116" s="225" t="s">
        <v>74</v>
      </c>
      <c r="B116" s="226" t="s">
        <v>8</v>
      </c>
      <c r="C116" t="s">
        <v>430</v>
      </c>
      <c r="D116" t="s">
        <v>774</v>
      </c>
      <c r="E116"/>
      <c r="F116"/>
      <c r="G116"/>
      <c r="H116"/>
      <c r="I116" t="str">
        <f t="shared" si="28"/>
        <v>FL-Yes</v>
      </c>
      <c r="J116" t="str">
        <f t="shared" si="29"/>
        <v>FL-No</v>
      </c>
      <c r="K116">
        <f t="shared" si="33"/>
        <v>1</v>
      </c>
      <c r="L116" t="str">
        <f>B116&amp;"-"&amp;IF(M116=2010, 1, "")</f>
        <v>FL-1</v>
      </c>
      <c r="M116">
        <v>2010</v>
      </c>
      <c r="N116" s="242">
        <v>24</v>
      </c>
      <c r="O116" s="415">
        <v>98787</v>
      </c>
      <c r="P116" s="416">
        <v>146129</v>
      </c>
      <c r="Q116" s="228">
        <f t="shared" si="20"/>
        <v>98902</v>
      </c>
      <c r="R116" s="423">
        <v>343818</v>
      </c>
      <c r="S116" s="239"/>
      <c r="T116" s="231">
        <f t="shared" si="30"/>
        <v>146129</v>
      </c>
      <c r="U116" s="231">
        <f t="shared" si="21"/>
        <v>98902</v>
      </c>
      <c r="V116" s="232">
        <f t="shared" si="31"/>
        <v>0.19329892697904588</v>
      </c>
      <c r="W116" s="233">
        <f t="shared" si="36"/>
        <v>0.42501846907375412</v>
      </c>
      <c r="X116" s="234" t="str">
        <f t="shared" si="37"/>
        <v>FL-No</v>
      </c>
      <c r="Y116" s="235" t="str">
        <f t="shared" si="38"/>
        <v>FL-Rep</v>
      </c>
      <c r="Z116" s="236" t="str">
        <f>B116&amp;"-"&amp;IF(V116&gt;Instructions!$H$14,Instructions!$I$14,IF(V116&gt;Instructions!$H$15,Instructions!$I$15,IF(V116&gt;Instructions!$H$16,Instructions!$I$16,IF(V116&gt;Instructions!$H$17,Instructions!$I$17,Instructions!$I$18))))</f>
        <v>FL-Opportunity</v>
      </c>
      <c r="AA116" s="237">
        <f t="shared" si="39"/>
        <v>98787</v>
      </c>
      <c r="AB116" s="237">
        <f t="shared" si="40"/>
        <v>0</v>
      </c>
      <c r="AC116" s="238">
        <f t="shared" si="41"/>
        <v>98902</v>
      </c>
      <c r="AD116" s="389">
        <f t="shared" si="32"/>
        <v>197689</v>
      </c>
    </row>
    <row r="117" spans="1:31">
      <c r="A117" s="225" t="s">
        <v>74</v>
      </c>
      <c r="B117" s="226" t="s">
        <v>8</v>
      </c>
      <c r="C117" t="s">
        <v>431</v>
      </c>
      <c r="D117"/>
      <c r="E117"/>
      <c r="F117" t="s">
        <v>774</v>
      </c>
      <c r="G117"/>
      <c r="H117"/>
      <c r="I117" t="str">
        <f t="shared" si="28"/>
        <v>FL-No</v>
      </c>
      <c r="J117" t="str">
        <f t="shared" si="29"/>
        <v>FL-No</v>
      </c>
      <c r="K117">
        <v>0</v>
      </c>
      <c r="L117"/>
      <c r="M117">
        <v>2010</v>
      </c>
      <c r="N117" s="242">
        <v>25</v>
      </c>
      <c r="O117" s="415">
        <v>61138</v>
      </c>
      <c r="P117" s="416">
        <v>74859</v>
      </c>
      <c r="Q117" s="228">
        <f t="shared" si="20"/>
        <v>7556</v>
      </c>
      <c r="R117" s="423">
        <v>143553</v>
      </c>
      <c r="S117" s="239"/>
      <c r="T117" s="231">
        <f t="shared" si="30"/>
        <v>74859</v>
      </c>
      <c r="U117" s="231">
        <f t="shared" si="21"/>
        <v>61138</v>
      </c>
      <c r="V117" s="232">
        <f t="shared" si="31"/>
        <v>0.10089193143966411</v>
      </c>
      <c r="W117" s="233">
        <f t="shared" si="36"/>
        <v>0.52147290547741953</v>
      </c>
      <c r="X117" s="234" t="str">
        <f t="shared" si="37"/>
        <v>FL-No</v>
      </c>
      <c r="Y117" s="235" t="str">
        <f t="shared" si="38"/>
        <v>FL-Rep</v>
      </c>
      <c r="Z117" s="236" t="str">
        <f>B117&amp;"-"&amp;IF(V117&gt;Instructions!$H$14,Instructions!$I$14,IF(V117&gt;Instructions!$H$15,Instructions!$I$15,IF(V117&gt;Instructions!$H$16,Instructions!$I$16,IF(V117&gt;Instructions!$H$17,Instructions!$I$17,Instructions!$I$18))))</f>
        <v>FL-Opportunity</v>
      </c>
      <c r="AA117" s="237">
        <f t="shared" si="39"/>
        <v>61138</v>
      </c>
      <c r="AB117" s="237">
        <f t="shared" si="40"/>
        <v>0</v>
      </c>
      <c r="AC117" s="238">
        <f t="shared" si="41"/>
        <v>7556</v>
      </c>
      <c r="AD117" s="389">
        <f t="shared" si="32"/>
        <v>68694</v>
      </c>
      <c r="AE117" s="389">
        <f>SUM(AD93:AD117)</f>
        <v>1868339</v>
      </c>
    </row>
    <row r="118" spans="1:31">
      <c r="A118" s="225" t="s">
        <v>75</v>
      </c>
      <c r="B118" s="226" t="s">
        <v>9</v>
      </c>
      <c r="C118" s="426" t="s">
        <v>432</v>
      </c>
      <c r="D118"/>
      <c r="E118"/>
      <c r="F118"/>
      <c r="G118"/>
      <c r="H118"/>
      <c r="I118" t="str">
        <f t="shared" si="28"/>
        <v>GA-Yes</v>
      </c>
      <c r="J118" t="str">
        <f t="shared" si="29"/>
        <v>GA-Yes</v>
      </c>
      <c r="K118" t="str">
        <f t="shared" si="33"/>
        <v/>
      </c>
      <c r="L118" t="str">
        <f t="shared" si="35"/>
        <v/>
      </c>
      <c r="M118">
        <v>1992</v>
      </c>
      <c r="N118" s="242">
        <v>1</v>
      </c>
      <c r="O118" s="415">
        <v>46449</v>
      </c>
      <c r="P118" s="416">
        <v>117270</v>
      </c>
      <c r="Q118" s="228">
        <f t="shared" si="20"/>
        <v>0</v>
      </c>
      <c r="R118" s="423">
        <v>163719</v>
      </c>
      <c r="S118" s="239"/>
      <c r="T118" s="231">
        <f t="shared" si="30"/>
        <v>117270</v>
      </c>
      <c r="U118" s="231">
        <f t="shared" si="21"/>
        <v>46449</v>
      </c>
      <c r="V118" s="232">
        <f t="shared" si="31"/>
        <v>0.43257654884283436</v>
      </c>
      <c r="W118" s="233">
        <f t="shared" si="36"/>
        <v>0.71628827442141718</v>
      </c>
      <c r="X118" s="234" t="str">
        <f t="shared" si="37"/>
        <v>GA-No</v>
      </c>
      <c r="Y118" s="235" t="str">
        <f t="shared" si="38"/>
        <v>GA-Rep</v>
      </c>
      <c r="Z118" s="236" t="str">
        <f>B118&amp;"-"&amp;IF(V118&gt;Instructions!$H$14,Instructions!$I$14,IF(V118&gt;Instructions!$H$15,Instructions!$I$15,IF(V118&gt;Instructions!$H$16,Instructions!$I$16,IF(V118&gt;Instructions!$H$17,Instructions!$I$17,Instructions!$I$18))))</f>
        <v>GA-No contest</v>
      </c>
      <c r="AA118" s="237">
        <f t="shared" si="39"/>
        <v>46449</v>
      </c>
      <c r="AB118" s="237">
        <f t="shared" si="40"/>
        <v>0</v>
      </c>
      <c r="AC118" s="238">
        <f t="shared" si="41"/>
        <v>0</v>
      </c>
      <c r="AD118" s="389">
        <f t="shared" si="32"/>
        <v>46449</v>
      </c>
    </row>
    <row r="119" spans="1:31">
      <c r="A119" s="225" t="s">
        <v>75</v>
      </c>
      <c r="B119" s="226" t="s">
        <v>9</v>
      </c>
      <c r="C119" t="s">
        <v>433</v>
      </c>
      <c r="D119"/>
      <c r="E119" t="s">
        <v>775</v>
      </c>
      <c r="F119"/>
      <c r="G119"/>
      <c r="H119"/>
      <c r="I119" t="str">
        <f t="shared" si="28"/>
        <v>GA-Yes</v>
      </c>
      <c r="J119" t="str">
        <f t="shared" si="29"/>
        <v>GA-Yes</v>
      </c>
      <c r="K119" t="str">
        <f t="shared" si="33"/>
        <v/>
      </c>
      <c r="L119" t="str">
        <f t="shared" si="35"/>
        <v/>
      </c>
      <c r="M119">
        <v>1992</v>
      </c>
      <c r="N119" s="242">
        <v>2</v>
      </c>
      <c r="O119" s="415">
        <v>86520</v>
      </c>
      <c r="P119" s="416">
        <v>81673</v>
      </c>
      <c r="Q119" s="228">
        <f t="shared" si="20"/>
        <v>0</v>
      </c>
      <c r="R119" s="423">
        <v>168193</v>
      </c>
      <c r="S119" s="239"/>
      <c r="T119" s="231">
        <f t="shared" si="30"/>
        <v>86520</v>
      </c>
      <c r="U119" s="231">
        <f t="shared" si="21"/>
        <v>81673</v>
      </c>
      <c r="V119" s="232">
        <f t="shared" si="31"/>
        <v>2.8818083986848441E-2</v>
      </c>
      <c r="W119" s="233">
        <f t="shared" si="36"/>
        <v>0.51440904199342419</v>
      </c>
      <c r="X119" s="234" t="str">
        <f t="shared" si="37"/>
        <v>GA-No</v>
      </c>
      <c r="Y119" s="235" t="str">
        <f t="shared" si="38"/>
        <v>GA-Dem</v>
      </c>
      <c r="Z119" s="236" t="str">
        <f>B119&amp;"-"&amp;IF(V119&gt;Instructions!$H$14,Instructions!$I$14,IF(V119&gt;Instructions!$H$15,Instructions!$I$15,IF(V119&gt;Instructions!$H$16,Instructions!$I$16,IF(V119&gt;Instructions!$H$17,Instructions!$I$17,Instructions!$I$18))))</f>
        <v>GA-Tight</v>
      </c>
      <c r="AA119" s="237">
        <f t="shared" si="39"/>
        <v>0</v>
      </c>
      <c r="AB119" s="237">
        <f t="shared" si="40"/>
        <v>81673</v>
      </c>
      <c r="AC119" s="238">
        <f t="shared" si="41"/>
        <v>0</v>
      </c>
      <c r="AD119" s="389">
        <f t="shared" si="32"/>
        <v>81673</v>
      </c>
    </row>
    <row r="120" spans="1:31">
      <c r="A120" s="225" t="s">
        <v>75</v>
      </c>
      <c r="B120" s="226" t="s">
        <v>9</v>
      </c>
      <c r="C120" s="426" t="s">
        <v>434</v>
      </c>
      <c r="D120"/>
      <c r="E120"/>
      <c r="F120"/>
      <c r="G120"/>
      <c r="H120"/>
      <c r="I120" t="str">
        <f t="shared" si="28"/>
        <v>GA-Yes</v>
      </c>
      <c r="J120" t="str">
        <f t="shared" si="29"/>
        <v>GA-Yes</v>
      </c>
      <c r="K120" t="str">
        <f t="shared" si="33"/>
        <v/>
      </c>
      <c r="L120" t="str">
        <f>IF(M120=2010, 1, "")</f>
        <v/>
      </c>
      <c r="M120">
        <v>2004</v>
      </c>
      <c r="N120" s="242">
        <v>3</v>
      </c>
      <c r="O120" s="415">
        <v>73932</v>
      </c>
      <c r="P120" s="416">
        <v>168304</v>
      </c>
      <c r="Q120" s="228">
        <f t="shared" si="20"/>
        <v>3</v>
      </c>
      <c r="R120" s="423">
        <v>242239</v>
      </c>
      <c r="S120" s="239"/>
      <c r="T120" s="231">
        <f t="shared" si="30"/>
        <v>168304</v>
      </c>
      <c r="U120" s="231">
        <f t="shared" si="21"/>
        <v>73932</v>
      </c>
      <c r="V120" s="232">
        <f t="shared" si="31"/>
        <v>0.38958701431661685</v>
      </c>
      <c r="W120" s="233">
        <f t="shared" si="36"/>
        <v>0.69478490251363323</v>
      </c>
      <c r="X120" s="234" t="str">
        <f t="shared" si="37"/>
        <v>GA-No</v>
      </c>
      <c r="Y120" s="235" t="str">
        <f t="shared" si="38"/>
        <v>GA-Rep</v>
      </c>
      <c r="Z120" s="236" t="str">
        <f>B120&amp;"-"&amp;IF(V120&gt;Instructions!$H$14,Instructions!$I$14,IF(V120&gt;Instructions!$H$15,Instructions!$I$15,IF(V120&gt;Instructions!$H$16,Instructions!$I$16,IF(V120&gt;Instructions!$H$17,Instructions!$I$17,Instructions!$I$18))))</f>
        <v>GA-Landslide</v>
      </c>
      <c r="AA120" s="237">
        <f t="shared" si="39"/>
        <v>73932</v>
      </c>
      <c r="AB120" s="237">
        <f t="shared" si="40"/>
        <v>0</v>
      </c>
      <c r="AC120" s="238">
        <f t="shared" si="41"/>
        <v>3</v>
      </c>
      <c r="AD120" s="389">
        <f t="shared" si="32"/>
        <v>73935</v>
      </c>
    </row>
    <row r="121" spans="1:31">
      <c r="A121" s="225" t="s">
        <v>75</v>
      </c>
      <c r="B121" s="226" t="s">
        <v>9</v>
      </c>
      <c r="C121" s="426" t="s">
        <v>435</v>
      </c>
      <c r="D121"/>
      <c r="E121" t="s">
        <v>775</v>
      </c>
      <c r="F121"/>
      <c r="G121"/>
      <c r="H121"/>
      <c r="I121" t="str">
        <f t="shared" si="28"/>
        <v>GA-Yes</v>
      </c>
      <c r="J121" t="str">
        <f t="shared" si="29"/>
        <v>GA-Yes</v>
      </c>
      <c r="K121" t="str">
        <f t="shared" si="33"/>
        <v/>
      </c>
      <c r="L121" t="str">
        <f t="shared" si="35"/>
        <v/>
      </c>
      <c r="M121">
        <v>2006</v>
      </c>
      <c r="N121" s="242">
        <v>4</v>
      </c>
      <c r="O121" s="415">
        <v>131760</v>
      </c>
      <c r="P121" s="416">
        <v>44707</v>
      </c>
      <c r="Q121" s="228">
        <f t="shared" si="20"/>
        <v>0</v>
      </c>
      <c r="R121" s="423">
        <v>176467</v>
      </c>
      <c r="S121" s="239"/>
      <c r="T121" s="231">
        <f t="shared" si="30"/>
        <v>131760</v>
      </c>
      <c r="U121" s="231">
        <f t="shared" si="21"/>
        <v>44707</v>
      </c>
      <c r="V121" s="232">
        <f t="shared" si="31"/>
        <v>0.49331036397740086</v>
      </c>
      <c r="W121" s="233">
        <f t="shared" si="36"/>
        <v>0.7466551819887004</v>
      </c>
      <c r="X121" s="234" t="str">
        <f t="shared" si="37"/>
        <v>GA-No</v>
      </c>
      <c r="Y121" s="235" t="str">
        <f t="shared" si="38"/>
        <v>GA-Dem</v>
      </c>
      <c r="Z121" s="236" t="str">
        <f>B121&amp;"-"&amp;IF(V121&gt;Instructions!$H$14,Instructions!$I$14,IF(V121&gt;Instructions!$H$15,Instructions!$I$15,IF(V121&gt;Instructions!$H$16,Instructions!$I$16,IF(V121&gt;Instructions!$H$17,Instructions!$I$17,Instructions!$I$18))))</f>
        <v>GA-No contest</v>
      </c>
      <c r="AA121" s="237">
        <f t="shared" si="39"/>
        <v>0</v>
      </c>
      <c r="AB121" s="237">
        <f t="shared" si="40"/>
        <v>44707</v>
      </c>
      <c r="AC121" s="238">
        <f t="shared" si="41"/>
        <v>0</v>
      </c>
      <c r="AD121" s="389">
        <f t="shared" si="32"/>
        <v>44707</v>
      </c>
    </row>
    <row r="122" spans="1:31">
      <c r="A122" s="225" t="s">
        <v>75</v>
      </c>
      <c r="B122" s="226" t="s">
        <v>9</v>
      </c>
      <c r="C122" s="426" t="s">
        <v>436</v>
      </c>
      <c r="D122"/>
      <c r="E122" t="s">
        <v>775</v>
      </c>
      <c r="F122"/>
      <c r="G122"/>
      <c r="H122"/>
      <c r="I122" t="str">
        <f t="shared" si="28"/>
        <v>GA-Yes</v>
      </c>
      <c r="J122" t="str">
        <f t="shared" si="29"/>
        <v>GA-Yes</v>
      </c>
      <c r="K122" t="str">
        <f t="shared" si="33"/>
        <v/>
      </c>
      <c r="L122" t="str">
        <f t="shared" si="35"/>
        <v/>
      </c>
      <c r="M122">
        <v>1986</v>
      </c>
      <c r="N122" s="242">
        <v>5</v>
      </c>
      <c r="O122" s="415">
        <v>130782</v>
      </c>
      <c r="P122" s="416">
        <v>46622</v>
      </c>
      <c r="Q122" s="228">
        <f t="shared" si="20"/>
        <v>0</v>
      </c>
      <c r="R122" s="423">
        <v>177404</v>
      </c>
      <c r="S122" s="239"/>
      <c r="T122" s="231">
        <f t="shared" si="30"/>
        <v>130782</v>
      </c>
      <c r="U122" s="231">
        <f t="shared" si="21"/>
        <v>46622</v>
      </c>
      <c r="V122" s="232">
        <f t="shared" si="31"/>
        <v>0.47439742057676265</v>
      </c>
      <c r="W122" s="233">
        <f t="shared" si="36"/>
        <v>0.73719871028838135</v>
      </c>
      <c r="X122" s="234" t="str">
        <f t="shared" si="37"/>
        <v>GA-No</v>
      </c>
      <c r="Y122" s="235" t="str">
        <f t="shared" si="38"/>
        <v>GA-Dem</v>
      </c>
      <c r="Z122" s="236" t="str">
        <f>B122&amp;"-"&amp;IF(V122&gt;Instructions!$H$14,Instructions!$I$14,IF(V122&gt;Instructions!$H$15,Instructions!$I$15,IF(V122&gt;Instructions!$H$16,Instructions!$I$16,IF(V122&gt;Instructions!$H$17,Instructions!$I$17,Instructions!$I$18))))</f>
        <v>GA-No contest</v>
      </c>
      <c r="AA122" s="237">
        <f t="shared" si="39"/>
        <v>0</v>
      </c>
      <c r="AB122" s="237">
        <f t="shared" si="40"/>
        <v>46622</v>
      </c>
      <c r="AC122" s="238">
        <f t="shared" si="41"/>
        <v>0</v>
      </c>
      <c r="AD122" s="389">
        <f t="shared" si="32"/>
        <v>46622</v>
      </c>
    </row>
    <row r="123" spans="1:31">
      <c r="A123" s="225" t="s">
        <v>75</v>
      </c>
      <c r="B123" s="226" t="s">
        <v>9</v>
      </c>
      <c r="C123" s="426" t="s">
        <v>437</v>
      </c>
      <c r="D123"/>
      <c r="E123"/>
      <c r="F123"/>
      <c r="G123"/>
      <c r="H123"/>
      <c r="I123" t="str">
        <f t="shared" si="28"/>
        <v>GA-Yes</v>
      </c>
      <c r="J123" t="str">
        <f t="shared" si="29"/>
        <v>GA-Yes</v>
      </c>
      <c r="K123" t="str">
        <f t="shared" si="33"/>
        <v/>
      </c>
      <c r="L123" t="str">
        <f t="shared" si="35"/>
        <v/>
      </c>
      <c r="M123">
        <v>2004</v>
      </c>
      <c r="N123" s="242">
        <v>6</v>
      </c>
      <c r="O123" s="415">
        <v>0</v>
      </c>
      <c r="P123" s="416">
        <v>198100</v>
      </c>
      <c r="Q123" s="228">
        <f t="shared" si="20"/>
        <v>188</v>
      </c>
      <c r="R123" s="423">
        <v>198288</v>
      </c>
      <c r="S123" s="239"/>
      <c r="T123" s="231">
        <f t="shared" si="30"/>
        <v>198100</v>
      </c>
      <c r="U123" s="231">
        <f t="shared" si="21"/>
        <v>188</v>
      </c>
      <c r="V123" s="232">
        <f t="shared" si="31"/>
        <v>1</v>
      </c>
      <c r="W123" s="233">
        <f t="shared" si="36"/>
        <v>0.99905188412813684</v>
      </c>
      <c r="X123" s="234" t="str">
        <f t="shared" si="37"/>
        <v>GA-Yes</v>
      </c>
      <c r="Y123" s="235" t="str">
        <f t="shared" si="38"/>
        <v>GA-Rep</v>
      </c>
      <c r="Z123" s="236" t="str">
        <f>B123&amp;"-"&amp;IF(V123&gt;Instructions!$H$14,Instructions!$I$14,IF(V123&gt;Instructions!$H$15,Instructions!$I$15,IF(V123&gt;Instructions!$H$16,Instructions!$I$16,IF(V123&gt;Instructions!$H$17,Instructions!$I$17,Instructions!$I$18))))</f>
        <v>GA-No contest</v>
      </c>
      <c r="AA123" s="237">
        <f t="shared" si="39"/>
        <v>0</v>
      </c>
      <c r="AB123" s="237">
        <f t="shared" si="40"/>
        <v>0</v>
      </c>
      <c r="AC123" s="238">
        <f t="shared" si="41"/>
        <v>188</v>
      </c>
      <c r="AD123" s="389">
        <f t="shared" si="32"/>
        <v>188</v>
      </c>
    </row>
    <row r="124" spans="1:31">
      <c r="A124" s="225" t="s">
        <v>75</v>
      </c>
      <c r="B124" s="226" t="s">
        <v>9</v>
      </c>
      <c r="C124" t="s">
        <v>438</v>
      </c>
      <c r="D124"/>
      <c r="E124"/>
      <c r="F124"/>
      <c r="G124"/>
      <c r="H124"/>
      <c r="I124" t="str">
        <f t="shared" si="28"/>
        <v>GA-No</v>
      </c>
      <c r="J124" t="str">
        <f t="shared" si="29"/>
        <v>GA-No</v>
      </c>
      <c r="K124">
        <v>0</v>
      </c>
      <c r="L124"/>
      <c r="M124">
        <v>2010</v>
      </c>
      <c r="N124" s="242">
        <v>7</v>
      </c>
      <c r="O124" s="415">
        <v>78996</v>
      </c>
      <c r="P124" s="416">
        <v>160898</v>
      </c>
      <c r="Q124" s="228">
        <f t="shared" si="20"/>
        <v>0</v>
      </c>
      <c r="R124" s="423">
        <v>239894</v>
      </c>
      <c r="S124" s="239"/>
      <c r="T124" s="231">
        <f t="shared" si="30"/>
        <v>160898</v>
      </c>
      <c r="U124" s="231">
        <f t="shared" si="21"/>
        <v>78996</v>
      </c>
      <c r="V124" s="232">
        <f t="shared" si="31"/>
        <v>0.34140912236237669</v>
      </c>
      <c r="W124" s="233">
        <f t="shared" si="36"/>
        <v>0.67070456118118837</v>
      </c>
      <c r="X124" s="234" t="str">
        <f t="shared" si="37"/>
        <v>GA-No</v>
      </c>
      <c r="Y124" s="235" t="str">
        <f t="shared" si="38"/>
        <v>GA-Rep</v>
      </c>
      <c r="Z124" s="236" t="str">
        <f>B124&amp;"-"&amp;IF(V124&gt;Instructions!$H$14,Instructions!$I$14,IF(V124&gt;Instructions!$H$15,Instructions!$I$15,IF(V124&gt;Instructions!$H$16,Instructions!$I$16,IF(V124&gt;Instructions!$H$17,Instructions!$I$17,Instructions!$I$18))))</f>
        <v>GA-Landslide</v>
      </c>
      <c r="AA124" s="237">
        <f t="shared" si="39"/>
        <v>78996</v>
      </c>
      <c r="AB124" s="237">
        <f t="shared" si="40"/>
        <v>0</v>
      </c>
      <c r="AC124" s="238">
        <f t="shared" si="41"/>
        <v>0</v>
      </c>
      <c r="AD124" s="389">
        <f t="shared" si="32"/>
        <v>78996</v>
      </c>
    </row>
    <row r="125" spans="1:31">
      <c r="A125" s="225" t="s">
        <v>75</v>
      </c>
      <c r="B125" s="226" t="s">
        <v>9</v>
      </c>
      <c r="C125" t="s">
        <v>439</v>
      </c>
      <c r="D125"/>
      <c r="E125"/>
      <c r="F125"/>
      <c r="G125"/>
      <c r="H125"/>
      <c r="I125" t="str">
        <f t="shared" si="28"/>
        <v>GA-Yes</v>
      </c>
      <c r="J125" t="str">
        <f t="shared" si="29"/>
        <v>GA-No</v>
      </c>
      <c r="K125">
        <f t="shared" si="33"/>
        <v>1</v>
      </c>
      <c r="L125" t="str">
        <f>B125&amp;"-"&amp;IF(M125=2010, 1, "")</f>
        <v>GA-1</v>
      </c>
      <c r="M125">
        <v>2010</v>
      </c>
      <c r="N125" s="242">
        <v>8</v>
      </c>
      <c r="O125" s="415">
        <v>92250</v>
      </c>
      <c r="P125" s="416">
        <v>102770</v>
      </c>
      <c r="Q125" s="228">
        <f t="shared" si="20"/>
        <v>0</v>
      </c>
      <c r="R125" s="423">
        <v>195020</v>
      </c>
      <c r="S125" s="239"/>
      <c r="T125" s="231">
        <f t="shared" si="30"/>
        <v>102770</v>
      </c>
      <c r="U125" s="231">
        <f t="shared" si="21"/>
        <v>92250</v>
      </c>
      <c r="V125" s="232">
        <f t="shared" si="31"/>
        <v>5.3943185314326736E-2</v>
      </c>
      <c r="W125" s="233">
        <f t="shared" si="36"/>
        <v>0.52697159265716331</v>
      </c>
      <c r="X125" s="234" t="str">
        <f t="shared" si="37"/>
        <v>GA-No</v>
      </c>
      <c r="Y125" s="235" t="str">
        <f t="shared" si="38"/>
        <v>GA-Rep</v>
      </c>
      <c r="Z125" s="236" t="str">
        <f>B125&amp;"-"&amp;IF(V125&gt;Instructions!$H$14,Instructions!$I$14,IF(V125&gt;Instructions!$H$15,Instructions!$I$15,IF(V125&gt;Instructions!$H$16,Instructions!$I$16,IF(V125&gt;Instructions!$H$17,Instructions!$I$17,Instructions!$I$18))))</f>
        <v>GA-Competitive</v>
      </c>
      <c r="AA125" s="237">
        <f t="shared" si="39"/>
        <v>92250</v>
      </c>
      <c r="AB125" s="237">
        <f t="shared" si="40"/>
        <v>0</v>
      </c>
      <c r="AC125" s="238">
        <f t="shared" si="41"/>
        <v>0</v>
      </c>
      <c r="AD125" s="389">
        <f t="shared" si="32"/>
        <v>92250</v>
      </c>
    </row>
    <row r="126" spans="1:31">
      <c r="A126" s="225" t="s">
        <v>75</v>
      </c>
      <c r="B126" s="226" t="s">
        <v>9</v>
      </c>
      <c r="C126" t="s">
        <v>440</v>
      </c>
      <c r="D126"/>
      <c r="E126"/>
      <c r="F126"/>
      <c r="G126"/>
      <c r="H126"/>
      <c r="I126" t="str">
        <f t="shared" si="28"/>
        <v>GA-No</v>
      </c>
      <c r="J126" t="str">
        <f t="shared" si="29"/>
        <v>GA-No</v>
      </c>
      <c r="K126">
        <v>0</v>
      </c>
      <c r="L126"/>
      <c r="M126">
        <v>2010</v>
      </c>
      <c r="N126" s="242">
        <v>9</v>
      </c>
      <c r="O126" s="415">
        <v>0</v>
      </c>
      <c r="P126" s="416">
        <v>173512</v>
      </c>
      <c r="Q126" s="228">
        <f t="shared" si="20"/>
        <v>0</v>
      </c>
      <c r="R126" s="423">
        <v>173512</v>
      </c>
      <c r="S126" s="239"/>
      <c r="T126" s="231">
        <f t="shared" si="30"/>
        <v>173512</v>
      </c>
      <c r="U126" s="231">
        <f t="shared" si="21"/>
        <v>0</v>
      </c>
      <c r="V126" s="232">
        <f t="shared" si="31"/>
        <v>1</v>
      </c>
      <c r="W126" s="233">
        <f t="shared" si="36"/>
        <v>1</v>
      </c>
      <c r="X126" s="234" t="str">
        <f t="shared" si="37"/>
        <v>GA-Yes</v>
      </c>
      <c r="Y126" s="235" t="str">
        <f t="shared" si="38"/>
        <v>GA-Rep</v>
      </c>
      <c r="Z126" s="236" t="str">
        <f>B126&amp;"-"&amp;IF(V126&gt;Instructions!$H$14,Instructions!$I$14,IF(V126&gt;Instructions!$H$15,Instructions!$I$15,IF(V126&gt;Instructions!$H$16,Instructions!$I$16,IF(V126&gt;Instructions!$H$17,Instructions!$I$17,Instructions!$I$18))))</f>
        <v>GA-No contest</v>
      </c>
      <c r="AA126" s="237">
        <f t="shared" si="39"/>
        <v>0</v>
      </c>
      <c r="AB126" s="237">
        <f t="shared" si="40"/>
        <v>0</v>
      </c>
      <c r="AC126" s="238">
        <f t="shared" si="41"/>
        <v>0</v>
      </c>
      <c r="AD126" s="389">
        <f t="shared" si="32"/>
        <v>0</v>
      </c>
    </row>
    <row r="127" spans="1:31">
      <c r="A127" s="225" t="s">
        <v>75</v>
      </c>
      <c r="B127" s="226" t="s">
        <v>9</v>
      </c>
      <c r="C127" s="426" t="s">
        <v>441</v>
      </c>
      <c r="D127"/>
      <c r="E127"/>
      <c r="F127"/>
      <c r="G127"/>
      <c r="H127"/>
      <c r="I127" t="str">
        <f t="shared" si="28"/>
        <v>GA-Yes</v>
      </c>
      <c r="J127" t="str">
        <f t="shared" si="29"/>
        <v>GA-Yes</v>
      </c>
      <c r="K127" t="str">
        <f t="shared" si="33"/>
        <v/>
      </c>
      <c r="L127" t="str">
        <f>IF(M127=2010, 1, "")</f>
        <v/>
      </c>
      <c r="M127">
        <v>2007</v>
      </c>
      <c r="N127" s="242">
        <v>10</v>
      </c>
      <c r="O127" s="415">
        <v>66905</v>
      </c>
      <c r="P127" s="416">
        <v>138062</v>
      </c>
      <c r="Q127" s="228">
        <f t="shared" si="20"/>
        <v>0</v>
      </c>
      <c r="R127" s="423">
        <v>204967</v>
      </c>
      <c r="S127" s="239"/>
      <c r="T127" s="231">
        <f t="shared" si="30"/>
        <v>138062</v>
      </c>
      <c r="U127" s="231">
        <f t="shared" si="21"/>
        <v>66905</v>
      </c>
      <c r="V127" s="232">
        <f t="shared" si="31"/>
        <v>0.34716320188127847</v>
      </c>
      <c r="W127" s="233">
        <f t="shared" si="36"/>
        <v>0.67358160094063924</v>
      </c>
      <c r="X127" s="234" t="str">
        <f t="shared" si="37"/>
        <v>GA-No</v>
      </c>
      <c r="Y127" s="235" t="str">
        <f t="shared" si="38"/>
        <v>GA-Rep</v>
      </c>
      <c r="Z127" s="236" t="str">
        <f>B127&amp;"-"&amp;IF(V127&gt;Instructions!$H$14,Instructions!$I$14,IF(V127&gt;Instructions!$H$15,Instructions!$I$15,IF(V127&gt;Instructions!$H$16,Instructions!$I$16,IF(V127&gt;Instructions!$H$17,Instructions!$I$17,Instructions!$I$18))))</f>
        <v>GA-Landslide</v>
      </c>
      <c r="AA127" s="237">
        <f t="shared" si="39"/>
        <v>66905</v>
      </c>
      <c r="AB127" s="237">
        <f t="shared" si="40"/>
        <v>0</v>
      </c>
      <c r="AC127" s="238">
        <f t="shared" si="41"/>
        <v>0</v>
      </c>
      <c r="AD127" s="389">
        <f t="shared" si="32"/>
        <v>66905</v>
      </c>
    </row>
    <row r="128" spans="1:31">
      <c r="A128" s="225" t="s">
        <v>75</v>
      </c>
      <c r="B128" s="226" t="s">
        <v>9</v>
      </c>
      <c r="C128" s="426" t="s">
        <v>442</v>
      </c>
      <c r="D128"/>
      <c r="E128"/>
      <c r="F128"/>
      <c r="G128"/>
      <c r="H128"/>
      <c r="I128" t="str">
        <f t="shared" si="28"/>
        <v>GA-Yes</v>
      </c>
      <c r="J128" t="str">
        <f t="shared" si="29"/>
        <v>GA-Yes</v>
      </c>
      <c r="K128" t="str">
        <f t="shared" si="33"/>
        <v/>
      </c>
      <c r="L128" t="str">
        <f t="shared" si="35"/>
        <v/>
      </c>
      <c r="M128">
        <v>2002</v>
      </c>
      <c r="N128" s="242">
        <v>11</v>
      </c>
      <c r="O128" s="415">
        <v>0</v>
      </c>
      <c r="P128" s="416">
        <v>163515</v>
      </c>
      <c r="Q128" s="228">
        <f t="shared" si="20"/>
        <v>0</v>
      </c>
      <c r="R128" s="423">
        <v>163515</v>
      </c>
      <c r="S128" s="239"/>
      <c r="T128" s="231">
        <f t="shared" si="30"/>
        <v>163515</v>
      </c>
      <c r="U128" s="231">
        <f t="shared" si="21"/>
        <v>0</v>
      </c>
      <c r="V128" s="232">
        <f t="shared" si="31"/>
        <v>1</v>
      </c>
      <c r="W128" s="233">
        <f t="shared" si="36"/>
        <v>1</v>
      </c>
      <c r="X128" s="234" t="str">
        <f t="shared" si="37"/>
        <v>GA-Yes</v>
      </c>
      <c r="Y128" s="235" t="str">
        <f t="shared" si="38"/>
        <v>GA-Rep</v>
      </c>
      <c r="Z128" s="236" t="str">
        <f>B128&amp;"-"&amp;IF(V128&gt;Instructions!$H$14,Instructions!$I$14,IF(V128&gt;Instructions!$H$15,Instructions!$I$15,IF(V128&gt;Instructions!$H$16,Instructions!$I$16,IF(V128&gt;Instructions!$H$17,Instructions!$I$17,Instructions!$I$18))))</f>
        <v>GA-No contest</v>
      </c>
      <c r="AA128" s="237">
        <f t="shared" si="39"/>
        <v>0</v>
      </c>
      <c r="AB128" s="237">
        <f t="shared" si="40"/>
        <v>0</v>
      </c>
      <c r="AC128" s="238">
        <f t="shared" si="41"/>
        <v>0</v>
      </c>
      <c r="AD128" s="389">
        <f t="shared" si="32"/>
        <v>0</v>
      </c>
    </row>
    <row r="129" spans="1:31" ht="13.5" customHeight="1">
      <c r="A129" s="225" t="s">
        <v>75</v>
      </c>
      <c r="B129" s="226" t="s">
        <v>9</v>
      </c>
      <c r="C129" t="s">
        <v>443</v>
      </c>
      <c r="D129"/>
      <c r="E129"/>
      <c r="F129"/>
      <c r="G129"/>
      <c r="H129"/>
      <c r="I129" t="str">
        <f t="shared" si="28"/>
        <v>GA-Yes</v>
      </c>
      <c r="J129" t="str">
        <f t="shared" si="29"/>
        <v>GA-Yes</v>
      </c>
      <c r="K129" t="str">
        <f t="shared" si="33"/>
        <v/>
      </c>
      <c r="L129" t="str">
        <f t="shared" si="35"/>
        <v/>
      </c>
      <c r="M129">
        <v>2004</v>
      </c>
      <c r="N129" s="242">
        <v>12</v>
      </c>
      <c r="O129" s="415">
        <v>92459</v>
      </c>
      <c r="P129" s="416">
        <v>70938</v>
      </c>
      <c r="Q129" s="228">
        <f t="shared" si="20"/>
        <v>0</v>
      </c>
      <c r="R129" s="423">
        <v>163397</v>
      </c>
      <c r="S129" s="239"/>
      <c r="T129" s="231">
        <f t="shared" si="30"/>
        <v>92459</v>
      </c>
      <c r="U129" s="231">
        <f t="shared" si="21"/>
        <v>70938</v>
      </c>
      <c r="V129" s="232">
        <f t="shared" si="31"/>
        <v>0.13170988451440357</v>
      </c>
      <c r="W129" s="233">
        <f t="shared" si="36"/>
        <v>0.56585494225720179</v>
      </c>
      <c r="X129" s="234" t="str">
        <f t="shared" si="37"/>
        <v>GA-No</v>
      </c>
      <c r="Y129" s="235" t="str">
        <f t="shared" si="38"/>
        <v>GA-Dem</v>
      </c>
      <c r="Z129" s="236" t="str">
        <f>B129&amp;"-"&amp;IF(V129&gt;Instructions!$H$14,Instructions!$I$14,IF(V129&gt;Instructions!$H$15,Instructions!$I$15,IF(V129&gt;Instructions!$H$16,Instructions!$I$16,IF(V129&gt;Instructions!$H$17,Instructions!$I$17,Instructions!$I$18))))</f>
        <v>GA-Opportunity</v>
      </c>
      <c r="AA129" s="237">
        <f t="shared" si="39"/>
        <v>0</v>
      </c>
      <c r="AB129" s="237">
        <f t="shared" si="40"/>
        <v>70938</v>
      </c>
      <c r="AC129" s="238">
        <f t="shared" si="41"/>
        <v>0</v>
      </c>
      <c r="AD129" s="389">
        <f t="shared" si="32"/>
        <v>70938</v>
      </c>
    </row>
    <row r="130" spans="1:31">
      <c r="A130" s="225" t="s">
        <v>75</v>
      </c>
      <c r="B130" s="226" t="s">
        <v>9</v>
      </c>
      <c r="C130" s="426" t="s">
        <v>444</v>
      </c>
      <c r="D130"/>
      <c r="E130" t="s">
        <v>775</v>
      </c>
      <c r="F130"/>
      <c r="G130"/>
      <c r="H130"/>
      <c r="I130" t="str">
        <f t="shared" si="28"/>
        <v>GA-Yes</v>
      </c>
      <c r="J130" t="str">
        <f t="shared" si="29"/>
        <v>GA-Yes</v>
      </c>
      <c r="K130" t="str">
        <f t="shared" si="33"/>
        <v/>
      </c>
      <c r="L130" t="str">
        <f t="shared" si="35"/>
        <v/>
      </c>
      <c r="M130">
        <v>2002</v>
      </c>
      <c r="N130" s="242">
        <v>13</v>
      </c>
      <c r="O130" s="415">
        <v>140294</v>
      </c>
      <c r="P130" s="416">
        <v>61771</v>
      </c>
      <c r="Q130" s="228">
        <f t="shared" si="20"/>
        <v>0</v>
      </c>
      <c r="R130" s="423">
        <v>202065</v>
      </c>
      <c r="S130" s="239"/>
      <c r="T130" s="231">
        <f t="shared" si="30"/>
        <v>140294</v>
      </c>
      <c r="U130" s="231">
        <f t="shared" si="21"/>
        <v>61771</v>
      </c>
      <c r="V130" s="232">
        <f t="shared" si="31"/>
        <v>0.38860267735629622</v>
      </c>
      <c r="W130" s="233">
        <f t="shared" si="36"/>
        <v>0.69430133867814814</v>
      </c>
      <c r="X130" s="234" t="str">
        <f t="shared" si="37"/>
        <v>GA-No</v>
      </c>
      <c r="Y130" s="235" t="str">
        <f t="shared" si="38"/>
        <v>GA-Dem</v>
      </c>
      <c r="Z130" s="236" t="str">
        <f>B130&amp;"-"&amp;IF(V130&gt;Instructions!$H$14,Instructions!$I$14,IF(V130&gt;Instructions!$H$15,Instructions!$I$15,IF(V130&gt;Instructions!$H$16,Instructions!$I$16,IF(V130&gt;Instructions!$H$17,Instructions!$I$17,Instructions!$I$18))))</f>
        <v>GA-Landslide</v>
      </c>
      <c r="AA130" s="237">
        <f t="shared" si="39"/>
        <v>0</v>
      </c>
      <c r="AB130" s="237">
        <f t="shared" si="40"/>
        <v>61771</v>
      </c>
      <c r="AC130" s="238">
        <f t="shared" si="41"/>
        <v>0</v>
      </c>
      <c r="AD130" s="389">
        <f t="shared" si="32"/>
        <v>61771</v>
      </c>
      <c r="AE130" s="389">
        <f>SUM(AD118:AD130)</f>
        <v>664434</v>
      </c>
    </row>
    <row r="131" spans="1:31">
      <c r="A131" s="225" t="s">
        <v>76</v>
      </c>
      <c r="B131" s="226" t="s">
        <v>10</v>
      </c>
      <c r="C131" t="s">
        <v>445</v>
      </c>
      <c r="D131" t="s">
        <v>776</v>
      </c>
      <c r="E131"/>
      <c r="F131"/>
      <c r="G131" t="s">
        <v>776</v>
      </c>
      <c r="H131"/>
      <c r="I131" t="str">
        <f t="shared" si="28"/>
        <v>HI-Yes</v>
      </c>
      <c r="J131" t="str">
        <f t="shared" si="29"/>
        <v>HI-No</v>
      </c>
      <c r="K131">
        <f t="shared" si="33"/>
        <v>1</v>
      </c>
      <c r="L131"/>
      <c r="M131">
        <v>2010</v>
      </c>
      <c r="N131" s="242">
        <v>1</v>
      </c>
      <c r="O131" s="415">
        <v>94140</v>
      </c>
      <c r="P131" s="416">
        <v>82723</v>
      </c>
      <c r="Q131" s="228">
        <f t="shared" si="20"/>
        <v>13046</v>
      </c>
      <c r="R131" s="423">
        <v>189909</v>
      </c>
      <c r="S131" s="239"/>
      <c r="T131" s="231">
        <f t="shared" si="30"/>
        <v>94140</v>
      </c>
      <c r="U131" s="231">
        <f t="shared" si="21"/>
        <v>82723</v>
      </c>
      <c r="V131" s="232">
        <f t="shared" si="31"/>
        <v>6.4552789447199249E-2</v>
      </c>
      <c r="W131" s="233">
        <f t="shared" si="36"/>
        <v>0.49571110373915928</v>
      </c>
      <c r="X131" s="234" t="str">
        <f t="shared" si="37"/>
        <v>HI-No</v>
      </c>
      <c r="Y131" s="235" t="str">
        <f t="shared" si="38"/>
        <v>HI-Dem</v>
      </c>
      <c r="Z131" s="236" t="str">
        <f>B131&amp;"-"&amp;IF(V131&gt;Instructions!$H$14,Instructions!$I$14,IF(V131&gt;Instructions!$H$15,Instructions!$I$15,IF(V131&gt;Instructions!$H$16,Instructions!$I$16,IF(V131&gt;Instructions!$H$17,Instructions!$I$17,Instructions!$I$18))))</f>
        <v>HI-Competitive</v>
      </c>
      <c r="AA131" s="237">
        <f t="shared" si="39"/>
        <v>0</v>
      </c>
      <c r="AB131" s="237">
        <f t="shared" si="40"/>
        <v>82723</v>
      </c>
      <c r="AC131" s="238">
        <f t="shared" si="41"/>
        <v>13046</v>
      </c>
      <c r="AD131" s="389">
        <f t="shared" si="32"/>
        <v>95769</v>
      </c>
    </row>
    <row r="132" spans="1:31">
      <c r="A132" s="225" t="s">
        <v>76</v>
      </c>
      <c r="B132" s="226" t="s">
        <v>10</v>
      </c>
      <c r="C132" s="426" t="s">
        <v>446</v>
      </c>
      <c r="D132" t="s">
        <v>776</v>
      </c>
      <c r="E132"/>
      <c r="F132"/>
      <c r="G132" t="s">
        <v>776</v>
      </c>
      <c r="H132"/>
      <c r="I132" t="str">
        <f t="shared" si="28"/>
        <v>HI-Yes</v>
      </c>
      <c r="J132" t="str">
        <f t="shared" si="29"/>
        <v>HI-Yes</v>
      </c>
      <c r="K132" t="str">
        <f t="shared" si="33"/>
        <v/>
      </c>
      <c r="L132" t="str">
        <f t="shared" si="35"/>
        <v/>
      </c>
      <c r="M132">
        <v>2006</v>
      </c>
      <c r="N132" s="242">
        <v>2</v>
      </c>
      <c r="O132" s="415">
        <v>132290</v>
      </c>
      <c r="P132" s="416">
        <v>46404</v>
      </c>
      <c r="Q132" s="228">
        <f t="shared" si="20"/>
        <v>16677</v>
      </c>
      <c r="R132" s="423">
        <v>195371</v>
      </c>
      <c r="S132" s="239"/>
      <c r="T132" s="231">
        <f t="shared" si="30"/>
        <v>132290</v>
      </c>
      <c r="U132" s="231">
        <f t="shared" si="21"/>
        <v>46404</v>
      </c>
      <c r="V132" s="232">
        <f t="shared" si="31"/>
        <v>0.48063169440496045</v>
      </c>
      <c r="W132" s="233">
        <f t="shared" si="36"/>
        <v>0.67712198842202787</v>
      </c>
      <c r="X132" s="234" t="str">
        <f t="shared" si="37"/>
        <v>HI-No</v>
      </c>
      <c r="Y132" s="235" t="str">
        <f t="shared" si="38"/>
        <v>HI-Dem</v>
      </c>
      <c r="Z132" s="236" t="str">
        <f>B132&amp;"-"&amp;IF(V132&gt;Instructions!$H$14,Instructions!$I$14,IF(V132&gt;Instructions!$H$15,Instructions!$I$15,IF(V132&gt;Instructions!$H$16,Instructions!$I$16,IF(V132&gt;Instructions!$H$17,Instructions!$I$17,Instructions!$I$18))))</f>
        <v>HI-No contest</v>
      </c>
      <c r="AA132" s="237">
        <f t="shared" si="39"/>
        <v>0</v>
      </c>
      <c r="AB132" s="237">
        <f t="shared" si="40"/>
        <v>46404</v>
      </c>
      <c r="AC132" s="238">
        <f t="shared" si="41"/>
        <v>16677</v>
      </c>
      <c r="AD132" s="389">
        <f t="shared" si="32"/>
        <v>63081</v>
      </c>
      <c r="AE132" s="389">
        <f>SUM(AD131:AD132)</f>
        <v>158850</v>
      </c>
    </row>
    <row r="133" spans="1:31">
      <c r="A133" s="225" t="s">
        <v>77</v>
      </c>
      <c r="B133" s="226" t="s">
        <v>11</v>
      </c>
      <c r="C133" t="s">
        <v>452</v>
      </c>
      <c r="D133"/>
      <c r="E133"/>
      <c r="F133" t="s">
        <v>777</v>
      </c>
      <c r="G133"/>
      <c r="H133"/>
      <c r="I133" t="str">
        <f t="shared" si="28"/>
        <v>ID-Yes</v>
      </c>
      <c r="J133" t="str">
        <f t="shared" si="29"/>
        <v>ID-No</v>
      </c>
      <c r="K133">
        <f t="shared" si="33"/>
        <v>1</v>
      </c>
      <c r="L133" t="str">
        <f>B133&amp;"-"&amp;IF(M133=2010, 1, "")</f>
        <v>ID-1</v>
      </c>
      <c r="M133">
        <v>2010</v>
      </c>
      <c r="N133" s="242">
        <v>1</v>
      </c>
      <c r="O133" s="415">
        <v>102135</v>
      </c>
      <c r="P133" s="416">
        <v>126231</v>
      </c>
      <c r="Q133" s="228">
        <f t="shared" si="20"/>
        <v>19061</v>
      </c>
      <c r="R133" s="423">
        <v>247427</v>
      </c>
      <c r="S133" s="239"/>
      <c r="T133" s="231">
        <f t="shared" si="30"/>
        <v>126231</v>
      </c>
      <c r="U133" s="231">
        <f t="shared" si="21"/>
        <v>102135</v>
      </c>
      <c r="V133" s="232">
        <f t="shared" si="31"/>
        <v>0.10551483145476998</v>
      </c>
      <c r="W133" s="233">
        <f t="shared" si="36"/>
        <v>0.51017471819971139</v>
      </c>
      <c r="X133" s="234" t="str">
        <f t="shared" si="37"/>
        <v>ID-No</v>
      </c>
      <c r="Y133" s="235" t="str">
        <f t="shared" si="38"/>
        <v>ID-Rep</v>
      </c>
      <c r="Z133" s="236" t="str">
        <f>B133&amp;"-"&amp;IF(V133&gt;Instructions!$H$14,Instructions!$I$14,IF(V133&gt;Instructions!$H$15,Instructions!$I$15,IF(V133&gt;Instructions!$H$16,Instructions!$I$16,IF(V133&gt;Instructions!$H$17,Instructions!$I$17,Instructions!$I$18))))</f>
        <v>ID-Opportunity</v>
      </c>
      <c r="AA133" s="237">
        <f t="shared" si="39"/>
        <v>102135</v>
      </c>
      <c r="AB133" s="237">
        <f t="shared" si="40"/>
        <v>0</v>
      </c>
      <c r="AC133" s="238">
        <f t="shared" si="41"/>
        <v>19061</v>
      </c>
      <c r="AD133" s="389">
        <f t="shared" si="32"/>
        <v>121196</v>
      </c>
    </row>
    <row r="134" spans="1:31">
      <c r="A134" s="225" t="s">
        <v>77</v>
      </c>
      <c r="B134" s="226" t="s">
        <v>11</v>
      </c>
      <c r="C134" s="426" t="s">
        <v>453</v>
      </c>
      <c r="D134"/>
      <c r="E134"/>
      <c r="F134"/>
      <c r="G134"/>
      <c r="H134"/>
      <c r="I134" t="str">
        <f t="shared" si="28"/>
        <v>ID-Yes</v>
      </c>
      <c r="J134" t="str">
        <f t="shared" si="29"/>
        <v>ID-Yes</v>
      </c>
      <c r="K134" t="str">
        <f t="shared" si="33"/>
        <v/>
      </c>
      <c r="L134" t="str">
        <f>IF(M134=2010, 1, "")</f>
        <v/>
      </c>
      <c r="M134">
        <v>1998</v>
      </c>
      <c r="N134" s="242">
        <v>2</v>
      </c>
      <c r="O134" s="415">
        <v>48749</v>
      </c>
      <c r="P134" s="416">
        <v>137468</v>
      </c>
      <c r="Q134" s="228">
        <f t="shared" si="20"/>
        <v>13500</v>
      </c>
      <c r="R134" s="423">
        <v>199717</v>
      </c>
      <c r="S134" s="239"/>
      <c r="T134" s="231">
        <f t="shared" si="30"/>
        <v>137468</v>
      </c>
      <c r="U134" s="231">
        <f t="shared" si="21"/>
        <v>48749</v>
      </c>
      <c r="V134" s="232">
        <f t="shared" si="31"/>
        <v>0.47642803825644275</v>
      </c>
      <c r="W134" s="233">
        <f t="shared" si="36"/>
        <v>0.68831396425942704</v>
      </c>
      <c r="X134" s="234" t="str">
        <f t="shared" si="37"/>
        <v>ID-No</v>
      </c>
      <c r="Y134" s="235" t="str">
        <f t="shared" si="38"/>
        <v>ID-Rep</v>
      </c>
      <c r="Z134" s="236" t="str">
        <f>B134&amp;"-"&amp;IF(V134&gt;Instructions!$H$14,Instructions!$I$14,IF(V134&gt;Instructions!$H$15,Instructions!$I$15,IF(V134&gt;Instructions!$H$16,Instructions!$I$16,IF(V134&gt;Instructions!$H$17,Instructions!$I$17,Instructions!$I$18))))</f>
        <v>ID-No contest</v>
      </c>
      <c r="AA134" s="237">
        <f t="shared" si="39"/>
        <v>48749</v>
      </c>
      <c r="AB134" s="237">
        <f t="shared" si="40"/>
        <v>0</v>
      </c>
      <c r="AC134" s="238">
        <f t="shared" si="41"/>
        <v>13500</v>
      </c>
      <c r="AD134" s="389">
        <f t="shared" si="32"/>
        <v>62249</v>
      </c>
      <c r="AE134" s="389">
        <f>SUM(AD133:AD134)</f>
        <v>183445</v>
      </c>
    </row>
    <row r="135" spans="1:31">
      <c r="A135" s="225" t="s">
        <v>78</v>
      </c>
      <c r="B135" s="226" t="s">
        <v>12</v>
      </c>
      <c r="C135" s="426" t="s">
        <v>454</v>
      </c>
      <c r="D135"/>
      <c r="E135" t="s">
        <v>778</v>
      </c>
      <c r="F135"/>
      <c r="G135"/>
      <c r="H135"/>
      <c r="I135" t="str">
        <f t="shared" si="28"/>
        <v>IL-Yes</v>
      </c>
      <c r="J135" t="str">
        <f t="shared" si="29"/>
        <v>IL-Yes</v>
      </c>
      <c r="K135" t="str">
        <f t="shared" si="33"/>
        <v/>
      </c>
      <c r="L135" t="str">
        <f t="shared" si="35"/>
        <v/>
      </c>
      <c r="M135">
        <v>1992</v>
      </c>
      <c r="N135" s="242">
        <v>1</v>
      </c>
      <c r="O135" s="415">
        <v>148170</v>
      </c>
      <c r="P135" s="416">
        <v>29253</v>
      </c>
      <c r="Q135" s="228">
        <f t="shared" ref="Q135:Q167" si="42">R135-P135-O135</f>
        <v>6963</v>
      </c>
      <c r="R135" s="423">
        <v>184386</v>
      </c>
      <c r="S135" s="239"/>
      <c r="T135" s="231">
        <f t="shared" si="30"/>
        <v>148170</v>
      </c>
      <c r="U135" s="231">
        <f t="shared" ref="U135:U198" si="43">IF(Q135=MAX(O135:Q135),MAX(O135:P135),IF(P135&gt;O135,MAX(O135,Q135),MAX(P135,Q135)))</f>
        <v>29253</v>
      </c>
      <c r="V135" s="232">
        <f t="shared" si="31"/>
        <v>0.67024568404321871</v>
      </c>
      <c r="W135" s="233">
        <f t="shared" ref="W135:W166" si="44">T135/R135</f>
        <v>0.80358595554977064</v>
      </c>
      <c r="X135" s="234" t="str">
        <f t="shared" ref="X135:X166" si="45">B135&amp;"-"&amp;IF(O135*P135=0,"Yes","No")</f>
        <v>IL-No</v>
      </c>
      <c r="Y135" s="235" t="str">
        <f t="shared" ref="Y135:Y166" si="46">B135&amp;"-"&amp;IF(Q135=MAX(O135:Q135),"Other",IF(P135&gt;O135,"Rep","Dem"))</f>
        <v>IL-Dem</v>
      </c>
      <c r="Z135" s="236" t="str">
        <f>B135&amp;"-"&amp;IF(V135&gt;Instructions!$H$14,Instructions!$I$14,IF(V135&gt;Instructions!$H$15,Instructions!$I$15,IF(V135&gt;Instructions!$H$16,Instructions!$I$16,IF(V135&gt;Instructions!$H$17,Instructions!$I$17,Instructions!$I$18))))</f>
        <v>IL-No contest</v>
      </c>
      <c r="AA135" s="237">
        <f t="shared" ref="AA135:AA166" si="47">IF(T135=O135,0,O135)</f>
        <v>0</v>
      </c>
      <c r="AB135" s="237">
        <f t="shared" ref="AB135:AB166" si="48">IF(T135=P135,0,P135)</f>
        <v>29253</v>
      </c>
      <c r="AC135" s="238">
        <f t="shared" ref="AC135:AC166" si="49">IF(T135=Q135,0,Q135)</f>
        <v>6963</v>
      </c>
      <c r="AD135" s="389">
        <f t="shared" si="32"/>
        <v>36216</v>
      </c>
    </row>
    <row r="136" spans="1:31">
      <c r="A136" s="225" t="s">
        <v>78</v>
      </c>
      <c r="B136" s="226" t="s">
        <v>12</v>
      </c>
      <c r="C136" s="426" t="s">
        <v>455</v>
      </c>
      <c r="D136"/>
      <c r="E136" t="s">
        <v>778</v>
      </c>
      <c r="F136"/>
      <c r="G136"/>
      <c r="H136"/>
      <c r="I136" t="str">
        <f t="shared" ref="I136:I199" si="50">B136&amp;"-"&amp;IF(K136=1, "Yes", IF(K136="", "Yes", IF(K136=0, "No")))</f>
        <v>IL-Yes</v>
      </c>
      <c r="J136" t="str">
        <f t="shared" ref="J136:J199" si="51">B136&amp;"-"&amp;IF(K136=1, "No", IF(L136=1, "No", IF(K136="", "Yes", IF(K136=0, "No"))))</f>
        <v>IL-Yes</v>
      </c>
      <c r="K136" t="str">
        <f t="shared" si="33"/>
        <v/>
      </c>
      <c r="L136" t="str">
        <f t="shared" si="35"/>
        <v/>
      </c>
      <c r="M136">
        <v>1995</v>
      </c>
      <c r="N136" s="242">
        <v>2</v>
      </c>
      <c r="O136" s="415">
        <v>150666</v>
      </c>
      <c r="P136" s="416">
        <v>25883</v>
      </c>
      <c r="Q136" s="228">
        <f t="shared" si="42"/>
        <v>10564</v>
      </c>
      <c r="R136" s="423">
        <v>187113</v>
      </c>
      <c r="S136" s="239"/>
      <c r="T136" s="231">
        <f t="shared" ref="T136:T199" si="52">MAX(O136:Q136)</f>
        <v>150666</v>
      </c>
      <c r="U136" s="231">
        <f t="shared" si="43"/>
        <v>25883</v>
      </c>
      <c r="V136" s="232">
        <f t="shared" ref="V136:V199" si="53">ABS(O136-P136)/(O136+P136)</f>
        <v>0.7067896164804105</v>
      </c>
      <c r="W136" s="233">
        <f t="shared" si="44"/>
        <v>0.80521396161677705</v>
      </c>
      <c r="X136" s="234" t="str">
        <f t="shared" si="45"/>
        <v>IL-No</v>
      </c>
      <c r="Y136" s="235" t="str">
        <f t="shared" si="46"/>
        <v>IL-Dem</v>
      </c>
      <c r="Z136" s="236" t="str">
        <f>B136&amp;"-"&amp;IF(V136&gt;Instructions!$H$14,Instructions!$I$14,IF(V136&gt;Instructions!$H$15,Instructions!$I$15,IF(V136&gt;Instructions!$H$16,Instructions!$I$16,IF(V136&gt;Instructions!$H$17,Instructions!$I$17,Instructions!$I$18))))</f>
        <v>IL-No contest</v>
      </c>
      <c r="AA136" s="237">
        <f t="shared" si="47"/>
        <v>0</v>
      </c>
      <c r="AB136" s="237">
        <f t="shared" si="48"/>
        <v>25883</v>
      </c>
      <c r="AC136" s="238">
        <f t="shared" si="49"/>
        <v>10564</v>
      </c>
      <c r="AD136" s="389">
        <f t="shared" ref="AD136:AD199" si="54">SUM(AA136:AC136)</f>
        <v>36447</v>
      </c>
    </row>
    <row r="137" spans="1:31">
      <c r="A137" s="225" t="s">
        <v>78</v>
      </c>
      <c r="B137" s="226" t="s">
        <v>12</v>
      </c>
      <c r="C137" s="426" t="s">
        <v>456</v>
      </c>
      <c r="D137"/>
      <c r="E137"/>
      <c r="F137"/>
      <c r="G137"/>
      <c r="H137"/>
      <c r="I137" t="str">
        <f t="shared" si="50"/>
        <v>IL-Yes</v>
      </c>
      <c r="J137" t="str">
        <f t="shared" si="51"/>
        <v>IL-Yes</v>
      </c>
      <c r="K137" t="str">
        <f t="shared" si="33"/>
        <v/>
      </c>
      <c r="L137" t="str">
        <f t="shared" si="35"/>
        <v/>
      </c>
      <c r="M137">
        <v>2004</v>
      </c>
      <c r="N137" s="242">
        <v>3</v>
      </c>
      <c r="O137" s="415">
        <v>116120</v>
      </c>
      <c r="P137" s="416">
        <v>40479</v>
      </c>
      <c r="Q137" s="228">
        <f t="shared" si="42"/>
        <v>10028</v>
      </c>
      <c r="R137" s="423">
        <v>166627</v>
      </c>
      <c r="S137" s="239"/>
      <c r="T137" s="231">
        <f t="shared" si="52"/>
        <v>116120</v>
      </c>
      <c r="U137" s="231">
        <f t="shared" si="43"/>
        <v>40479</v>
      </c>
      <c r="V137" s="232">
        <f t="shared" si="53"/>
        <v>0.48302351866870158</v>
      </c>
      <c r="W137" s="233">
        <f t="shared" si="44"/>
        <v>0.69688585883440257</v>
      </c>
      <c r="X137" s="234" t="str">
        <f t="shared" si="45"/>
        <v>IL-No</v>
      </c>
      <c r="Y137" s="235" t="str">
        <f t="shared" si="46"/>
        <v>IL-Dem</v>
      </c>
      <c r="Z137" s="236" t="str">
        <f>B137&amp;"-"&amp;IF(V137&gt;Instructions!$H$14,Instructions!$I$14,IF(V137&gt;Instructions!$H$15,Instructions!$I$15,IF(V137&gt;Instructions!$H$16,Instructions!$I$16,IF(V137&gt;Instructions!$H$17,Instructions!$I$17,Instructions!$I$18))))</f>
        <v>IL-No contest</v>
      </c>
      <c r="AA137" s="237">
        <f t="shared" si="47"/>
        <v>0</v>
      </c>
      <c r="AB137" s="237">
        <f t="shared" si="48"/>
        <v>40479</v>
      </c>
      <c r="AC137" s="238">
        <f t="shared" si="49"/>
        <v>10028</v>
      </c>
      <c r="AD137" s="389">
        <f t="shared" si="54"/>
        <v>50507</v>
      </c>
    </row>
    <row r="138" spans="1:31">
      <c r="A138" s="225" t="s">
        <v>78</v>
      </c>
      <c r="B138" s="226" t="s">
        <v>12</v>
      </c>
      <c r="C138" s="426" t="s">
        <v>457</v>
      </c>
      <c r="D138"/>
      <c r="E138"/>
      <c r="F138" t="s">
        <v>778</v>
      </c>
      <c r="G138"/>
      <c r="H138"/>
      <c r="I138" t="str">
        <f t="shared" si="50"/>
        <v>IL-Yes</v>
      </c>
      <c r="J138" t="str">
        <f t="shared" si="51"/>
        <v>IL-Yes</v>
      </c>
      <c r="K138" t="str">
        <f t="shared" si="33"/>
        <v/>
      </c>
      <c r="L138" t="str">
        <f t="shared" si="35"/>
        <v/>
      </c>
      <c r="M138">
        <v>1992</v>
      </c>
      <c r="N138" s="242">
        <v>4</v>
      </c>
      <c r="O138" s="415">
        <v>63273</v>
      </c>
      <c r="P138" s="416">
        <v>11711</v>
      </c>
      <c r="Q138" s="228">
        <f t="shared" si="42"/>
        <v>6808</v>
      </c>
      <c r="R138" s="423">
        <v>81792</v>
      </c>
      <c r="S138" s="239"/>
      <c r="T138" s="231">
        <f t="shared" si="52"/>
        <v>63273</v>
      </c>
      <c r="U138" s="231">
        <f t="shared" si="43"/>
        <v>11711</v>
      </c>
      <c r="V138" s="232">
        <f t="shared" si="53"/>
        <v>0.68764002987303963</v>
      </c>
      <c r="W138" s="233">
        <f t="shared" si="44"/>
        <v>0.7735842136150235</v>
      </c>
      <c r="X138" s="234" t="str">
        <f t="shared" si="45"/>
        <v>IL-No</v>
      </c>
      <c r="Y138" s="235" t="str">
        <f t="shared" si="46"/>
        <v>IL-Dem</v>
      </c>
      <c r="Z138" s="236" t="str">
        <f>B138&amp;"-"&amp;IF(V138&gt;Instructions!$H$14,Instructions!$I$14,IF(V138&gt;Instructions!$H$15,Instructions!$I$15,IF(V138&gt;Instructions!$H$16,Instructions!$I$16,IF(V138&gt;Instructions!$H$17,Instructions!$I$17,Instructions!$I$18))))</f>
        <v>IL-No contest</v>
      </c>
      <c r="AA138" s="237">
        <f t="shared" si="47"/>
        <v>0</v>
      </c>
      <c r="AB138" s="237">
        <f t="shared" si="48"/>
        <v>11711</v>
      </c>
      <c r="AC138" s="238">
        <f t="shared" si="49"/>
        <v>6808</v>
      </c>
      <c r="AD138" s="389">
        <f t="shared" si="54"/>
        <v>18519</v>
      </c>
    </row>
    <row r="139" spans="1:31">
      <c r="A139" s="225" t="s">
        <v>78</v>
      </c>
      <c r="B139" s="226" t="s">
        <v>12</v>
      </c>
      <c r="C139" t="s">
        <v>458</v>
      </c>
      <c r="D139"/>
      <c r="E139"/>
      <c r="F139"/>
      <c r="G139"/>
      <c r="H139"/>
      <c r="I139" t="str">
        <f t="shared" si="50"/>
        <v>IL-Yes</v>
      </c>
      <c r="J139" t="str">
        <f t="shared" si="51"/>
        <v>IL-Yes</v>
      </c>
      <c r="K139" t="str">
        <f t="shared" si="33"/>
        <v/>
      </c>
      <c r="L139" t="str">
        <f t="shared" si="35"/>
        <v/>
      </c>
      <c r="M139">
        <v>2009</v>
      </c>
      <c r="N139" s="242">
        <v>5</v>
      </c>
      <c r="O139" s="415">
        <v>108360</v>
      </c>
      <c r="P139" s="416">
        <v>38935</v>
      </c>
      <c r="Q139" s="228">
        <f t="shared" si="42"/>
        <v>6140</v>
      </c>
      <c r="R139" s="423">
        <v>153435</v>
      </c>
      <c r="S139" s="239"/>
      <c r="T139" s="231">
        <f t="shared" si="52"/>
        <v>108360</v>
      </c>
      <c r="U139" s="231">
        <f t="shared" si="43"/>
        <v>38935</v>
      </c>
      <c r="V139" s="232">
        <f t="shared" si="53"/>
        <v>0.47133303913914254</v>
      </c>
      <c r="W139" s="233">
        <f t="shared" si="44"/>
        <v>0.70622739270700952</v>
      </c>
      <c r="X139" s="234" t="str">
        <f t="shared" si="45"/>
        <v>IL-No</v>
      </c>
      <c r="Y139" s="235" t="str">
        <f t="shared" si="46"/>
        <v>IL-Dem</v>
      </c>
      <c r="Z139" s="236" t="str">
        <f>B139&amp;"-"&amp;IF(V139&gt;Instructions!$H$14,Instructions!$I$14,IF(V139&gt;Instructions!$H$15,Instructions!$I$15,IF(V139&gt;Instructions!$H$16,Instructions!$I$16,IF(V139&gt;Instructions!$H$17,Instructions!$I$17,Instructions!$I$18))))</f>
        <v>IL-No contest</v>
      </c>
      <c r="AA139" s="237">
        <f t="shared" si="47"/>
        <v>0</v>
      </c>
      <c r="AB139" s="237">
        <f t="shared" si="48"/>
        <v>38935</v>
      </c>
      <c r="AC139" s="238">
        <f t="shared" si="49"/>
        <v>6140</v>
      </c>
      <c r="AD139" s="389">
        <f t="shared" si="54"/>
        <v>45075</v>
      </c>
    </row>
    <row r="140" spans="1:31">
      <c r="A140" s="225" t="s">
        <v>78</v>
      </c>
      <c r="B140" s="226" t="s">
        <v>12</v>
      </c>
      <c r="C140" t="s">
        <v>459</v>
      </c>
      <c r="D140"/>
      <c r="E140"/>
      <c r="F140"/>
      <c r="G140"/>
      <c r="H140"/>
      <c r="I140" t="str">
        <f t="shared" si="50"/>
        <v>IL-Yes</v>
      </c>
      <c r="J140" t="str">
        <f t="shared" si="51"/>
        <v>IL-Yes</v>
      </c>
      <c r="K140" t="str">
        <f t="shared" si="33"/>
        <v/>
      </c>
      <c r="L140" t="str">
        <f t="shared" si="35"/>
        <v/>
      </c>
      <c r="M140">
        <v>2006</v>
      </c>
      <c r="N140" s="242">
        <v>6</v>
      </c>
      <c r="O140" s="415">
        <v>65379</v>
      </c>
      <c r="P140" s="416">
        <v>114456</v>
      </c>
      <c r="Q140" s="228">
        <f t="shared" si="42"/>
        <v>0</v>
      </c>
      <c r="R140" s="423">
        <v>179835</v>
      </c>
      <c r="S140" s="239"/>
      <c r="T140" s="231">
        <f t="shared" si="52"/>
        <v>114456</v>
      </c>
      <c r="U140" s="231">
        <f t="shared" si="43"/>
        <v>65379</v>
      </c>
      <c r="V140" s="232">
        <f t="shared" si="53"/>
        <v>0.27290015847860538</v>
      </c>
      <c r="W140" s="233">
        <f t="shared" si="44"/>
        <v>0.63645007923930275</v>
      </c>
      <c r="X140" s="234" t="str">
        <f t="shared" si="45"/>
        <v>IL-No</v>
      </c>
      <c r="Y140" s="235" t="str">
        <f t="shared" si="46"/>
        <v>IL-Rep</v>
      </c>
      <c r="Z140" s="236" t="str">
        <f>B140&amp;"-"&amp;IF(V140&gt;Instructions!$H$14,Instructions!$I$14,IF(V140&gt;Instructions!$H$15,Instructions!$I$15,IF(V140&gt;Instructions!$H$16,Instructions!$I$16,IF(V140&gt;Instructions!$H$17,Instructions!$I$17,Instructions!$I$18))))</f>
        <v>IL-Landslide</v>
      </c>
      <c r="AA140" s="237">
        <f t="shared" si="47"/>
        <v>65379</v>
      </c>
      <c r="AB140" s="237">
        <f t="shared" si="48"/>
        <v>0</v>
      </c>
      <c r="AC140" s="238">
        <f t="shared" si="49"/>
        <v>0</v>
      </c>
      <c r="AD140" s="389">
        <f t="shared" si="54"/>
        <v>65379</v>
      </c>
    </row>
    <row r="141" spans="1:31">
      <c r="A141" s="225" t="s">
        <v>78</v>
      </c>
      <c r="B141" s="226" t="s">
        <v>12</v>
      </c>
      <c r="C141" s="426" t="s">
        <v>460</v>
      </c>
      <c r="D141"/>
      <c r="E141" t="s">
        <v>778</v>
      </c>
      <c r="F141"/>
      <c r="G141"/>
      <c r="H141"/>
      <c r="I141" t="str">
        <f t="shared" si="50"/>
        <v>IL-Yes</v>
      </c>
      <c r="J141" t="str">
        <f t="shared" si="51"/>
        <v>IL-Yes</v>
      </c>
      <c r="K141" t="str">
        <f t="shared" si="33"/>
        <v/>
      </c>
      <c r="L141" t="str">
        <f t="shared" si="35"/>
        <v/>
      </c>
      <c r="M141">
        <v>1996</v>
      </c>
      <c r="N141" s="242">
        <v>7</v>
      </c>
      <c r="O141" s="415">
        <v>149846</v>
      </c>
      <c r="P141" s="416">
        <v>29575</v>
      </c>
      <c r="Q141" s="228">
        <f t="shared" si="42"/>
        <v>4428</v>
      </c>
      <c r="R141" s="423">
        <v>183849</v>
      </c>
      <c r="S141" s="239"/>
      <c r="T141" s="231">
        <f t="shared" si="52"/>
        <v>149846</v>
      </c>
      <c r="U141" s="231">
        <f t="shared" si="43"/>
        <v>29575</v>
      </c>
      <c r="V141" s="232">
        <f t="shared" si="53"/>
        <v>0.67032844538822101</v>
      </c>
      <c r="W141" s="233">
        <f t="shared" si="44"/>
        <v>0.8150493067680542</v>
      </c>
      <c r="X141" s="234" t="str">
        <f t="shared" si="45"/>
        <v>IL-No</v>
      </c>
      <c r="Y141" s="235" t="str">
        <f t="shared" si="46"/>
        <v>IL-Dem</v>
      </c>
      <c r="Z141" s="236" t="str">
        <f>B141&amp;"-"&amp;IF(V141&gt;Instructions!$H$14,Instructions!$I$14,IF(V141&gt;Instructions!$H$15,Instructions!$I$15,IF(V141&gt;Instructions!$H$16,Instructions!$I$16,IF(V141&gt;Instructions!$H$17,Instructions!$I$17,Instructions!$I$18))))</f>
        <v>IL-No contest</v>
      </c>
      <c r="AA141" s="237">
        <f t="shared" si="47"/>
        <v>0</v>
      </c>
      <c r="AB141" s="237">
        <f t="shared" si="48"/>
        <v>29575</v>
      </c>
      <c r="AC141" s="238">
        <f t="shared" si="49"/>
        <v>4428</v>
      </c>
      <c r="AD141" s="389">
        <f t="shared" si="54"/>
        <v>34003</v>
      </c>
    </row>
    <row r="142" spans="1:31">
      <c r="A142" s="225" t="s">
        <v>78</v>
      </c>
      <c r="B142" s="226" t="s">
        <v>12</v>
      </c>
      <c r="C142" t="s">
        <v>461</v>
      </c>
      <c r="D142"/>
      <c r="E142"/>
      <c r="F142"/>
      <c r="G142"/>
      <c r="H142"/>
      <c r="I142" t="str">
        <f t="shared" si="50"/>
        <v>IL-Yes</v>
      </c>
      <c r="J142" t="str">
        <f t="shared" si="51"/>
        <v>IL-No</v>
      </c>
      <c r="K142">
        <f t="shared" si="33"/>
        <v>1</v>
      </c>
      <c r="L142" t="str">
        <f>B142&amp;"-"&amp;IF(M142=2010, 1, "")</f>
        <v>IL-1</v>
      </c>
      <c r="M142">
        <v>2010</v>
      </c>
      <c r="N142" s="242">
        <v>8</v>
      </c>
      <c r="O142" s="415">
        <v>97825</v>
      </c>
      <c r="P142" s="416">
        <v>98115</v>
      </c>
      <c r="Q142" s="228">
        <f t="shared" si="42"/>
        <v>6495</v>
      </c>
      <c r="R142" s="423">
        <v>202435</v>
      </c>
      <c r="S142" s="239"/>
      <c r="T142" s="231">
        <f t="shared" si="52"/>
        <v>98115</v>
      </c>
      <c r="U142" s="231">
        <f t="shared" si="43"/>
        <v>97825</v>
      </c>
      <c r="V142" s="232">
        <f t="shared" si="53"/>
        <v>1.4800449117076655E-3</v>
      </c>
      <c r="W142" s="233">
        <f t="shared" si="44"/>
        <v>0.48467409291871466</v>
      </c>
      <c r="X142" s="234" t="str">
        <f t="shared" si="45"/>
        <v>IL-No</v>
      </c>
      <c r="Y142" s="235" t="str">
        <f t="shared" si="46"/>
        <v>IL-Rep</v>
      </c>
      <c r="Z142" s="236" t="str">
        <f>B142&amp;"-"&amp;IF(V142&gt;Instructions!$H$14,Instructions!$I$14,IF(V142&gt;Instructions!$H$15,Instructions!$I$15,IF(V142&gt;Instructions!$H$16,Instructions!$I$16,IF(V142&gt;Instructions!$H$17,Instructions!$I$17,Instructions!$I$18))))</f>
        <v>IL-Tight</v>
      </c>
      <c r="AA142" s="237">
        <f t="shared" si="47"/>
        <v>97825</v>
      </c>
      <c r="AB142" s="237">
        <f t="shared" si="48"/>
        <v>0</v>
      </c>
      <c r="AC142" s="238">
        <f t="shared" si="49"/>
        <v>6495</v>
      </c>
      <c r="AD142" s="389">
        <f t="shared" si="54"/>
        <v>104320</v>
      </c>
    </row>
    <row r="143" spans="1:31">
      <c r="A143" s="225" t="s">
        <v>78</v>
      </c>
      <c r="B143" s="226" t="s">
        <v>12</v>
      </c>
      <c r="C143" s="426" t="s">
        <v>462</v>
      </c>
      <c r="D143" t="s">
        <v>778</v>
      </c>
      <c r="E143"/>
      <c r="F143"/>
      <c r="G143"/>
      <c r="H143"/>
      <c r="I143" t="str">
        <f t="shared" si="50"/>
        <v>IL-Yes</v>
      </c>
      <c r="J143" t="str">
        <f t="shared" si="51"/>
        <v>IL-Yes</v>
      </c>
      <c r="K143" t="str">
        <f>IF(M143=2010, 1, "")</f>
        <v/>
      </c>
      <c r="L143" t="str">
        <f t="shared" si="35"/>
        <v/>
      </c>
      <c r="M143">
        <v>1998</v>
      </c>
      <c r="N143" s="242">
        <v>9</v>
      </c>
      <c r="O143" s="415">
        <v>117553</v>
      </c>
      <c r="P143" s="416">
        <v>55182</v>
      </c>
      <c r="Q143" s="228">
        <f t="shared" si="42"/>
        <v>4472</v>
      </c>
      <c r="R143" s="423">
        <v>177207</v>
      </c>
      <c r="S143" s="239"/>
      <c r="T143" s="231">
        <f t="shared" si="52"/>
        <v>117553</v>
      </c>
      <c r="U143" s="231">
        <f t="shared" si="43"/>
        <v>55182</v>
      </c>
      <c r="V143" s="232">
        <f t="shared" si="53"/>
        <v>0.3610791096187802</v>
      </c>
      <c r="W143" s="233">
        <f t="shared" si="44"/>
        <v>0.66336544267438646</v>
      </c>
      <c r="X143" s="234" t="str">
        <f t="shared" si="45"/>
        <v>IL-No</v>
      </c>
      <c r="Y143" s="235" t="str">
        <f t="shared" si="46"/>
        <v>IL-Dem</v>
      </c>
      <c r="Z143" s="236" t="str">
        <f>B143&amp;"-"&amp;IF(V143&gt;Instructions!$H$14,Instructions!$I$14,IF(V143&gt;Instructions!$H$15,Instructions!$I$15,IF(V143&gt;Instructions!$H$16,Instructions!$I$16,IF(V143&gt;Instructions!$H$17,Instructions!$I$17,Instructions!$I$18))))</f>
        <v>IL-Landslide</v>
      </c>
      <c r="AA143" s="237">
        <f t="shared" si="47"/>
        <v>0</v>
      </c>
      <c r="AB143" s="237">
        <f t="shared" si="48"/>
        <v>55182</v>
      </c>
      <c r="AC143" s="238">
        <f t="shared" si="49"/>
        <v>4472</v>
      </c>
      <c r="AD143" s="389">
        <f t="shared" si="54"/>
        <v>59654</v>
      </c>
    </row>
    <row r="144" spans="1:31">
      <c r="A144" s="225" t="s">
        <v>78</v>
      </c>
      <c r="B144" s="226" t="s">
        <v>12</v>
      </c>
      <c r="C144" t="s">
        <v>463</v>
      </c>
      <c r="D144"/>
      <c r="E144"/>
      <c r="F144"/>
      <c r="G144"/>
      <c r="H144"/>
      <c r="I144" t="str">
        <f t="shared" si="50"/>
        <v>IL-No</v>
      </c>
      <c r="J144" t="str">
        <f t="shared" si="51"/>
        <v>IL-No</v>
      </c>
      <c r="K144">
        <v>0</v>
      </c>
      <c r="L144"/>
      <c r="M144">
        <v>2010</v>
      </c>
      <c r="N144" s="242">
        <v>10</v>
      </c>
      <c r="O144" s="415">
        <v>105290</v>
      </c>
      <c r="P144" s="416">
        <v>109941</v>
      </c>
      <c r="Q144" s="228">
        <f t="shared" si="42"/>
        <v>1</v>
      </c>
      <c r="R144" s="423">
        <v>215232</v>
      </c>
      <c r="S144" s="239"/>
      <c r="T144" s="231">
        <f t="shared" si="52"/>
        <v>109941</v>
      </c>
      <c r="U144" s="231">
        <f t="shared" si="43"/>
        <v>105290</v>
      </c>
      <c r="V144" s="232">
        <f t="shared" si="53"/>
        <v>2.16093406618935E-2</v>
      </c>
      <c r="W144" s="233">
        <f t="shared" si="44"/>
        <v>0.51080229705619984</v>
      </c>
      <c r="X144" s="234" t="str">
        <f t="shared" si="45"/>
        <v>IL-No</v>
      </c>
      <c r="Y144" s="235" t="str">
        <f t="shared" si="46"/>
        <v>IL-Rep</v>
      </c>
      <c r="Z144" s="236" t="str">
        <f>B144&amp;"-"&amp;IF(V144&gt;Instructions!$H$14,Instructions!$I$14,IF(V144&gt;Instructions!$H$15,Instructions!$I$15,IF(V144&gt;Instructions!$H$16,Instructions!$I$16,IF(V144&gt;Instructions!$H$17,Instructions!$I$17,Instructions!$I$18))))</f>
        <v>IL-Tight</v>
      </c>
      <c r="AA144" s="237">
        <f t="shared" si="47"/>
        <v>105290</v>
      </c>
      <c r="AB144" s="237">
        <f t="shared" si="48"/>
        <v>0</v>
      </c>
      <c r="AC144" s="238">
        <f t="shared" si="49"/>
        <v>1</v>
      </c>
      <c r="AD144" s="389">
        <f t="shared" si="54"/>
        <v>105291</v>
      </c>
    </row>
    <row r="145" spans="1:31">
      <c r="A145" s="225" t="s">
        <v>78</v>
      </c>
      <c r="B145" s="226" t="s">
        <v>12</v>
      </c>
      <c r="C145" t="s">
        <v>464</v>
      </c>
      <c r="D145"/>
      <c r="E145"/>
      <c r="F145"/>
      <c r="G145"/>
      <c r="H145"/>
      <c r="I145" t="str">
        <f t="shared" si="50"/>
        <v>IL-Yes</v>
      </c>
      <c r="J145" t="str">
        <f t="shared" si="51"/>
        <v>IL-No</v>
      </c>
      <c r="K145">
        <f t="shared" si="33"/>
        <v>1</v>
      </c>
      <c r="L145" t="str">
        <f>B145&amp;"-"&amp;IF(M145=2010, 1, "")</f>
        <v>IL-1</v>
      </c>
      <c r="M145">
        <v>2010</v>
      </c>
      <c r="N145" s="242">
        <v>11</v>
      </c>
      <c r="O145" s="415">
        <v>96019</v>
      </c>
      <c r="P145" s="416">
        <v>129108</v>
      </c>
      <c r="Q145" s="228">
        <f t="shared" si="42"/>
        <v>0</v>
      </c>
      <c r="R145" s="423">
        <v>225127</v>
      </c>
      <c r="S145" s="239"/>
      <c r="T145" s="231">
        <f t="shared" si="52"/>
        <v>129108</v>
      </c>
      <c r="U145" s="231">
        <f t="shared" si="43"/>
        <v>96019</v>
      </c>
      <c r="V145" s="232">
        <f t="shared" si="53"/>
        <v>0.14697926059513075</v>
      </c>
      <c r="W145" s="233">
        <f t="shared" si="44"/>
        <v>0.57348963029756539</v>
      </c>
      <c r="X145" s="234" t="str">
        <f t="shared" si="45"/>
        <v>IL-No</v>
      </c>
      <c r="Y145" s="235" t="str">
        <f t="shared" si="46"/>
        <v>IL-Rep</v>
      </c>
      <c r="Z145" s="236" t="str">
        <f>B145&amp;"-"&amp;IF(V145&gt;Instructions!$H$14,Instructions!$I$14,IF(V145&gt;Instructions!$H$15,Instructions!$I$15,IF(V145&gt;Instructions!$H$16,Instructions!$I$16,IF(V145&gt;Instructions!$H$17,Instructions!$I$17,Instructions!$I$18))))</f>
        <v>IL-Opportunity</v>
      </c>
      <c r="AA145" s="237">
        <f t="shared" si="47"/>
        <v>96019</v>
      </c>
      <c r="AB145" s="237">
        <f t="shared" si="48"/>
        <v>0</v>
      </c>
      <c r="AC145" s="238">
        <f t="shared" si="49"/>
        <v>0</v>
      </c>
      <c r="AD145" s="389">
        <f t="shared" si="54"/>
        <v>96019</v>
      </c>
    </row>
    <row r="146" spans="1:31">
      <c r="A146" s="225" t="s">
        <v>78</v>
      </c>
      <c r="B146" s="226" t="s">
        <v>12</v>
      </c>
      <c r="C146" s="426" t="s">
        <v>465</v>
      </c>
      <c r="D146"/>
      <c r="E146"/>
      <c r="F146"/>
      <c r="G146"/>
      <c r="H146"/>
      <c r="I146" t="str">
        <f t="shared" si="50"/>
        <v>IL-Yes</v>
      </c>
      <c r="J146" t="str">
        <f t="shared" si="51"/>
        <v>IL-Yes</v>
      </c>
      <c r="K146" t="str">
        <f>IF(M146=2010, 1, "")</f>
        <v/>
      </c>
      <c r="L146" t="str">
        <f t="shared" si="35"/>
        <v/>
      </c>
      <c r="M146">
        <v>1988</v>
      </c>
      <c r="N146" s="242">
        <v>12</v>
      </c>
      <c r="O146" s="415">
        <v>121272</v>
      </c>
      <c r="P146" s="416">
        <v>74046</v>
      </c>
      <c r="Q146" s="228">
        <f t="shared" si="42"/>
        <v>7387</v>
      </c>
      <c r="R146" s="423">
        <v>202705</v>
      </c>
      <c r="S146" s="239"/>
      <c r="T146" s="231">
        <f t="shared" si="52"/>
        <v>121272</v>
      </c>
      <c r="U146" s="231">
        <f t="shared" si="43"/>
        <v>74046</v>
      </c>
      <c r="V146" s="232">
        <f t="shared" si="53"/>
        <v>0.24179031118483704</v>
      </c>
      <c r="W146" s="233">
        <f t="shared" si="44"/>
        <v>0.59826841962457755</v>
      </c>
      <c r="X146" s="234" t="str">
        <f t="shared" si="45"/>
        <v>IL-No</v>
      </c>
      <c r="Y146" s="235" t="str">
        <f t="shared" si="46"/>
        <v>IL-Dem</v>
      </c>
      <c r="Z146" s="236" t="str">
        <f>B146&amp;"-"&amp;IF(V146&gt;Instructions!$H$14,Instructions!$I$14,IF(V146&gt;Instructions!$H$15,Instructions!$I$15,IF(V146&gt;Instructions!$H$16,Instructions!$I$16,IF(V146&gt;Instructions!$H$17,Instructions!$I$17,Instructions!$I$18))))</f>
        <v>IL-Landslide</v>
      </c>
      <c r="AA146" s="237">
        <f t="shared" si="47"/>
        <v>0</v>
      </c>
      <c r="AB146" s="237">
        <f t="shared" si="48"/>
        <v>74046</v>
      </c>
      <c r="AC146" s="238">
        <f t="shared" si="49"/>
        <v>7387</v>
      </c>
      <c r="AD146" s="389">
        <f t="shared" si="54"/>
        <v>81433</v>
      </c>
    </row>
    <row r="147" spans="1:31">
      <c r="A147" s="225" t="s">
        <v>78</v>
      </c>
      <c r="B147" s="226" t="s">
        <v>12</v>
      </c>
      <c r="C147" t="s">
        <v>466</v>
      </c>
      <c r="D147" t="s">
        <v>778</v>
      </c>
      <c r="E147"/>
      <c r="F147"/>
      <c r="G147"/>
      <c r="H147"/>
      <c r="I147" t="str">
        <f t="shared" si="50"/>
        <v>IL-Yes</v>
      </c>
      <c r="J147" t="str">
        <f t="shared" si="51"/>
        <v>IL-Yes</v>
      </c>
      <c r="K147" t="str">
        <f>IF(M147=2010, 1, "")</f>
        <v/>
      </c>
      <c r="L147" t="str">
        <f t="shared" si="35"/>
        <v/>
      </c>
      <c r="M147">
        <v>1998</v>
      </c>
      <c r="N147" s="242">
        <v>13</v>
      </c>
      <c r="O147" s="415">
        <v>86281</v>
      </c>
      <c r="P147" s="416">
        <v>152132</v>
      </c>
      <c r="Q147" s="228">
        <f t="shared" si="42"/>
        <v>0</v>
      </c>
      <c r="R147" s="423">
        <v>238413</v>
      </c>
      <c r="S147" s="239"/>
      <c r="T147" s="231">
        <f t="shared" si="52"/>
        <v>152132</v>
      </c>
      <c r="U147" s="231">
        <f t="shared" si="43"/>
        <v>86281</v>
      </c>
      <c r="V147" s="232">
        <f t="shared" si="53"/>
        <v>0.27620557603821938</v>
      </c>
      <c r="W147" s="233">
        <f t="shared" si="44"/>
        <v>0.63810278801910969</v>
      </c>
      <c r="X147" s="234" t="str">
        <f t="shared" si="45"/>
        <v>IL-No</v>
      </c>
      <c r="Y147" s="235" t="str">
        <f t="shared" si="46"/>
        <v>IL-Rep</v>
      </c>
      <c r="Z147" s="236" t="str">
        <f>B147&amp;"-"&amp;IF(V147&gt;Instructions!$H$14,Instructions!$I$14,IF(V147&gt;Instructions!$H$15,Instructions!$I$15,IF(V147&gt;Instructions!$H$16,Instructions!$I$16,IF(V147&gt;Instructions!$H$17,Instructions!$I$17,Instructions!$I$18))))</f>
        <v>IL-Landslide</v>
      </c>
      <c r="AA147" s="237">
        <f t="shared" si="47"/>
        <v>86281</v>
      </c>
      <c r="AB147" s="237">
        <f t="shared" si="48"/>
        <v>0</v>
      </c>
      <c r="AC147" s="238">
        <f t="shared" si="49"/>
        <v>0</v>
      </c>
      <c r="AD147" s="389">
        <f t="shared" si="54"/>
        <v>86281</v>
      </c>
    </row>
    <row r="148" spans="1:31">
      <c r="A148" s="225" t="s">
        <v>78</v>
      </c>
      <c r="B148" s="226" t="s">
        <v>12</v>
      </c>
      <c r="C148" t="s">
        <v>467</v>
      </c>
      <c r="D148"/>
      <c r="E148"/>
      <c r="F148"/>
      <c r="G148"/>
      <c r="H148"/>
      <c r="I148" t="str">
        <f t="shared" si="50"/>
        <v>IL-Yes</v>
      </c>
      <c r="J148" t="str">
        <f t="shared" si="51"/>
        <v>IL-No</v>
      </c>
      <c r="K148">
        <f t="shared" si="33"/>
        <v>1</v>
      </c>
      <c r="L148" t="str">
        <f>B148&amp;"-"&amp;IF(M148=2010, 1, "")</f>
        <v>IL-1</v>
      </c>
      <c r="M148">
        <v>2010</v>
      </c>
      <c r="N148" s="242">
        <v>14</v>
      </c>
      <c r="O148" s="415">
        <v>98645</v>
      </c>
      <c r="P148" s="416">
        <v>112369</v>
      </c>
      <c r="Q148" s="228">
        <f t="shared" si="42"/>
        <v>7999</v>
      </c>
      <c r="R148" s="423">
        <v>219013</v>
      </c>
      <c r="S148" s="239"/>
      <c r="T148" s="231">
        <f t="shared" si="52"/>
        <v>112369</v>
      </c>
      <c r="U148" s="231">
        <f t="shared" si="43"/>
        <v>98645</v>
      </c>
      <c r="V148" s="232">
        <f t="shared" si="53"/>
        <v>6.503833868842826E-2</v>
      </c>
      <c r="W148" s="233">
        <f t="shared" si="44"/>
        <v>0.51307000041093453</v>
      </c>
      <c r="X148" s="234" t="str">
        <f t="shared" si="45"/>
        <v>IL-No</v>
      </c>
      <c r="Y148" s="235" t="str">
        <f t="shared" si="46"/>
        <v>IL-Rep</v>
      </c>
      <c r="Z148" s="236" t="str">
        <f>B148&amp;"-"&amp;IF(V148&gt;Instructions!$H$14,Instructions!$I$14,IF(V148&gt;Instructions!$H$15,Instructions!$I$15,IF(V148&gt;Instructions!$H$16,Instructions!$I$16,IF(V148&gt;Instructions!$H$17,Instructions!$I$17,Instructions!$I$18))))</f>
        <v>IL-Competitive</v>
      </c>
      <c r="AA148" s="237">
        <f t="shared" si="47"/>
        <v>98645</v>
      </c>
      <c r="AB148" s="237">
        <f t="shared" si="48"/>
        <v>0</v>
      </c>
      <c r="AC148" s="238">
        <f t="shared" si="49"/>
        <v>7999</v>
      </c>
      <c r="AD148" s="389">
        <f t="shared" si="54"/>
        <v>106644</v>
      </c>
    </row>
    <row r="149" spans="1:31">
      <c r="A149" s="225" t="s">
        <v>78</v>
      </c>
      <c r="B149" s="226" t="s">
        <v>12</v>
      </c>
      <c r="C149" t="s">
        <v>468</v>
      </c>
      <c r="D149"/>
      <c r="E149"/>
      <c r="F149"/>
      <c r="G149"/>
      <c r="H149"/>
      <c r="I149" t="str">
        <f t="shared" si="50"/>
        <v>IL-Yes</v>
      </c>
      <c r="J149" t="str">
        <f t="shared" si="51"/>
        <v>IL-Yes</v>
      </c>
      <c r="K149" t="str">
        <f t="shared" si="33"/>
        <v/>
      </c>
      <c r="L149" t="str">
        <f t="shared" si="35"/>
        <v/>
      </c>
      <c r="M149">
        <v>2000</v>
      </c>
      <c r="N149" s="242">
        <v>15</v>
      </c>
      <c r="O149" s="415">
        <v>75948</v>
      </c>
      <c r="P149" s="416">
        <v>136915</v>
      </c>
      <c r="Q149" s="228">
        <f t="shared" si="42"/>
        <v>0</v>
      </c>
      <c r="R149" s="423">
        <v>212863</v>
      </c>
      <c r="S149" s="239"/>
      <c r="T149" s="231">
        <f t="shared" si="52"/>
        <v>136915</v>
      </c>
      <c r="U149" s="231">
        <f t="shared" si="43"/>
        <v>75948</v>
      </c>
      <c r="V149" s="232">
        <f t="shared" si="53"/>
        <v>0.28641426645307078</v>
      </c>
      <c r="W149" s="233">
        <f t="shared" si="44"/>
        <v>0.64320713322653533</v>
      </c>
      <c r="X149" s="234" t="str">
        <f t="shared" si="45"/>
        <v>IL-No</v>
      </c>
      <c r="Y149" s="235" t="str">
        <f t="shared" si="46"/>
        <v>IL-Rep</v>
      </c>
      <c r="Z149" s="236" t="str">
        <f>B149&amp;"-"&amp;IF(V149&gt;Instructions!$H$14,Instructions!$I$14,IF(V149&gt;Instructions!$H$15,Instructions!$I$15,IF(V149&gt;Instructions!$H$16,Instructions!$I$16,IF(V149&gt;Instructions!$H$17,Instructions!$I$17,Instructions!$I$18))))</f>
        <v>IL-Landslide</v>
      </c>
      <c r="AA149" s="237">
        <f t="shared" si="47"/>
        <v>75948</v>
      </c>
      <c r="AB149" s="237">
        <f t="shared" si="48"/>
        <v>0</v>
      </c>
      <c r="AC149" s="238">
        <f t="shared" si="49"/>
        <v>0</v>
      </c>
      <c r="AD149" s="389">
        <f t="shared" si="54"/>
        <v>75948</v>
      </c>
    </row>
    <row r="150" spans="1:31">
      <c r="A150" s="225" t="s">
        <v>78</v>
      </c>
      <c r="B150" s="226" t="s">
        <v>12</v>
      </c>
      <c r="C150" s="426" t="s">
        <v>469</v>
      </c>
      <c r="D150"/>
      <c r="E150"/>
      <c r="F150"/>
      <c r="G150"/>
      <c r="H150"/>
      <c r="I150" t="str">
        <f t="shared" si="50"/>
        <v>IL-Yes</v>
      </c>
      <c r="J150" t="str">
        <f t="shared" si="51"/>
        <v>IL-Yes</v>
      </c>
      <c r="K150" t="str">
        <f t="shared" si="33"/>
        <v/>
      </c>
      <c r="L150" t="str">
        <f t="shared" si="35"/>
        <v/>
      </c>
      <c r="M150">
        <v>1992</v>
      </c>
      <c r="N150" s="242">
        <v>16</v>
      </c>
      <c r="O150" s="415">
        <v>66037</v>
      </c>
      <c r="P150" s="416">
        <v>138299</v>
      </c>
      <c r="Q150" s="228">
        <f t="shared" si="42"/>
        <v>8425</v>
      </c>
      <c r="R150" s="423">
        <v>212761</v>
      </c>
      <c r="S150" s="239"/>
      <c r="T150" s="231">
        <f t="shared" si="52"/>
        <v>138299</v>
      </c>
      <c r="U150" s="231">
        <f t="shared" si="43"/>
        <v>66037</v>
      </c>
      <c r="V150" s="232">
        <f t="shared" si="53"/>
        <v>0.35364301934069375</v>
      </c>
      <c r="W150" s="233">
        <f t="shared" si="44"/>
        <v>0.6500204454763796</v>
      </c>
      <c r="X150" s="234" t="str">
        <f t="shared" si="45"/>
        <v>IL-No</v>
      </c>
      <c r="Y150" s="235" t="str">
        <f t="shared" si="46"/>
        <v>IL-Rep</v>
      </c>
      <c r="Z150" s="236" t="str">
        <f>B150&amp;"-"&amp;IF(V150&gt;Instructions!$H$14,Instructions!$I$14,IF(V150&gt;Instructions!$H$15,Instructions!$I$15,IF(V150&gt;Instructions!$H$16,Instructions!$I$16,IF(V150&gt;Instructions!$H$17,Instructions!$I$17,Instructions!$I$18))))</f>
        <v>IL-Landslide</v>
      </c>
      <c r="AA150" s="237">
        <f t="shared" si="47"/>
        <v>66037</v>
      </c>
      <c r="AB150" s="237">
        <f t="shared" si="48"/>
        <v>0</v>
      </c>
      <c r="AC150" s="238">
        <f t="shared" si="49"/>
        <v>8425</v>
      </c>
      <c r="AD150" s="389">
        <f t="shared" si="54"/>
        <v>74462</v>
      </c>
    </row>
    <row r="151" spans="1:31">
      <c r="A151" s="225" t="s">
        <v>78</v>
      </c>
      <c r="B151" s="226" t="s">
        <v>12</v>
      </c>
      <c r="C151" t="s">
        <v>470</v>
      </c>
      <c r="D151"/>
      <c r="E151"/>
      <c r="F151"/>
      <c r="G151"/>
      <c r="H151"/>
      <c r="I151" t="str">
        <f t="shared" si="50"/>
        <v>IL-Yes</v>
      </c>
      <c r="J151" t="str">
        <f t="shared" si="51"/>
        <v>IL-No</v>
      </c>
      <c r="K151">
        <f t="shared" si="33"/>
        <v>1</v>
      </c>
      <c r="L151" t="str">
        <f>B151&amp;"-"&amp;IF(M151=2010, 1, "")</f>
        <v>IL-1</v>
      </c>
      <c r="M151">
        <v>2010</v>
      </c>
      <c r="N151" s="242">
        <v>17</v>
      </c>
      <c r="O151" s="415">
        <v>85454</v>
      </c>
      <c r="P151" s="416">
        <v>104583</v>
      </c>
      <c r="Q151" s="228">
        <f t="shared" si="42"/>
        <v>8861</v>
      </c>
      <c r="R151" s="423">
        <v>198898</v>
      </c>
      <c r="S151" s="239"/>
      <c r="T151" s="231">
        <f t="shared" si="52"/>
        <v>104583</v>
      </c>
      <c r="U151" s="231">
        <f t="shared" si="43"/>
        <v>85454</v>
      </c>
      <c r="V151" s="232">
        <f t="shared" si="53"/>
        <v>0.10065934528539179</v>
      </c>
      <c r="W151" s="233">
        <f t="shared" si="44"/>
        <v>0.52581222536174321</v>
      </c>
      <c r="X151" s="234" t="str">
        <f t="shared" si="45"/>
        <v>IL-No</v>
      </c>
      <c r="Y151" s="235" t="str">
        <f t="shared" si="46"/>
        <v>IL-Rep</v>
      </c>
      <c r="Z151" s="236" t="str">
        <f>B151&amp;"-"&amp;IF(V151&gt;Instructions!$H$14,Instructions!$I$14,IF(V151&gt;Instructions!$H$15,Instructions!$I$15,IF(V151&gt;Instructions!$H$16,Instructions!$I$16,IF(V151&gt;Instructions!$H$17,Instructions!$I$17,Instructions!$I$18))))</f>
        <v>IL-Opportunity</v>
      </c>
      <c r="AA151" s="237">
        <f t="shared" si="47"/>
        <v>85454</v>
      </c>
      <c r="AB151" s="237">
        <f t="shared" si="48"/>
        <v>0</v>
      </c>
      <c r="AC151" s="238">
        <f t="shared" si="49"/>
        <v>8861</v>
      </c>
      <c r="AD151" s="389">
        <f t="shared" si="54"/>
        <v>94315</v>
      </c>
    </row>
    <row r="152" spans="1:31">
      <c r="A152" s="225" t="s">
        <v>78</v>
      </c>
      <c r="B152" s="226" t="s">
        <v>12</v>
      </c>
      <c r="C152" t="s">
        <v>471</v>
      </c>
      <c r="D152"/>
      <c r="E152"/>
      <c r="F152"/>
      <c r="G152"/>
      <c r="H152"/>
      <c r="I152" t="str">
        <f t="shared" si="50"/>
        <v>IL-Yes</v>
      </c>
      <c r="J152" t="str">
        <f t="shared" si="51"/>
        <v>IL-Yes</v>
      </c>
      <c r="K152" t="str">
        <f t="shared" si="33"/>
        <v/>
      </c>
      <c r="L152" t="str">
        <f t="shared" si="35"/>
        <v/>
      </c>
      <c r="M152">
        <v>2008</v>
      </c>
      <c r="N152" s="242">
        <v>18</v>
      </c>
      <c r="O152" s="415">
        <v>57046</v>
      </c>
      <c r="P152" s="416">
        <v>152868</v>
      </c>
      <c r="Q152" s="228">
        <f t="shared" si="42"/>
        <v>11256</v>
      </c>
      <c r="R152" s="423">
        <v>221170</v>
      </c>
      <c r="S152" s="239"/>
      <c r="T152" s="231">
        <f t="shared" si="52"/>
        <v>152868</v>
      </c>
      <c r="U152" s="231">
        <f t="shared" si="43"/>
        <v>57046</v>
      </c>
      <c r="V152" s="232">
        <f t="shared" si="53"/>
        <v>0.4564821784159227</v>
      </c>
      <c r="W152" s="233">
        <f t="shared" si="44"/>
        <v>0.69117873129267082</v>
      </c>
      <c r="X152" s="234" t="str">
        <f t="shared" si="45"/>
        <v>IL-No</v>
      </c>
      <c r="Y152" s="235" t="str">
        <f t="shared" si="46"/>
        <v>IL-Rep</v>
      </c>
      <c r="Z152" s="236" t="str">
        <f>B152&amp;"-"&amp;IF(V152&gt;Instructions!$H$14,Instructions!$I$14,IF(V152&gt;Instructions!$H$15,Instructions!$I$15,IF(V152&gt;Instructions!$H$16,Instructions!$I$16,IF(V152&gt;Instructions!$H$17,Instructions!$I$17,Instructions!$I$18))))</f>
        <v>IL-No contest</v>
      </c>
      <c r="AA152" s="237">
        <f t="shared" si="47"/>
        <v>57046</v>
      </c>
      <c r="AB152" s="237">
        <f t="shared" si="48"/>
        <v>0</v>
      </c>
      <c r="AC152" s="238">
        <f t="shared" si="49"/>
        <v>11256</v>
      </c>
      <c r="AD152" s="389">
        <f t="shared" si="54"/>
        <v>68302</v>
      </c>
    </row>
    <row r="153" spans="1:31">
      <c r="A153" s="225" t="s">
        <v>78</v>
      </c>
      <c r="B153" s="226" t="s">
        <v>12</v>
      </c>
      <c r="C153" s="426" t="s">
        <v>472</v>
      </c>
      <c r="D153"/>
      <c r="E153"/>
      <c r="F153"/>
      <c r="G153"/>
      <c r="H153"/>
      <c r="I153" t="str">
        <f t="shared" si="50"/>
        <v>IL-Yes</v>
      </c>
      <c r="J153" t="str">
        <f t="shared" si="51"/>
        <v>IL-Yes</v>
      </c>
      <c r="K153" t="str">
        <f t="shared" si="33"/>
        <v/>
      </c>
      <c r="L153" t="str">
        <f t="shared" si="35"/>
        <v/>
      </c>
      <c r="M153">
        <v>1996</v>
      </c>
      <c r="N153" s="242">
        <v>19</v>
      </c>
      <c r="O153" s="415">
        <v>67132</v>
      </c>
      <c r="P153" s="416">
        <v>166166</v>
      </c>
      <c r="Q153" s="228">
        <f t="shared" si="42"/>
        <v>0</v>
      </c>
      <c r="R153" s="423">
        <v>233298</v>
      </c>
      <c r="S153" s="239"/>
      <c r="T153" s="231">
        <f t="shared" si="52"/>
        <v>166166</v>
      </c>
      <c r="U153" s="231">
        <f t="shared" si="43"/>
        <v>67132</v>
      </c>
      <c r="V153" s="232">
        <f t="shared" si="53"/>
        <v>0.42449570935027303</v>
      </c>
      <c r="W153" s="233">
        <f t="shared" si="44"/>
        <v>0.71224785467513652</v>
      </c>
      <c r="X153" s="234" t="str">
        <f t="shared" si="45"/>
        <v>IL-No</v>
      </c>
      <c r="Y153" s="235" t="str">
        <f t="shared" si="46"/>
        <v>IL-Rep</v>
      </c>
      <c r="Z153" s="236" t="str">
        <f>B153&amp;"-"&amp;IF(V153&gt;Instructions!$H$14,Instructions!$I$14,IF(V153&gt;Instructions!$H$15,Instructions!$I$15,IF(V153&gt;Instructions!$H$16,Instructions!$I$16,IF(V153&gt;Instructions!$H$17,Instructions!$I$17,Instructions!$I$18))))</f>
        <v>IL-No contest</v>
      </c>
      <c r="AA153" s="237">
        <f t="shared" si="47"/>
        <v>67132</v>
      </c>
      <c r="AB153" s="237">
        <f t="shared" si="48"/>
        <v>0</v>
      </c>
      <c r="AC153" s="238">
        <f t="shared" si="49"/>
        <v>0</v>
      </c>
      <c r="AD153" s="389">
        <f t="shared" si="54"/>
        <v>67132</v>
      </c>
      <c r="AE153" s="389">
        <f>SUM(AD135:AD153)</f>
        <v>1305947</v>
      </c>
    </row>
    <row r="154" spans="1:31">
      <c r="A154" s="225" t="s">
        <v>79</v>
      </c>
      <c r="B154" s="226" t="s">
        <v>13</v>
      </c>
      <c r="C154" s="426" t="s">
        <v>473</v>
      </c>
      <c r="D154"/>
      <c r="E154"/>
      <c r="F154"/>
      <c r="G154"/>
      <c r="H154"/>
      <c r="I154" t="str">
        <f t="shared" si="50"/>
        <v>IN-Yes</v>
      </c>
      <c r="J154" t="str">
        <f t="shared" si="51"/>
        <v>IN-Yes</v>
      </c>
      <c r="K154" t="str">
        <f t="shared" si="33"/>
        <v/>
      </c>
      <c r="L154" t="str">
        <f t="shared" si="35"/>
        <v/>
      </c>
      <c r="M154">
        <v>1984</v>
      </c>
      <c r="N154" s="242">
        <v>1</v>
      </c>
      <c r="O154" s="415">
        <v>99387</v>
      </c>
      <c r="P154" s="416">
        <v>65558</v>
      </c>
      <c r="Q154" s="228">
        <f t="shared" si="42"/>
        <v>4762</v>
      </c>
      <c r="R154" s="423">
        <v>169707</v>
      </c>
      <c r="S154" s="239"/>
      <c r="T154" s="231">
        <f t="shared" si="52"/>
        <v>99387</v>
      </c>
      <c r="U154" s="231">
        <f t="shared" si="43"/>
        <v>65558</v>
      </c>
      <c r="V154" s="232">
        <f t="shared" si="53"/>
        <v>0.20509260662645123</v>
      </c>
      <c r="W154" s="233">
        <f t="shared" si="44"/>
        <v>0.58563877742226311</v>
      </c>
      <c r="X154" s="234" t="str">
        <f t="shared" si="45"/>
        <v>IN-No</v>
      </c>
      <c r="Y154" s="235" t="str">
        <f t="shared" si="46"/>
        <v>IN-Dem</v>
      </c>
      <c r="Z154" s="236" t="str">
        <f>B154&amp;"-"&amp;IF(V154&gt;Instructions!$H$14,Instructions!$I$14,IF(V154&gt;Instructions!$H$15,Instructions!$I$15,IF(V154&gt;Instructions!$H$16,Instructions!$I$16,IF(V154&gt;Instructions!$H$17,Instructions!$I$17,Instructions!$I$18))))</f>
        <v>IN-Landslide</v>
      </c>
      <c r="AA154" s="237">
        <f t="shared" si="47"/>
        <v>0</v>
      </c>
      <c r="AB154" s="237">
        <f t="shared" si="48"/>
        <v>65558</v>
      </c>
      <c r="AC154" s="238">
        <f t="shared" si="49"/>
        <v>4762</v>
      </c>
      <c r="AD154" s="389">
        <f t="shared" si="54"/>
        <v>70320</v>
      </c>
    </row>
    <row r="155" spans="1:31">
      <c r="A155" s="225" t="s">
        <v>79</v>
      </c>
      <c r="B155" s="226" t="s">
        <v>13</v>
      </c>
      <c r="C155" t="s">
        <v>474</v>
      </c>
      <c r="D155"/>
      <c r="E155"/>
      <c r="F155"/>
      <c r="G155"/>
      <c r="H155"/>
      <c r="I155" t="str">
        <f t="shared" si="50"/>
        <v>IN-Yes</v>
      </c>
      <c r="J155" t="str">
        <f t="shared" si="51"/>
        <v>IN-Yes</v>
      </c>
      <c r="K155" t="str">
        <f t="shared" si="33"/>
        <v/>
      </c>
      <c r="L155" t="str">
        <f t="shared" si="35"/>
        <v/>
      </c>
      <c r="M155">
        <v>2006</v>
      </c>
      <c r="N155" s="242">
        <v>2</v>
      </c>
      <c r="O155" s="415">
        <v>91341</v>
      </c>
      <c r="P155" s="416">
        <v>88803</v>
      </c>
      <c r="Q155" s="228">
        <f t="shared" si="42"/>
        <v>9447</v>
      </c>
      <c r="R155" s="423">
        <v>189591</v>
      </c>
      <c r="S155" s="239"/>
      <c r="T155" s="231">
        <f t="shared" si="52"/>
        <v>91341</v>
      </c>
      <c r="U155" s="231">
        <f t="shared" si="43"/>
        <v>88803</v>
      </c>
      <c r="V155" s="232">
        <f t="shared" si="53"/>
        <v>1.408872901678657E-2</v>
      </c>
      <c r="W155" s="233">
        <f t="shared" si="44"/>
        <v>0.48177919837966993</v>
      </c>
      <c r="X155" s="234" t="str">
        <f t="shared" si="45"/>
        <v>IN-No</v>
      </c>
      <c r="Y155" s="235" t="str">
        <f t="shared" si="46"/>
        <v>IN-Dem</v>
      </c>
      <c r="Z155" s="236" t="str">
        <f>B155&amp;"-"&amp;IF(V155&gt;Instructions!$H$14,Instructions!$I$14,IF(V155&gt;Instructions!$H$15,Instructions!$I$15,IF(V155&gt;Instructions!$H$16,Instructions!$I$16,IF(V155&gt;Instructions!$H$17,Instructions!$I$17,Instructions!$I$18))))</f>
        <v>IN-Tight</v>
      </c>
      <c r="AA155" s="237">
        <f t="shared" si="47"/>
        <v>0</v>
      </c>
      <c r="AB155" s="237">
        <f t="shared" si="48"/>
        <v>88803</v>
      </c>
      <c r="AC155" s="238">
        <f t="shared" si="49"/>
        <v>9447</v>
      </c>
      <c r="AD155" s="389">
        <f t="shared" si="54"/>
        <v>98250</v>
      </c>
    </row>
    <row r="156" spans="1:31">
      <c r="A156" s="225" t="s">
        <v>79</v>
      </c>
      <c r="B156" s="226" t="s">
        <v>13</v>
      </c>
      <c r="C156" t="s">
        <v>475</v>
      </c>
      <c r="D156"/>
      <c r="E156"/>
      <c r="F156"/>
      <c r="G156"/>
      <c r="H156"/>
      <c r="I156" t="str">
        <f t="shared" si="50"/>
        <v>IN-No</v>
      </c>
      <c r="J156" t="str">
        <f t="shared" si="51"/>
        <v>IN-No</v>
      </c>
      <c r="K156">
        <v>0</v>
      </c>
      <c r="L156"/>
      <c r="M156">
        <v>2010</v>
      </c>
      <c r="N156" s="242">
        <v>3</v>
      </c>
      <c r="O156" s="415">
        <v>61267</v>
      </c>
      <c r="P156" s="416">
        <v>116140</v>
      </c>
      <c r="Q156" s="228">
        <f t="shared" si="42"/>
        <v>7642</v>
      </c>
      <c r="R156" s="423">
        <v>185049</v>
      </c>
      <c r="S156" s="239"/>
      <c r="T156" s="231">
        <f t="shared" si="52"/>
        <v>116140</v>
      </c>
      <c r="U156" s="231">
        <f t="shared" si="43"/>
        <v>61267</v>
      </c>
      <c r="V156" s="232">
        <f t="shared" si="53"/>
        <v>0.30930572074382634</v>
      </c>
      <c r="W156" s="233">
        <f t="shared" si="44"/>
        <v>0.62761754994623042</v>
      </c>
      <c r="X156" s="234" t="str">
        <f t="shared" si="45"/>
        <v>IN-No</v>
      </c>
      <c r="Y156" s="235" t="str">
        <f t="shared" si="46"/>
        <v>IN-Rep</v>
      </c>
      <c r="Z156" s="236" t="str">
        <f>B156&amp;"-"&amp;IF(V156&gt;Instructions!$H$14,Instructions!$I$14,IF(V156&gt;Instructions!$H$15,Instructions!$I$15,IF(V156&gt;Instructions!$H$16,Instructions!$I$16,IF(V156&gt;Instructions!$H$17,Instructions!$I$17,Instructions!$I$18))))</f>
        <v>IN-Landslide</v>
      </c>
      <c r="AA156" s="237">
        <f t="shared" si="47"/>
        <v>61267</v>
      </c>
      <c r="AB156" s="237">
        <f t="shared" si="48"/>
        <v>0</v>
      </c>
      <c r="AC156" s="238">
        <f t="shared" si="49"/>
        <v>7642</v>
      </c>
      <c r="AD156" s="389">
        <f t="shared" si="54"/>
        <v>68909</v>
      </c>
    </row>
    <row r="157" spans="1:31">
      <c r="A157" s="225" t="s">
        <v>79</v>
      </c>
      <c r="B157" s="226" t="s">
        <v>13</v>
      </c>
      <c r="C157" t="s">
        <v>476</v>
      </c>
      <c r="D157"/>
      <c r="E157"/>
      <c r="F157"/>
      <c r="G157"/>
      <c r="H157"/>
      <c r="I157" t="str">
        <f t="shared" si="50"/>
        <v>IN-No</v>
      </c>
      <c r="J157" t="str">
        <f t="shared" si="51"/>
        <v>IN-No</v>
      </c>
      <c r="K157">
        <v>0</v>
      </c>
      <c r="L157"/>
      <c r="M157">
        <v>2010</v>
      </c>
      <c r="N157" s="242">
        <v>4</v>
      </c>
      <c r="O157" s="415">
        <v>53167</v>
      </c>
      <c r="P157" s="416">
        <v>138732</v>
      </c>
      <c r="Q157" s="228">
        <f t="shared" si="42"/>
        <v>10423</v>
      </c>
      <c r="R157" s="423">
        <v>202322</v>
      </c>
      <c r="S157" s="239"/>
      <c r="T157" s="231">
        <f t="shared" si="52"/>
        <v>138732</v>
      </c>
      <c r="U157" s="231">
        <f t="shared" si="43"/>
        <v>53167</v>
      </c>
      <c r="V157" s="232">
        <f t="shared" si="53"/>
        <v>0.44588559606876532</v>
      </c>
      <c r="W157" s="233">
        <f t="shared" si="44"/>
        <v>0.68569903421278955</v>
      </c>
      <c r="X157" s="234" t="str">
        <f t="shared" si="45"/>
        <v>IN-No</v>
      </c>
      <c r="Y157" s="235" t="str">
        <f t="shared" si="46"/>
        <v>IN-Rep</v>
      </c>
      <c r="Z157" s="236" t="str">
        <f>B157&amp;"-"&amp;IF(V157&gt;Instructions!$H$14,Instructions!$I$14,IF(V157&gt;Instructions!$H$15,Instructions!$I$15,IF(V157&gt;Instructions!$H$16,Instructions!$I$16,IF(V157&gt;Instructions!$H$17,Instructions!$I$17,Instructions!$I$18))))</f>
        <v>IN-No contest</v>
      </c>
      <c r="AA157" s="237">
        <f t="shared" si="47"/>
        <v>53167</v>
      </c>
      <c r="AB157" s="237">
        <f t="shared" si="48"/>
        <v>0</v>
      </c>
      <c r="AC157" s="238">
        <f t="shared" si="49"/>
        <v>10423</v>
      </c>
      <c r="AD157" s="389">
        <f t="shared" si="54"/>
        <v>63590</v>
      </c>
    </row>
    <row r="158" spans="1:31">
      <c r="A158" s="225" t="s">
        <v>79</v>
      </c>
      <c r="B158" s="226" t="s">
        <v>13</v>
      </c>
      <c r="C158" s="426" t="s">
        <v>477</v>
      </c>
      <c r="D158"/>
      <c r="E158"/>
      <c r="F158"/>
      <c r="G158"/>
      <c r="H158"/>
      <c r="I158" t="str">
        <f t="shared" si="50"/>
        <v>IN-Yes</v>
      </c>
      <c r="J158" t="str">
        <f t="shared" si="51"/>
        <v>IN-Yes</v>
      </c>
      <c r="K158" t="str">
        <f t="shared" ref="K158:K167" si="55">IF(M158=2010, 1, "")</f>
        <v/>
      </c>
      <c r="L158" t="str">
        <f t="shared" ref="L158:L160" si="56">IF(M158=2010, 1, "")</f>
        <v/>
      </c>
      <c r="M158">
        <v>1982</v>
      </c>
      <c r="N158" s="242">
        <v>5</v>
      </c>
      <c r="O158" s="415">
        <v>60024</v>
      </c>
      <c r="P158" s="416">
        <v>146899</v>
      </c>
      <c r="Q158" s="228">
        <f t="shared" si="42"/>
        <v>29484</v>
      </c>
      <c r="R158" s="423">
        <v>236407</v>
      </c>
      <c r="S158" s="239"/>
      <c r="T158" s="231">
        <f t="shared" si="52"/>
        <v>146899</v>
      </c>
      <c r="U158" s="231">
        <f t="shared" si="43"/>
        <v>60024</v>
      </c>
      <c r="V158" s="232">
        <f t="shared" si="53"/>
        <v>0.41984216351009795</v>
      </c>
      <c r="W158" s="233">
        <f t="shared" si="44"/>
        <v>0.62138176957535096</v>
      </c>
      <c r="X158" s="234" t="str">
        <f t="shared" si="45"/>
        <v>IN-No</v>
      </c>
      <c r="Y158" s="235" t="str">
        <f t="shared" si="46"/>
        <v>IN-Rep</v>
      </c>
      <c r="Z158" s="236" t="str">
        <f>B158&amp;"-"&amp;IF(V158&gt;Instructions!$H$14,Instructions!$I$14,IF(V158&gt;Instructions!$H$15,Instructions!$I$15,IF(V158&gt;Instructions!$H$16,Instructions!$I$16,IF(V158&gt;Instructions!$H$17,Instructions!$I$17,Instructions!$I$18))))</f>
        <v>IN-No contest</v>
      </c>
      <c r="AA158" s="237">
        <f t="shared" si="47"/>
        <v>60024</v>
      </c>
      <c r="AB158" s="237">
        <f t="shared" si="48"/>
        <v>0</v>
      </c>
      <c r="AC158" s="238">
        <f t="shared" si="49"/>
        <v>29484</v>
      </c>
      <c r="AD158" s="389">
        <f t="shared" si="54"/>
        <v>89508</v>
      </c>
    </row>
    <row r="159" spans="1:31">
      <c r="A159" s="225" t="s">
        <v>79</v>
      </c>
      <c r="B159" s="226" t="s">
        <v>13</v>
      </c>
      <c r="C159" s="426" t="s">
        <v>478</v>
      </c>
      <c r="D159"/>
      <c r="E159"/>
      <c r="F159"/>
      <c r="G159"/>
      <c r="H159"/>
      <c r="I159" t="str">
        <f t="shared" si="50"/>
        <v>IN-Yes</v>
      </c>
      <c r="J159" t="str">
        <f t="shared" si="51"/>
        <v>IN-Yes</v>
      </c>
      <c r="K159" t="str">
        <f t="shared" si="55"/>
        <v/>
      </c>
      <c r="L159" t="str">
        <f t="shared" si="56"/>
        <v/>
      </c>
      <c r="M159">
        <v>2000</v>
      </c>
      <c r="N159" s="242">
        <v>6</v>
      </c>
      <c r="O159" s="415">
        <v>56647</v>
      </c>
      <c r="P159" s="416">
        <v>126027</v>
      </c>
      <c r="Q159" s="228">
        <f t="shared" si="42"/>
        <v>6635</v>
      </c>
      <c r="R159" s="423">
        <v>189309</v>
      </c>
      <c r="S159" s="239"/>
      <c r="T159" s="231">
        <f t="shared" si="52"/>
        <v>126027</v>
      </c>
      <c r="U159" s="231">
        <f t="shared" si="43"/>
        <v>56647</v>
      </c>
      <c r="V159" s="232">
        <f t="shared" si="53"/>
        <v>0.37980227071175976</v>
      </c>
      <c r="W159" s="233">
        <f t="shared" si="44"/>
        <v>0.66572112260906768</v>
      </c>
      <c r="X159" s="234" t="str">
        <f t="shared" si="45"/>
        <v>IN-No</v>
      </c>
      <c r="Y159" s="235" t="str">
        <f t="shared" si="46"/>
        <v>IN-Rep</v>
      </c>
      <c r="Z159" s="236" t="str">
        <f>B159&amp;"-"&amp;IF(V159&gt;Instructions!$H$14,Instructions!$I$14,IF(V159&gt;Instructions!$H$15,Instructions!$I$15,IF(V159&gt;Instructions!$H$16,Instructions!$I$16,IF(V159&gt;Instructions!$H$17,Instructions!$I$17,Instructions!$I$18))))</f>
        <v>IN-Landslide</v>
      </c>
      <c r="AA159" s="237">
        <f t="shared" si="47"/>
        <v>56647</v>
      </c>
      <c r="AB159" s="237">
        <f t="shared" si="48"/>
        <v>0</v>
      </c>
      <c r="AC159" s="238">
        <f t="shared" si="49"/>
        <v>6635</v>
      </c>
      <c r="AD159" s="389">
        <f t="shared" si="54"/>
        <v>63282</v>
      </c>
    </row>
    <row r="160" spans="1:31">
      <c r="A160" s="225" t="s">
        <v>79</v>
      </c>
      <c r="B160" s="226" t="s">
        <v>13</v>
      </c>
      <c r="C160" t="s">
        <v>479</v>
      </c>
      <c r="D160"/>
      <c r="E160" t="s">
        <v>779</v>
      </c>
      <c r="F160"/>
      <c r="G160"/>
      <c r="H160"/>
      <c r="I160" t="str">
        <f t="shared" si="50"/>
        <v>IN-Yes</v>
      </c>
      <c r="J160" t="str">
        <f t="shared" si="51"/>
        <v>IN-Yes</v>
      </c>
      <c r="K160" t="str">
        <f t="shared" si="55"/>
        <v/>
      </c>
      <c r="L160" t="str">
        <f t="shared" si="56"/>
        <v/>
      </c>
      <c r="M160">
        <v>2007.5</v>
      </c>
      <c r="N160" s="242">
        <v>7</v>
      </c>
      <c r="O160" s="415">
        <v>86011</v>
      </c>
      <c r="P160" s="416">
        <v>55213</v>
      </c>
      <c r="Q160" s="228">
        <f t="shared" si="42"/>
        <v>4815</v>
      </c>
      <c r="R160" s="423">
        <v>146039</v>
      </c>
      <c r="S160" s="239"/>
      <c r="T160" s="231">
        <f t="shared" si="52"/>
        <v>86011</v>
      </c>
      <c r="U160" s="231">
        <f t="shared" si="43"/>
        <v>55213</v>
      </c>
      <c r="V160" s="232">
        <f t="shared" si="53"/>
        <v>0.21807908004305218</v>
      </c>
      <c r="W160" s="233">
        <f t="shared" si="44"/>
        <v>0.58895911366141918</v>
      </c>
      <c r="X160" s="234" t="str">
        <f t="shared" si="45"/>
        <v>IN-No</v>
      </c>
      <c r="Y160" s="235" t="str">
        <f t="shared" si="46"/>
        <v>IN-Dem</v>
      </c>
      <c r="Z160" s="236" t="str">
        <f>B160&amp;"-"&amp;IF(V160&gt;Instructions!$H$14,Instructions!$I$14,IF(V160&gt;Instructions!$H$15,Instructions!$I$15,IF(V160&gt;Instructions!$H$16,Instructions!$I$16,IF(V160&gt;Instructions!$H$17,Instructions!$I$17,Instructions!$I$18))))</f>
        <v>IN-Landslide</v>
      </c>
      <c r="AA160" s="237">
        <f t="shared" si="47"/>
        <v>0</v>
      </c>
      <c r="AB160" s="237">
        <f t="shared" si="48"/>
        <v>55213</v>
      </c>
      <c r="AC160" s="238">
        <f t="shared" si="49"/>
        <v>4815</v>
      </c>
      <c r="AD160" s="389">
        <f t="shared" si="54"/>
        <v>60028</v>
      </c>
    </row>
    <row r="161" spans="1:31">
      <c r="A161" s="225" t="s">
        <v>79</v>
      </c>
      <c r="B161" s="226" t="s">
        <v>13</v>
      </c>
      <c r="C161" t="s">
        <v>480</v>
      </c>
      <c r="D161"/>
      <c r="E161"/>
      <c r="F161"/>
      <c r="G161"/>
      <c r="H161"/>
      <c r="I161" t="str">
        <f t="shared" si="50"/>
        <v>IN-No</v>
      </c>
      <c r="J161" t="str">
        <f t="shared" si="51"/>
        <v>IN-No</v>
      </c>
      <c r="K161">
        <v>0</v>
      </c>
      <c r="L161" t="str">
        <f>B161&amp;"-"&amp;IF(M161=2010, 1, "")</f>
        <v>IN-1</v>
      </c>
      <c r="M161">
        <v>2010</v>
      </c>
      <c r="N161" s="242">
        <v>8</v>
      </c>
      <c r="O161" s="415">
        <v>76265</v>
      </c>
      <c r="P161" s="416">
        <v>117259</v>
      </c>
      <c r="Q161" s="228">
        <f t="shared" si="42"/>
        <v>10240</v>
      </c>
      <c r="R161" s="423">
        <v>203764</v>
      </c>
      <c r="S161" s="239"/>
      <c r="T161" s="231">
        <f t="shared" si="52"/>
        <v>117259</v>
      </c>
      <c r="U161" s="231">
        <f t="shared" si="43"/>
        <v>76265</v>
      </c>
      <c r="V161" s="232">
        <f t="shared" si="53"/>
        <v>0.21182902379033092</v>
      </c>
      <c r="W161" s="233">
        <f t="shared" si="44"/>
        <v>0.57546475334210168</v>
      </c>
      <c r="X161" s="234" t="str">
        <f t="shared" si="45"/>
        <v>IN-No</v>
      </c>
      <c r="Y161" s="235" t="str">
        <f t="shared" si="46"/>
        <v>IN-Rep</v>
      </c>
      <c r="Z161" s="236" t="str">
        <f>B161&amp;"-"&amp;IF(V161&gt;Instructions!$H$14,Instructions!$I$14,IF(V161&gt;Instructions!$H$15,Instructions!$I$15,IF(V161&gt;Instructions!$H$16,Instructions!$I$16,IF(V161&gt;Instructions!$H$17,Instructions!$I$17,Instructions!$I$18))))</f>
        <v>IN-Landslide</v>
      </c>
      <c r="AA161" s="237">
        <f t="shared" si="47"/>
        <v>76265</v>
      </c>
      <c r="AB161" s="237">
        <f t="shared" si="48"/>
        <v>0</v>
      </c>
      <c r="AC161" s="238">
        <f t="shared" si="49"/>
        <v>10240</v>
      </c>
      <c r="AD161" s="389">
        <f t="shared" si="54"/>
        <v>86505</v>
      </c>
    </row>
    <row r="162" spans="1:31">
      <c r="A162" s="225" t="s">
        <v>79</v>
      </c>
      <c r="B162" s="226" t="s">
        <v>13</v>
      </c>
      <c r="C162" t="s">
        <v>481</v>
      </c>
      <c r="D162"/>
      <c r="E162"/>
      <c r="F162"/>
      <c r="G162"/>
      <c r="H162"/>
      <c r="I162" t="str">
        <f t="shared" si="50"/>
        <v>IN-Yes</v>
      </c>
      <c r="J162" t="str">
        <f t="shared" si="51"/>
        <v>IN-No</v>
      </c>
      <c r="K162">
        <f t="shared" si="55"/>
        <v>1</v>
      </c>
      <c r="L162" t="str">
        <f>B162&amp;"-"&amp;IF(M162=2010, 1, "")</f>
        <v>IN-1</v>
      </c>
      <c r="M162">
        <v>2010</v>
      </c>
      <c r="N162" s="242">
        <v>9</v>
      </c>
      <c r="O162" s="415">
        <v>95353</v>
      </c>
      <c r="P162" s="416">
        <v>118040</v>
      </c>
      <c r="Q162" s="228">
        <f t="shared" si="42"/>
        <v>12139</v>
      </c>
      <c r="R162" s="423">
        <v>225532</v>
      </c>
      <c r="S162" s="239"/>
      <c r="T162" s="231">
        <f t="shared" si="52"/>
        <v>118040</v>
      </c>
      <c r="U162" s="231">
        <f t="shared" si="43"/>
        <v>95353</v>
      </c>
      <c r="V162" s="232">
        <f t="shared" si="53"/>
        <v>0.10631557736195658</v>
      </c>
      <c r="W162" s="233">
        <f t="shared" si="44"/>
        <v>0.5233847081567139</v>
      </c>
      <c r="X162" s="234" t="str">
        <f t="shared" si="45"/>
        <v>IN-No</v>
      </c>
      <c r="Y162" s="235" t="str">
        <f t="shared" si="46"/>
        <v>IN-Rep</v>
      </c>
      <c r="Z162" s="236" t="str">
        <f>B162&amp;"-"&amp;IF(V162&gt;Instructions!$H$14,Instructions!$I$14,IF(V162&gt;Instructions!$H$15,Instructions!$I$15,IF(V162&gt;Instructions!$H$16,Instructions!$I$16,IF(V162&gt;Instructions!$H$17,Instructions!$I$17,Instructions!$I$18))))</f>
        <v>IN-Opportunity</v>
      </c>
      <c r="AA162" s="237">
        <f t="shared" si="47"/>
        <v>95353</v>
      </c>
      <c r="AB162" s="237">
        <f t="shared" si="48"/>
        <v>0</v>
      </c>
      <c r="AC162" s="238">
        <f t="shared" si="49"/>
        <v>12139</v>
      </c>
      <c r="AD162" s="389">
        <f t="shared" si="54"/>
        <v>107492</v>
      </c>
      <c r="AE162" s="389">
        <f>SUM(AD154:AD162)</f>
        <v>707884</v>
      </c>
    </row>
    <row r="163" spans="1:31">
      <c r="A163" s="225" t="s">
        <v>80</v>
      </c>
      <c r="B163" s="226" t="s">
        <v>14</v>
      </c>
      <c r="C163" t="s">
        <v>447</v>
      </c>
      <c r="D163"/>
      <c r="E163"/>
      <c r="F163"/>
      <c r="G163"/>
      <c r="H163"/>
      <c r="I163" t="str">
        <f t="shared" si="50"/>
        <v>IA-Yes</v>
      </c>
      <c r="J163" t="str">
        <f t="shared" si="51"/>
        <v>IA-Yes</v>
      </c>
      <c r="K163" t="str">
        <f t="shared" si="55"/>
        <v/>
      </c>
      <c r="L163" t="str">
        <f t="shared" ref="L163:L167" si="57">IF(M163=2010, 1, "")</f>
        <v/>
      </c>
      <c r="M163">
        <v>2006</v>
      </c>
      <c r="N163" s="242">
        <v>1</v>
      </c>
      <c r="O163" s="415">
        <v>104428</v>
      </c>
      <c r="P163" s="416">
        <v>100219</v>
      </c>
      <c r="Q163" s="228">
        <f t="shared" si="42"/>
        <v>6179</v>
      </c>
      <c r="R163" s="423">
        <v>210826</v>
      </c>
      <c r="S163" s="239"/>
      <c r="T163" s="231">
        <f t="shared" si="52"/>
        <v>104428</v>
      </c>
      <c r="U163" s="231">
        <f t="shared" si="43"/>
        <v>100219</v>
      </c>
      <c r="V163" s="232">
        <f t="shared" si="53"/>
        <v>2.0567122899431703E-2</v>
      </c>
      <c r="W163" s="233">
        <f t="shared" si="44"/>
        <v>0.49532790073330613</v>
      </c>
      <c r="X163" s="234" t="str">
        <f t="shared" si="45"/>
        <v>IA-No</v>
      </c>
      <c r="Y163" s="235" t="str">
        <f t="shared" si="46"/>
        <v>IA-Dem</v>
      </c>
      <c r="Z163" s="236" t="str">
        <f>B163&amp;"-"&amp;IF(V163&gt;Instructions!$H$14,Instructions!$I$14,IF(V163&gt;Instructions!$H$15,Instructions!$I$15,IF(V163&gt;Instructions!$H$16,Instructions!$I$16,IF(V163&gt;Instructions!$H$17,Instructions!$I$17,Instructions!$I$18))))</f>
        <v>IA-Tight</v>
      </c>
      <c r="AA163" s="237">
        <f t="shared" si="47"/>
        <v>0</v>
      </c>
      <c r="AB163" s="237">
        <f t="shared" si="48"/>
        <v>100219</v>
      </c>
      <c r="AC163" s="238">
        <f t="shared" si="49"/>
        <v>6179</v>
      </c>
      <c r="AD163" s="389">
        <f t="shared" si="54"/>
        <v>106398</v>
      </c>
    </row>
    <row r="164" spans="1:31">
      <c r="A164" s="225" t="s">
        <v>80</v>
      </c>
      <c r="B164" s="226" t="s">
        <v>14</v>
      </c>
      <c r="C164" t="s">
        <v>448</v>
      </c>
      <c r="D164"/>
      <c r="E164"/>
      <c r="F164"/>
      <c r="G164"/>
      <c r="H164"/>
      <c r="I164" t="str">
        <f t="shared" si="50"/>
        <v>IA-Yes</v>
      </c>
      <c r="J164" t="str">
        <f t="shared" si="51"/>
        <v>IA-Yes</v>
      </c>
      <c r="K164" t="str">
        <f t="shared" si="55"/>
        <v/>
      </c>
      <c r="L164" t="str">
        <f>IF(M164=2010, 1, "")</f>
        <v/>
      </c>
      <c r="M164">
        <v>2006</v>
      </c>
      <c r="N164" s="242">
        <v>2</v>
      </c>
      <c r="O164" s="415">
        <v>115839</v>
      </c>
      <c r="P164" s="416">
        <v>104319</v>
      </c>
      <c r="Q164" s="228">
        <f t="shared" si="42"/>
        <v>6819</v>
      </c>
      <c r="R164" s="423">
        <v>226977</v>
      </c>
      <c r="S164" s="239"/>
      <c r="T164" s="231">
        <f t="shared" si="52"/>
        <v>115839</v>
      </c>
      <c r="U164" s="231">
        <f t="shared" si="43"/>
        <v>104319</v>
      </c>
      <c r="V164" s="232">
        <f t="shared" si="53"/>
        <v>5.2326056741067779E-2</v>
      </c>
      <c r="W164" s="233">
        <f t="shared" si="44"/>
        <v>0.51035567480405508</v>
      </c>
      <c r="X164" s="234" t="str">
        <f t="shared" si="45"/>
        <v>IA-No</v>
      </c>
      <c r="Y164" s="235" t="str">
        <f t="shared" si="46"/>
        <v>IA-Dem</v>
      </c>
      <c r="Z164" s="236" t="str">
        <f>B164&amp;"-"&amp;IF(V164&gt;Instructions!$H$14,Instructions!$I$14,IF(V164&gt;Instructions!$H$15,Instructions!$I$15,IF(V164&gt;Instructions!$H$16,Instructions!$I$16,IF(V164&gt;Instructions!$H$17,Instructions!$I$17,Instructions!$I$18))))</f>
        <v>IA-Competitive</v>
      </c>
      <c r="AA164" s="237">
        <f t="shared" si="47"/>
        <v>0</v>
      </c>
      <c r="AB164" s="237">
        <f t="shared" si="48"/>
        <v>104319</v>
      </c>
      <c r="AC164" s="238">
        <f t="shared" si="49"/>
        <v>6819</v>
      </c>
      <c r="AD164" s="389">
        <f t="shared" si="54"/>
        <v>111138</v>
      </c>
    </row>
    <row r="165" spans="1:31">
      <c r="A165" s="225" t="s">
        <v>80</v>
      </c>
      <c r="B165" s="226" t="s">
        <v>14</v>
      </c>
      <c r="C165" t="s">
        <v>449</v>
      </c>
      <c r="D165"/>
      <c r="E165"/>
      <c r="F165"/>
      <c r="G165"/>
      <c r="H165"/>
      <c r="I165" t="str">
        <f t="shared" si="50"/>
        <v>IA-Yes</v>
      </c>
      <c r="J165" t="str">
        <f t="shared" si="51"/>
        <v>IA-Yes</v>
      </c>
      <c r="K165" t="str">
        <f t="shared" si="55"/>
        <v/>
      </c>
      <c r="L165" t="str">
        <f t="shared" si="57"/>
        <v/>
      </c>
      <c r="M165">
        <v>1996</v>
      </c>
      <c r="N165" s="242">
        <v>3</v>
      </c>
      <c r="O165" s="415">
        <v>122147</v>
      </c>
      <c r="P165" s="416">
        <v>111925</v>
      </c>
      <c r="Q165" s="228">
        <f t="shared" si="42"/>
        <v>6684</v>
      </c>
      <c r="R165" s="423">
        <v>240756</v>
      </c>
      <c r="S165" s="239"/>
      <c r="T165" s="231">
        <f t="shared" si="52"/>
        <v>122147</v>
      </c>
      <c r="U165" s="231">
        <f t="shared" si="43"/>
        <v>111925</v>
      </c>
      <c r="V165" s="232">
        <f t="shared" si="53"/>
        <v>4.3670323661095731E-2</v>
      </c>
      <c r="W165" s="233">
        <f t="shared" si="44"/>
        <v>0.50734768811576869</v>
      </c>
      <c r="X165" s="234" t="str">
        <f t="shared" si="45"/>
        <v>IA-No</v>
      </c>
      <c r="Y165" s="235" t="str">
        <f t="shared" si="46"/>
        <v>IA-Dem</v>
      </c>
      <c r="Z165" s="236" t="str">
        <f>B165&amp;"-"&amp;IF(V165&gt;Instructions!$H$14,Instructions!$I$14,IF(V165&gt;Instructions!$H$15,Instructions!$I$15,IF(V165&gt;Instructions!$H$16,Instructions!$I$16,IF(V165&gt;Instructions!$H$17,Instructions!$I$17,Instructions!$I$18))))</f>
        <v>IA-Tight</v>
      </c>
      <c r="AA165" s="237">
        <f t="shared" si="47"/>
        <v>0</v>
      </c>
      <c r="AB165" s="237">
        <f t="shared" si="48"/>
        <v>111925</v>
      </c>
      <c r="AC165" s="238">
        <f t="shared" si="49"/>
        <v>6684</v>
      </c>
      <c r="AD165" s="389">
        <f t="shared" si="54"/>
        <v>118609</v>
      </c>
    </row>
    <row r="166" spans="1:31">
      <c r="A166" s="225" t="s">
        <v>80</v>
      </c>
      <c r="B166" s="226" t="s">
        <v>14</v>
      </c>
      <c r="C166" t="s">
        <v>450</v>
      </c>
      <c r="D166"/>
      <c r="E166"/>
      <c r="F166"/>
      <c r="G166"/>
      <c r="H166"/>
      <c r="I166" t="str">
        <f t="shared" si="50"/>
        <v>IA-Yes</v>
      </c>
      <c r="J166" t="str">
        <f t="shared" si="51"/>
        <v>IA-Yes</v>
      </c>
      <c r="K166" t="str">
        <f t="shared" si="55"/>
        <v/>
      </c>
      <c r="L166" t="str">
        <f t="shared" si="57"/>
        <v/>
      </c>
      <c r="M166">
        <v>1994</v>
      </c>
      <c r="N166" s="242">
        <v>4</v>
      </c>
      <c r="O166" s="415">
        <v>74300</v>
      </c>
      <c r="P166" s="416">
        <v>152588</v>
      </c>
      <c r="Q166" s="228">
        <f t="shared" si="42"/>
        <v>5631</v>
      </c>
      <c r="R166" s="423">
        <v>232519</v>
      </c>
      <c r="S166" s="239"/>
      <c r="T166" s="231">
        <f t="shared" si="52"/>
        <v>152588</v>
      </c>
      <c r="U166" s="231">
        <f t="shared" si="43"/>
        <v>74300</v>
      </c>
      <c r="V166" s="232">
        <f t="shared" si="53"/>
        <v>0.34505130284545676</v>
      </c>
      <c r="W166" s="233">
        <f t="shared" si="44"/>
        <v>0.65623884499761309</v>
      </c>
      <c r="X166" s="234" t="str">
        <f t="shared" si="45"/>
        <v>IA-No</v>
      </c>
      <c r="Y166" s="235" t="str">
        <f t="shared" si="46"/>
        <v>IA-Rep</v>
      </c>
      <c r="Z166" s="236" t="str">
        <f>B166&amp;"-"&amp;IF(V166&gt;Instructions!$H$14,Instructions!$I$14,IF(V166&gt;Instructions!$H$15,Instructions!$I$15,IF(V166&gt;Instructions!$H$16,Instructions!$I$16,IF(V166&gt;Instructions!$H$17,Instructions!$I$17,Instructions!$I$18))))</f>
        <v>IA-Landslide</v>
      </c>
      <c r="AA166" s="237">
        <f t="shared" si="47"/>
        <v>74300</v>
      </c>
      <c r="AB166" s="237">
        <f t="shared" si="48"/>
        <v>0</v>
      </c>
      <c r="AC166" s="238">
        <f t="shared" si="49"/>
        <v>5631</v>
      </c>
      <c r="AD166" s="389">
        <f t="shared" si="54"/>
        <v>79931</v>
      </c>
    </row>
    <row r="167" spans="1:31">
      <c r="A167" s="225" t="s">
        <v>80</v>
      </c>
      <c r="B167" s="226" t="s">
        <v>14</v>
      </c>
      <c r="C167" s="426" t="s">
        <v>451</v>
      </c>
      <c r="D167"/>
      <c r="E167"/>
      <c r="F167"/>
      <c r="G167"/>
      <c r="H167"/>
      <c r="I167" t="str">
        <f t="shared" si="50"/>
        <v>IA-Yes</v>
      </c>
      <c r="J167" t="str">
        <f t="shared" si="51"/>
        <v>IA-Yes</v>
      </c>
      <c r="K167" t="str">
        <f t="shared" si="55"/>
        <v/>
      </c>
      <c r="L167" t="str">
        <f t="shared" si="57"/>
        <v/>
      </c>
      <c r="M167">
        <v>2002</v>
      </c>
      <c r="N167" s="242">
        <v>5</v>
      </c>
      <c r="O167" s="415">
        <v>63160</v>
      </c>
      <c r="P167" s="416">
        <v>128363</v>
      </c>
      <c r="Q167" s="228">
        <f t="shared" si="42"/>
        <v>3716</v>
      </c>
      <c r="R167" s="423">
        <v>195239</v>
      </c>
      <c r="S167" s="239"/>
      <c r="T167" s="231">
        <f t="shared" si="52"/>
        <v>128363</v>
      </c>
      <c r="U167" s="231">
        <f t="shared" si="43"/>
        <v>63160</v>
      </c>
      <c r="V167" s="232">
        <f t="shared" si="53"/>
        <v>0.34044475076100522</v>
      </c>
      <c r="W167" s="233">
        <f t="shared" ref="W167:W187" si="58">T167/R167</f>
        <v>0.65746597759668923</v>
      </c>
      <c r="X167" s="234" t="str">
        <f t="shared" ref="X167:X177" si="59">B167&amp;"-"&amp;IF(O167*P167=0,"Yes","No")</f>
        <v>IA-No</v>
      </c>
      <c r="Y167" s="235" t="str">
        <f t="shared" ref="Y167:Y183" si="60">B167&amp;"-"&amp;IF(Q167=MAX(O167:Q167),"Other",IF(P167&gt;O167,"Rep","Dem"))</f>
        <v>IA-Rep</v>
      </c>
      <c r="Z167" s="236" t="str">
        <f>B167&amp;"-"&amp;IF(V167&gt;Instructions!$H$14,Instructions!$I$14,IF(V167&gt;Instructions!$H$15,Instructions!$I$15,IF(V167&gt;Instructions!$H$16,Instructions!$I$16,IF(V167&gt;Instructions!$H$17,Instructions!$I$17,Instructions!$I$18))))</f>
        <v>IA-Landslide</v>
      </c>
      <c r="AA167" s="237">
        <f t="shared" ref="AA167:AA184" si="61">IF(T167=O167,0,O167)</f>
        <v>63160</v>
      </c>
      <c r="AB167" s="237">
        <f t="shared" ref="AB167:AB184" si="62">IF(T167=P167,0,P167)</f>
        <v>0</v>
      </c>
      <c r="AC167" s="238">
        <f t="shared" ref="AC167:AC184" si="63">IF(T167=Q167,0,Q167)</f>
        <v>3716</v>
      </c>
      <c r="AD167" s="389">
        <f t="shared" si="54"/>
        <v>66876</v>
      </c>
      <c r="AE167" s="389">
        <f>SUM(AD163:AD167)</f>
        <v>482952</v>
      </c>
    </row>
    <row r="168" spans="1:31">
      <c r="A168" s="225" t="s">
        <v>81</v>
      </c>
      <c r="B168" s="226" t="s">
        <v>15</v>
      </c>
      <c r="C168" t="s">
        <v>482</v>
      </c>
      <c r="D168"/>
      <c r="E168"/>
      <c r="F168"/>
      <c r="G168"/>
      <c r="H168"/>
      <c r="I168" t="str">
        <f t="shared" si="50"/>
        <v>KS-No</v>
      </c>
      <c r="J168" t="str">
        <f t="shared" si="51"/>
        <v>KS-No</v>
      </c>
      <c r="K168">
        <v>0</v>
      </c>
      <c r="L168"/>
      <c r="M168">
        <v>2010</v>
      </c>
      <c r="N168" s="242">
        <v>1</v>
      </c>
      <c r="O168" s="415">
        <v>44068</v>
      </c>
      <c r="P168" s="416">
        <v>142281</v>
      </c>
      <c r="Q168" s="228">
        <f t="shared" ref="Q168:Q194" si="64">R168-P168-O168</f>
        <v>6537</v>
      </c>
      <c r="R168" s="423">
        <v>192886</v>
      </c>
      <c r="S168" s="239"/>
      <c r="T168" s="231">
        <f t="shared" si="52"/>
        <v>142281</v>
      </c>
      <c r="U168" s="231">
        <f t="shared" si="43"/>
        <v>44068</v>
      </c>
      <c r="V168" s="232">
        <f t="shared" si="53"/>
        <v>0.52703797712893552</v>
      </c>
      <c r="W168" s="233">
        <f t="shared" si="58"/>
        <v>0.73764296009041608</v>
      </c>
      <c r="X168" s="234" t="str">
        <f t="shared" si="59"/>
        <v>KS-No</v>
      </c>
      <c r="Y168" s="235" t="str">
        <f t="shared" si="60"/>
        <v>KS-Rep</v>
      </c>
      <c r="Z168" s="236" t="str">
        <f>B168&amp;"-"&amp;IF(V168&gt;Instructions!$H$14,Instructions!$I$14,IF(V168&gt;Instructions!$H$15,Instructions!$I$15,IF(V168&gt;Instructions!$H$16,Instructions!$I$16,IF(V168&gt;Instructions!$H$17,Instructions!$I$17,Instructions!$I$18))))</f>
        <v>KS-No contest</v>
      </c>
      <c r="AA168" s="237">
        <f t="shared" si="61"/>
        <v>44068</v>
      </c>
      <c r="AB168" s="237">
        <f t="shared" si="62"/>
        <v>0</v>
      </c>
      <c r="AC168" s="238">
        <f t="shared" si="63"/>
        <v>6537</v>
      </c>
      <c r="AD168" s="389">
        <f t="shared" si="54"/>
        <v>50605</v>
      </c>
    </row>
    <row r="169" spans="1:31">
      <c r="A169" s="225" t="s">
        <v>81</v>
      </c>
      <c r="B169" s="226" t="s">
        <v>15</v>
      </c>
      <c r="C169" t="s">
        <v>483</v>
      </c>
      <c r="D169" t="s">
        <v>780</v>
      </c>
      <c r="E169"/>
      <c r="F169"/>
      <c r="G169"/>
      <c r="H169"/>
      <c r="I169" t="str">
        <f t="shared" si="50"/>
        <v>KS-Yes</v>
      </c>
      <c r="J169" t="str">
        <f t="shared" si="51"/>
        <v>KS-Yes</v>
      </c>
      <c r="K169" t="str">
        <f t="shared" ref="K169:K220" si="65">IF(M169=2010, 1, "")</f>
        <v/>
      </c>
      <c r="L169" t="str">
        <f t="shared" ref="L169:L194" si="66">IF(M169=2010, 1, "")</f>
        <v/>
      </c>
      <c r="M169">
        <v>2009</v>
      </c>
      <c r="N169" s="242">
        <v>2</v>
      </c>
      <c r="O169" s="415">
        <v>66588</v>
      </c>
      <c r="P169" s="416">
        <v>130034</v>
      </c>
      <c r="Q169" s="228">
        <f t="shared" si="64"/>
        <v>9353</v>
      </c>
      <c r="R169" s="423">
        <v>205975</v>
      </c>
      <c r="S169" s="239"/>
      <c r="T169" s="231">
        <f t="shared" si="52"/>
        <v>130034</v>
      </c>
      <c r="U169" s="231">
        <f t="shared" si="43"/>
        <v>66588</v>
      </c>
      <c r="V169" s="232">
        <f t="shared" si="53"/>
        <v>0.32268006632014729</v>
      </c>
      <c r="W169" s="233">
        <f t="shared" si="58"/>
        <v>0.63130962495448473</v>
      </c>
      <c r="X169" s="234" t="str">
        <f t="shared" si="59"/>
        <v>KS-No</v>
      </c>
      <c r="Y169" s="235" t="str">
        <f t="shared" si="60"/>
        <v>KS-Rep</v>
      </c>
      <c r="Z169" s="236" t="str">
        <f>B169&amp;"-"&amp;IF(V169&gt;Instructions!$H$14,Instructions!$I$14,IF(V169&gt;Instructions!$H$15,Instructions!$I$15,IF(V169&gt;Instructions!$H$16,Instructions!$I$16,IF(V169&gt;Instructions!$H$17,Instructions!$I$17,Instructions!$I$18))))</f>
        <v>KS-Landslide</v>
      </c>
      <c r="AA169" s="237">
        <f t="shared" si="61"/>
        <v>66588</v>
      </c>
      <c r="AB169" s="237">
        <f t="shared" si="62"/>
        <v>0</v>
      </c>
      <c r="AC169" s="238">
        <f t="shared" si="63"/>
        <v>9353</v>
      </c>
      <c r="AD169" s="389">
        <f t="shared" si="54"/>
        <v>75941</v>
      </c>
    </row>
    <row r="170" spans="1:31">
      <c r="A170" s="225" t="s">
        <v>81</v>
      </c>
      <c r="B170" s="226" t="s">
        <v>15</v>
      </c>
      <c r="C170" t="s">
        <v>484</v>
      </c>
      <c r="D170"/>
      <c r="E170"/>
      <c r="F170"/>
      <c r="G170"/>
      <c r="H170"/>
      <c r="I170" t="str">
        <f t="shared" si="50"/>
        <v>KS-No</v>
      </c>
      <c r="J170" t="str">
        <f t="shared" si="51"/>
        <v>KS-No</v>
      </c>
      <c r="K170">
        <v>0</v>
      </c>
      <c r="L170" t="str">
        <f>B170&amp;"-"&amp;IF(M170=2010, 1, "")</f>
        <v>KS-1</v>
      </c>
      <c r="M170">
        <v>2010</v>
      </c>
      <c r="N170" s="242">
        <v>3</v>
      </c>
      <c r="O170" s="415">
        <v>90193</v>
      </c>
      <c r="P170" s="416">
        <v>136246</v>
      </c>
      <c r="Q170" s="228">
        <f t="shared" si="64"/>
        <v>6846</v>
      </c>
      <c r="R170" s="423">
        <v>233285</v>
      </c>
      <c r="S170" s="239"/>
      <c r="T170" s="231">
        <f t="shared" si="52"/>
        <v>136246</v>
      </c>
      <c r="U170" s="231">
        <f t="shared" si="43"/>
        <v>90193</v>
      </c>
      <c r="V170" s="232">
        <f t="shared" si="53"/>
        <v>0.20337927653805218</v>
      </c>
      <c r="W170" s="233">
        <f t="shared" si="58"/>
        <v>0.58403240671281909</v>
      </c>
      <c r="X170" s="234" t="str">
        <f t="shared" si="59"/>
        <v>KS-No</v>
      </c>
      <c r="Y170" s="235" t="str">
        <f t="shared" si="60"/>
        <v>KS-Rep</v>
      </c>
      <c r="Z170" s="236" t="str">
        <f>B170&amp;"-"&amp;IF(V170&gt;Instructions!$H$14,Instructions!$I$14,IF(V170&gt;Instructions!$H$15,Instructions!$I$15,IF(V170&gt;Instructions!$H$16,Instructions!$I$16,IF(V170&gt;Instructions!$H$17,Instructions!$I$17,Instructions!$I$18))))</f>
        <v>KS-Landslide</v>
      </c>
      <c r="AA170" s="237">
        <f t="shared" si="61"/>
        <v>90193</v>
      </c>
      <c r="AB170" s="237">
        <f t="shared" si="62"/>
        <v>0</v>
      </c>
      <c r="AC170" s="238">
        <f t="shared" si="63"/>
        <v>6846</v>
      </c>
      <c r="AD170" s="389">
        <f t="shared" si="54"/>
        <v>97039</v>
      </c>
    </row>
    <row r="171" spans="1:31">
      <c r="A171" s="225" t="s">
        <v>81</v>
      </c>
      <c r="B171" s="226" t="s">
        <v>15</v>
      </c>
      <c r="C171" t="s">
        <v>485</v>
      </c>
      <c r="D171"/>
      <c r="E171"/>
      <c r="F171"/>
      <c r="G171"/>
      <c r="H171"/>
      <c r="I171" t="str">
        <f t="shared" si="50"/>
        <v>KS-No</v>
      </c>
      <c r="J171" t="str">
        <f t="shared" si="51"/>
        <v>KS-No</v>
      </c>
      <c r="K171">
        <v>0</v>
      </c>
      <c r="L171"/>
      <c r="M171">
        <v>2010</v>
      </c>
      <c r="N171" s="242">
        <v>4</v>
      </c>
      <c r="O171" s="415">
        <v>74143</v>
      </c>
      <c r="P171" s="416">
        <v>119575</v>
      </c>
      <c r="Q171" s="228">
        <f t="shared" si="64"/>
        <v>9665</v>
      </c>
      <c r="R171" s="423">
        <v>203383</v>
      </c>
      <c r="S171" s="239"/>
      <c r="T171" s="231">
        <f t="shared" si="52"/>
        <v>119575</v>
      </c>
      <c r="U171" s="231">
        <f t="shared" si="43"/>
        <v>74143</v>
      </c>
      <c r="V171" s="232">
        <f t="shared" si="53"/>
        <v>0.23452647663097906</v>
      </c>
      <c r="W171" s="233">
        <f t="shared" si="58"/>
        <v>0.58793016132125109</v>
      </c>
      <c r="X171" s="234" t="str">
        <f t="shared" si="59"/>
        <v>KS-No</v>
      </c>
      <c r="Y171" s="235" t="str">
        <f t="shared" si="60"/>
        <v>KS-Rep</v>
      </c>
      <c r="Z171" s="236" t="str">
        <f>B171&amp;"-"&amp;IF(V171&gt;Instructions!$H$14,Instructions!$I$14,IF(V171&gt;Instructions!$H$15,Instructions!$I$15,IF(V171&gt;Instructions!$H$16,Instructions!$I$16,IF(V171&gt;Instructions!$H$17,Instructions!$I$17,Instructions!$I$18))))</f>
        <v>KS-Landslide</v>
      </c>
      <c r="AA171" s="237">
        <f t="shared" si="61"/>
        <v>74143</v>
      </c>
      <c r="AB171" s="237">
        <f t="shared" si="62"/>
        <v>0</v>
      </c>
      <c r="AC171" s="238">
        <f t="shared" si="63"/>
        <v>9665</v>
      </c>
      <c r="AD171" s="389">
        <f t="shared" si="54"/>
        <v>83808</v>
      </c>
      <c r="AE171" s="389">
        <f>SUM(AD168:AD171)</f>
        <v>307393</v>
      </c>
    </row>
    <row r="172" spans="1:31">
      <c r="A172" s="225" t="s">
        <v>82</v>
      </c>
      <c r="B172" s="226" t="s">
        <v>16</v>
      </c>
      <c r="C172" t="s">
        <v>486</v>
      </c>
      <c r="D172"/>
      <c r="E172"/>
      <c r="F172"/>
      <c r="G172"/>
      <c r="H172"/>
      <c r="I172" t="str">
        <f t="shared" si="50"/>
        <v>KY-Yes</v>
      </c>
      <c r="J172" t="str">
        <f t="shared" si="51"/>
        <v>KY-Yes</v>
      </c>
      <c r="K172" t="str">
        <f t="shared" si="65"/>
        <v/>
      </c>
      <c r="L172" t="str">
        <f t="shared" si="66"/>
        <v/>
      </c>
      <c r="M172">
        <v>1994</v>
      </c>
      <c r="N172" s="242">
        <v>1</v>
      </c>
      <c r="O172" s="415">
        <v>61960</v>
      </c>
      <c r="P172" s="416">
        <v>153519</v>
      </c>
      <c r="Q172" s="228">
        <f t="shared" si="64"/>
        <v>0</v>
      </c>
      <c r="R172" s="423">
        <v>215479</v>
      </c>
      <c r="S172" s="239"/>
      <c r="T172" s="231">
        <f t="shared" si="52"/>
        <v>153519</v>
      </c>
      <c r="U172" s="231">
        <f t="shared" si="43"/>
        <v>61960</v>
      </c>
      <c r="V172" s="232">
        <f t="shared" si="53"/>
        <v>0.42490915588061945</v>
      </c>
      <c r="W172" s="233">
        <f t="shared" si="58"/>
        <v>0.71245457794030975</v>
      </c>
      <c r="X172" s="234" t="str">
        <f t="shared" si="59"/>
        <v>KY-No</v>
      </c>
      <c r="Y172" s="235" t="str">
        <f t="shared" si="60"/>
        <v>KY-Rep</v>
      </c>
      <c r="Z172" s="236" t="str">
        <f>B172&amp;"-"&amp;IF(V172&gt;Instructions!$H$14,Instructions!$I$14,IF(V172&gt;Instructions!$H$15,Instructions!$I$15,IF(V172&gt;Instructions!$H$16,Instructions!$I$16,IF(V172&gt;Instructions!$H$17,Instructions!$I$17,Instructions!$I$18))))</f>
        <v>KY-No contest</v>
      </c>
      <c r="AA172" s="237">
        <f t="shared" si="61"/>
        <v>61960</v>
      </c>
      <c r="AB172" s="237">
        <f t="shared" si="62"/>
        <v>0</v>
      </c>
      <c r="AC172" s="238">
        <f t="shared" si="63"/>
        <v>0</v>
      </c>
      <c r="AD172" s="389">
        <f t="shared" si="54"/>
        <v>61960</v>
      </c>
    </row>
    <row r="173" spans="1:31">
      <c r="A173" s="225" t="s">
        <v>82</v>
      </c>
      <c r="B173" s="226" t="s">
        <v>16</v>
      </c>
      <c r="C173" t="s">
        <v>487</v>
      </c>
      <c r="D173"/>
      <c r="E173"/>
      <c r="F173"/>
      <c r="G173"/>
      <c r="H173"/>
      <c r="I173" t="str">
        <f t="shared" si="50"/>
        <v>KY-Yes</v>
      </c>
      <c r="J173" t="str">
        <f t="shared" si="51"/>
        <v>KY-Yes</v>
      </c>
      <c r="K173" t="str">
        <f t="shared" si="65"/>
        <v/>
      </c>
      <c r="L173" t="str">
        <f t="shared" si="66"/>
        <v/>
      </c>
      <c r="M173">
        <v>2008</v>
      </c>
      <c r="N173" s="242">
        <v>2</v>
      </c>
      <c r="O173" s="415">
        <v>73749</v>
      </c>
      <c r="P173" s="416">
        <v>155906</v>
      </c>
      <c r="Q173" s="228">
        <f t="shared" si="64"/>
        <v>0</v>
      </c>
      <c r="R173" s="423">
        <v>229655</v>
      </c>
      <c r="S173" s="239"/>
      <c r="T173" s="231">
        <f t="shared" si="52"/>
        <v>155906</v>
      </c>
      <c r="U173" s="231">
        <f t="shared" si="43"/>
        <v>73749</v>
      </c>
      <c r="V173" s="232">
        <f t="shared" si="53"/>
        <v>0.35774095926498445</v>
      </c>
      <c r="W173" s="233">
        <f t="shared" si="58"/>
        <v>0.67887047963249225</v>
      </c>
      <c r="X173" s="234" t="str">
        <f t="shared" si="59"/>
        <v>KY-No</v>
      </c>
      <c r="Y173" s="235" t="str">
        <f t="shared" si="60"/>
        <v>KY-Rep</v>
      </c>
      <c r="Z173" s="236" t="str">
        <f>B173&amp;"-"&amp;IF(V173&gt;Instructions!$H$14,Instructions!$I$14,IF(V173&gt;Instructions!$H$15,Instructions!$I$15,IF(V173&gt;Instructions!$H$16,Instructions!$I$16,IF(V173&gt;Instructions!$H$17,Instructions!$I$17,Instructions!$I$18))))</f>
        <v>KY-Landslide</v>
      </c>
      <c r="AA173" s="237">
        <f t="shared" si="61"/>
        <v>73749</v>
      </c>
      <c r="AB173" s="237">
        <f t="shared" si="62"/>
        <v>0</v>
      </c>
      <c r="AC173" s="238">
        <f t="shared" si="63"/>
        <v>0</v>
      </c>
      <c r="AD173" s="389">
        <f t="shared" si="54"/>
        <v>73749</v>
      </c>
    </row>
    <row r="174" spans="1:31">
      <c r="A174" s="225" t="s">
        <v>82</v>
      </c>
      <c r="B174" s="226" t="s">
        <v>16</v>
      </c>
      <c r="C174" t="s">
        <v>488</v>
      </c>
      <c r="D174"/>
      <c r="E174"/>
      <c r="F174"/>
      <c r="G174"/>
      <c r="H174"/>
      <c r="I174" t="str">
        <f t="shared" si="50"/>
        <v>KY-Yes</v>
      </c>
      <c r="J174" t="str">
        <f t="shared" si="51"/>
        <v>KY-Yes</v>
      </c>
      <c r="K174" t="str">
        <f t="shared" si="65"/>
        <v/>
      </c>
      <c r="L174" t="str">
        <f>IF(M174=2010, 1, "")</f>
        <v/>
      </c>
      <c r="M174">
        <v>2006</v>
      </c>
      <c r="N174" s="242">
        <v>3</v>
      </c>
      <c r="O174" s="415">
        <v>139940</v>
      </c>
      <c r="P174" s="416">
        <v>112627</v>
      </c>
      <c r="Q174" s="228">
        <f t="shared" si="64"/>
        <v>3363</v>
      </c>
      <c r="R174" s="423">
        <v>255930</v>
      </c>
      <c r="S174" s="239"/>
      <c r="T174" s="231">
        <f t="shared" si="52"/>
        <v>139940</v>
      </c>
      <c r="U174" s="231">
        <f t="shared" si="43"/>
        <v>112627</v>
      </c>
      <c r="V174" s="232">
        <f t="shared" si="53"/>
        <v>0.10814160203035235</v>
      </c>
      <c r="W174" s="233">
        <f t="shared" si="58"/>
        <v>0.54679013792833975</v>
      </c>
      <c r="X174" s="234" t="str">
        <f t="shared" si="59"/>
        <v>KY-No</v>
      </c>
      <c r="Y174" s="235" t="str">
        <f t="shared" si="60"/>
        <v>KY-Dem</v>
      </c>
      <c r="Z174" s="236" t="str">
        <f>B174&amp;"-"&amp;IF(V174&gt;Instructions!$H$14,Instructions!$I$14,IF(V174&gt;Instructions!$H$15,Instructions!$I$15,IF(V174&gt;Instructions!$H$16,Instructions!$I$16,IF(V174&gt;Instructions!$H$17,Instructions!$I$17,Instructions!$I$18))))</f>
        <v>KY-Opportunity</v>
      </c>
      <c r="AA174" s="237">
        <f t="shared" si="61"/>
        <v>0</v>
      </c>
      <c r="AB174" s="237">
        <f t="shared" si="62"/>
        <v>112627</v>
      </c>
      <c r="AC174" s="238">
        <f t="shared" si="63"/>
        <v>3363</v>
      </c>
      <c r="AD174" s="389">
        <f t="shared" si="54"/>
        <v>115990</v>
      </c>
    </row>
    <row r="175" spans="1:31">
      <c r="A175" s="225" t="s">
        <v>82</v>
      </c>
      <c r="B175" s="226" t="s">
        <v>16</v>
      </c>
      <c r="C175" t="s">
        <v>489</v>
      </c>
      <c r="D175"/>
      <c r="E175"/>
      <c r="F175"/>
      <c r="G175"/>
      <c r="H175"/>
      <c r="I175" t="str">
        <f t="shared" si="50"/>
        <v>KY-Yes</v>
      </c>
      <c r="J175" t="str">
        <f t="shared" si="51"/>
        <v>KY-Yes</v>
      </c>
      <c r="K175" t="str">
        <f t="shared" si="65"/>
        <v/>
      </c>
      <c r="L175" t="str">
        <f t="shared" si="66"/>
        <v/>
      </c>
      <c r="M175">
        <v>2004</v>
      </c>
      <c r="N175" s="242">
        <v>4</v>
      </c>
      <c r="O175" s="415">
        <v>66675</v>
      </c>
      <c r="P175" s="416">
        <v>151774</v>
      </c>
      <c r="Q175" s="228">
        <f t="shared" si="64"/>
        <v>0</v>
      </c>
      <c r="R175" s="423">
        <v>218449</v>
      </c>
      <c r="S175" s="239"/>
      <c r="T175" s="231">
        <f t="shared" si="52"/>
        <v>151774</v>
      </c>
      <c r="U175" s="231">
        <f t="shared" si="43"/>
        <v>66675</v>
      </c>
      <c r="V175" s="232">
        <f t="shared" si="53"/>
        <v>0.38956003460762006</v>
      </c>
      <c r="W175" s="233">
        <f t="shared" si="58"/>
        <v>0.69478001730381</v>
      </c>
      <c r="X175" s="234" t="str">
        <f t="shared" si="59"/>
        <v>KY-No</v>
      </c>
      <c r="Y175" s="235" t="str">
        <f t="shared" si="60"/>
        <v>KY-Rep</v>
      </c>
      <c r="Z175" s="236" t="str">
        <f>B175&amp;"-"&amp;IF(V175&gt;Instructions!$H$14,Instructions!$I$14,IF(V175&gt;Instructions!$H$15,Instructions!$I$15,IF(V175&gt;Instructions!$H$16,Instructions!$I$16,IF(V175&gt;Instructions!$H$17,Instructions!$I$17,Instructions!$I$18))))</f>
        <v>KY-Landslide</v>
      </c>
      <c r="AA175" s="237">
        <f t="shared" si="61"/>
        <v>66675</v>
      </c>
      <c r="AB175" s="237">
        <f t="shared" si="62"/>
        <v>0</v>
      </c>
      <c r="AC175" s="238">
        <f t="shared" si="63"/>
        <v>0</v>
      </c>
      <c r="AD175" s="389">
        <f t="shared" si="54"/>
        <v>66675</v>
      </c>
    </row>
    <row r="176" spans="1:31">
      <c r="A176" s="225" t="s">
        <v>82</v>
      </c>
      <c r="B176" s="226" t="s">
        <v>16</v>
      </c>
      <c r="C176" s="426" t="s">
        <v>490</v>
      </c>
      <c r="D176"/>
      <c r="E176"/>
      <c r="F176"/>
      <c r="G176"/>
      <c r="H176"/>
      <c r="I176" t="str">
        <f t="shared" si="50"/>
        <v>KY-Yes</v>
      </c>
      <c r="J176" t="str">
        <f t="shared" si="51"/>
        <v>KY-Yes</v>
      </c>
      <c r="K176" t="str">
        <f t="shared" si="65"/>
        <v/>
      </c>
      <c r="L176" t="str">
        <f t="shared" si="66"/>
        <v/>
      </c>
      <c r="M176">
        <v>1980</v>
      </c>
      <c r="N176" s="242">
        <v>5</v>
      </c>
      <c r="O176" s="415">
        <v>44034</v>
      </c>
      <c r="P176" s="416">
        <v>151019</v>
      </c>
      <c r="Q176" s="228">
        <f t="shared" si="64"/>
        <v>0</v>
      </c>
      <c r="R176" s="423">
        <v>195053</v>
      </c>
      <c r="S176" s="239"/>
      <c r="T176" s="231">
        <f t="shared" si="52"/>
        <v>151019</v>
      </c>
      <c r="U176" s="231">
        <f t="shared" si="43"/>
        <v>44034</v>
      </c>
      <c r="V176" s="232">
        <f t="shared" si="53"/>
        <v>0.54849194834224546</v>
      </c>
      <c r="W176" s="233">
        <f t="shared" si="58"/>
        <v>0.77424597417112273</v>
      </c>
      <c r="X176" s="234" t="str">
        <f t="shared" si="59"/>
        <v>KY-No</v>
      </c>
      <c r="Y176" s="235" t="str">
        <f t="shared" si="60"/>
        <v>KY-Rep</v>
      </c>
      <c r="Z176" s="236" t="str">
        <f>B176&amp;"-"&amp;IF(V176&gt;Instructions!$H$14,Instructions!$I$14,IF(V176&gt;Instructions!$H$15,Instructions!$I$15,IF(V176&gt;Instructions!$H$16,Instructions!$I$16,IF(V176&gt;Instructions!$H$17,Instructions!$I$17,Instructions!$I$18))))</f>
        <v>KY-No contest</v>
      </c>
      <c r="AA176" s="237">
        <f t="shared" si="61"/>
        <v>44034</v>
      </c>
      <c r="AB176" s="237">
        <f t="shared" si="62"/>
        <v>0</v>
      </c>
      <c r="AC176" s="238">
        <f t="shared" si="63"/>
        <v>0</v>
      </c>
      <c r="AD176" s="389">
        <f t="shared" si="54"/>
        <v>44034</v>
      </c>
    </row>
    <row r="177" spans="1:32">
      <c r="A177" s="225" t="s">
        <v>82</v>
      </c>
      <c r="B177" s="226" t="s">
        <v>16</v>
      </c>
      <c r="C177" t="s">
        <v>491</v>
      </c>
      <c r="D177"/>
      <c r="E177"/>
      <c r="F177"/>
      <c r="G177"/>
      <c r="H177"/>
      <c r="I177" t="str">
        <f t="shared" si="50"/>
        <v>KY-Yes</v>
      </c>
      <c r="J177" t="str">
        <f t="shared" si="51"/>
        <v>KY-Yes</v>
      </c>
      <c r="K177" t="str">
        <f t="shared" si="65"/>
        <v/>
      </c>
      <c r="L177" t="str">
        <f t="shared" si="66"/>
        <v/>
      </c>
      <c r="M177">
        <v>2004</v>
      </c>
      <c r="N177" s="242">
        <v>6</v>
      </c>
      <c r="O177" s="415">
        <v>119812</v>
      </c>
      <c r="P177" s="416">
        <v>119165</v>
      </c>
      <c r="Q177" s="228">
        <f t="shared" si="64"/>
        <v>247</v>
      </c>
      <c r="R177" s="423">
        <v>239224</v>
      </c>
      <c r="S177" s="239"/>
      <c r="T177" s="231">
        <f t="shared" si="52"/>
        <v>119812</v>
      </c>
      <c r="U177" s="231">
        <f t="shared" si="43"/>
        <v>119165</v>
      </c>
      <c r="V177" s="232">
        <f t="shared" si="53"/>
        <v>2.707373512932207E-3</v>
      </c>
      <c r="W177" s="233">
        <f t="shared" si="58"/>
        <v>0.50083603651807507</v>
      </c>
      <c r="X177" s="234" t="str">
        <f t="shared" si="59"/>
        <v>KY-No</v>
      </c>
      <c r="Y177" s="235" t="str">
        <f t="shared" si="60"/>
        <v>KY-Dem</v>
      </c>
      <c r="Z177" s="236" t="str">
        <f>B177&amp;"-"&amp;IF(V177&gt;Instructions!$H$14,Instructions!$I$14,IF(V177&gt;Instructions!$H$15,Instructions!$I$15,IF(V177&gt;Instructions!$H$16,Instructions!$I$16,IF(V177&gt;Instructions!$H$17,Instructions!$I$17,Instructions!$I$18))))</f>
        <v>KY-Tight</v>
      </c>
      <c r="AA177" s="237">
        <f t="shared" si="61"/>
        <v>0</v>
      </c>
      <c r="AB177" s="237">
        <f t="shared" si="62"/>
        <v>119165</v>
      </c>
      <c r="AC177" s="238">
        <f t="shared" si="63"/>
        <v>247</v>
      </c>
      <c r="AD177" s="389">
        <f t="shared" si="54"/>
        <v>119412</v>
      </c>
      <c r="AE177" s="198">
        <f>SUM(AD172:AD177)</f>
        <v>481820</v>
      </c>
    </row>
    <row r="178" spans="1:32">
      <c r="A178" s="225" t="s">
        <v>83</v>
      </c>
      <c r="B178" s="226" t="s">
        <v>17</v>
      </c>
      <c r="C178" t="s">
        <v>492</v>
      </c>
      <c r="D178"/>
      <c r="E178"/>
      <c r="F178"/>
      <c r="G178"/>
      <c r="H178"/>
      <c r="I178" t="str">
        <f t="shared" si="50"/>
        <v>LA-Yes</v>
      </c>
      <c r="J178" t="str">
        <f t="shared" si="51"/>
        <v>LA-Yes</v>
      </c>
      <c r="K178" t="str">
        <f t="shared" si="65"/>
        <v/>
      </c>
      <c r="L178" t="str">
        <f t="shared" si="66"/>
        <v/>
      </c>
      <c r="M178">
        <v>2007.5</v>
      </c>
      <c r="N178" s="242">
        <v>1</v>
      </c>
      <c r="O178" s="415">
        <v>38416</v>
      </c>
      <c r="P178" s="416">
        <v>157182</v>
      </c>
      <c r="Q178" s="228">
        <f t="shared" si="64"/>
        <v>4578</v>
      </c>
      <c r="R178" s="423">
        <v>200176</v>
      </c>
      <c r="S178" s="229">
        <v>288007</v>
      </c>
      <c r="T178" s="231">
        <f t="shared" si="52"/>
        <v>157182</v>
      </c>
      <c r="U178" s="231">
        <f t="shared" si="43"/>
        <v>38416</v>
      </c>
      <c r="V178" s="232">
        <f t="shared" si="53"/>
        <v>0.6071943475904662</v>
      </c>
      <c r="W178" s="233">
        <f t="shared" si="58"/>
        <v>0.78521900727359928</v>
      </c>
      <c r="X178" s="234" t="s">
        <v>250</v>
      </c>
      <c r="Y178" s="235" t="str">
        <f t="shared" si="60"/>
        <v>LA-Rep</v>
      </c>
      <c r="Z178" s="236" t="str">
        <f>B178&amp;"-"&amp;IF(V178&gt;Instructions!$H$14,Instructions!$I$14,IF(V178&gt;Instructions!$H$15,Instructions!$I$15,IF(V178&gt;Instructions!$H$16,Instructions!$I$16,IF(V178&gt;Instructions!$H$17,Instructions!$I$17,Instructions!$I$18))))</f>
        <v>LA-No contest</v>
      </c>
      <c r="AA178" s="237">
        <f t="shared" si="61"/>
        <v>38416</v>
      </c>
      <c r="AB178" s="237">
        <f t="shared" si="62"/>
        <v>0</v>
      </c>
      <c r="AC178" s="238">
        <f t="shared" si="63"/>
        <v>4578</v>
      </c>
      <c r="AD178" s="389">
        <f t="shared" si="54"/>
        <v>42994</v>
      </c>
      <c r="AF178" s="6"/>
    </row>
    <row r="179" spans="1:32">
      <c r="A179" s="225" t="s">
        <v>83</v>
      </c>
      <c r="B179" s="226" t="s">
        <v>17</v>
      </c>
      <c r="C179" t="s">
        <v>493</v>
      </c>
      <c r="D179"/>
      <c r="E179" t="s">
        <v>252</v>
      </c>
      <c r="F179"/>
      <c r="G179"/>
      <c r="H179"/>
      <c r="I179" t="str">
        <f t="shared" si="50"/>
        <v>LA-Yes</v>
      </c>
      <c r="J179" t="str">
        <f t="shared" si="51"/>
        <v>LA-No</v>
      </c>
      <c r="K179">
        <f t="shared" si="65"/>
        <v>1</v>
      </c>
      <c r="L179" t="str">
        <f>B179&amp;"-"&amp;IF(M179=2010, 1, "")</f>
        <v>LA-1</v>
      </c>
      <c r="M179">
        <v>2010</v>
      </c>
      <c r="N179" s="242">
        <v>2</v>
      </c>
      <c r="O179" s="415">
        <v>83705</v>
      </c>
      <c r="P179" s="416">
        <v>43378</v>
      </c>
      <c r="Q179" s="228">
        <f t="shared" si="64"/>
        <v>2521</v>
      </c>
      <c r="R179" s="423">
        <v>129604</v>
      </c>
      <c r="S179" s="227">
        <f>92921+70705</f>
        <v>163626</v>
      </c>
      <c r="T179" s="231">
        <f t="shared" si="52"/>
        <v>83705</v>
      </c>
      <c r="U179" s="231">
        <f t="shared" si="43"/>
        <v>43378</v>
      </c>
      <c r="V179" s="232">
        <f t="shared" si="53"/>
        <v>0.317328045450611</v>
      </c>
      <c r="W179" s="233">
        <f t="shared" si="58"/>
        <v>0.64585197987716425</v>
      </c>
      <c r="X179" s="234" t="s">
        <v>250</v>
      </c>
      <c r="Y179" s="235" t="str">
        <f t="shared" si="60"/>
        <v>LA-Dem</v>
      </c>
      <c r="Z179" s="236" t="str">
        <f>B179&amp;"-"&amp;IF(V179&gt;Instructions!$H$14,Instructions!$I$14,IF(V179&gt;Instructions!$H$15,Instructions!$I$15,IF(V179&gt;Instructions!$H$16,Instructions!$I$16,IF(V179&gt;Instructions!$H$17,Instructions!$I$17,Instructions!$I$18))))</f>
        <v>LA-Landslide</v>
      </c>
      <c r="AA179" s="237">
        <f t="shared" si="61"/>
        <v>0</v>
      </c>
      <c r="AB179" s="237">
        <f t="shared" si="62"/>
        <v>43378</v>
      </c>
      <c r="AC179" s="238">
        <f t="shared" si="63"/>
        <v>2521</v>
      </c>
      <c r="AD179" s="389">
        <f t="shared" si="54"/>
        <v>45899</v>
      </c>
    </row>
    <row r="180" spans="1:32">
      <c r="A180" s="225" t="s">
        <v>83</v>
      </c>
      <c r="B180" s="226" t="s">
        <v>17</v>
      </c>
      <c r="C180" t="s">
        <v>494</v>
      </c>
      <c r="D180"/>
      <c r="E180"/>
      <c r="F180"/>
      <c r="G180"/>
      <c r="H180"/>
      <c r="I180" t="str">
        <f t="shared" si="50"/>
        <v>LA-No</v>
      </c>
      <c r="J180" t="str">
        <f t="shared" si="51"/>
        <v>LA-No</v>
      </c>
      <c r="K180">
        <v>0</v>
      </c>
      <c r="L180" t="str">
        <f>B180&amp;"-"&amp;IF(M180=2010, 1, "")</f>
        <v>LA-1</v>
      </c>
      <c r="M180">
        <v>2010</v>
      </c>
      <c r="N180" s="242">
        <v>3</v>
      </c>
      <c r="O180" s="415">
        <v>61914</v>
      </c>
      <c r="P180" s="416">
        <v>108963</v>
      </c>
      <c r="Q180" s="228">
        <f t="shared" si="64"/>
        <v>0</v>
      </c>
      <c r="R180" s="423">
        <v>170877</v>
      </c>
      <c r="S180" s="229">
        <v>1</v>
      </c>
      <c r="T180" s="231">
        <f t="shared" si="52"/>
        <v>108963</v>
      </c>
      <c r="U180" s="231">
        <f t="shared" si="43"/>
        <v>61914</v>
      </c>
      <c r="V180" s="232">
        <f t="shared" si="53"/>
        <v>0.27533840130620268</v>
      </c>
      <c r="W180" s="233">
        <f t="shared" si="58"/>
        <v>0.6376692006531014</v>
      </c>
      <c r="X180" s="234" t="s">
        <v>250</v>
      </c>
      <c r="Y180" s="235" t="str">
        <f t="shared" si="60"/>
        <v>LA-Rep</v>
      </c>
      <c r="Z180" s="236" t="str">
        <f>B180&amp;"-"&amp;IF(V180&gt;Instructions!$H$14,Instructions!$I$14,IF(V180&gt;Instructions!$H$15,Instructions!$I$15,IF(V180&gt;Instructions!$H$16,Instructions!$I$16,IF(V180&gt;Instructions!$H$17,Instructions!$I$17,Instructions!$I$18))))</f>
        <v>LA-Landslide</v>
      </c>
      <c r="AA180" s="237">
        <f t="shared" si="61"/>
        <v>61914</v>
      </c>
      <c r="AB180" s="237">
        <f t="shared" si="62"/>
        <v>0</v>
      </c>
      <c r="AC180" s="238">
        <f t="shared" si="63"/>
        <v>0</v>
      </c>
      <c r="AD180" s="389">
        <f t="shared" si="54"/>
        <v>61914</v>
      </c>
    </row>
    <row r="181" spans="1:32">
      <c r="A181" s="225" t="s">
        <v>83</v>
      </c>
      <c r="B181" s="226" t="s">
        <v>17</v>
      </c>
      <c r="C181" t="s">
        <v>495</v>
      </c>
      <c r="D181"/>
      <c r="E181"/>
      <c r="F181"/>
      <c r="G181"/>
      <c r="H181"/>
      <c r="I181" t="str">
        <f t="shared" si="50"/>
        <v>LA-Yes</v>
      </c>
      <c r="J181" t="str">
        <f t="shared" si="51"/>
        <v>LA-Yes</v>
      </c>
      <c r="K181" t="str">
        <f t="shared" si="65"/>
        <v/>
      </c>
      <c r="L181" t="str">
        <f t="shared" si="66"/>
        <v/>
      </c>
      <c r="M181">
        <v>2008</v>
      </c>
      <c r="N181" s="242">
        <v>4</v>
      </c>
      <c r="O181" s="415">
        <v>54609</v>
      </c>
      <c r="P181" s="416">
        <v>105223</v>
      </c>
      <c r="Q181" s="228">
        <f t="shared" si="64"/>
        <v>8962</v>
      </c>
      <c r="R181" s="423">
        <v>168794</v>
      </c>
      <c r="S181" s="229">
        <f>57078+93093+43012+34405</f>
        <v>227588</v>
      </c>
      <c r="T181" s="231">
        <f t="shared" si="52"/>
        <v>105223</v>
      </c>
      <c r="U181" s="231">
        <f t="shared" si="43"/>
        <v>54609</v>
      </c>
      <c r="V181" s="232">
        <f t="shared" si="53"/>
        <v>0.31667000350367885</v>
      </c>
      <c r="W181" s="233">
        <f t="shared" si="58"/>
        <v>0.62338116283754164</v>
      </c>
      <c r="X181" s="246" t="s">
        <v>250</v>
      </c>
      <c r="Y181" s="235" t="str">
        <f t="shared" si="60"/>
        <v>LA-Rep</v>
      </c>
      <c r="Z181" s="236" t="str">
        <f>B181&amp;"-"&amp;IF(V181&gt;Instructions!$H$14,Instructions!$I$14,IF(V181&gt;Instructions!$H$15,Instructions!$I$15,IF(V181&gt;Instructions!$H$16,Instructions!$I$16,IF(V181&gt;Instructions!$H$17,Instructions!$I$17,Instructions!$I$18))))</f>
        <v>LA-Landslide</v>
      </c>
      <c r="AA181" s="237">
        <f t="shared" si="61"/>
        <v>54609</v>
      </c>
      <c r="AB181" s="237">
        <f t="shared" si="62"/>
        <v>0</v>
      </c>
      <c r="AC181" s="238">
        <f t="shared" si="63"/>
        <v>8962</v>
      </c>
      <c r="AD181" s="389">
        <f t="shared" si="54"/>
        <v>63571</v>
      </c>
    </row>
    <row r="182" spans="1:32">
      <c r="A182" s="225" t="s">
        <v>83</v>
      </c>
      <c r="B182" s="226" t="s">
        <v>17</v>
      </c>
      <c r="C182" s="426" t="s">
        <v>496</v>
      </c>
      <c r="D182"/>
      <c r="E182"/>
      <c r="F182"/>
      <c r="G182"/>
      <c r="H182"/>
      <c r="I182" t="str">
        <f t="shared" si="50"/>
        <v>LA-Yes</v>
      </c>
      <c r="J182" t="str">
        <f t="shared" si="51"/>
        <v>LA-Yes</v>
      </c>
      <c r="K182" t="str">
        <f t="shared" si="65"/>
        <v/>
      </c>
      <c r="L182" t="str">
        <f t="shared" si="66"/>
        <v/>
      </c>
      <c r="M182">
        <v>2002</v>
      </c>
      <c r="N182" s="242">
        <v>5</v>
      </c>
      <c r="O182" s="415">
        <v>0</v>
      </c>
      <c r="P182" s="416">
        <v>122033</v>
      </c>
      <c r="Q182" s="228">
        <f t="shared" si="64"/>
        <v>33279</v>
      </c>
      <c r="R182" s="423">
        <v>155312</v>
      </c>
      <c r="S182" s="229">
        <v>1</v>
      </c>
      <c r="T182" s="231">
        <f t="shared" si="52"/>
        <v>122033</v>
      </c>
      <c r="U182" s="231">
        <f t="shared" si="43"/>
        <v>33279</v>
      </c>
      <c r="V182" s="232">
        <f t="shared" si="53"/>
        <v>1</v>
      </c>
      <c r="W182" s="233">
        <f t="shared" si="58"/>
        <v>0.78572808282682605</v>
      </c>
      <c r="X182" s="234" t="s">
        <v>250</v>
      </c>
      <c r="Y182" s="235" t="str">
        <f t="shared" si="60"/>
        <v>LA-Rep</v>
      </c>
      <c r="Z182" s="236" t="str">
        <f>B182&amp;"-"&amp;IF(V182&gt;Instructions!$H$14,Instructions!$I$14,IF(V182&gt;Instructions!$H$15,Instructions!$I$15,IF(V182&gt;Instructions!$H$16,Instructions!$I$16,IF(V182&gt;Instructions!$H$17,Instructions!$I$17,Instructions!$I$18))))</f>
        <v>LA-No contest</v>
      </c>
      <c r="AA182" s="237">
        <f t="shared" si="61"/>
        <v>0</v>
      </c>
      <c r="AB182" s="237">
        <f t="shared" si="62"/>
        <v>0</v>
      </c>
      <c r="AC182" s="238">
        <f t="shared" si="63"/>
        <v>33279</v>
      </c>
      <c r="AD182" s="389">
        <f t="shared" si="54"/>
        <v>33279</v>
      </c>
      <c r="AE182" s="198"/>
    </row>
    <row r="183" spans="1:32">
      <c r="A183" s="225" t="s">
        <v>83</v>
      </c>
      <c r="B183" s="226" t="s">
        <v>17</v>
      </c>
      <c r="C183" t="s">
        <v>497</v>
      </c>
      <c r="D183"/>
      <c r="E183"/>
      <c r="F183"/>
      <c r="G183"/>
      <c r="H183"/>
      <c r="I183" t="str">
        <f t="shared" si="50"/>
        <v>LA-Yes</v>
      </c>
      <c r="J183" t="str">
        <f t="shared" si="51"/>
        <v>LA-Yes</v>
      </c>
      <c r="K183" t="str">
        <f t="shared" si="65"/>
        <v/>
      </c>
      <c r="L183" t="str">
        <f t="shared" si="66"/>
        <v/>
      </c>
      <c r="M183">
        <v>2008</v>
      </c>
      <c r="N183" s="242">
        <v>6</v>
      </c>
      <c r="O183" s="415">
        <v>72577</v>
      </c>
      <c r="P183" s="416">
        <v>138607</v>
      </c>
      <c r="Q183" s="228">
        <f t="shared" si="64"/>
        <v>0</v>
      </c>
      <c r="R183" s="423">
        <v>211184</v>
      </c>
      <c r="S183" s="229">
        <v>312416</v>
      </c>
      <c r="T183" s="231">
        <f t="shared" si="52"/>
        <v>138607</v>
      </c>
      <c r="U183" s="231">
        <f t="shared" si="43"/>
        <v>72577</v>
      </c>
      <c r="V183" s="232">
        <f t="shared" si="53"/>
        <v>0.31266573225244337</v>
      </c>
      <c r="W183" s="233">
        <f t="shared" si="58"/>
        <v>0.65633286612622166</v>
      </c>
      <c r="X183" s="234" t="s">
        <v>252</v>
      </c>
      <c r="Y183" s="235" t="str">
        <f t="shared" si="60"/>
        <v>LA-Rep</v>
      </c>
      <c r="Z183" s="236" t="str">
        <f>B183&amp;"-"&amp;IF(V183&gt;Instructions!$H$14,Instructions!$I$14,IF(V183&gt;Instructions!$H$15,Instructions!$I$15,IF(V183&gt;Instructions!$H$16,Instructions!$I$16,IF(V183&gt;Instructions!$H$17,Instructions!$I$17,Instructions!$I$18))))</f>
        <v>LA-Landslide</v>
      </c>
      <c r="AA183" s="237">
        <f t="shared" si="61"/>
        <v>72577</v>
      </c>
      <c r="AB183" s="237">
        <f t="shared" si="62"/>
        <v>0</v>
      </c>
      <c r="AC183" s="238">
        <f t="shared" si="63"/>
        <v>0</v>
      </c>
      <c r="AD183" s="389">
        <f t="shared" si="54"/>
        <v>72577</v>
      </c>
    </row>
    <row r="184" spans="1:32">
      <c r="A184" s="225" t="s">
        <v>83</v>
      </c>
      <c r="B184" s="226" t="s">
        <v>17</v>
      </c>
      <c r="C184" s="426" t="s">
        <v>498</v>
      </c>
      <c r="D184"/>
      <c r="E184"/>
      <c r="F184"/>
      <c r="G184"/>
      <c r="H184"/>
      <c r="I184" t="str">
        <f t="shared" si="50"/>
        <v>LA-Yes</v>
      </c>
      <c r="J184" t="str">
        <f t="shared" si="51"/>
        <v>LA-Yes</v>
      </c>
      <c r="K184" t="str">
        <f t="shared" si="65"/>
        <v/>
      </c>
      <c r="L184" t="str">
        <f t="shared" si="66"/>
        <v/>
      </c>
      <c r="M184">
        <v>2004</v>
      </c>
      <c r="N184" s="242">
        <v>7</v>
      </c>
      <c r="O184" s="415">
        <v>0</v>
      </c>
      <c r="P184" s="416">
        <v>127470</v>
      </c>
      <c r="Q184" s="228">
        <f>R184-P184-O184</f>
        <v>0</v>
      </c>
      <c r="R184" s="423">
        <v>127470</v>
      </c>
      <c r="S184" s="240">
        <v>286299</v>
      </c>
      <c r="T184" s="231">
        <f>MAX(O184:Q184)</f>
        <v>127470</v>
      </c>
      <c r="U184" s="231">
        <f>IF(Q184=MAX(O184:Q184),MAX(O184:P184),IF(P184&gt;O184,MAX(O184,Q184),MAX(P184,Q184)))</f>
        <v>0</v>
      </c>
      <c r="V184" s="232">
        <f>ABS(O184-P184)/(O184+P184)</f>
        <v>1</v>
      </c>
      <c r="W184" s="233">
        <f t="shared" si="58"/>
        <v>1</v>
      </c>
      <c r="X184" s="234" t="s">
        <v>250</v>
      </c>
      <c r="Y184" s="235" t="str">
        <f>B184&amp;"-"&amp;IF(Q184=MAX(O184:Q184),"Other",IF(P184&gt;O184,"Rep","Dem"))</f>
        <v>LA-Rep</v>
      </c>
      <c r="Z184" s="236" t="str">
        <f>B184&amp;"-"&amp;IF(V184&gt;Instructions!$H$14,Instructions!$I$14,IF(V184&gt;Instructions!$H$15,Instructions!$I$15,IF(V184&gt;Instructions!$H$16,Instructions!$I$16,IF(V184&gt;Instructions!$H$17,Instructions!$I$17,Instructions!$I$18))))</f>
        <v>LA-No contest</v>
      </c>
      <c r="AA184" s="237">
        <f t="shared" si="61"/>
        <v>0</v>
      </c>
      <c r="AB184" s="237">
        <f t="shared" si="62"/>
        <v>0</v>
      </c>
      <c r="AC184" s="238">
        <f t="shared" si="63"/>
        <v>0</v>
      </c>
      <c r="AD184" s="389">
        <f t="shared" si="54"/>
        <v>0</v>
      </c>
      <c r="AE184" s="389">
        <f>SUM(AD178:AD184)</f>
        <v>320234</v>
      </c>
    </row>
    <row r="185" spans="1:32">
      <c r="A185" s="225" t="s">
        <v>84</v>
      </c>
      <c r="B185" s="226" t="s">
        <v>18</v>
      </c>
      <c r="C185" t="s">
        <v>517</v>
      </c>
      <c r="D185" t="s">
        <v>781</v>
      </c>
      <c r="E185"/>
      <c r="F185"/>
      <c r="G185"/>
      <c r="H185"/>
      <c r="I185" t="str">
        <f t="shared" si="50"/>
        <v>ME-Yes</v>
      </c>
      <c r="J185" t="str">
        <f t="shared" si="51"/>
        <v>ME-Yes</v>
      </c>
      <c r="K185" t="str">
        <f t="shared" si="65"/>
        <v/>
      </c>
      <c r="L185" t="str">
        <f>IF(M185=2010, 1, "")</f>
        <v/>
      </c>
      <c r="M185">
        <v>2008</v>
      </c>
      <c r="N185" s="242">
        <v>1</v>
      </c>
      <c r="O185" s="415">
        <v>169114</v>
      </c>
      <c r="P185" s="416">
        <v>128501</v>
      </c>
      <c r="Q185" s="228">
        <f t="shared" si="64"/>
        <v>42</v>
      </c>
      <c r="R185" s="423">
        <v>297657</v>
      </c>
      <c r="S185" s="239"/>
      <c r="T185" s="231">
        <f t="shared" si="52"/>
        <v>169114</v>
      </c>
      <c r="U185" s="231">
        <f t="shared" si="43"/>
        <v>128501</v>
      </c>
      <c r="V185" s="232">
        <f t="shared" si="53"/>
        <v>0.13646153587688792</v>
      </c>
      <c r="W185" s="233">
        <f t="shared" si="58"/>
        <v>0.56815058943683505</v>
      </c>
      <c r="X185" s="234" t="str">
        <f t="shared" ref="X185:X248" si="67">B185&amp;"-"&amp;IF(O185*P185=0,"Yes","No")</f>
        <v>ME-No</v>
      </c>
      <c r="Y185" s="235" t="str">
        <f t="shared" ref="Y185:Y248" si="68">B185&amp;"-"&amp;IF(Q185=MAX(O185:Q185),"Other",IF(P185&gt;O185,"Rep","Dem"))</f>
        <v>ME-Dem</v>
      </c>
      <c r="Z185" s="236" t="str">
        <f>B185&amp;"-"&amp;IF(V185&gt;Instructions!$H$14,Instructions!$I$14,IF(V185&gt;Instructions!$H$15,Instructions!$I$15,IF(V185&gt;Instructions!$H$16,Instructions!$I$16,IF(V185&gt;Instructions!$H$17,Instructions!$I$17,Instructions!$I$18))))</f>
        <v>ME-Opportunity</v>
      </c>
      <c r="AA185" s="237">
        <f t="shared" ref="AA185:AA248" si="69">IF(T185=O185,0,O185)</f>
        <v>0</v>
      </c>
      <c r="AB185" s="237">
        <f t="shared" ref="AB185:AB248" si="70">IF(T185=P185,0,P185)</f>
        <v>128501</v>
      </c>
      <c r="AC185" s="238">
        <f t="shared" ref="AC185:AC248" si="71">IF(T185=Q185,0,Q185)</f>
        <v>42</v>
      </c>
      <c r="AD185" s="389">
        <f t="shared" si="54"/>
        <v>128543</v>
      </c>
    </row>
    <row r="186" spans="1:32">
      <c r="A186" s="225" t="s">
        <v>84</v>
      </c>
      <c r="B186" s="226" t="s">
        <v>18</v>
      </c>
      <c r="C186" s="426" t="s">
        <v>518</v>
      </c>
      <c r="D186"/>
      <c r="E186"/>
      <c r="F186"/>
      <c r="G186"/>
      <c r="H186"/>
      <c r="I186" t="str">
        <f t="shared" si="50"/>
        <v>ME-Yes</v>
      </c>
      <c r="J186" t="str">
        <f t="shared" si="51"/>
        <v>ME-Yes</v>
      </c>
      <c r="K186" t="str">
        <f t="shared" si="65"/>
        <v/>
      </c>
      <c r="L186" t="str">
        <f t="shared" si="66"/>
        <v/>
      </c>
      <c r="M186">
        <v>2002</v>
      </c>
      <c r="N186" s="242">
        <v>2</v>
      </c>
      <c r="O186" s="415">
        <v>147042</v>
      </c>
      <c r="P186" s="416">
        <v>119669</v>
      </c>
      <c r="Q186" s="228">
        <f t="shared" si="64"/>
        <v>0</v>
      </c>
      <c r="R186" s="423">
        <v>266711</v>
      </c>
      <c r="S186" s="239"/>
      <c r="T186" s="231">
        <f t="shared" si="52"/>
        <v>147042</v>
      </c>
      <c r="U186" s="231">
        <f t="shared" si="43"/>
        <v>119669</v>
      </c>
      <c r="V186" s="232">
        <f t="shared" si="53"/>
        <v>0.10263168748195613</v>
      </c>
      <c r="W186" s="233">
        <f t="shared" si="58"/>
        <v>0.55131584374097808</v>
      </c>
      <c r="X186" s="234" t="str">
        <f t="shared" si="67"/>
        <v>ME-No</v>
      </c>
      <c r="Y186" s="235" t="str">
        <f t="shared" si="68"/>
        <v>ME-Dem</v>
      </c>
      <c r="Z186" s="236" t="str">
        <f>B186&amp;"-"&amp;IF(V186&gt;Instructions!$H$14,Instructions!$I$14,IF(V186&gt;Instructions!$H$15,Instructions!$I$15,IF(V186&gt;Instructions!$H$16,Instructions!$I$16,IF(V186&gt;Instructions!$H$17,Instructions!$I$17,Instructions!$I$18))))</f>
        <v>ME-Opportunity</v>
      </c>
      <c r="AA186" s="237">
        <f t="shared" si="69"/>
        <v>0</v>
      </c>
      <c r="AB186" s="237">
        <f t="shared" si="70"/>
        <v>119669</v>
      </c>
      <c r="AC186" s="238">
        <f t="shared" si="71"/>
        <v>0</v>
      </c>
      <c r="AD186" s="389">
        <f t="shared" si="54"/>
        <v>119669</v>
      </c>
      <c r="AE186" s="389">
        <f>SUM(AD185:AD186)</f>
        <v>248212</v>
      </c>
    </row>
    <row r="187" spans="1:32">
      <c r="A187" s="225" t="s">
        <v>85</v>
      </c>
      <c r="B187" s="226" t="s">
        <v>19</v>
      </c>
      <c r="C187" t="s">
        <v>509</v>
      </c>
      <c r="D187"/>
      <c r="E187"/>
      <c r="F187"/>
      <c r="G187"/>
      <c r="H187"/>
      <c r="I187" t="str">
        <f t="shared" si="50"/>
        <v>MD-Yes</v>
      </c>
      <c r="J187" t="str">
        <f t="shared" si="51"/>
        <v>MD-No</v>
      </c>
      <c r="K187">
        <f t="shared" si="65"/>
        <v>1</v>
      </c>
      <c r="L187" t="str">
        <f>B187&amp;"-"&amp;IF(M187=2010, 1, "")</f>
        <v>MD-1</v>
      </c>
      <c r="M187" s="290">
        <v>2010</v>
      </c>
      <c r="N187" s="242">
        <v>1</v>
      </c>
      <c r="O187" s="415">
        <v>120400</v>
      </c>
      <c r="P187" s="416">
        <v>155118</v>
      </c>
      <c r="Q187" s="228">
        <f t="shared" si="64"/>
        <v>-58166</v>
      </c>
      <c r="R187" s="423">
        <v>217352</v>
      </c>
      <c r="S187" s="239"/>
      <c r="T187" s="231">
        <f t="shared" si="52"/>
        <v>155118</v>
      </c>
      <c r="U187" s="231">
        <f t="shared" si="43"/>
        <v>120400</v>
      </c>
      <c r="V187" s="232">
        <f t="shared" si="53"/>
        <v>0.12600991586756582</v>
      </c>
      <c r="W187" s="233">
        <f t="shared" si="58"/>
        <v>0.71367183186720162</v>
      </c>
      <c r="X187" s="234" t="str">
        <f t="shared" si="67"/>
        <v>MD-No</v>
      </c>
      <c r="Y187" s="235" t="str">
        <f t="shared" si="68"/>
        <v>MD-Rep</v>
      </c>
      <c r="Z187" s="236" t="str">
        <f>B187&amp;"-"&amp;IF(V187&gt;Instructions!$H$14,Instructions!$I$14,IF(V187&gt;Instructions!$H$15,Instructions!$I$15,IF(V187&gt;Instructions!$H$16,Instructions!$I$16,IF(V187&gt;Instructions!$H$17,Instructions!$I$17,Instructions!$I$18))))</f>
        <v>MD-Opportunity</v>
      </c>
      <c r="AA187" s="237">
        <f t="shared" si="69"/>
        <v>120400</v>
      </c>
      <c r="AB187" s="237">
        <f t="shared" si="70"/>
        <v>0</v>
      </c>
      <c r="AC187" s="238">
        <f t="shared" si="71"/>
        <v>-58166</v>
      </c>
      <c r="AD187" s="389">
        <f t="shared" si="54"/>
        <v>62234</v>
      </c>
    </row>
    <row r="188" spans="1:32">
      <c r="A188" s="225" t="s">
        <v>85</v>
      </c>
      <c r="B188" s="226" t="s">
        <v>19</v>
      </c>
      <c r="C188" s="426" t="s">
        <v>510</v>
      </c>
      <c r="D188"/>
      <c r="E188"/>
      <c r="F188"/>
      <c r="G188"/>
      <c r="H188"/>
      <c r="I188" t="str">
        <f t="shared" si="50"/>
        <v>MD-Yes</v>
      </c>
      <c r="J188" t="str">
        <f t="shared" si="51"/>
        <v>MD-Yes</v>
      </c>
      <c r="K188" t="str">
        <f t="shared" si="65"/>
        <v/>
      </c>
      <c r="L188" t="str">
        <f t="shared" si="66"/>
        <v/>
      </c>
      <c r="M188" s="396">
        <v>2002</v>
      </c>
      <c r="N188" s="242">
        <v>2</v>
      </c>
      <c r="O188" s="415">
        <v>134133</v>
      </c>
      <c r="P188" s="416">
        <v>69523</v>
      </c>
      <c r="Q188" s="228">
        <f t="shared" si="64"/>
        <v>30471</v>
      </c>
      <c r="R188" s="423">
        <v>234127</v>
      </c>
      <c r="S188" s="239"/>
      <c r="T188" s="231">
        <f t="shared" si="52"/>
        <v>134133</v>
      </c>
      <c r="U188" s="231">
        <f t="shared" si="43"/>
        <v>69523</v>
      </c>
      <c r="V188" s="232">
        <f t="shared" si="53"/>
        <v>0.31725065797226698</v>
      </c>
      <c r="W188" s="233">
        <f t="shared" ref="W188:W248" si="72">T188/R188</f>
        <v>0.57290701200630423</v>
      </c>
      <c r="X188" s="234" t="str">
        <f t="shared" si="67"/>
        <v>MD-No</v>
      </c>
      <c r="Y188" s="235" t="str">
        <f t="shared" si="68"/>
        <v>MD-Dem</v>
      </c>
      <c r="Z188" s="236" t="str">
        <f>B188&amp;"-"&amp;IF(V188&gt;Instructions!$H$14,Instructions!$I$14,IF(V188&gt;Instructions!$H$15,Instructions!$I$15,IF(V188&gt;Instructions!$H$16,Instructions!$I$16,IF(V188&gt;Instructions!$H$17,Instructions!$I$17,Instructions!$I$18))))</f>
        <v>MD-Landslide</v>
      </c>
      <c r="AA188" s="237">
        <f t="shared" si="69"/>
        <v>0</v>
      </c>
      <c r="AB188" s="237">
        <f t="shared" si="70"/>
        <v>69523</v>
      </c>
      <c r="AC188" s="238">
        <f t="shared" si="71"/>
        <v>30471</v>
      </c>
      <c r="AD188" s="389">
        <f t="shared" si="54"/>
        <v>99994</v>
      </c>
    </row>
    <row r="189" spans="1:32">
      <c r="A189" s="225" t="s">
        <v>85</v>
      </c>
      <c r="B189" s="226" t="s">
        <v>19</v>
      </c>
      <c r="C189" t="s">
        <v>511</v>
      </c>
      <c r="D189"/>
      <c r="E189"/>
      <c r="F189"/>
      <c r="G189"/>
      <c r="H189"/>
      <c r="I189" t="str">
        <f t="shared" si="50"/>
        <v>MD-Yes</v>
      </c>
      <c r="J189" t="str">
        <f t="shared" si="51"/>
        <v>MD-Yes</v>
      </c>
      <c r="K189" t="str">
        <f t="shared" si="65"/>
        <v/>
      </c>
      <c r="L189" t="str">
        <f t="shared" si="66"/>
        <v/>
      </c>
      <c r="M189" s="396">
        <v>2006</v>
      </c>
      <c r="N189" s="242">
        <v>3</v>
      </c>
      <c r="O189" s="415">
        <v>147448</v>
      </c>
      <c r="P189" s="416">
        <v>86947</v>
      </c>
      <c r="Q189" s="228">
        <f t="shared" si="64"/>
        <v>-10366</v>
      </c>
      <c r="R189" s="423">
        <v>224029</v>
      </c>
      <c r="S189" s="239"/>
      <c r="T189" s="231">
        <f t="shared" si="52"/>
        <v>147448</v>
      </c>
      <c r="U189" s="231">
        <f t="shared" si="43"/>
        <v>86947</v>
      </c>
      <c r="V189" s="232">
        <f t="shared" si="53"/>
        <v>0.25811557413767361</v>
      </c>
      <c r="W189" s="233">
        <f t="shared" si="72"/>
        <v>0.65816479116542947</v>
      </c>
      <c r="X189" s="234" t="str">
        <f t="shared" si="67"/>
        <v>MD-No</v>
      </c>
      <c r="Y189" s="235" t="str">
        <f t="shared" si="68"/>
        <v>MD-Dem</v>
      </c>
      <c r="Z189" s="236" t="str">
        <f>B189&amp;"-"&amp;IF(V189&gt;Instructions!$H$14,Instructions!$I$14,IF(V189&gt;Instructions!$H$15,Instructions!$I$15,IF(V189&gt;Instructions!$H$16,Instructions!$I$16,IF(V189&gt;Instructions!$H$17,Instructions!$I$17,Instructions!$I$18))))</f>
        <v>MD-Landslide</v>
      </c>
      <c r="AA189" s="237">
        <f t="shared" si="69"/>
        <v>0</v>
      </c>
      <c r="AB189" s="237">
        <f t="shared" si="70"/>
        <v>86947</v>
      </c>
      <c r="AC189" s="238">
        <f t="shared" si="71"/>
        <v>-10366</v>
      </c>
      <c r="AD189" s="389">
        <f t="shared" si="54"/>
        <v>76581</v>
      </c>
    </row>
    <row r="190" spans="1:32">
      <c r="A190" s="225" t="s">
        <v>85</v>
      </c>
      <c r="B190" s="226" t="s">
        <v>19</v>
      </c>
      <c r="C190" t="s">
        <v>512</v>
      </c>
      <c r="D190" t="s">
        <v>782</v>
      </c>
      <c r="E190" t="s">
        <v>782</v>
      </c>
      <c r="F190"/>
      <c r="G190"/>
      <c r="H190"/>
      <c r="I190" t="str">
        <f t="shared" si="50"/>
        <v>MD-Yes</v>
      </c>
      <c r="J190" t="str">
        <f t="shared" si="51"/>
        <v>MD-Yes</v>
      </c>
      <c r="K190" t="str">
        <f t="shared" si="65"/>
        <v/>
      </c>
      <c r="L190" t="str">
        <f t="shared" si="66"/>
        <v/>
      </c>
      <c r="M190" s="397">
        <v>2007.5</v>
      </c>
      <c r="N190" s="242">
        <v>4</v>
      </c>
      <c r="O190" s="415">
        <v>160228</v>
      </c>
      <c r="P190" s="416">
        <v>31467</v>
      </c>
      <c r="Q190" s="228">
        <f t="shared" si="64"/>
        <v>59386</v>
      </c>
      <c r="R190" s="423">
        <v>251081</v>
      </c>
      <c r="S190" s="239"/>
      <c r="T190" s="231">
        <f t="shared" si="52"/>
        <v>160228</v>
      </c>
      <c r="U190" s="231">
        <f t="shared" si="43"/>
        <v>59386</v>
      </c>
      <c r="V190" s="232">
        <f t="shared" si="53"/>
        <v>0.67169722736638937</v>
      </c>
      <c r="W190" s="233">
        <f t="shared" si="72"/>
        <v>0.63815262803637074</v>
      </c>
      <c r="X190" s="234" t="str">
        <f t="shared" si="67"/>
        <v>MD-No</v>
      </c>
      <c r="Y190" s="235" t="str">
        <f t="shared" si="68"/>
        <v>MD-Dem</v>
      </c>
      <c r="Z190" s="236" t="str">
        <f>B190&amp;"-"&amp;IF(V190&gt;Instructions!$H$14,Instructions!$I$14,IF(V190&gt;Instructions!$H$15,Instructions!$I$15,IF(V190&gt;Instructions!$H$16,Instructions!$I$16,IF(V190&gt;Instructions!$H$17,Instructions!$I$17,Instructions!$I$18))))</f>
        <v>MD-No contest</v>
      </c>
      <c r="AA190" s="237">
        <f t="shared" si="69"/>
        <v>0</v>
      </c>
      <c r="AB190" s="237">
        <f t="shared" si="70"/>
        <v>31467</v>
      </c>
      <c r="AC190" s="238">
        <f t="shared" si="71"/>
        <v>59386</v>
      </c>
      <c r="AD190" s="389">
        <f t="shared" si="54"/>
        <v>90853</v>
      </c>
    </row>
    <row r="191" spans="1:32">
      <c r="A191" s="225" t="s">
        <v>85</v>
      </c>
      <c r="B191" s="226" t="s">
        <v>19</v>
      </c>
      <c r="C191" s="426" t="s">
        <v>513</v>
      </c>
      <c r="D191"/>
      <c r="E191"/>
      <c r="F191"/>
      <c r="G191"/>
      <c r="H191"/>
      <c r="I191" t="str">
        <f t="shared" si="50"/>
        <v>MD-Yes</v>
      </c>
      <c r="J191" t="str">
        <f t="shared" si="51"/>
        <v>MD-Yes</v>
      </c>
      <c r="K191" t="str">
        <f t="shared" si="65"/>
        <v/>
      </c>
      <c r="L191" t="str">
        <f t="shared" si="66"/>
        <v/>
      </c>
      <c r="M191" s="396">
        <v>1981</v>
      </c>
      <c r="N191" s="242">
        <v>5</v>
      </c>
      <c r="O191" s="415">
        <v>155110</v>
      </c>
      <c r="P191" s="416">
        <v>83575</v>
      </c>
      <c r="Q191" s="228">
        <f t="shared" si="64"/>
        <v>-19328</v>
      </c>
      <c r="R191" s="423">
        <v>219357</v>
      </c>
      <c r="S191" s="239"/>
      <c r="T191" s="231">
        <f t="shared" si="52"/>
        <v>155110</v>
      </c>
      <c r="U191" s="231">
        <f t="shared" si="43"/>
        <v>83575</v>
      </c>
      <c r="V191" s="232">
        <f t="shared" si="53"/>
        <v>0.29970463162745881</v>
      </c>
      <c r="W191" s="233">
        <f t="shared" si="72"/>
        <v>0.70711215051263465</v>
      </c>
      <c r="X191" s="234" t="str">
        <f t="shared" si="67"/>
        <v>MD-No</v>
      </c>
      <c r="Y191" s="235" t="str">
        <f t="shared" si="68"/>
        <v>MD-Dem</v>
      </c>
      <c r="Z191" s="236" t="str">
        <f>B191&amp;"-"&amp;IF(V191&gt;Instructions!$H$14,Instructions!$I$14,IF(V191&gt;Instructions!$H$15,Instructions!$I$15,IF(V191&gt;Instructions!$H$16,Instructions!$I$16,IF(V191&gt;Instructions!$H$17,Instructions!$I$17,Instructions!$I$18))))</f>
        <v>MD-Landslide</v>
      </c>
      <c r="AA191" s="237">
        <f t="shared" si="69"/>
        <v>0</v>
      </c>
      <c r="AB191" s="237">
        <f t="shared" si="70"/>
        <v>83575</v>
      </c>
      <c r="AC191" s="238">
        <f t="shared" si="71"/>
        <v>-19328</v>
      </c>
      <c r="AD191" s="389">
        <f t="shared" si="54"/>
        <v>64247</v>
      </c>
    </row>
    <row r="192" spans="1:32">
      <c r="A192" s="225" t="s">
        <v>85</v>
      </c>
      <c r="B192" s="226" t="s">
        <v>19</v>
      </c>
      <c r="C192" s="426" t="s">
        <v>514</v>
      </c>
      <c r="D192"/>
      <c r="E192"/>
      <c r="F192"/>
      <c r="G192"/>
      <c r="H192"/>
      <c r="I192" t="str">
        <f t="shared" si="50"/>
        <v>MD-Yes</v>
      </c>
      <c r="J192" t="str">
        <f t="shared" si="51"/>
        <v>MD-Yes</v>
      </c>
      <c r="K192" t="str">
        <f t="shared" si="65"/>
        <v/>
      </c>
      <c r="L192" t="str">
        <f t="shared" si="66"/>
        <v/>
      </c>
      <c r="M192" s="396">
        <v>1992</v>
      </c>
      <c r="N192" s="242">
        <v>6</v>
      </c>
      <c r="O192" s="415">
        <v>80455</v>
      </c>
      <c r="P192" s="416">
        <v>148820</v>
      </c>
      <c r="Q192" s="228">
        <f t="shared" si="64"/>
        <v>-91615</v>
      </c>
      <c r="R192" s="423">
        <v>137660</v>
      </c>
      <c r="S192" s="239"/>
      <c r="T192" s="231">
        <f t="shared" si="52"/>
        <v>148820</v>
      </c>
      <c r="U192" s="231">
        <f t="shared" si="43"/>
        <v>80455</v>
      </c>
      <c r="V192" s="232">
        <f t="shared" si="53"/>
        <v>0.29817904263439099</v>
      </c>
      <c r="W192" s="233">
        <f t="shared" si="72"/>
        <v>1.0810693011768124</v>
      </c>
      <c r="X192" s="234" t="str">
        <f t="shared" si="67"/>
        <v>MD-No</v>
      </c>
      <c r="Y192" s="235" t="str">
        <f t="shared" si="68"/>
        <v>MD-Rep</v>
      </c>
      <c r="Z192" s="236" t="str">
        <f>B192&amp;"-"&amp;IF(V192&gt;Instructions!$H$14,Instructions!$I$14,IF(V192&gt;Instructions!$H$15,Instructions!$I$15,IF(V192&gt;Instructions!$H$16,Instructions!$I$16,IF(V192&gt;Instructions!$H$17,Instructions!$I$17,Instructions!$I$18))))</f>
        <v>MD-Landslide</v>
      </c>
      <c r="AA192" s="237">
        <f t="shared" si="69"/>
        <v>80455</v>
      </c>
      <c r="AB192" s="237">
        <f t="shared" si="70"/>
        <v>0</v>
      </c>
      <c r="AC192" s="238">
        <f t="shared" si="71"/>
        <v>-91615</v>
      </c>
      <c r="AD192" s="389">
        <f t="shared" si="54"/>
        <v>-11160</v>
      </c>
    </row>
    <row r="193" spans="1:31">
      <c r="A193" s="225" t="s">
        <v>85</v>
      </c>
      <c r="B193" s="226" t="s">
        <v>19</v>
      </c>
      <c r="C193" s="426" t="s">
        <v>515</v>
      </c>
      <c r="D193"/>
      <c r="E193" t="s">
        <v>782</v>
      </c>
      <c r="F193"/>
      <c r="G193"/>
      <c r="H193"/>
      <c r="I193" t="str">
        <f t="shared" si="50"/>
        <v>MD-Yes</v>
      </c>
      <c r="J193" t="str">
        <f t="shared" si="51"/>
        <v>MD-Yes</v>
      </c>
      <c r="K193" t="str">
        <f t="shared" si="65"/>
        <v/>
      </c>
      <c r="L193" t="str">
        <f t="shared" si="66"/>
        <v/>
      </c>
      <c r="M193" s="396">
        <v>1996</v>
      </c>
      <c r="N193" s="242">
        <v>7</v>
      </c>
      <c r="O193" s="415">
        <v>152669</v>
      </c>
      <c r="P193" s="416">
        <v>46375</v>
      </c>
      <c r="Q193" s="228">
        <f t="shared" si="64"/>
        <v>30920</v>
      </c>
      <c r="R193" s="423">
        <v>229964</v>
      </c>
      <c r="S193" s="239"/>
      <c r="T193" s="231">
        <f t="shared" si="52"/>
        <v>152669</v>
      </c>
      <c r="U193" s="231">
        <f t="shared" si="43"/>
        <v>46375</v>
      </c>
      <c r="V193" s="232">
        <f t="shared" si="53"/>
        <v>0.53402262816261736</v>
      </c>
      <c r="W193" s="233">
        <f t="shared" si="72"/>
        <v>0.66388217286183926</v>
      </c>
      <c r="X193" s="234" t="str">
        <f t="shared" si="67"/>
        <v>MD-No</v>
      </c>
      <c r="Y193" s="235" t="str">
        <f t="shared" si="68"/>
        <v>MD-Dem</v>
      </c>
      <c r="Z193" s="236" t="str">
        <f>B193&amp;"-"&amp;IF(V193&gt;Instructions!$H$14,Instructions!$I$14,IF(V193&gt;Instructions!$H$15,Instructions!$I$15,IF(V193&gt;Instructions!$H$16,Instructions!$I$16,IF(V193&gt;Instructions!$H$17,Instructions!$I$17,Instructions!$I$18))))</f>
        <v>MD-No contest</v>
      </c>
      <c r="AA193" s="237">
        <f t="shared" si="69"/>
        <v>0</v>
      </c>
      <c r="AB193" s="237">
        <f t="shared" si="70"/>
        <v>46375</v>
      </c>
      <c r="AC193" s="238">
        <f t="shared" si="71"/>
        <v>30920</v>
      </c>
      <c r="AD193" s="389">
        <f t="shared" si="54"/>
        <v>77295</v>
      </c>
    </row>
    <row r="194" spans="1:31">
      <c r="A194" s="225" t="s">
        <v>85</v>
      </c>
      <c r="B194" s="226" t="s">
        <v>19</v>
      </c>
      <c r="C194" s="426" t="s">
        <v>516</v>
      </c>
      <c r="D194"/>
      <c r="E194"/>
      <c r="F194"/>
      <c r="G194"/>
      <c r="H194"/>
      <c r="I194" t="str">
        <f t="shared" si="50"/>
        <v>MD-Yes</v>
      </c>
      <c r="J194" t="str">
        <f t="shared" si="51"/>
        <v>MD-Yes</v>
      </c>
      <c r="K194"/>
      <c r="L194" t="str">
        <f t="shared" si="66"/>
        <v/>
      </c>
      <c r="M194" s="396">
        <v>2002</v>
      </c>
      <c r="N194" s="242">
        <v>8</v>
      </c>
      <c r="O194" s="415">
        <v>153613</v>
      </c>
      <c r="P194" s="416">
        <v>52421</v>
      </c>
      <c r="Q194" s="228">
        <f t="shared" si="64"/>
        <v>77163</v>
      </c>
      <c r="R194" s="423">
        <v>283197</v>
      </c>
      <c r="S194" s="239"/>
      <c r="T194" s="231">
        <f t="shared" si="52"/>
        <v>153613</v>
      </c>
      <c r="U194" s="231">
        <f t="shared" si="43"/>
        <v>77163</v>
      </c>
      <c r="V194" s="232">
        <f t="shared" si="53"/>
        <v>0.49114223865963869</v>
      </c>
      <c r="W194" s="233">
        <f t="shared" si="72"/>
        <v>0.54242453133331214</v>
      </c>
      <c r="X194" s="234" t="str">
        <f t="shared" si="67"/>
        <v>MD-No</v>
      </c>
      <c r="Y194" s="235" t="str">
        <f t="shared" si="68"/>
        <v>MD-Dem</v>
      </c>
      <c r="Z194" s="236" t="str">
        <f>B194&amp;"-"&amp;IF(V194&gt;Instructions!$H$14,Instructions!$I$14,IF(V194&gt;Instructions!$H$15,Instructions!$I$15,IF(V194&gt;Instructions!$H$16,Instructions!$I$16,IF(V194&gt;Instructions!$H$17,Instructions!$I$17,Instructions!$I$18))))</f>
        <v>MD-No contest</v>
      </c>
      <c r="AA194" s="237">
        <f t="shared" si="69"/>
        <v>0</v>
      </c>
      <c r="AB194" s="237">
        <f t="shared" si="70"/>
        <v>52421</v>
      </c>
      <c r="AC194" s="238">
        <f t="shared" si="71"/>
        <v>77163</v>
      </c>
      <c r="AD194" s="389">
        <f t="shared" si="54"/>
        <v>129584</v>
      </c>
      <c r="AE194" s="389">
        <f>SUM(AD187:AD194)</f>
        <v>589628</v>
      </c>
    </row>
    <row r="195" spans="1:31">
      <c r="A195" s="225" t="s">
        <v>86</v>
      </c>
      <c r="B195" s="226" t="s">
        <v>20</v>
      </c>
      <c r="C195" t="s">
        <v>499</v>
      </c>
      <c r="D195"/>
      <c r="E195"/>
      <c r="F195"/>
      <c r="G195"/>
      <c r="H195"/>
      <c r="I195" t="str">
        <f t="shared" si="50"/>
        <v>MA-Yes</v>
      </c>
      <c r="J195" t="str">
        <f t="shared" si="51"/>
        <v>MA-Yes</v>
      </c>
      <c r="K195" t="str">
        <f t="shared" ref="K195:K196" si="73">IF(M195=2010, 1, "")</f>
        <v/>
      </c>
      <c r="L195" t="str">
        <f t="shared" ref="L195:L196" si="74">IF(M195=2010, 1, "")</f>
        <v/>
      </c>
      <c r="M195" s="396">
        <v>1991</v>
      </c>
      <c r="N195" s="242">
        <v>1</v>
      </c>
      <c r="O195" s="415">
        <v>128011</v>
      </c>
      <c r="P195" s="416">
        <v>74418</v>
      </c>
      <c r="Q195" s="228">
        <f t="shared" ref="Q195:Q196" si="75">R195-P195-O195</f>
        <v>10935</v>
      </c>
      <c r="R195" s="423">
        <v>213364</v>
      </c>
      <c r="S195" s="239"/>
      <c r="T195" s="231">
        <f t="shared" si="52"/>
        <v>128011</v>
      </c>
      <c r="U195" s="231">
        <f t="shared" si="43"/>
        <v>74418</v>
      </c>
      <c r="V195" s="232">
        <f t="shared" si="53"/>
        <v>0.2647496159147158</v>
      </c>
      <c r="W195" s="233">
        <f t="shared" si="72"/>
        <v>0.59996531748561144</v>
      </c>
      <c r="X195" s="234" t="str">
        <f t="shared" si="67"/>
        <v>MA-No</v>
      </c>
      <c r="Y195" s="235" t="str">
        <f t="shared" si="68"/>
        <v>MA-Dem</v>
      </c>
      <c r="Z195" s="236" t="str">
        <f>B195&amp;"-"&amp;IF(V195&gt;Instructions!$H$14,Instructions!$I$14,IF(V195&gt;Instructions!$H$15,Instructions!$I$15,IF(V195&gt;Instructions!$H$16,Instructions!$I$16,IF(V195&gt;Instructions!$H$17,Instructions!$I$17,Instructions!$I$18))))</f>
        <v>MA-Landslide</v>
      </c>
      <c r="AA195" s="237">
        <f t="shared" si="69"/>
        <v>0</v>
      </c>
      <c r="AB195" s="237">
        <f t="shared" si="70"/>
        <v>74418</v>
      </c>
      <c r="AC195" s="238">
        <f t="shared" si="71"/>
        <v>10935</v>
      </c>
      <c r="AD195" s="389">
        <f t="shared" si="54"/>
        <v>85353</v>
      </c>
    </row>
    <row r="196" spans="1:31">
      <c r="A196" s="225" t="s">
        <v>86</v>
      </c>
      <c r="B196" s="226" t="s">
        <v>20</v>
      </c>
      <c r="C196" t="s">
        <v>500</v>
      </c>
      <c r="D196"/>
      <c r="E196"/>
      <c r="F196"/>
      <c r="G196"/>
      <c r="H196"/>
      <c r="I196" t="str">
        <f t="shared" si="50"/>
        <v>MA-Yes</v>
      </c>
      <c r="J196" t="str">
        <f t="shared" si="51"/>
        <v>MA-Yes</v>
      </c>
      <c r="K196" t="str">
        <f t="shared" si="73"/>
        <v/>
      </c>
      <c r="L196" t="str">
        <f t="shared" si="74"/>
        <v/>
      </c>
      <c r="M196" s="396">
        <v>1988</v>
      </c>
      <c r="N196" s="242">
        <v>2</v>
      </c>
      <c r="O196" s="415">
        <v>122751</v>
      </c>
      <c r="P196" s="416">
        <v>91209</v>
      </c>
      <c r="Q196" s="228">
        <f t="shared" si="75"/>
        <v>164</v>
      </c>
      <c r="R196" s="423">
        <v>214124</v>
      </c>
      <c r="S196" s="239"/>
      <c r="T196" s="231">
        <f t="shared" si="52"/>
        <v>122751</v>
      </c>
      <c r="U196" s="231">
        <f t="shared" si="43"/>
        <v>91209</v>
      </c>
      <c r="V196" s="232">
        <f t="shared" si="53"/>
        <v>0.14742007851934941</v>
      </c>
      <c r="W196" s="233">
        <f t="shared" si="72"/>
        <v>0.57327062823410735</v>
      </c>
      <c r="X196" s="234" t="str">
        <f t="shared" si="67"/>
        <v>MA-No</v>
      </c>
      <c r="Y196" s="235" t="str">
        <f t="shared" si="68"/>
        <v>MA-Dem</v>
      </c>
      <c r="Z196" s="236" t="str">
        <f>B196&amp;"-"&amp;IF(V196&gt;Instructions!$H$14,Instructions!$I$14,IF(V196&gt;Instructions!$H$15,Instructions!$I$15,IF(V196&gt;Instructions!$H$16,Instructions!$I$16,IF(V196&gt;Instructions!$H$17,Instructions!$I$17,Instructions!$I$18))))</f>
        <v>MA-Opportunity</v>
      </c>
      <c r="AA196" s="237">
        <f t="shared" si="69"/>
        <v>0</v>
      </c>
      <c r="AB196" s="237">
        <f t="shared" si="70"/>
        <v>91209</v>
      </c>
      <c r="AC196" s="238">
        <f t="shared" si="71"/>
        <v>164</v>
      </c>
      <c r="AD196" s="389">
        <f t="shared" si="54"/>
        <v>91373</v>
      </c>
    </row>
    <row r="197" spans="1:31">
      <c r="A197" s="225" t="s">
        <v>86</v>
      </c>
      <c r="B197" s="226" t="s">
        <v>20</v>
      </c>
      <c r="C197" t="s">
        <v>501</v>
      </c>
      <c r="D197"/>
      <c r="E197"/>
      <c r="F197"/>
      <c r="G197"/>
      <c r="H197"/>
      <c r="I197" t="str">
        <f t="shared" si="50"/>
        <v>MA-Yes</v>
      </c>
      <c r="J197" t="str">
        <f t="shared" si="51"/>
        <v>MA-Yes</v>
      </c>
      <c r="K197" t="str">
        <f t="shared" ref="K197:K203" si="76">IF(M197=2010, 1, "")</f>
        <v/>
      </c>
      <c r="L197"/>
      <c r="M197" s="396">
        <v>1996</v>
      </c>
      <c r="N197" s="242">
        <v>3</v>
      </c>
      <c r="O197" s="415">
        <v>122708</v>
      </c>
      <c r="P197" s="416">
        <v>85124</v>
      </c>
      <c r="Q197" s="228">
        <f t="shared" ref="Q197:Q204" si="77">R197-P197-O197</f>
        <v>78979</v>
      </c>
      <c r="R197" s="423">
        <v>286811</v>
      </c>
      <c r="S197" s="239"/>
      <c r="T197" s="231">
        <f t="shared" si="52"/>
        <v>122708</v>
      </c>
      <c r="U197" s="231">
        <f t="shared" si="43"/>
        <v>85124</v>
      </c>
      <c r="V197" s="232">
        <f t="shared" si="53"/>
        <v>0.1808383694522499</v>
      </c>
      <c r="W197" s="233">
        <f t="shared" si="72"/>
        <v>0.42783575246416627</v>
      </c>
      <c r="X197" s="234" t="str">
        <f t="shared" si="67"/>
        <v>MA-No</v>
      </c>
      <c r="Y197" s="235" t="str">
        <f t="shared" si="68"/>
        <v>MA-Dem</v>
      </c>
      <c r="Z197" s="236" t="str">
        <f>B197&amp;"-"&amp;IF(V197&gt;Instructions!$H$14,Instructions!$I$14,IF(V197&gt;Instructions!$H$15,Instructions!$I$15,IF(V197&gt;Instructions!$H$16,Instructions!$I$16,IF(V197&gt;Instructions!$H$17,Instructions!$I$17,Instructions!$I$18))))</f>
        <v>MA-Opportunity</v>
      </c>
      <c r="AA197" s="237">
        <f t="shared" si="69"/>
        <v>0</v>
      </c>
      <c r="AB197" s="237">
        <f t="shared" si="70"/>
        <v>85124</v>
      </c>
      <c r="AC197" s="238">
        <f t="shared" si="71"/>
        <v>78979</v>
      </c>
      <c r="AD197" s="389">
        <f t="shared" si="54"/>
        <v>164103</v>
      </c>
    </row>
    <row r="198" spans="1:31">
      <c r="A198" s="225" t="s">
        <v>86</v>
      </c>
      <c r="B198" s="226" t="s">
        <v>20</v>
      </c>
      <c r="C198" t="s">
        <v>502</v>
      </c>
      <c r="D198"/>
      <c r="E198"/>
      <c r="F198"/>
      <c r="G198"/>
      <c r="H198"/>
      <c r="I198" t="str">
        <f t="shared" si="50"/>
        <v>MA-Yes</v>
      </c>
      <c r="J198" t="str">
        <f t="shared" si="51"/>
        <v>MA-Yes</v>
      </c>
      <c r="K198" t="str">
        <f t="shared" si="76"/>
        <v/>
      </c>
      <c r="L198" t="str">
        <f t="shared" ref="L198:L202" si="78">IF(M198=2010, 1, "")</f>
        <v/>
      </c>
      <c r="M198" s="396">
        <v>1980</v>
      </c>
      <c r="N198" s="242">
        <v>4</v>
      </c>
      <c r="O198" s="415">
        <v>126194</v>
      </c>
      <c r="P198" s="416">
        <v>101517</v>
      </c>
      <c r="Q198" s="228">
        <f t="shared" si="77"/>
        <v>-18807</v>
      </c>
      <c r="R198" s="423">
        <v>208904</v>
      </c>
      <c r="S198" s="239"/>
      <c r="T198" s="231">
        <f t="shared" si="52"/>
        <v>126194</v>
      </c>
      <c r="U198" s="231">
        <f t="shared" si="43"/>
        <v>101517</v>
      </c>
      <c r="V198" s="232">
        <f t="shared" si="53"/>
        <v>0.1083698196398066</v>
      </c>
      <c r="W198" s="233">
        <f t="shared" si="72"/>
        <v>0.60407651361390879</v>
      </c>
      <c r="X198" s="234" t="str">
        <f t="shared" si="67"/>
        <v>MA-No</v>
      </c>
      <c r="Y198" s="235" t="str">
        <f t="shared" si="68"/>
        <v>MA-Dem</v>
      </c>
      <c r="Z198" s="236" t="str">
        <f>B198&amp;"-"&amp;IF(V198&gt;Instructions!$H$14,Instructions!$I$14,IF(V198&gt;Instructions!$H$15,Instructions!$I$15,IF(V198&gt;Instructions!$H$16,Instructions!$I$16,IF(V198&gt;Instructions!$H$17,Instructions!$I$17,Instructions!$I$18))))</f>
        <v>MA-Opportunity</v>
      </c>
      <c r="AA198" s="237">
        <f t="shared" si="69"/>
        <v>0</v>
      </c>
      <c r="AB198" s="237">
        <f t="shared" si="70"/>
        <v>101517</v>
      </c>
      <c r="AC198" s="238">
        <f t="shared" si="71"/>
        <v>-18807</v>
      </c>
      <c r="AD198" s="389">
        <f t="shared" si="54"/>
        <v>82710</v>
      </c>
    </row>
    <row r="199" spans="1:31">
      <c r="A199" s="225" t="s">
        <v>86</v>
      </c>
      <c r="B199" s="226" t="s">
        <v>20</v>
      </c>
      <c r="C199" t="s">
        <v>503</v>
      </c>
      <c r="D199" t="s">
        <v>783</v>
      </c>
      <c r="E199"/>
      <c r="F199"/>
      <c r="G199"/>
      <c r="H199"/>
      <c r="I199" t="str">
        <f t="shared" si="50"/>
        <v>MA-Yes</v>
      </c>
      <c r="J199" t="str">
        <f t="shared" si="51"/>
        <v>MA-Yes</v>
      </c>
      <c r="K199" t="str">
        <f t="shared" si="76"/>
        <v/>
      </c>
      <c r="L199" t="str">
        <f t="shared" si="78"/>
        <v/>
      </c>
      <c r="M199" s="396">
        <v>2007</v>
      </c>
      <c r="N199" s="242">
        <v>5</v>
      </c>
      <c r="O199" s="415">
        <v>122858</v>
      </c>
      <c r="P199" s="416">
        <v>94646</v>
      </c>
      <c r="Q199" s="228">
        <f t="shared" si="77"/>
        <v>23925</v>
      </c>
      <c r="R199" s="423">
        <v>241429</v>
      </c>
      <c r="S199" s="239"/>
      <c r="T199" s="231">
        <f t="shared" si="52"/>
        <v>122858</v>
      </c>
      <c r="U199" s="231">
        <f t="shared" ref="U199:U262" si="79">IF(Q199=MAX(O199:Q199),MAX(O199:P199),IF(P199&gt;O199,MAX(O199,Q199),MAX(P199,Q199)))</f>
        <v>94646</v>
      </c>
      <c r="V199" s="232">
        <f t="shared" si="53"/>
        <v>0.12970795939385024</v>
      </c>
      <c r="W199" s="233">
        <f t="shared" si="72"/>
        <v>0.50887838660641427</v>
      </c>
      <c r="X199" s="234" t="str">
        <f t="shared" si="67"/>
        <v>MA-No</v>
      </c>
      <c r="Y199" s="235" t="str">
        <f t="shared" si="68"/>
        <v>MA-Dem</v>
      </c>
      <c r="Z199" s="236" t="str">
        <f>B199&amp;"-"&amp;IF(V199&gt;Instructions!$H$14,Instructions!$I$14,IF(V199&gt;Instructions!$H$15,Instructions!$I$15,IF(V199&gt;Instructions!$H$16,Instructions!$I$16,IF(V199&gt;Instructions!$H$17,Instructions!$I$17,Instructions!$I$18))))</f>
        <v>MA-Opportunity</v>
      </c>
      <c r="AA199" s="237">
        <f t="shared" si="69"/>
        <v>0</v>
      </c>
      <c r="AB199" s="237">
        <f t="shared" si="70"/>
        <v>94646</v>
      </c>
      <c r="AC199" s="238">
        <f t="shared" si="71"/>
        <v>23925</v>
      </c>
      <c r="AD199" s="389">
        <f t="shared" si="54"/>
        <v>118571</v>
      </c>
    </row>
    <row r="200" spans="1:31">
      <c r="A200" s="225" t="s">
        <v>86</v>
      </c>
      <c r="B200" s="226" t="s">
        <v>20</v>
      </c>
      <c r="C200" t="s">
        <v>504</v>
      </c>
      <c r="D200"/>
      <c r="E200"/>
      <c r="F200"/>
      <c r="G200"/>
      <c r="H200"/>
      <c r="I200" t="str">
        <f t="shared" ref="I200:I263" si="80">B200&amp;"-"&amp;IF(K200=1, "Yes", IF(K200="", "Yes", IF(K200=0, "No")))</f>
        <v>MA-Yes</v>
      </c>
      <c r="J200" t="str">
        <f t="shared" ref="J200:J263" si="81">B200&amp;"-"&amp;IF(K200=1, "No", IF(L200=1, "No", IF(K200="", "Yes", IF(K200=0, "No"))))</f>
        <v>MA-Yes</v>
      </c>
      <c r="K200" t="str">
        <f t="shared" si="76"/>
        <v/>
      </c>
      <c r="L200" t="str">
        <f t="shared" si="78"/>
        <v/>
      </c>
      <c r="M200" s="396">
        <v>1996</v>
      </c>
      <c r="N200" s="242">
        <v>6</v>
      </c>
      <c r="O200" s="415">
        <v>142732</v>
      </c>
      <c r="P200" s="416">
        <v>107930</v>
      </c>
      <c r="Q200" s="228">
        <f t="shared" si="77"/>
        <v>-58642</v>
      </c>
      <c r="R200" s="423">
        <v>192020</v>
      </c>
      <c r="S200" s="239"/>
      <c r="T200" s="231">
        <f t="shared" ref="T200:T263" si="82">MAX(O200:Q200)</f>
        <v>142732</v>
      </c>
      <c r="U200" s="231">
        <f t="shared" si="79"/>
        <v>107930</v>
      </c>
      <c r="V200" s="232">
        <f t="shared" ref="V200:V263" si="83">ABS(O200-P200)/(O200+P200)</f>
        <v>0.13884035075121079</v>
      </c>
      <c r="W200" s="233">
        <f t="shared" si="72"/>
        <v>0.74331840433288199</v>
      </c>
      <c r="X200" s="234" t="str">
        <f t="shared" si="67"/>
        <v>MA-No</v>
      </c>
      <c r="Y200" s="235" t="str">
        <f t="shared" si="68"/>
        <v>MA-Dem</v>
      </c>
      <c r="Z200" s="236" t="str">
        <f>B200&amp;"-"&amp;IF(V200&gt;Instructions!$H$14,Instructions!$I$14,IF(V200&gt;Instructions!$H$15,Instructions!$I$15,IF(V200&gt;Instructions!$H$16,Instructions!$I$16,IF(V200&gt;Instructions!$H$17,Instructions!$I$17,Instructions!$I$18))))</f>
        <v>MA-Opportunity</v>
      </c>
      <c r="AA200" s="237">
        <f t="shared" si="69"/>
        <v>0</v>
      </c>
      <c r="AB200" s="237">
        <f t="shared" si="70"/>
        <v>107930</v>
      </c>
      <c r="AC200" s="238">
        <f t="shared" si="71"/>
        <v>-58642</v>
      </c>
      <c r="AD200" s="389">
        <f t="shared" ref="AD200:AD263" si="84">SUM(AA200:AC200)</f>
        <v>49288</v>
      </c>
    </row>
    <row r="201" spans="1:31">
      <c r="A201" s="225" t="s">
        <v>86</v>
      </c>
      <c r="B201" s="226" t="s">
        <v>20</v>
      </c>
      <c r="C201" s="426" t="s">
        <v>505</v>
      </c>
      <c r="D201"/>
      <c r="E201"/>
      <c r="F201"/>
      <c r="G201"/>
      <c r="H201"/>
      <c r="I201" t="str">
        <f t="shared" si="80"/>
        <v>MA-Yes</v>
      </c>
      <c r="J201" t="str">
        <f t="shared" si="81"/>
        <v>MA-Yes</v>
      </c>
      <c r="K201" t="str">
        <f t="shared" si="76"/>
        <v/>
      </c>
      <c r="L201" t="str">
        <f t="shared" si="78"/>
        <v/>
      </c>
      <c r="M201" s="396">
        <v>1976</v>
      </c>
      <c r="N201" s="242">
        <v>7</v>
      </c>
      <c r="O201" s="415">
        <v>145696</v>
      </c>
      <c r="P201" s="416">
        <v>73467</v>
      </c>
      <c r="Q201" s="228">
        <f t="shared" si="77"/>
        <v>22220</v>
      </c>
      <c r="R201" s="423">
        <v>241383</v>
      </c>
      <c r="S201" s="239"/>
      <c r="T201" s="231">
        <f t="shared" si="82"/>
        <v>145696</v>
      </c>
      <c r="U201" s="231">
        <f t="shared" si="79"/>
        <v>73467</v>
      </c>
      <c r="V201" s="232">
        <f t="shared" si="83"/>
        <v>0.329567490862965</v>
      </c>
      <c r="W201" s="233">
        <f t="shared" si="72"/>
        <v>0.60358848800454046</v>
      </c>
      <c r="X201" s="234" t="str">
        <f t="shared" si="67"/>
        <v>MA-No</v>
      </c>
      <c r="Y201" s="235" t="str">
        <f t="shared" si="68"/>
        <v>MA-Dem</v>
      </c>
      <c r="Z201" s="236" t="str">
        <f>B201&amp;"-"&amp;IF(V201&gt;Instructions!$H$14,Instructions!$I$14,IF(V201&gt;Instructions!$H$15,Instructions!$I$15,IF(V201&gt;Instructions!$H$16,Instructions!$I$16,IF(V201&gt;Instructions!$H$17,Instructions!$I$17,Instructions!$I$18))))</f>
        <v>MA-Landslide</v>
      </c>
      <c r="AA201" s="237">
        <f t="shared" si="69"/>
        <v>0</v>
      </c>
      <c r="AB201" s="237">
        <f t="shared" si="70"/>
        <v>73467</v>
      </c>
      <c r="AC201" s="238">
        <f t="shared" si="71"/>
        <v>22220</v>
      </c>
      <c r="AD201" s="389">
        <f t="shared" si="84"/>
        <v>95687</v>
      </c>
    </row>
    <row r="202" spans="1:31">
      <c r="A202" s="225" t="s">
        <v>86</v>
      </c>
      <c r="B202" s="226" t="s">
        <v>20</v>
      </c>
      <c r="C202" s="426" t="s">
        <v>506</v>
      </c>
      <c r="D202"/>
      <c r="E202"/>
      <c r="F202"/>
      <c r="G202"/>
      <c r="H202"/>
      <c r="I202" t="str">
        <f t="shared" si="80"/>
        <v>MA-Yes</v>
      </c>
      <c r="J202" t="str">
        <f t="shared" si="81"/>
        <v>MA-Yes</v>
      </c>
      <c r="K202" t="str">
        <f t="shared" si="76"/>
        <v/>
      </c>
      <c r="L202" t="str">
        <f t="shared" si="78"/>
        <v/>
      </c>
      <c r="M202" s="396">
        <v>1999</v>
      </c>
      <c r="N202" s="242">
        <v>8</v>
      </c>
      <c r="O202" s="417">
        <v>134974</v>
      </c>
      <c r="P202" s="418">
        <v>0</v>
      </c>
      <c r="Q202" s="228">
        <f t="shared" si="77"/>
        <v>107215</v>
      </c>
      <c r="R202" s="423">
        <v>242189</v>
      </c>
      <c r="S202" s="239"/>
      <c r="T202" s="231">
        <f t="shared" si="82"/>
        <v>134974</v>
      </c>
      <c r="U202" s="231">
        <f t="shared" si="79"/>
        <v>107215</v>
      </c>
      <c r="V202" s="232">
        <f t="shared" si="83"/>
        <v>1</v>
      </c>
      <c r="W202" s="233">
        <f t="shared" si="72"/>
        <v>0.55730854828253962</v>
      </c>
      <c r="X202" s="234" t="str">
        <f t="shared" si="67"/>
        <v>MA-Yes</v>
      </c>
      <c r="Y202" s="235" t="str">
        <f t="shared" si="68"/>
        <v>MA-Dem</v>
      </c>
      <c r="Z202" s="236" t="str">
        <f>B202&amp;"-"&amp;IF(V202&gt;Instructions!$H$14,Instructions!$I$14,IF(V202&gt;Instructions!$H$15,Instructions!$I$15,IF(V202&gt;Instructions!$H$16,Instructions!$I$16,IF(V202&gt;Instructions!$H$17,Instructions!$I$17,Instructions!$I$18))))</f>
        <v>MA-No contest</v>
      </c>
      <c r="AA202" s="237">
        <f t="shared" si="69"/>
        <v>0</v>
      </c>
      <c r="AB202" s="237">
        <f t="shared" si="70"/>
        <v>0</v>
      </c>
      <c r="AC202" s="238">
        <f t="shared" si="71"/>
        <v>107215</v>
      </c>
      <c r="AD202" s="389">
        <f t="shared" si="84"/>
        <v>107215</v>
      </c>
    </row>
    <row r="203" spans="1:31">
      <c r="A203" s="225" t="s">
        <v>86</v>
      </c>
      <c r="B203" s="226" t="s">
        <v>20</v>
      </c>
      <c r="C203" s="426" t="s">
        <v>507</v>
      </c>
      <c r="D203"/>
      <c r="E203"/>
      <c r="F203"/>
      <c r="G203"/>
      <c r="H203"/>
      <c r="I203" t="str">
        <f t="shared" si="80"/>
        <v>MA-Yes</v>
      </c>
      <c r="J203" t="str">
        <f t="shared" si="81"/>
        <v>MA-Yes</v>
      </c>
      <c r="K203" t="str">
        <f t="shared" si="76"/>
        <v/>
      </c>
      <c r="L203" t="str">
        <f t="shared" ref="L203:L266" si="85">IF(M203=2010, 1, "")</f>
        <v/>
      </c>
      <c r="M203" s="396">
        <v>2001</v>
      </c>
      <c r="N203" s="242">
        <v>9</v>
      </c>
      <c r="O203" s="415">
        <v>157071</v>
      </c>
      <c r="P203" s="416">
        <v>59965</v>
      </c>
      <c r="Q203" s="228">
        <f t="shared" si="77"/>
        <v>-13968</v>
      </c>
      <c r="R203" s="423">
        <v>203068</v>
      </c>
      <c r="S203" s="239"/>
      <c r="T203" s="231">
        <f t="shared" si="82"/>
        <v>157071</v>
      </c>
      <c r="U203" s="231">
        <f t="shared" si="79"/>
        <v>59965</v>
      </c>
      <c r="V203" s="232">
        <f t="shared" si="83"/>
        <v>0.447418861387051</v>
      </c>
      <c r="W203" s="233">
        <f t="shared" si="72"/>
        <v>0.77348966848543343</v>
      </c>
      <c r="X203" s="234" t="str">
        <f t="shared" si="67"/>
        <v>MA-No</v>
      </c>
      <c r="Y203" s="235" t="str">
        <f t="shared" si="68"/>
        <v>MA-Dem</v>
      </c>
      <c r="Z203" s="236" t="str">
        <f>B203&amp;"-"&amp;IF(V203&gt;Instructions!$H$14,Instructions!$I$14,IF(V203&gt;Instructions!$H$15,Instructions!$I$15,IF(V203&gt;Instructions!$H$16,Instructions!$I$16,IF(V203&gt;Instructions!$H$17,Instructions!$I$17,Instructions!$I$18))))</f>
        <v>MA-No contest</v>
      </c>
      <c r="AA203" s="237">
        <f t="shared" si="69"/>
        <v>0</v>
      </c>
      <c r="AB203" s="237">
        <f t="shared" si="70"/>
        <v>59965</v>
      </c>
      <c r="AC203" s="238">
        <f t="shared" si="71"/>
        <v>-13968</v>
      </c>
      <c r="AD203" s="389">
        <f t="shared" si="84"/>
        <v>45997</v>
      </c>
    </row>
    <row r="204" spans="1:31">
      <c r="A204" s="225" t="s">
        <v>86</v>
      </c>
      <c r="B204" s="226" t="s">
        <v>20</v>
      </c>
      <c r="C204" t="s">
        <v>508</v>
      </c>
      <c r="D204"/>
      <c r="E204"/>
      <c r="F204"/>
      <c r="G204"/>
      <c r="H204"/>
      <c r="I204" t="str">
        <f t="shared" si="80"/>
        <v>MA-No</v>
      </c>
      <c r="J204" t="str">
        <f t="shared" si="81"/>
        <v>MA-No</v>
      </c>
      <c r="K204">
        <v>0</v>
      </c>
      <c r="L204"/>
      <c r="M204" s="290">
        <v>2010</v>
      </c>
      <c r="N204" s="242">
        <v>10</v>
      </c>
      <c r="O204" s="415">
        <v>132743</v>
      </c>
      <c r="P204" s="416">
        <v>120029</v>
      </c>
      <c r="Q204" s="228">
        <f t="shared" si="77"/>
        <v>123094</v>
      </c>
      <c r="R204" s="423">
        <v>375866</v>
      </c>
      <c r="S204" s="239"/>
      <c r="T204" s="231">
        <f t="shared" si="82"/>
        <v>132743</v>
      </c>
      <c r="U204" s="231">
        <f t="shared" si="79"/>
        <v>123094</v>
      </c>
      <c r="V204" s="232">
        <f t="shared" si="83"/>
        <v>5.0298292532400743E-2</v>
      </c>
      <c r="W204" s="233">
        <f t="shared" si="72"/>
        <v>0.35316575588108529</v>
      </c>
      <c r="X204" s="234" t="str">
        <f t="shared" si="67"/>
        <v>MA-No</v>
      </c>
      <c r="Y204" s="235" t="str">
        <f t="shared" si="68"/>
        <v>MA-Dem</v>
      </c>
      <c r="Z204" s="236" t="str">
        <f>B204&amp;"-"&amp;IF(V204&gt;Instructions!$H$14,Instructions!$I$14,IF(V204&gt;Instructions!$H$15,Instructions!$I$15,IF(V204&gt;Instructions!$H$16,Instructions!$I$16,IF(V204&gt;Instructions!$H$17,Instructions!$I$17,Instructions!$I$18))))</f>
        <v>MA-Competitive</v>
      </c>
      <c r="AA204" s="237">
        <f t="shared" si="69"/>
        <v>0</v>
      </c>
      <c r="AB204" s="237">
        <f t="shared" si="70"/>
        <v>120029</v>
      </c>
      <c r="AC204" s="238">
        <f t="shared" si="71"/>
        <v>123094</v>
      </c>
      <c r="AD204" s="389">
        <f t="shared" si="84"/>
        <v>243123</v>
      </c>
      <c r="AE204" s="389">
        <f>SUM(AD195:AD204)</f>
        <v>1083420</v>
      </c>
    </row>
    <row r="205" spans="1:31">
      <c r="A205" s="225" t="s">
        <v>87</v>
      </c>
      <c r="B205" s="226" t="s">
        <v>21</v>
      </c>
      <c r="C205" t="s">
        <v>519</v>
      </c>
      <c r="D205"/>
      <c r="E205"/>
      <c r="F205"/>
      <c r="G205"/>
      <c r="H205"/>
      <c r="I205" t="str">
        <f t="shared" si="80"/>
        <v>MI-No</v>
      </c>
      <c r="J205" t="str">
        <f t="shared" si="81"/>
        <v>MI-No</v>
      </c>
      <c r="K205">
        <v>0</v>
      </c>
      <c r="L205" t="str">
        <f>B205&amp;"-"&amp;IF(M205=2010, 1, "")</f>
        <v>MI-1</v>
      </c>
      <c r="M205">
        <v>2010</v>
      </c>
      <c r="N205" s="242">
        <v>1</v>
      </c>
      <c r="O205" s="415">
        <v>94824</v>
      </c>
      <c r="P205" s="416">
        <v>120523</v>
      </c>
      <c r="Q205" s="228">
        <f t="shared" ref="Q205:Q262" si="86">R205-P205-O205</f>
        <v>16690</v>
      </c>
      <c r="R205" s="423">
        <v>232037</v>
      </c>
      <c r="S205" s="239"/>
      <c r="T205" s="231">
        <f t="shared" si="82"/>
        <v>120523</v>
      </c>
      <c r="U205" s="231">
        <f t="shared" si="79"/>
        <v>94824</v>
      </c>
      <c r="V205" s="232">
        <f t="shared" si="83"/>
        <v>0.1193376271784608</v>
      </c>
      <c r="W205" s="233">
        <f t="shared" si="72"/>
        <v>0.51941285226063083</v>
      </c>
      <c r="X205" s="234" t="str">
        <f t="shared" si="67"/>
        <v>MI-No</v>
      </c>
      <c r="Y205" s="235" t="str">
        <f t="shared" si="68"/>
        <v>MI-Rep</v>
      </c>
      <c r="Z205" s="236" t="str">
        <f>B205&amp;"-"&amp;IF(V205&gt;Instructions!$H$14,Instructions!$I$14,IF(V205&gt;Instructions!$H$15,Instructions!$I$15,IF(V205&gt;Instructions!$H$16,Instructions!$I$16,IF(V205&gt;Instructions!$H$17,Instructions!$I$17,Instructions!$I$18))))</f>
        <v>MI-Opportunity</v>
      </c>
      <c r="AA205" s="237">
        <f t="shared" si="69"/>
        <v>94824</v>
      </c>
      <c r="AB205" s="237">
        <f t="shared" si="70"/>
        <v>0</v>
      </c>
      <c r="AC205" s="238">
        <f t="shared" si="71"/>
        <v>16690</v>
      </c>
      <c r="AD205" s="389">
        <f t="shared" si="84"/>
        <v>111514</v>
      </c>
    </row>
    <row r="206" spans="1:31">
      <c r="A206" s="225" t="s">
        <v>87</v>
      </c>
      <c r="B206" s="226" t="s">
        <v>21</v>
      </c>
      <c r="C206" t="s">
        <v>520</v>
      </c>
      <c r="D206"/>
      <c r="E206"/>
      <c r="F206"/>
      <c r="G206"/>
      <c r="H206"/>
      <c r="I206" t="str">
        <f t="shared" si="80"/>
        <v>MI-No</v>
      </c>
      <c r="J206" t="str">
        <f t="shared" si="81"/>
        <v>MI-No</v>
      </c>
      <c r="K206">
        <v>0</v>
      </c>
      <c r="L206"/>
      <c r="M206">
        <v>2010</v>
      </c>
      <c r="N206" s="242">
        <v>2</v>
      </c>
      <c r="O206" s="415">
        <v>72118</v>
      </c>
      <c r="P206" s="416">
        <v>148864</v>
      </c>
      <c r="Q206" s="228">
        <f t="shared" si="86"/>
        <v>7096</v>
      </c>
      <c r="R206" s="423">
        <v>228078</v>
      </c>
      <c r="S206" s="239"/>
      <c r="T206" s="231">
        <f t="shared" si="82"/>
        <v>148864</v>
      </c>
      <c r="U206" s="231">
        <f t="shared" si="79"/>
        <v>72118</v>
      </c>
      <c r="V206" s="232">
        <f t="shared" si="83"/>
        <v>0.34729525481713441</v>
      </c>
      <c r="W206" s="233">
        <f t="shared" si="72"/>
        <v>0.65268899236226208</v>
      </c>
      <c r="X206" s="234" t="str">
        <f t="shared" si="67"/>
        <v>MI-No</v>
      </c>
      <c r="Y206" s="235" t="str">
        <f t="shared" si="68"/>
        <v>MI-Rep</v>
      </c>
      <c r="Z206" s="236" t="str">
        <f>B206&amp;"-"&amp;IF(V206&gt;Instructions!$H$14,Instructions!$I$14,IF(V206&gt;Instructions!$H$15,Instructions!$I$15,IF(V206&gt;Instructions!$H$16,Instructions!$I$16,IF(V206&gt;Instructions!$H$17,Instructions!$I$17,Instructions!$I$18))))</f>
        <v>MI-Landslide</v>
      </c>
      <c r="AA206" s="237">
        <f t="shared" si="69"/>
        <v>72118</v>
      </c>
      <c r="AB206" s="237">
        <f t="shared" si="70"/>
        <v>0</v>
      </c>
      <c r="AC206" s="238">
        <f t="shared" si="71"/>
        <v>7096</v>
      </c>
      <c r="AD206" s="389">
        <f t="shared" si="84"/>
        <v>79214</v>
      </c>
    </row>
    <row r="207" spans="1:31">
      <c r="A207" s="225" t="s">
        <v>87</v>
      </c>
      <c r="B207" s="226" t="s">
        <v>21</v>
      </c>
      <c r="C207" t="s">
        <v>521</v>
      </c>
      <c r="D207"/>
      <c r="E207"/>
      <c r="F207"/>
      <c r="G207"/>
      <c r="H207"/>
      <c r="I207" t="str">
        <f t="shared" si="80"/>
        <v>MI-No</v>
      </c>
      <c r="J207" t="str">
        <f t="shared" si="81"/>
        <v>MI-No</v>
      </c>
      <c r="K207">
        <v>0</v>
      </c>
      <c r="L207"/>
      <c r="M207">
        <v>2010</v>
      </c>
      <c r="N207" s="242">
        <v>3</v>
      </c>
      <c r="O207" s="415">
        <v>83953</v>
      </c>
      <c r="P207" s="416">
        <v>133714</v>
      </c>
      <c r="Q207" s="228">
        <f t="shared" si="86"/>
        <v>6396</v>
      </c>
      <c r="R207" s="423">
        <v>224063</v>
      </c>
      <c r="S207" s="239"/>
      <c r="T207" s="231">
        <f t="shared" si="82"/>
        <v>133714</v>
      </c>
      <c r="U207" s="231">
        <f t="shared" si="79"/>
        <v>83953</v>
      </c>
      <c r="V207" s="232">
        <f t="shared" si="83"/>
        <v>0.22861067594077192</v>
      </c>
      <c r="W207" s="233">
        <f t="shared" si="72"/>
        <v>0.59676965853353747</v>
      </c>
      <c r="X207" s="234" t="str">
        <f t="shared" si="67"/>
        <v>MI-No</v>
      </c>
      <c r="Y207" s="235" t="str">
        <f t="shared" si="68"/>
        <v>MI-Rep</v>
      </c>
      <c r="Z207" s="236" t="str">
        <f>B207&amp;"-"&amp;IF(V207&gt;Instructions!$H$14,Instructions!$I$14,IF(V207&gt;Instructions!$H$15,Instructions!$I$15,IF(V207&gt;Instructions!$H$16,Instructions!$I$16,IF(V207&gt;Instructions!$H$17,Instructions!$I$17,Instructions!$I$18))))</f>
        <v>MI-Landslide</v>
      </c>
      <c r="AA207" s="237">
        <f t="shared" si="69"/>
        <v>83953</v>
      </c>
      <c r="AB207" s="237">
        <f t="shared" si="70"/>
        <v>0</v>
      </c>
      <c r="AC207" s="238">
        <f t="shared" si="71"/>
        <v>6396</v>
      </c>
      <c r="AD207" s="389">
        <f t="shared" si="84"/>
        <v>90349</v>
      </c>
    </row>
    <row r="208" spans="1:31">
      <c r="A208" s="225" t="s">
        <v>87</v>
      </c>
      <c r="B208" s="226" t="s">
        <v>21</v>
      </c>
      <c r="C208" s="426" t="s">
        <v>522</v>
      </c>
      <c r="D208"/>
      <c r="E208"/>
      <c r="F208"/>
      <c r="G208"/>
      <c r="H208"/>
      <c r="I208" t="str">
        <f t="shared" si="80"/>
        <v>MI-Yes</v>
      </c>
      <c r="J208" t="str">
        <f t="shared" si="81"/>
        <v>MI-Yes</v>
      </c>
      <c r="K208" t="str">
        <f t="shared" si="65"/>
        <v/>
      </c>
      <c r="L208" t="str">
        <f t="shared" si="85"/>
        <v/>
      </c>
      <c r="M208">
        <v>1990</v>
      </c>
      <c r="N208" s="242">
        <v>4</v>
      </c>
      <c r="O208" s="415">
        <v>68458</v>
      </c>
      <c r="P208" s="416">
        <v>148531</v>
      </c>
      <c r="Q208" s="228">
        <f t="shared" si="86"/>
        <v>7365</v>
      </c>
      <c r="R208" s="423">
        <v>224354</v>
      </c>
      <c r="S208" s="239"/>
      <c r="T208" s="231">
        <f t="shared" si="82"/>
        <v>148531</v>
      </c>
      <c r="U208" s="231">
        <f t="shared" si="79"/>
        <v>68458</v>
      </c>
      <c r="V208" s="232">
        <f t="shared" si="83"/>
        <v>0.3690187060173557</v>
      </c>
      <c r="W208" s="233">
        <f t="shared" si="72"/>
        <v>0.66203856405502015</v>
      </c>
      <c r="X208" s="234" t="str">
        <f t="shared" si="67"/>
        <v>MI-No</v>
      </c>
      <c r="Y208" s="235" t="str">
        <f t="shared" si="68"/>
        <v>MI-Rep</v>
      </c>
      <c r="Z208" s="236" t="str">
        <f>B208&amp;"-"&amp;IF(V208&gt;Instructions!$H$14,Instructions!$I$14,IF(V208&gt;Instructions!$H$15,Instructions!$I$15,IF(V208&gt;Instructions!$H$16,Instructions!$I$16,IF(V208&gt;Instructions!$H$17,Instructions!$I$17,Instructions!$I$18))))</f>
        <v>MI-Landslide</v>
      </c>
      <c r="AA208" s="237">
        <f t="shared" si="69"/>
        <v>68458</v>
      </c>
      <c r="AB208" s="237">
        <f t="shared" si="70"/>
        <v>0</v>
      </c>
      <c r="AC208" s="238">
        <f t="shared" si="71"/>
        <v>7365</v>
      </c>
      <c r="AD208" s="389">
        <f t="shared" si="84"/>
        <v>75823</v>
      </c>
    </row>
    <row r="209" spans="1:31">
      <c r="A209" s="225" t="s">
        <v>87</v>
      </c>
      <c r="B209" s="226" t="s">
        <v>21</v>
      </c>
      <c r="C209" t="s">
        <v>523</v>
      </c>
      <c r="D209"/>
      <c r="E209"/>
      <c r="F209"/>
      <c r="G209"/>
      <c r="H209"/>
      <c r="I209" t="str">
        <f t="shared" si="80"/>
        <v>MI-Yes</v>
      </c>
      <c r="J209" t="str">
        <f t="shared" si="81"/>
        <v>MI-Yes</v>
      </c>
      <c r="K209" t="str">
        <f t="shared" si="65"/>
        <v/>
      </c>
      <c r="L209" t="str">
        <f t="shared" si="85"/>
        <v/>
      </c>
      <c r="M209">
        <v>1976</v>
      </c>
      <c r="N209" s="242">
        <v>5</v>
      </c>
      <c r="O209" s="415">
        <v>107286</v>
      </c>
      <c r="P209" s="416">
        <v>89680</v>
      </c>
      <c r="Q209" s="228">
        <f t="shared" si="86"/>
        <v>5297</v>
      </c>
      <c r="R209" s="423">
        <v>202263</v>
      </c>
      <c r="S209" s="239"/>
      <c r="T209" s="231">
        <f t="shared" si="82"/>
        <v>107286</v>
      </c>
      <c r="U209" s="231">
        <f t="shared" si="79"/>
        <v>89680</v>
      </c>
      <c r="V209" s="232">
        <f t="shared" si="83"/>
        <v>8.9385985398495169E-2</v>
      </c>
      <c r="W209" s="233">
        <f t="shared" si="72"/>
        <v>0.53042820486198661</v>
      </c>
      <c r="X209" s="234" t="str">
        <f t="shared" si="67"/>
        <v>MI-No</v>
      </c>
      <c r="Y209" s="235" t="str">
        <f t="shared" si="68"/>
        <v>MI-Dem</v>
      </c>
      <c r="Z209" s="236" t="str">
        <f>B209&amp;"-"&amp;IF(V209&gt;Instructions!$H$14,Instructions!$I$14,IF(V209&gt;Instructions!$H$15,Instructions!$I$15,IF(V209&gt;Instructions!$H$16,Instructions!$I$16,IF(V209&gt;Instructions!$H$17,Instructions!$I$17,Instructions!$I$18))))</f>
        <v>MI-Competitive</v>
      </c>
      <c r="AA209" s="237">
        <f t="shared" si="69"/>
        <v>0</v>
      </c>
      <c r="AB209" s="237">
        <f t="shared" si="70"/>
        <v>89680</v>
      </c>
      <c r="AC209" s="238">
        <f t="shared" si="71"/>
        <v>5297</v>
      </c>
      <c r="AD209" s="389">
        <f t="shared" si="84"/>
        <v>94977</v>
      </c>
    </row>
    <row r="210" spans="1:31">
      <c r="A210" s="225" t="s">
        <v>87</v>
      </c>
      <c r="B210" s="226" t="s">
        <v>21</v>
      </c>
      <c r="C210" s="426" t="s">
        <v>524</v>
      </c>
      <c r="D210"/>
      <c r="E210"/>
      <c r="F210"/>
      <c r="G210"/>
      <c r="H210"/>
      <c r="I210" t="str">
        <f t="shared" si="80"/>
        <v>MI-Yes</v>
      </c>
      <c r="J210" t="str">
        <f t="shared" si="81"/>
        <v>MI-Yes</v>
      </c>
      <c r="K210" t="str">
        <f t="shared" si="65"/>
        <v/>
      </c>
      <c r="L210" t="str">
        <f t="shared" si="85"/>
        <v/>
      </c>
      <c r="M210">
        <v>1986</v>
      </c>
      <c r="N210" s="242">
        <v>6</v>
      </c>
      <c r="O210" s="415">
        <v>66729</v>
      </c>
      <c r="P210" s="416">
        <v>123142</v>
      </c>
      <c r="Q210" s="228">
        <f t="shared" si="86"/>
        <v>8825</v>
      </c>
      <c r="R210" s="423">
        <v>198696</v>
      </c>
      <c r="S210" s="239"/>
      <c r="T210" s="231">
        <f t="shared" si="82"/>
        <v>123142</v>
      </c>
      <c r="U210" s="231">
        <f t="shared" si="79"/>
        <v>66729</v>
      </c>
      <c r="V210" s="232">
        <f t="shared" si="83"/>
        <v>0.29711224989598201</v>
      </c>
      <c r="W210" s="233">
        <f t="shared" si="72"/>
        <v>0.61975077505334786</v>
      </c>
      <c r="X210" s="234" t="str">
        <f t="shared" si="67"/>
        <v>MI-No</v>
      </c>
      <c r="Y210" s="235" t="str">
        <f t="shared" si="68"/>
        <v>MI-Rep</v>
      </c>
      <c r="Z210" s="236" t="str">
        <f>B210&amp;"-"&amp;IF(V210&gt;Instructions!$H$14,Instructions!$I$14,IF(V210&gt;Instructions!$H$15,Instructions!$I$15,IF(V210&gt;Instructions!$H$16,Instructions!$I$16,IF(V210&gt;Instructions!$H$17,Instructions!$I$17,Instructions!$I$18))))</f>
        <v>MI-Landslide</v>
      </c>
      <c r="AA210" s="237">
        <f t="shared" si="69"/>
        <v>66729</v>
      </c>
      <c r="AB210" s="237">
        <f t="shared" si="70"/>
        <v>0</v>
      </c>
      <c r="AC210" s="238">
        <f t="shared" si="71"/>
        <v>8825</v>
      </c>
      <c r="AD210" s="389">
        <f t="shared" si="84"/>
        <v>75554</v>
      </c>
    </row>
    <row r="211" spans="1:31">
      <c r="A211" s="225" t="s">
        <v>87</v>
      </c>
      <c r="B211" s="226" t="s">
        <v>21</v>
      </c>
      <c r="C211" t="s">
        <v>525</v>
      </c>
      <c r="D211"/>
      <c r="E211"/>
      <c r="F211"/>
      <c r="G211"/>
      <c r="H211"/>
      <c r="I211" t="str">
        <f t="shared" si="80"/>
        <v>MI-Yes</v>
      </c>
      <c r="J211" t="str">
        <f t="shared" si="81"/>
        <v>MI-No</v>
      </c>
      <c r="K211">
        <f t="shared" si="65"/>
        <v>1</v>
      </c>
      <c r="L211" t="str">
        <f>B211&amp;"-"&amp;IF(M211=2010, 1, "")</f>
        <v>MI-1</v>
      </c>
      <c r="M211">
        <v>2010</v>
      </c>
      <c r="N211" s="242">
        <v>7</v>
      </c>
      <c r="O211" s="415">
        <v>102402</v>
      </c>
      <c r="P211" s="416">
        <v>113185</v>
      </c>
      <c r="Q211" s="228">
        <f t="shared" si="86"/>
        <v>10082</v>
      </c>
      <c r="R211" s="423">
        <v>225669</v>
      </c>
      <c r="S211" s="239"/>
      <c r="T211" s="231">
        <f t="shared" si="82"/>
        <v>113185</v>
      </c>
      <c r="U211" s="231">
        <f t="shared" si="79"/>
        <v>102402</v>
      </c>
      <c r="V211" s="232">
        <f t="shared" si="83"/>
        <v>5.0016930519929309E-2</v>
      </c>
      <c r="W211" s="233">
        <f t="shared" si="72"/>
        <v>0.5015531597162215</v>
      </c>
      <c r="X211" s="234" t="str">
        <f t="shared" si="67"/>
        <v>MI-No</v>
      </c>
      <c r="Y211" s="235" t="str">
        <f t="shared" si="68"/>
        <v>MI-Rep</v>
      </c>
      <c r="Z211" s="236" t="str">
        <f>B211&amp;"-"&amp;IF(V211&gt;Instructions!$H$14,Instructions!$I$14,IF(V211&gt;Instructions!$H$15,Instructions!$I$15,IF(V211&gt;Instructions!$H$16,Instructions!$I$16,IF(V211&gt;Instructions!$H$17,Instructions!$I$17,Instructions!$I$18))))</f>
        <v>MI-Competitive</v>
      </c>
      <c r="AA211" s="237">
        <f t="shared" si="69"/>
        <v>102402</v>
      </c>
      <c r="AB211" s="237">
        <f t="shared" si="70"/>
        <v>0</v>
      </c>
      <c r="AC211" s="238">
        <f t="shared" si="71"/>
        <v>10082</v>
      </c>
      <c r="AD211" s="389">
        <f t="shared" si="84"/>
        <v>112484</v>
      </c>
    </row>
    <row r="212" spans="1:31">
      <c r="A212" s="225" t="s">
        <v>87</v>
      </c>
      <c r="B212" s="226" t="s">
        <v>21</v>
      </c>
      <c r="C212" t="s">
        <v>526</v>
      </c>
      <c r="D212"/>
      <c r="E212"/>
      <c r="F212"/>
      <c r="G212"/>
      <c r="H212"/>
      <c r="I212" t="str">
        <f t="shared" si="80"/>
        <v>MI-Yes</v>
      </c>
      <c r="J212" t="str">
        <f t="shared" si="81"/>
        <v>MI-Yes</v>
      </c>
      <c r="K212" t="str">
        <f t="shared" si="65"/>
        <v/>
      </c>
      <c r="L212" t="str">
        <f t="shared" si="85"/>
        <v/>
      </c>
      <c r="M212">
        <v>2000</v>
      </c>
      <c r="N212" s="242">
        <v>8</v>
      </c>
      <c r="O212" s="415">
        <v>84069</v>
      </c>
      <c r="P212" s="416">
        <v>156931</v>
      </c>
      <c r="Q212" s="228">
        <f t="shared" si="86"/>
        <v>3894</v>
      </c>
      <c r="R212" s="423">
        <v>244894</v>
      </c>
      <c r="S212" s="239"/>
      <c r="T212" s="231">
        <f t="shared" si="82"/>
        <v>156931</v>
      </c>
      <c r="U212" s="231">
        <f t="shared" si="79"/>
        <v>84069</v>
      </c>
      <c r="V212" s="232">
        <f t="shared" si="83"/>
        <v>0.30233195020746889</v>
      </c>
      <c r="W212" s="233">
        <f t="shared" si="72"/>
        <v>0.64081194312641387</v>
      </c>
      <c r="X212" s="234" t="str">
        <f t="shared" si="67"/>
        <v>MI-No</v>
      </c>
      <c r="Y212" s="235" t="str">
        <f t="shared" si="68"/>
        <v>MI-Rep</v>
      </c>
      <c r="Z212" s="236" t="str">
        <f>B212&amp;"-"&amp;IF(V212&gt;Instructions!$H$14,Instructions!$I$14,IF(V212&gt;Instructions!$H$15,Instructions!$I$15,IF(V212&gt;Instructions!$H$16,Instructions!$I$16,IF(V212&gt;Instructions!$H$17,Instructions!$I$17,Instructions!$I$18))))</f>
        <v>MI-Landslide</v>
      </c>
      <c r="AA212" s="237">
        <f t="shared" si="69"/>
        <v>84069</v>
      </c>
      <c r="AB212" s="237">
        <f t="shared" si="70"/>
        <v>0</v>
      </c>
      <c r="AC212" s="238">
        <f t="shared" si="71"/>
        <v>3894</v>
      </c>
      <c r="AD212" s="389">
        <f t="shared" si="84"/>
        <v>87963</v>
      </c>
    </row>
    <row r="213" spans="1:31">
      <c r="A213" s="225" t="s">
        <v>87</v>
      </c>
      <c r="B213" s="226" t="s">
        <v>21</v>
      </c>
      <c r="C213" t="s">
        <v>527</v>
      </c>
      <c r="D213"/>
      <c r="E213"/>
      <c r="F213"/>
      <c r="G213"/>
      <c r="H213"/>
      <c r="I213" t="str">
        <f t="shared" si="80"/>
        <v>MI-Yes</v>
      </c>
      <c r="J213" t="str">
        <f t="shared" si="81"/>
        <v>MI-Yes</v>
      </c>
      <c r="K213" t="str">
        <f t="shared" si="65"/>
        <v/>
      </c>
      <c r="L213" t="str">
        <f>IF(M213=2010, 1, "")</f>
        <v/>
      </c>
      <c r="M213">
        <v>2008</v>
      </c>
      <c r="N213" s="242">
        <v>9</v>
      </c>
      <c r="O213" s="415">
        <v>125730</v>
      </c>
      <c r="P213" s="416">
        <v>119325</v>
      </c>
      <c r="Q213" s="228">
        <f t="shared" si="86"/>
        <v>7595</v>
      </c>
      <c r="R213" s="423">
        <v>252650</v>
      </c>
      <c r="S213" s="239"/>
      <c r="T213" s="231">
        <f t="shared" si="82"/>
        <v>125730</v>
      </c>
      <c r="U213" s="231">
        <f t="shared" si="79"/>
        <v>119325</v>
      </c>
      <c r="V213" s="232">
        <f t="shared" si="83"/>
        <v>2.6136989655383486E-2</v>
      </c>
      <c r="W213" s="233">
        <f t="shared" si="72"/>
        <v>0.49764496338808628</v>
      </c>
      <c r="X213" s="234" t="str">
        <f t="shared" si="67"/>
        <v>MI-No</v>
      </c>
      <c r="Y213" s="235" t="str">
        <f t="shared" si="68"/>
        <v>MI-Dem</v>
      </c>
      <c r="Z213" s="236" t="str">
        <f>B213&amp;"-"&amp;IF(V213&gt;Instructions!$H$14,Instructions!$I$14,IF(V213&gt;Instructions!$H$15,Instructions!$I$15,IF(V213&gt;Instructions!$H$16,Instructions!$I$16,IF(V213&gt;Instructions!$H$17,Instructions!$I$17,Instructions!$I$18))))</f>
        <v>MI-Tight</v>
      </c>
      <c r="AA213" s="237">
        <f t="shared" si="69"/>
        <v>0</v>
      </c>
      <c r="AB213" s="237">
        <f t="shared" si="70"/>
        <v>119325</v>
      </c>
      <c r="AC213" s="238">
        <f t="shared" si="71"/>
        <v>7595</v>
      </c>
      <c r="AD213" s="389">
        <f t="shared" si="84"/>
        <v>126920</v>
      </c>
    </row>
    <row r="214" spans="1:31">
      <c r="A214" s="225" t="s">
        <v>87</v>
      </c>
      <c r="B214" s="226" t="s">
        <v>21</v>
      </c>
      <c r="C214" s="426" t="s">
        <v>528</v>
      </c>
      <c r="D214" t="s">
        <v>784</v>
      </c>
      <c r="E214"/>
      <c r="F214"/>
      <c r="G214"/>
      <c r="H214"/>
      <c r="I214" t="str">
        <f t="shared" si="80"/>
        <v>MI-Yes</v>
      </c>
      <c r="J214" t="str">
        <f t="shared" si="81"/>
        <v>MI-Yes</v>
      </c>
      <c r="K214" t="str">
        <f t="shared" si="65"/>
        <v/>
      </c>
      <c r="L214" t="str">
        <f t="shared" si="85"/>
        <v/>
      </c>
      <c r="M214">
        <v>2002</v>
      </c>
      <c r="N214" s="242">
        <v>10</v>
      </c>
      <c r="O214" s="415">
        <v>58530</v>
      </c>
      <c r="P214" s="416">
        <v>168364</v>
      </c>
      <c r="Q214" s="228">
        <f t="shared" si="86"/>
        <v>7036</v>
      </c>
      <c r="R214" s="423">
        <v>233930</v>
      </c>
      <c r="S214" s="239"/>
      <c r="T214" s="231">
        <f t="shared" si="82"/>
        <v>168364</v>
      </c>
      <c r="U214" s="231">
        <f t="shared" si="79"/>
        <v>58530</v>
      </c>
      <c r="V214" s="232">
        <f t="shared" si="83"/>
        <v>0.48407626468747522</v>
      </c>
      <c r="W214" s="233">
        <f t="shared" si="72"/>
        <v>0.71971957423160771</v>
      </c>
      <c r="X214" s="234" t="str">
        <f t="shared" si="67"/>
        <v>MI-No</v>
      </c>
      <c r="Y214" s="235" t="str">
        <f t="shared" si="68"/>
        <v>MI-Rep</v>
      </c>
      <c r="Z214" s="236" t="str">
        <f>B214&amp;"-"&amp;IF(V214&gt;Instructions!$H$14,Instructions!$I$14,IF(V214&gt;Instructions!$H$15,Instructions!$I$15,IF(V214&gt;Instructions!$H$16,Instructions!$I$16,IF(V214&gt;Instructions!$H$17,Instructions!$I$17,Instructions!$I$18))))</f>
        <v>MI-No contest</v>
      </c>
      <c r="AA214" s="237">
        <f t="shared" si="69"/>
        <v>58530</v>
      </c>
      <c r="AB214" s="237">
        <f t="shared" si="70"/>
        <v>0</v>
      </c>
      <c r="AC214" s="238">
        <f t="shared" si="71"/>
        <v>7036</v>
      </c>
      <c r="AD214" s="389">
        <f t="shared" si="84"/>
        <v>65566</v>
      </c>
    </row>
    <row r="215" spans="1:31">
      <c r="A215" s="225" t="s">
        <v>87</v>
      </c>
      <c r="B215" s="226" t="s">
        <v>21</v>
      </c>
      <c r="C215" t="s">
        <v>529</v>
      </c>
      <c r="D215"/>
      <c r="E215"/>
      <c r="F215"/>
      <c r="G215"/>
      <c r="H215"/>
      <c r="I215" t="str">
        <f t="shared" si="80"/>
        <v>MI-Yes</v>
      </c>
      <c r="J215" t="str">
        <f t="shared" si="81"/>
        <v>MI-Yes</v>
      </c>
      <c r="K215" t="str">
        <f t="shared" si="65"/>
        <v/>
      </c>
      <c r="L215" t="str">
        <f t="shared" si="85"/>
        <v/>
      </c>
      <c r="M215">
        <v>2002</v>
      </c>
      <c r="N215" s="242">
        <v>11</v>
      </c>
      <c r="O215" s="415">
        <v>91710</v>
      </c>
      <c r="P215" s="416">
        <v>141224</v>
      </c>
      <c r="Q215" s="228">
        <f t="shared" si="86"/>
        <v>5353</v>
      </c>
      <c r="R215" s="423">
        <v>238287</v>
      </c>
      <c r="S215" s="239"/>
      <c r="T215" s="231">
        <f t="shared" si="82"/>
        <v>141224</v>
      </c>
      <c r="U215" s="231">
        <f t="shared" si="79"/>
        <v>91710</v>
      </c>
      <c r="V215" s="232">
        <f t="shared" si="83"/>
        <v>0.21256664978062456</v>
      </c>
      <c r="W215" s="233">
        <f t="shared" si="72"/>
        <v>0.59266346884219445</v>
      </c>
      <c r="X215" s="234" t="str">
        <f t="shared" si="67"/>
        <v>MI-No</v>
      </c>
      <c r="Y215" s="235" t="str">
        <f t="shared" si="68"/>
        <v>MI-Rep</v>
      </c>
      <c r="Z215" s="236" t="str">
        <f>B215&amp;"-"&amp;IF(V215&gt;Instructions!$H$14,Instructions!$I$14,IF(V215&gt;Instructions!$H$15,Instructions!$I$15,IF(V215&gt;Instructions!$H$16,Instructions!$I$16,IF(V215&gt;Instructions!$H$17,Instructions!$I$17,Instructions!$I$18))))</f>
        <v>MI-Landslide</v>
      </c>
      <c r="AA215" s="237">
        <f t="shared" si="69"/>
        <v>91710</v>
      </c>
      <c r="AB215" s="237">
        <f t="shared" si="70"/>
        <v>0</v>
      </c>
      <c r="AC215" s="238">
        <f t="shared" si="71"/>
        <v>5353</v>
      </c>
      <c r="AD215" s="389">
        <f t="shared" si="84"/>
        <v>97063</v>
      </c>
    </row>
    <row r="216" spans="1:31">
      <c r="A216" s="225" t="s">
        <v>87</v>
      </c>
      <c r="B216" s="226" t="s">
        <v>21</v>
      </c>
      <c r="C216" s="426" t="s">
        <v>530</v>
      </c>
      <c r="D216"/>
      <c r="E216"/>
      <c r="F216"/>
      <c r="G216"/>
      <c r="H216"/>
      <c r="I216" t="str">
        <f t="shared" si="80"/>
        <v>MI-Yes</v>
      </c>
      <c r="J216" t="str">
        <f t="shared" si="81"/>
        <v>MI-Yes</v>
      </c>
      <c r="K216" t="str">
        <f t="shared" si="65"/>
        <v/>
      </c>
      <c r="L216" t="str">
        <f t="shared" si="85"/>
        <v/>
      </c>
      <c r="M216">
        <v>1982</v>
      </c>
      <c r="N216" s="242">
        <v>12</v>
      </c>
      <c r="O216" s="415">
        <v>124671</v>
      </c>
      <c r="P216" s="416">
        <v>71372</v>
      </c>
      <c r="Q216" s="228">
        <f t="shared" si="86"/>
        <v>8074</v>
      </c>
      <c r="R216" s="423">
        <v>204117</v>
      </c>
      <c r="S216" s="239"/>
      <c r="T216" s="231">
        <f t="shared" si="82"/>
        <v>124671</v>
      </c>
      <c r="U216" s="231">
        <f t="shared" si="79"/>
        <v>71372</v>
      </c>
      <c r="V216" s="232">
        <f t="shared" si="83"/>
        <v>0.27187402763679397</v>
      </c>
      <c r="W216" s="233">
        <f t="shared" si="72"/>
        <v>0.61078205147048015</v>
      </c>
      <c r="X216" s="234" t="str">
        <f t="shared" si="67"/>
        <v>MI-No</v>
      </c>
      <c r="Y216" s="235" t="str">
        <f t="shared" si="68"/>
        <v>MI-Dem</v>
      </c>
      <c r="Z216" s="236" t="str">
        <f>B216&amp;"-"&amp;IF(V216&gt;Instructions!$H$14,Instructions!$I$14,IF(V216&gt;Instructions!$H$15,Instructions!$I$15,IF(V216&gt;Instructions!$H$16,Instructions!$I$16,IF(V216&gt;Instructions!$H$17,Instructions!$I$17,Instructions!$I$18))))</f>
        <v>MI-Landslide</v>
      </c>
      <c r="AA216" s="237">
        <f t="shared" si="69"/>
        <v>0</v>
      </c>
      <c r="AB216" s="237">
        <f t="shared" si="70"/>
        <v>71372</v>
      </c>
      <c r="AC216" s="238">
        <f t="shared" si="71"/>
        <v>8074</v>
      </c>
      <c r="AD216" s="389">
        <f t="shared" si="84"/>
        <v>79446</v>
      </c>
    </row>
    <row r="217" spans="1:31">
      <c r="A217" s="225" t="s">
        <v>87</v>
      </c>
      <c r="B217" s="226" t="s">
        <v>21</v>
      </c>
      <c r="C217" t="s">
        <v>531</v>
      </c>
      <c r="D217"/>
      <c r="E217" t="s">
        <v>784</v>
      </c>
      <c r="F217"/>
      <c r="G217" t="s">
        <v>784</v>
      </c>
      <c r="H217"/>
      <c r="I217" t="str">
        <f t="shared" si="80"/>
        <v>MI-No</v>
      </c>
      <c r="J217" t="str">
        <f t="shared" si="81"/>
        <v>MI-No</v>
      </c>
      <c r="K217">
        <v>0</v>
      </c>
      <c r="L217"/>
      <c r="M217">
        <v>2010</v>
      </c>
      <c r="N217" s="242">
        <v>13</v>
      </c>
      <c r="O217" s="415">
        <v>100885</v>
      </c>
      <c r="P217" s="416">
        <v>23462</v>
      </c>
      <c r="Q217" s="228">
        <f t="shared" si="86"/>
        <v>2729</v>
      </c>
      <c r="R217" s="423">
        <v>127076</v>
      </c>
      <c r="S217" s="239"/>
      <c r="T217" s="231">
        <f t="shared" si="82"/>
        <v>100885</v>
      </c>
      <c r="U217" s="231">
        <f t="shared" si="79"/>
        <v>23462</v>
      </c>
      <c r="V217" s="232">
        <f t="shared" si="83"/>
        <v>0.62263665387986844</v>
      </c>
      <c r="W217" s="233">
        <f t="shared" si="72"/>
        <v>0.79389499197330726</v>
      </c>
      <c r="X217" s="234" t="str">
        <f t="shared" si="67"/>
        <v>MI-No</v>
      </c>
      <c r="Y217" s="235" t="str">
        <f t="shared" si="68"/>
        <v>MI-Dem</v>
      </c>
      <c r="Z217" s="236" t="str">
        <f>B217&amp;"-"&amp;IF(V217&gt;Instructions!$H$14,Instructions!$I$14,IF(V217&gt;Instructions!$H$15,Instructions!$I$15,IF(V217&gt;Instructions!$H$16,Instructions!$I$16,IF(V217&gt;Instructions!$H$17,Instructions!$I$17,Instructions!$I$18))))</f>
        <v>MI-No contest</v>
      </c>
      <c r="AA217" s="237">
        <f t="shared" si="69"/>
        <v>0</v>
      </c>
      <c r="AB217" s="237">
        <f t="shared" si="70"/>
        <v>23462</v>
      </c>
      <c r="AC217" s="238">
        <f t="shared" si="71"/>
        <v>2729</v>
      </c>
      <c r="AD217" s="389">
        <f t="shared" si="84"/>
        <v>26191</v>
      </c>
    </row>
    <row r="218" spans="1:31">
      <c r="A218" s="225" t="s">
        <v>87</v>
      </c>
      <c r="B218" s="226" t="s">
        <v>21</v>
      </c>
      <c r="C218" s="426" t="s">
        <v>532</v>
      </c>
      <c r="D218"/>
      <c r="E218" t="s">
        <v>784</v>
      </c>
      <c r="F218"/>
      <c r="G218"/>
      <c r="H218"/>
      <c r="I218" t="str">
        <f t="shared" si="80"/>
        <v>MI-Yes</v>
      </c>
      <c r="J218" t="str">
        <f t="shared" si="81"/>
        <v>MI-Yes</v>
      </c>
      <c r="K218" t="str">
        <f t="shared" si="65"/>
        <v/>
      </c>
      <c r="L218" t="str">
        <f t="shared" si="85"/>
        <v/>
      </c>
      <c r="M218">
        <v>1964</v>
      </c>
      <c r="N218" s="242">
        <v>14</v>
      </c>
      <c r="O218" s="415">
        <v>115511</v>
      </c>
      <c r="P218" s="416">
        <v>29902</v>
      </c>
      <c r="Q218" s="228">
        <f t="shared" si="86"/>
        <v>5065</v>
      </c>
      <c r="R218" s="423">
        <v>150478</v>
      </c>
      <c r="S218" s="239"/>
      <c r="T218" s="231">
        <f t="shared" si="82"/>
        <v>115511</v>
      </c>
      <c r="U218" s="231">
        <f t="shared" si="79"/>
        <v>29902</v>
      </c>
      <c r="V218" s="232">
        <f t="shared" si="83"/>
        <v>0.58873003101510868</v>
      </c>
      <c r="W218" s="233">
        <f t="shared" si="72"/>
        <v>0.7676271614455269</v>
      </c>
      <c r="X218" s="234" t="str">
        <f t="shared" si="67"/>
        <v>MI-No</v>
      </c>
      <c r="Y218" s="235" t="str">
        <f t="shared" si="68"/>
        <v>MI-Dem</v>
      </c>
      <c r="Z218" s="236" t="str">
        <f>B218&amp;"-"&amp;IF(V218&gt;Instructions!$H$14,Instructions!$I$14,IF(V218&gt;Instructions!$H$15,Instructions!$I$15,IF(V218&gt;Instructions!$H$16,Instructions!$I$16,IF(V218&gt;Instructions!$H$17,Instructions!$I$17,Instructions!$I$18))))</f>
        <v>MI-No contest</v>
      </c>
      <c r="AA218" s="237">
        <f t="shared" si="69"/>
        <v>0</v>
      </c>
      <c r="AB218" s="237">
        <f t="shared" si="70"/>
        <v>29902</v>
      </c>
      <c r="AC218" s="238">
        <f t="shared" si="71"/>
        <v>5065</v>
      </c>
      <c r="AD218" s="389">
        <f t="shared" si="84"/>
        <v>34967</v>
      </c>
    </row>
    <row r="219" spans="1:31">
      <c r="A219" s="225" t="s">
        <v>87</v>
      </c>
      <c r="B219" s="226" t="s">
        <v>21</v>
      </c>
      <c r="C219" t="s">
        <v>533</v>
      </c>
      <c r="D219"/>
      <c r="E219"/>
      <c r="F219"/>
      <c r="G219"/>
      <c r="H219"/>
      <c r="I219" t="str">
        <f t="shared" si="80"/>
        <v>MI-Yes</v>
      </c>
      <c r="J219" t="str">
        <f t="shared" si="81"/>
        <v>MI-Yes</v>
      </c>
      <c r="K219" t="str">
        <f t="shared" si="65"/>
        <v/>
      </c>
      <c r="L219" t="str">
        <f t="shared" si="85"/>
        <v/>
      </c>
      <c r="M219">
        <v>1955</v>
      </c>
      <c r="N219" s="242">
        <v>15</v>
      </c>
      <c r="O219" s="415">
        <v>118336</v>
      </c>
      <c r="P219" s="416">
        <v>83488</v>
      </c>
      <c r="Q219" s="228">
        <f t="shared" si="86"/>
        <v>6485</v>
      </c>
      <c r="R219" s="423">
        <v>208309</v>
      </c>
      <c r="S219" s="239"/>
      <c r="T219" s="231">
        <f t="shared" si="82"/>
        <v>118336</v>
      </c>
      <c r="U219" s="231">
        <f t="shared" si="79"/>
        <v>83488</v>
      </c>
      <c r="V219" s="232">
        <f t="shared" si="83"/>
        <v>0.17266529253210719</v>
      </c>
      <c r="W219" s="233">
        <f t="shared" si="72"/>
        <v>0.56807915164491207</v>
      </c>
      <c r="X219" s="234" t="str">
        <f t="shared" si="67"/>
        <v>MI-No</v>
      </c>
      <c r="Y219" s="235" t="str">
        <f t="shared" si="68"/>
        <v>MI-Dem</v>
      </c>
      <c r="Z219" s="236" t="str">
        <f>B219&amp;"-"&amp;IF(V219&gt;Instructions!$H$14,Instructions!$I$14,IF(V219&gt;Instructions!$H$15,Instructions!$I$15,IF(V219&gt;Instructions!$H$16,Instructions!$I$16,IF(V219&gt;Instructions!$H$17,Instructions!$I$17,Instructions!$I$18))))</f>
        <v>MI-Opportunity</v>
      </c>
      <c r="AA219" s="237">
        <f t="shared" si="69"/>
        <v>0</v>
      </c>
      <c r="AB219" s="237">
        <f t="shared" si="70"/>
        <v>83488</v>
      </c>
      <c r="AC219" s="238">
        <f t="shared" si="71"/>
        <v>6485</v>
      </c>
      <c r="AD219" s="389">
        <f t="shared" si="84"/>
        <v>89973</v>
      </c>
      <c r="AE219" s="389">
        <f>SUM(AD205:AD219)</f>
        <v>1248004</v>
      </c>
    </row>
    <row r="220" spans="1:31">
      <c r="A220" s="225" t="s">
        <v>88</v>
      </c>
      <c r="B220" s="226" t="s">
        <v>22</v>
      </c>
      <c r="C220" t="s">
        <v>534</v>
      </c>
      <c r="D220"/>
      <c r="E220"/>
      <c r="F220"/>
      <c r="G220"/>
      <c r="H220"/>
      <c r="I220" t="str">
        <f t="shared" si="80"/>
        <v>MN-Yes</v>
      </c>
      <c r="J220" t="str">
        <f t="shared" si="81"/>
        <v>MN-Yes</v>
      </c>
      <c r="K220" t="str">
        <f t="shared" si="65"/>
        <v/>
      </c>
      <c r="L220" t="str">
        <f t="shared" si="85"/>
        <v/>
      </c>
      <c r="M220">
        <v>2006</v>
      </c>
      <c r="N220" s="242">
        <v>1</v>
      </c>
      <c r="O220" s="415">
        <v>122365</v>
      </c>
      <c r="P220" s="416">
        <v>109242</v>
      </c>
      <c r="Q220" s="228">
        <f t="shared" si="86"/>
        <v>16398</v>
      </c>
      <c r="R220" s="423">
        <v>248005</v>
      </c>
      <c r="S220" s="239"/>
      <c r="T220" s="231">
        <f t="shared" si="82"/>
        <v>122365</v>
      </c>
      <c r="U220" s="231">
        <f t="shared" si="79"/>
        <v>109242</v>
      </c>
      <c r="V220" s="232">
        <f t="shared" si="83"/>
        <v>5.6660636336552869E-2</v>
      </c>
      <c r="W220" s="233">
        <f t="shared" si="72"/>
        <v>0.49339731053809399</v>
      </c>
      <c r="X220" s="234" t="str">
        <f t="shared" si="67"/>
        <v>MN-No</v>
      </c>
      <c r="Y220" s="235" t="str">
        <f t="shared" si="68"/>
        <v>MN-Dem</v>
      </c>
      <c r="Z220" s="236" t="str">
        <f>B220&amp;"-"&amp;IF(V220&gt;Instructions!$H$14,Instructions!$I$14,IF(V220&gt;Instructions!$H$15,Instructions!$I$15,IF(V220&gt;Instructions!$H$16,Instructions!$I$16,IF(V220&gt;Instructions!$H$17,Instructions!$I$17,Instructions!$I$18))))</f>
        <v>MN-Competitive</v>
      </c>
      <c r="AA220" s="237">
        <f t="shared" si="69"/>
        <v>0</v>
      </c>
      <c r="AB220" s="237">
        <f t="shared" si="70"/>
        <v>109242</v>
      </c>
      <c r="AC220" s="238">
        <f t="shared" si="71"/>
        <v>16398</v>
      </c>
      <c r="AD220" s="389">
        <f t="shared" si="84"/>
        <v>125640</v>
      </c>
    </row>
    <row r="221" spans="1:31">
      <c r="A221" s="225" t="s">
        <v>88</v>
      </c>
      <c r="B221" s="226" t="s">
        <v>22</v>
      </c>
      <c r="C221" t="s">
        <v>535</v>
      </c>
      <c r="D221"/>
      <c r="E221"/>
      <c r="F221"/>
      <c r="G221"/>
      <c r="H221"/>
      <c r="I221" t="str">
        <f t="shared" si="80"/>
        <v>MN-Yes</v>
      </c>
      <c r="J221" t="str">
        <f t="shared" si="81"/>
        <v>MN-Yes</v>
      </c>
      <c r="K221" t="str">
        <f t="shared" ref="K221:K265" si="87">IF(M221=2010, 1, "")</f>
        <v/>
      </c>
      <c r="L221" t="str">
        <f t="shared" si="85"/>
        <v/>
      </c>
      <c r="M221">
        <v>2002</v>
      </c>
      <c r="N221" s="242">
        <v>2</v>
      </c>
      <c r="O221" s="419">
        <v>104809</v>
      </c>
      <c r="P221" s="416">
        <v>181341</v>
      </c>
      <c r="Q221" s="228">
        <f t="shared" si="86"/>
        <v>303</v>
      </c>
      <c r="R221" s="423">
        <v>286453</v>
      </c>
      <c r="S221" s="239"/>
      <c r="T221" s="231">
        <f t="shared" si="82"/>
        <v>181341</v>
      </c>
      <c r="U221" s="231">
        <f t="shared" si="79"/>
        <v>104809</v>
      </c>
      <c r="V221" s="232">
        <f t="shared" si="83"/>
        <v>0.2674541324480168</v>
      </c>
      <c r="W221" s="233">
        <f t="shared" si="72"/>
        <v>0.63305673181987965</v>
      </c>
      <c r="X221" s="234" t="str">
        <f t="shared" si="67"/>
        <v>MN-No</v>
      </c>
      <c r="Y221" s="235" t="str">
        <f t="shared" si="68"/>
        <v>MN-Rep</v>
      </c>
      <c r="Z221" s="236" t="str">
        <f>B221&amp;"-"&amp;IF(V221&gt;Instructions!$H$14,Instructions!$I$14,IF(V221&gt;Instructions!$H$15,Instructions!$I$15,IF(V221&gt;Instructions!$H$16,Instructions!$I$16,IF(V221&gt;Instructions!$H$17,Instructions!$I$17,Instructions!$I$18))))</f>
        <v>MN-Landslide</v>
      </c>
      <c r="AA221" s="237">
        <f t="shared" si="69"/>
        <v>104809</v>
      </c>
      <c r="AB221" s="237">
        <f t="shared" si="70"/>
        <v>0</v>
      </c>
      <c r="AC221" s="238">
        <f t="shared" si="71"/>
        <v>303</v>
      </c>
      <c r="AD221" s="389">
        <f t="shared" si="84"/>
        <v>105112</v>
      </c>
    </row>
    <row r="222" spans="1:31">
      <c r="A222" s="225" t="s">
        <v>88</v>
      </c>
      <c r="B222" s="226" t="s">
        <v>22</v>
      </c>
      <c r="C222" t="s">
        <v>536</v>
      </c>
      <c r="D222"/>
      <c r="E222"/>
      <c r="F222"/>
      <c r="G222"/>
      <c r="H222"/>
      <c r="I222" t="str">
        <f t="shared" si="80"/>
        <v>MN-Yes</v>
      </c>
      <c r="J222" t="str">
        <f t="shared" si="81"/>
        <v>MN-Yes</v>
      </c>
      <c r="K222" t="str">
        <f t="shared" si="87"/>
        <v/>
      </c>
      <c r="L222" t="str">
        <f t="shared" si="85"/>
        <v/>
      </c>
      <c r="M222">
        <v>2008</v>
      </c>
      <c r="N222" s="242">
        <v>3</v>
      </c>
      <c r="O222" s="415">
        <v>100240</v>
      </c>
      <c r="P222" s="416">
        <v>161177</v>
      </c>
      <c r="Q222" s="228">
        <f t="shared" si="86"/>
        <v>12675</v>
      </c>
      <c r="R222" s="423">
        <v>274092</v>
      </c>
      <c r="S222" s="239"/>
      <c r="T222" s="231">
        <f t="shared" si="82"/>
        <v>161177</v>
      </c>
      <c r="U222" s="231">
        <f t="shared" si="79"/>
        <v>100240</v>
      </c>
      <c r="V222" s="232">
        <f t="shared" si="83"/>
        <v>0.23310266738582419</v>
      </c>
      <c r="W222" s="233">
        <f t="shared" si="72"/>
        <v>0.58803978226288989</v>
      </c>
      <c r="X222" s="234" t="str">
        <f t="shared" si="67"/>
        <v>MN-No</v>
      </c>
      <c r="Y222" s="235" t="str">
        <f t="shared" si="68"/>
        <v>MN-Rep</v>
      </c>
      <c r="Z222" s="236" t="str">
        <f>B222&amp;"-"&amp;IF(V222&gt;Instructions!$H$14,Instructions!$I$14,IF(V222&gt;Instructions!$H$15,Instructions!$I$15,IF(V222&gt;Instructions!$H$16,Instructions!$I$16,IF(V222&gt;Instructions!$H$17,Instructions!$I$17,Instructions!$I$18))))</f>
        <v>MN-Landslide</v>
      </c>
      <c r="AA222" s="237">
        <f t="shared" si="69"/>
        <v>100240</v>
      </c>
      <c r="AB222" s="237">
        <f t="shared" si="70"/>
        <v>0</v>
      </c>
      <c r="AC222" s="238">
        <f t="shared" si="71"/>
        <v>12675</v>
      </c>
      <c r="AD222" s="389">
        <f t="shared" si="84"/>
        <v>112915</v>
      </c>
    </row>
    <row r="223" spans="1:31">
      <c r="A223" s="225" t="s">
        <v>88</v>
      </c>
      <c r="B223" s="226" t="s">
        <v>22</v>
      </c>
      <c r="C223" s="426" t="s">
        <v>537</v>
      </c>
      <c r="D223" s="399" t="s">
        <v>785</v>
      </c>
      <c r="E223"/>
      <c r="F223"/>
      <c r="G223"/>
      <c r="H223"/>
      <c r="I223" t="str">
        <f t="shared" si="80"/>
        <v>MN-Yes</v>
      </c>
      <c r="J223" t="str">
        <f t="shared" si="81"/>
        <v>MN-Yes</v>
      </c>
      <c r="K223" t="str">
        <f t="shared" si="87"/>
        <v/>
      </c>
      <c r="L223" t="str">
        <f t="shared" si="85"/>
        <v/>
      </c>
      <c r="M223">
        <v>2000</v>
      </c>
      <c r="N223" s="242">
        <v>4</v>
      </c>
      <c r="O223" s="415">
        <v>136746</v>
      </c>
      <c r="P223" s="416">
        <v>80141</v>
      </c>
      <c r="Q223" s="228">
        <f t="shared" si="86"/>
        <v>14539</v>
      </c>
      <c r="R223" s="423">
        <v>231426</v>
      </c>
      <c r="S223" s="239"/>
      <c r="T223" s="231">
        <f t="shared" si="82"/>
        <v>136746</v>
      </c>
      <c r="U223" s="231">
        <f t="shared" si="79"/>
        <v>80141</v>
      </c>
      <c r="V223" s="232">
        <f t="shared" si="83"/>
        <v>0.26098844098539792</v>
      </c>
      <c r="W223" s="233">
        <f t="shared" si="72"/>
        <v>0.59088434315936844</v>
      </c>
      <c r="X223" s="234" t="str">
        <f t="shared" si="67"/>
        <v>MN-No</v>
      </c>
      <c r="Y223" s="235" t="str">
        <f t="shared" si="68"/>
        <v>MN-Dem</v>
      </c>
      <c r="Z223" s="236" t="str">
        <f>B223&amp;"-"&amp;IF(V223&gt;Instructions!$H$14,Instructions!$I$14,IF(V223&gt;Instructions!$H$15,Instructions!$I$15,IF(V223&gt;Instructions!$H$16,Instructions!$I$16,IF(V223&gt;Instructions!$H$17,Instructions!$I$17,Instructions!$I$18))))</f>
        <v>MN-Landslide</v>
      </c>
      <c r="AA223" s="237">
        <f t="shared" si="69"/>
        <v>0</v>
      </c>
      <c r="AB223" s="237">
        <f t="shared" si="70"/>
        <v>80141</v>
      </c>
      <c r="AC223" s="238">
        <f t="shared" si="71"/>
        <v>14539</v>
      </c>
      <c r="AD223" s="389">
        <f t="shared" si="84"/>
        <v>94680</v>
      </c>
    </row>
    <row r="224" spans="1:31">
      <c r="A224" s="225" t="s">
        <v>88</v>
      </c>
      <c r="B224" s="226" t="s">
        <v>22</v>
      </c>
      <c r="C224" s="426" t="s">
        <v>538</v>
      </c>
      <c r="D224"/>
      <c r="E224" s="399" t="s">
        <v>785</v>
      </c>
      <c r="F224"/>
      <c r="G224"/>
      <c r="H224"/>
      <c r="I224" t="str">
        <f t="shared" si="80"/>
        <v>MN-Yes</v>
      </c>
      <c r="J224" t="str">
        <f t="shared" si="81"/>
        <v>MN-Yes</v>
      </c>
      <c r="K224" t="str">
        <f t="shared" si="87"/>
        <v/>
      </c>
      <c r="L224" t="str">
        <f t="shared" si="85"/>
        <v/>
      </c>
      <c r="M224">
        <v>2006</v>
      </c>
      <c r="N224" s="242">
        <v>5</v>
      </c>
      <c r="O224" s="415">
        <v>154833</v>
      </c>
      <c r="P224" s="416">
        <v>55222</v>
      </c>
      <c r="Q224" s="228">
        <f t="shared" si="86"/>
        <v>18691</v>
      </c>
      <c r="R224" s="423">
        <v>228746</v>
      </c>
      <c r="S224" s="239"/>
      <c r="T224" s="231">
        <f t="shared" si="82"/>
        <v>154833</v>
      </c>
      <c r="U224" s="231">
        <f t="shared" si="79"/>
        <v>55222</v>
      </c>
      <c r="V224" s="232">
        <f t="shared" si="83"/>
        <v>0.47421389636047701</v>
      </c>
      <c r="W224" s="233">
        <f t="shared" si="72"/>
        <v>0.67687740987820555</v>
      </c>
      <c r="X224" s="234" t="str">
        <f t="shared" si="67"/>
        <v>MN-No</v>
      </c>
      <c r="Y224" s="235" t="str">
        <f t="shared" si="68"/>
        <v>MN-Dem</v>
      </c>
      <c r="Z224" s="236" t="str">
        <f>B224&amp;"-"&amp;IF(V224&gt;Instructions!$H$14,Instructions!$I$14,IF(V224&gt;Instructions!$H$15,Instructions!$I$15,IF(V224&gt;Instructions!$H$16,Instructions!$I$16,IF(V224&gt;Instructions!$H$17,Instructions!$I$17,Instructions!$I$18))))</f>
        <v>MN-No contest</v>
      </c>
      <c r="AA224" s="237">
        <f t="shared" si="69"/>
        <v>0</v>
      </c>
      <c r="AB224" s="237">
        <f t="shared" si="70"/>
        <v>55222</v>
      </c>
      <c r="AC224" s="238">
        <f t="shared" si="71"/>
        <v>18691</v>
      </c>
      <c r="AD224" s="389">
        <f t="shared" si="84"/>
        <v>73913</v>
      </c>
    </row>
    <row r="225" spans="1:31">
      <c r="A225" s="225" t="s">
        <v>88</v>
      </c>
      <c r="B225" s="226" t="s">
        <v>22</v>
      </c>
      <c r="C225" t="s">
        <v>539</v>
      </c>
      <c r="D225" s="399" t="s">
        <v>785</v>
      </c>
      <c r="E225"/>
      <c r="F225"/>
      <c r="G225"/>
      <c r="H225"/>
      <c r="I225" t="str">
        <f t="shared" si="80"/>
        <v>MN-Yes</v>
      </c>
      <c r="J225" t="str">
        <f t="shared" si="81"/>
        <v>MN-Yes</v>
      </c>
      <c r="K225" t="str">
        <f t="shared" si="87"/>
        <v/>
      </c>
      <c r="L225" t="str">
        <f t="shared" si="85"/>
        <v/>
      </c>
      <c r="M225">
        <v>2006</v>
      </c>
      <c r="N225" s="242">
        <v>6</v>
      </c>
      <c r="O225" s="415">
        <v>120846</v>
      </c>
      <c r="P225" s="416">
        <v>159476</v>
      </c>
      <c r="Q225" s="228">
        <f t="shared" si="86"/>
        <v>23369</v>
      </c>
      <c r="R225" s="423">
        <v>303691</v>
      </c>
      <c r="S225" s="239"/>
      <c r="T225" s="231">
        <f t="shared" si="82"/>
        <v>159476</v>
      </c>
      <c r="U225" s="231">
        <f t="shared" si="79"/>
        <v>120846</v>
      </c>
      <c r="V225" s="232">
        <f t="shared" si="83"/>
        <v>0.13780580903389672</v>
      </c>
      <c r="W225" s="233">
        <f t="shared" si="72"/>
        <v>0.52512586806984729</v>
      </c>
      <c r="X225" s="234" t="str">
        <f t="shared" si="67"/>
        <v>MN-No</v>
      </c>
      <c r="Y225" s="235" t="str">
        <f t="shared" si="68"/>
        <v>MN-Rep</v>
      </c>
      <c r="Z225" s="236" t="str">
        <f>B225&amp;"-"&amp;IF(V225&gt;Instructions!$H$14,Instructions!$I$14,IF(V225&gt;Instructions!$H$15,Instructions!$I$15,IF(V225&gt;Instructions!$H$16,Instructions!$I$16,IF(V225&gt;Instructions!$H$17,Instructions!$I$17,Instructions!$I$18))))</f>
        <v>MN-Opportunity</v>
      </c>
      <c r="AA225" s="237">
        <f t="shared" si="69"/>
        <v>120846</v>
      </c>
      <c r="AB225" s="237">
        <f t="shared" si="70"/>
        <v>0</v>
      </c>
      <c r="AC225" s="238">
        <f t="shared" si="71"/>
        <v>23369</v>
      </c>
      <c r="AD225" s="389">
        <f t="shared" si="84"/>
        <v>144215</v>
      </c>
    </row>
    <row r="226" spans="1:31">
      <c r="A226" s="225" t="s">
        <v>88</v>
      </c>
      <c r="B226" s="226" t="s">
        <v>22</v>
      </c>
      <c r="C226" t="s">
        <v>540</v>
      </c>
      <c r="D226"/>
      <c r="E226"/>
      <c r="F226"/>
      <c r="G226"/>
      <c r="H226"/>
      <c r="I226" t="str">
        <f t="shared" si="80"/>
        <v>MN-Yes</v>
      </c>
      <c r="J226" t="str">
        <f t="shared" si="81"/>
        <v>MN-Yes</v>
      </c>
      <c r="K226" t="str">
        <f t="shared" si="87"/>
        <v/>
      </c>
      <c r="L226" t="str">
        <f t="shared" si="85"/>
        <v/>
      </c>
      <c r="M226">
        <v>1990</v>
      </c>
      <c r="N226" s="242">
        <v>7</v>
      </c>
      <c r="O226" s="415">
        <v>133096</v>
      </c>
      <c r="P226" s="416">
        <v>90652</v>
      </c>
      <c r="Q226" s="228">
        <f t="shared" si="86"/>
        <v>17349</v>
      </c>
      <c r="R226" s="423">
        <v>241097</v>
      </c>
      <c r="S226" s="239"/>
      <c r="T226" s="231">
        <f t="shared" si="82"/>
        <v>133096</v>
      </c>
      <c r="U226" s="231">
        <f t="shared" si="79"/>
        <v>90652</v>
      </c>
      <c r="V226" s="232">
        <f t="shared" si="83"/>
        <v>0.18969555035128804</v>
      </c>
      <c r="W226" s="233">
        <f t="shared" si="72"/>
        <v>0.55204336843677027</v>
      </c>
      <c r="X226" s="234" t="str">
        <f t="shared" si="67"/>
        <v>MN-No</v>
      </c>
      <c r="Y226" s="235" t="str">
        <f t="shared" si="68"/>
        <v>MN-Dem</v>
      </c>
      <c r="Z226" s="236" t="str">
        <f>B226&amp;"-"&amp;IF(V226&gt;Instructions!$H$14,Instructions!$I$14,IF(V226&gt;Instructions!$H$15,Instructions!$I$15,IF(V226&gt;Instructions!$H$16,Instructions!$I$16,IF(V226&gt;Instructions!$H$17,Instructions!$I$17,Instructions!$I$18))))</f>
        <v>MN-Opportunity</v>
      </c>
      <c r="AA226" s="237">
        <f t="shared" si="69"/>
        <v>0</v>
      </c>
      <c r="AB226" s="237">
        <f t="shared" si="70"/>
        <v>90652</v>
      </c>
      <c r="AC226" s="238">
        <f t="shared" si="71"/>
        <v>17349</v>
      </c>
      <c r="AD226" s="389">
        <f t="shared" si="84"/>
        <v>108001</v>
      </c>
    </row>
    <row r="227" spans="1:31">
      <c r="A227" s="225" t="s">
        <v>88</v>
      </c>
      <c r="B227" s="226" t="s">
        <v>22</v>
      </c>
      <c r="C227" t="s">
        <v>541</v>
      </c>
      <c r="D227"/>
      <c r="E227"/>
      <c r="F227"/>
      <c r="G227"/>
      <c r="H227"/>
      <c r="I227" t="str">
        <f t="shared" si="80"/>
        <v>MN-Yes</v>
      </c>
      <c r="J227" t="str">
        <f t="shared" si="81"/>
        <v>MN-No</v>
      </c>
      <c r="K227">
        <f t="shared" si="87"/>
        <v>1</v>
      </c>
      <c r="L227" t="str">
        <f>B227&amp;"-"&amp;IF(M227=2010, 1, "")</f>
        <v>MN-1</v>
      </c>
      <c r="M227">
        <v>2010</v>
      </c>
      <c r="N227" s="242">
        <v>8</v>
      </c>
      <c r="O227" s="415">
        <v>129091</v>
      </c>
      <c r="P227" s="416">
        <v>133490</v>
      </c>
      <c r="Q227" s="228">
        <f t="shared" si="86"/>
        <v>14500</v>
      </c>
      <c r="R227" s="423">
        <v>277081</v>
      </c>
      <c r="S227" s="239"/>
      <c r="T227" s="231">
        <f t="shared" si="82"/>
        <v>133490</v>
      </c>
      <c r="U227" s="231">
        <f t="shared" si="79"/>
        <v>129091</v>
      </c>
      <c r="V227" s="232">
        <f t="shared" si="83"/>
        <v>1.6752925763859533E-2</v>
      </c>
      <c r="W227" s="233">
        <f t="shared" si="72"/>
        <v>0.48177247808402596</v>
      </c>
      <c r="X227" s="234" t="str">
        <f t="shared" si="67"/>
        <v>MN-No</v>
      </c>
      <c r="Y227" s="235" t="str">
        <f t="shared" si="68"/>
        <v>MN-Rep</v>
      </c>
      <c r="Z227" s="236" t="str">
        <f>B227&amp;"-"&amp;IF(V227&gt;Instructions!$H$14,Instructions!$I$14,IF(V227&gt;Instructions!$H$15,Instructions!$I$15,IF(V227&gt;Instructions!$H$16,Instructions!$I$16,IF(V227&gt;Instructions!$H$17,Instructions!$I$17,Instructions!$I$18))))</f>
        <v>MN-Tight</v>
      </c>
      <c r="AA227" s="237">
        <f t="shared" si="69"/>
        <v>129091</v>
      </c>
      <c r="AB227" s="237">
        <f t="shared" si="70"/>
        <v>0</v>
      </c>
      <c r="AC227" s="238">
        <f t="shared" si="71"/>
        <v>14500</v>
      </c>
      <c r="AD227" s="389">
        <f t="shared" si="84"/>
        <v>143591</v>
      </c>
      <c r="AE227" s="389">
        <f>SUM(AD220:AD227)</f>
        <v>908067</v>
      </c>
    </row>
    <row r="228" spans="1:31">
      <c r="A228" s="225" t="s">
        <v>89</v>
      </c>
      <c r="B228" s="226" t="s">
        <v>23</v>
      </c>
      <c r="C228" t="s">
        <v>551</v>
      </c>
      <c r="D228"/>
      <c r="E228"/>
      <c r="F228"/>
      <c r="G228"/>
      <c r="H228"/>
      <c r="I228" t="str">
        <f t="shared" si="80"/>
        <v>MS-Yes</v>
      </c>
      <c r="J228" t="str">
        <f t="shared" si="81"/>
        <v>MS-No</v>
      </c>
      <c r="K228">
        <f t="shared" ref="K228:K235" si="88">IF(M228=2010, 1, "")</f>
        <v>1</v>
      </c>
      <c r="L228" t="str">
        <f>B228&amp;"-"&amp;IF(M228=2010, 1, "")</f>
        <v>MS-1</v>
      </c>
      <c r="M228">
        <v>2010</v>
      </c>
      <c r="N228" s="242">
        <v>1</v>
      </c>
      <c r="O228" s="415">
        <v>89388</v>
      </c>
      <c r="P228" s="416">
        <v>121074</v>
      </c>
      <c r="Q228" s="228">
        <f t="shared" ref="Q228:Q235" si="89">R228-P228-O228</f>
        <v>8631</v>
      </c>
      <c r="R228" s="423">
        <v>219093</v>
      </c>
      <c r="S228" s="239"/>
      <c r="T228" s="231">
        <f t="shared" si="82"/>
        <v>121074</v>
      </c>
      <c r="U228" s="231">
        <f t="shared" si="79"/>
        <v>89388</v>
      </c>
      <c r="V228" s="232">
        <f t="shared" si="83"/>
        <v>0.15055449439803861</v>
      </c>
      <c r="W228" s="233">
        <f t="shared" si="72"/>
        <v>0.55261464309676711</v>
      </c>
      <c r="X228" s="234" t="str">
        <f t="shared" si="67"/>
        <v>MS-No</v>
      </c>
      <c r="Y228" s="235" t="str">
        <f t="shared" si="68"/>
        <v>MS-Rep</v>
      </c>
      <c r="Z228" s="236" t="str">
        <f>B228&amp;"-"&amp;IF(V228&gt;Instructions!$H$14,Instructions!$I$14,IF(V228&gt;Instructions!$H$15,Instructions!$I$15,IF(V228&gt;Instructions!$H$16,Instructions!$I$16,IF(V228&gt;Instructions!$H$17,Instructions!$I$17,Instructions!$I$18))))</f>
        <v>MS-Opportunity</v>
      </c>
      <c r="AA228" s="237">
        <f t="shared" si="69"/>
        <v>89388</v>
      </c>
      <c r="AB228" s="237">
        <f t="shared" si="70"/>
        <v>0</v>
      </c>
      <c r="AC228" s="238">
        <f t="shared" si="71"/>
        <v>8631</v>
      </c>
      <c r="AD228" s="389">
        <f t="shared" si="84"/>
        <v>98019</v>
      </c>
    </row>
    <row r="229" spans="1:31">
      <c r="A229" s="225" t="s">
        <v>89</v>
      </c>
      <c r="B229" s="226" t="s">
        <v>23</v>
      </c>
      <c r="C229" s="426" t="s">
        <v>552</v>
      </c>
      <c r="D229"/>
      <c r="E229" s="399" t="s">
        <v>786</v>
      </c>
      <c r="F229"/>
      <c r="G229"/>
      <c r="H229"/>
      <c r="I229" t="str">
        <f t="shared" si="80"/>
        <v>MS-Yes</v>
      </c>
      <c r="J229" t="str">
        <f t="shared" si="81"/>
        <v>MS-Yes</v>
      </c>
      <c r="K229" t="str">
        <f t="shared" si="88"/>
        <v/>
      </c>
      <c r="L229" t="str">
        <f t="shared" ref="L229" si="90">IF(M229=2010, 1, "")</f>
        <v/>
      </c>
      <c r="M229">
        <v>1993</v>
      </c>
      <c r="N229" s="242">
        <v>2</v>
      </c>
      <c r="O229" s="415">
        <v>105327</v>
      </c>
      <c r="P229" s="416">
        <v>64499</v>
      </c>
      <c r="Q229" s="228">
        <f t="shared" si="89"/>
        <v>1530</v>
      </c>
      <c r="R229" s="423">
        <v>171356</v>
      </c>
      <c r="S229" s="239"/>
      <c r="T229" s="231">
        <f t="shared" si="82"/>
        <v>105327</v>
      </c>
      <c r="U229" s="231">
        <f t="shared" si="79"/>
        <v>64499</v>
      </c>
      <c r="V229" s="232">
        <f t="shared" si="83"/>
        <v>0.24041077337981229</v>
      </c>
      <c r="W229" s="233">
        <f t="shared" si="72"/>
        <v>0.61466770933028314</v>
      </c>
      <c r="X229" s="234" t="str">
        <f t="shared" si="67"/>
        <v>MS-No</v>
      </c>
      <c r="Y229" s="235" t="str">
        <f t="shared" si="68"/>
        <v>MS-Dem</v>
      </c>
      <c r="Z229" s="236" t="str">
        <f>B229&amp;"-"&amp;IF(V229&gt;Instructions!$H$14,Instructions!$I$14,IF(V229&gt;Instructions!$H$15,Instructions!$I$15,IF(V229&gt;Instructions!$H$16,Instructions!$I$16,IF(V229&gt;Instructions!$H$17,Instructions!$I$17,Instructions!$I$18))))</f>
        <v>MS-Landslide</v>
      </c>
      <c r="AA229" s="237">
        <f t="shared" si="69"/>
        <v>0</v>
      </c>
      <c r="AB229" s="237">
        <f t="shared" si="70"/>
        <v>64499</v>
      </c>
      <c r="AC229" s="238">
        <f t="shared" si="71"/>
        <v>1530</v>
      </c>
      <c r="AD229" s="389">
        <f t="shared" si="84"/>
        <v>66029</v>
      </c>
    </row>
    <row r="230" spans="1:31">
      <c r="A230" s="225" t="s">
        <v>89</v>
      </c>
      <c r="B230" s="226" t="s">
        <v>23</v>
      </c>
      <c r="C230" t="s">
        <v>553</v>
      </c>
      <c r="D230"/>
      <c r="E230"/>
      <c r="F230"/>
      <c r="G230"/>
      <c r="H230"/>
      <c r="I230" t="str">
        <f t="shared" si="80"/>
        <v>MS-Yes</v>
      </c>
      <c r="J230" t="str">
        <f t="shared" si="81"/>
        <v>MS-Yes</v>
      </c>
      <c r="K230" t="str">
        <f t="shared" si="88"/>
        <v/>
      </c>
      <c r="L230" t="str">
        <f>IF(M230=2010, 1, "")</f>
        <v/>
      </c>
      <c r="M230">
        <v>2008</v>
      </c>
      <c r="N230" s="242">
        <v>3</v>
      </c>
      <c r="O230" s="415">
        <v>60737</v>
      </c>
      <c r="P230" s="416">
        <v>132393</v>
      </c>
      <c r="Q230" s="228">
        <f t="shared" si="89"/>
        <v>1586</v>
      </c>
      <c r="R230" s="423">
        <v>194716</v>
      </c>
      <c r="S230" s="239"/>
      <c r="T230" s="231">
        <f t="shared" si="82"/>
        <v>132393</v>
      </c>
      <c r="U230" s="231">
        <f t="shared" si="79"/>
        <v>60737</v>
      </c>
      <c r="V230" s="232">
        <f t="shared" si="83"/>
        <v>0.37102469838968571</v>
      </c>
      <c r="W230" s="233">
        <f t="shared" si="72"/>
        <v>0.67992871669508415</v>
      </c>
      <c r="X230" s="234" t="str">
        <f t="shared" si="67"/>
        <v>MS-No</v>
      </c>
      <c r="Y230" s="235" t="str">
        <f t="shared" si="68"/>
        <v>MS-Rep</v>
      </c>
      <c r="Z230" s="236" t="str">
        <f>B230&amp;"-"&amp;IF(V230&gt;Instructions!$H$14,Instructions!$I$14,IF(V230&gt;Instructions!$H$15,Instructions!$I$15,IF(V230&gt;Instructions!$H$16,Instructions!$I$16,IF(V230&gt;Instructions!$H$17,Instructions!$I$17,Instructions!$I$18))))</f>
        <v>MS-Landslide</v>
      </c>
      <c r="AA230" s="237">
        <f t="shared" si="69"/>
        <v>60737</v>
      </c>
      <c r="AB230" s="237">
        <f t="shared" si="70"/>
        <v>0</v>
      </c>
      <c r="AC230" s="238">
        <f t="shared" si="71"/>
        <v>1586</v>
      </c>
      <c r="AD230" s="389">
        <f t="shared" si="84"/>
        <v>62323</v>
      </c>
    </row>
    <row r="231" spans="1:31">
      <c r="A231" s="225" t="s">
        <v>89</v>
      </c>
      <c r="B231" s="226" t="s">
        <v>23</v>
      </c>
      <c r="C231" t="s">
        <v>554</v>
      </c>
      <c r="D231"/>
      <c r="E231"/>
      <c r="F231"/>
      <c r="G231"/>
      <c r="H231"/>
      <c r="I231" t="str">
        <f t="shared" si="80"/>
        <v>MS-Yes</v>
      </c>
      <c r="J231" t="str">
        <f t="shared" si="81"/>
        <v>MS-No</v>
      </c>
      <c r="K231">
        <f t="shared" si="88"/>
        <v>1</v>
      </c>
      <c r="L231" t="str">
        <f>B231&amp;"-"&amp;IF(M231=2010, 1, "")</f>
        <v>MS-1</v>
      </c>
      <c r="M231">
        <v>2010</v>
      </c>
      <c r="N231" s="242">
        <v>4</v>
      </c>
      <c r="O231" s="415">
        <v>95243</v>
      </c>
      <c r="P231" s="416">
        <v>105613</v>
      </c>
      <c r="Q231" s="228">
        <f t="shared" si="89"/>
        <v>2528</v>
      </c>
      <c r="R231" s="423">
        <v>203384</v>
      </c>
      <c r="S231" s="239"/>
      <c r="T231" s="231">
        <f t="shared" si="82"/>
        <v>105613</v>
      </c>
      <c r="U231" s="231">
        <f t="shared" si="79"/>
        <v>95243</v>
      </c>
      <c r="V231" s="232">
        <f t="shared" si="83"/>
        <v>5.1629027761182139E-2</v>
      </c>
      <c r="W231" s="233">
        <f t="shared" si="72"/>
        <v>0.51927880265900961</v>
      </c>
      <c r="X231" s="234" t="str">
        <f t="shared" si="67"/>
        <v>MS-No</v>
      </c>
      <c r="Y231" s="235" t="str">
        <f t="shared" si="68"/>
        <v>MS-Rep</v>
      </c>
      <c r="Z231" s="236" t="str">
        <f>B231&amp;"-"&amp;IF(V231&gt;Instructions!$H$14,Instructions!$I$14,IF(V231&gt;Instructions!$H$15,Instructions!$I$15,IF(V231&gt;Instructions!$H$16,Instructions!$I$16,IF(V231&gt;Instructions!$H$17,Instructions!$I$17,Instructions!$I$18))))</f>
        <v>MS-Competitive</v>
      </c>
      <c r="AA231" s="237">
        <f t="shared" si="69"/>
        <v>95243</v>
      </c>
      <c r="AB231" s="237">
        <f t="shared" si="70"/>
        <v>0</v>
      </c>
      <c r="AC231" s="238">
        <f t="shared" si="71"/>
        <v>2528</v>
      </c>
      <c r="AD231" s="389">
        <f t="shared" si="84"/>
        <v>97771</v>
      </c>
      <c r="AE231" s="389">
        <f>SUM(AD228:AD231)</f>
        <v>324142</v>
      </c>
    </row>
    <row r="232" spans="1:31">
      <c r="A232" s="225" t="s">
        <v>90</v>
      </c>
      <c r="B232" s="226" t="s">
        <v>24</v>
      </c>
      <c r="C232" s="426" t="s">
        <v>542</v>
      </c>
      <c r="D232"/>
      <c r="E232" s="399" t="s">
        <v>787</v>
      </c>
      <c r="F232"/>
      <c r="G232"/>
      <c r="H232"/>
      <c r="I232" t="str">
        <f t="shared" si="80"/>
        <v>MO-Yes</v>
      </c>
      <c r="J232" t="str">
        <f t="shared" si="81"/>
        <v>MO-Yes</v>
      </c>
      <c r="K232" t="str">
        <f t="shared" si="88"/>
        <v/>
      </c>
      <c r="L232" t="str">
        <f t="shared" ref="L232:L234" si="91">IF(M232=2010, 1, "")</f>
        <v/>
      </c>
      <c r="M232">
        <v>2000</v>
      </c>
      <c r="N232" s="242">
        <v>1</v>
      </c>
      <c r="O232" s="415">
        <v>135907</v>
      </c>
      <c r="P232" s="416">
        <v>43649</v>
      </c>
      <c r="Q232" s="228">
        <f t="shared" si="89"/>
        <v>5223</v>
      </c>
      <c r="R232" s="423">
        <v>184779</v>
      </c>
      <c r="S232" s="239"/>
      <c r="T232" s="231">
        <f t="shared" si="82"/>
        <v>135907</v>
      </c>
      <c r="U232" s="231">
        <f t="shared" si="79"/>
        <v>43649</v>
      </c>
      <c r="V232" s="232">
        <f t="shared" si="83"/>
        <v>0.51381184700037874</v>
      </c>
      <c r="W232" s="233">
        <f t="shared" si="72"/>
        <v>0.7355110699808961</v>
      </c>
      <c r="X232" s="234" t="str">
        <f t="shared" si="67"/>
        <v>MO-No</v>
      </c>
      <c r="Y232" s="235" t="str">
        <f t="shared" si="68"/>
        <v>MO-Dem</v>
      </c>
      <c r="Z232" s="236" t="str">
        <f>B232&amp;"-"&amp;IF(V232&gt;Instructions!$H$14,Instructions!$I$14,IF(V232&gt;Instructions!$H$15,Instructions!$I$15,IF(V232&gt;Instructions!$H$16,Instructions!$I$16,IF(V232&gt;Instructions!$H$17,Instructions!$I$17,Instructions!$I$18))))</f>
        <v>MO-No contest</v>
      </c>
      <c r="AA232" s="237">
        <f t="shared" si="69"/>
        <v>0</v>
      </c>
      <c r="AB232" s="237">
        <f t="shared" si="70"/>
        <v>43649</v>
      </c>
      <c r="AC232" s="238">
        <f t="shared" si="71"/>
        <v>5223</v>
      </c>
      <c r="AD232" s="389">
        <f t="shared" si="84"/>
        <v>48872</v>
      </c>
    </row>
    <row r="233" spans="1:31">
      <c r="A233" s="225" t="s">
        <v>90</v>
      </c>
      <c r="B233" s="226" t="s">
        <v>24</v>
      </c>
      <c r="C233" s="426" t="s">
        <v>543</v>
      </c>
      <c r="D233"/>
      <c r="E233"/>
      <c r="F233"/>
      <c r="G233"/>
      <c r="H233"/>
      <c r="I233" t="str">
        <f t="shared" si="80"/>
        <v>MO-Yes</v>
      </c>
      <c r="J233" t="str">
        <f t="shared" si="81"/>
        <v>MO-Yes</v>
      </c>
      <c r="K233" t="str">
        <f t="shared" si="88"/>
        <v/>
      </c>
      <c r="L233" t="str">
        <f t="shared" si="91"/>
        <v/>
      </c>
      <c r="M233">
        <v>2000</v>
      </c>
      <c r="N233" s="242">
        <v>2</v>
      </c>
      <c r="O233" s="415">
        <v>77467</v>
      </c>
      <c r="P233" s="416">
        <v>180481</v>
      </c>
      <c r="Q233" s="228">
        <f t="shared" si="89"/>
        <v>7684</v>
      </c>
      <c r="R233" s="423">
        <v>265632</v>
      </c>
      <c r="S233" s="239"/>
      <c r="T233" s="231">
        <f t="shared" si="82"/>
        <v>180481</v>
      </c>
      <c r="U233" s="231">
        <f t="shared" si="79"/>
        <v>77467</v>
      </c>
      <c r="V233" s="232">
        <f t="shared" si="83"/>
        <v>0.39935956084172003</v>
      </c>
      <c r="W233" s="233">
        <f t="shared" si="72"/>
        <v>0.67943997711119142</v>
      </c>
      <c r="X233" s="234" t="str">
        <f t="shared" si="67"/>
        <v>MO-No</v>
      </c>
      <c r="Y233" s="235" t="str">
        <f t="shared" si="68"/>
        <v>MO-Rep</v>
      </c>
      <c r="Z233" s="236" t="str">
        <f>B233&amp;"-"&amp;IF(V233&gt;Instructions!$H$14,Instructions!$I$14,IF(V233&gt;Instructions!$H$15,Instructions!$I$15,IF(V233&gt;Instructions!$H$16,Instructions!$I$16,IF(V233&gt;Instructions!$H$17,Instructions!$I$17,Instructions!$I$18))))</f>
        <v>MO-Landslide</v>
      </c>
      <c r="AA233" s="237">
        <f t="shared" si="69"/>
        <v>77467</v>
      </c>
      <c r="AB233" s="237">
        <f t="shared" si="70"/>
        <v>0</v>
      </c>
      <c r="AC233" s="238">
        <f t="shared" si="71"/>
        <v>7684</v>
      </c>
      <c r="AD233" s="389">
        <f t="shared" si="84"/>
        <v>85151</v>
      </c>
    </row>
    <row r="234" spans="1:31">
      <c r="A234" s="225" t="s">
        <v>90</v>
      </c>
      <c r="B234" s="226" t="s">
        <v>24</v>
      </c>
      <c r="C234" t="s">
        <v>544</v>
      </c>
      <c r="D234"/>
      <c r="E234"/>
      <c r="F234"/>
      <c r="G234"/>
      <c r="H234"/>
      <c r="I234" t="str">
        <f t="shared" si="80"/>
        <v>MO-Yes</v>
      </c>
      <c r="J234" t="str">
        <f t="shared" si="81"/>
        <v>MO-Yes</v>
      </c>
      <c r="K234" t="str">
        <f t="shared" si="88"/>
        <v/>
      </c>
      <c r="L234" t="str">
        <f t="shared" si="91"/>
        <v/>
      </c>
      <c r="M234">
        <v>2004</v>
      </c>
      <c r="N234" s="242">
        <v>3</v>
      </c>
      <c r="O234" s="415">
        <v>99398</v>
      </c>
      <c r="P234" s="416">
        <v>94757</v>
      </c>
      <c r="Q234" s="228">
        <f t="shared" si="89"/>
        <v>8930</v>
      </c>
      <c r="R234" s="423">
        <v>203085</v>
      </c>
      <c r="S234" s="239"/>
      <c r="T234" s="231">
        <f t="shared" si="82"/>
        <v>99398</v>
      </c>
      <c r="U234" s="231">
        <f t="shared" si="79"/>
        <v>94757</v>
      </c>
      <c r="V234" s="232">
        <f t="shared" si="83"/>
        <v>2.3903582189487779E-2</v>
      </c>
      <c r="W234" s="233">
        <f t="shared" si="72"/>
        <v>0.4894403821060147</v>
      </c>
      <c r="X234" s="234" t="str">
        <f t="shared" si="67"/>
        <v>MO-No</v>
      </c>
      <c r="Y234" s="235" t="str">
        <f t="shared" si="68"/>
        <v>MO-Dem</v>
      </c>
      <c r="Z234" s="236" t="str">
        <f>B234&amp;"-"&amp;IF(V234&gt;Instructions!$H$14,Instructions!$I$14,IF(V234&gt;Instructions!$H$15,Instructions!$I$15,IF(V234&gt;Instructions!$H$16,Instructions!$I$16,IF(V234&gt;Instructions!$H$17,Instructions!$I$17,Instructions!$I$18))))</f>
        <v>MO-Tight</v>
      </c>
      <c r="AA234" s="237">
        <f t="shared" si="69"/>
        <v>0</v>
      </c>
      <c r="AB234" s="237">
        <f t="shared" si="70"/>
        <v>94757</v>
      </c>
      <c r="AC234" s="238">
        <f t="shared" si="71"/>
        <v>8930</v>
      </c>
      <c r="AD234" s="389">
        <f t="shared" si="84"/>
        <v>103687</v>
      </c>
    </row>
    <row r="235" spans="1:31">
      <c r="A235" s="225" t="s">
        <v>90</v>
      </c>
      <c r="B235" s="226" t="s">
        <v>24</v>
      </c>
      <c r="C235" t="s">
        <v>545</v>
      </c>
      <c r="D235" s="399" t="s">
        <v>787</v>
      </c>
      <c r="E235"/>
      <c r="F235"/>
      <c r="G235"/>
      <c r="H235"/>
      <c r="I235" t="str">
        <f t="shared" si="80"/>
        <v>MO-Yes</v>
      </c>
      <c r="J235" t="str">
        <f t="shared" si="81"/>
        <v>MO-No</v>
      </c>
      <c r="K235">
        <f t="shared" si="88"/>
        <v>1</v>
      </c>
      <c r="L235" t="str">
        <f>B235&amp;"-"&amp;IF(M235=2010, 1, "")</f>
        <v>MO-1</v>
      </c>
      <c r="M235">
        <v>2010</v>
      </c>
      <c r="N235" s="242">
        <v>4</v>
      </c>
      <c r="O235" s="415">
        <v>101532</v>
      </c>
      <c r="P235" s="416">
        <v>113489</v>
      </c>
      <c r="Q235" s="228">
        <f t="shared" si="89"/>
        <v>10035</v>
      </c>
      <c r="R235" s="423">
        <v>225056</v>
      </c>
      <c r="S235" s="239"/>
      <c r="T235" s="231">
        <f t="shared" si="82"/>
        <v>113489</v>
      </c>
      <c r="U235" s="231">
        <f t="shared" si="79"/>
        <v>101532</v>
      </c>
      <c r="V235" s="232">
        <f t="shared" si="83"/>
        <v>5.5608521958320348E-2</v>
      </c>
      <c r="W235" s="233">
        <f t="shared" si="72"/>
        <v>0.5042700483435234</v>
      </c>
      <c r="X235" s="234" t="str">
        <f t="shared" si="67"/>
        <v>MO-No</v>
      </c>
      <c r="Y235" s="235" t="str">
        <f t="shared" si="68"/>
        <v>MO-Rep</v>
      </c>
      <c r="Z235" s="236" t="str">
        <f>B235&amp;"-"&amp;IF(V235&gt;Instructions!$H$14,Instructions!$I$14,IF(V235&gt;Instructions!$H$15,Instructions!$I$15,IF(V235&gt;Instructions!$H$16,Instructions!$I$16,IF(V235&gt;Instructions!$H$17,Instructions!$I$17,Instructions!$I$18))))</f>
        <v>MO-Competitive</v>
      </c>
      <c r="AA235" s="237">
        <f t="shared" si="69"/>
        <v>101532</v>
      </c>
      <c r="AB235" s="237">
        <f t="shared" si="70"/>
        <v>0</v>
      </c>
      <c r="AC235" s="238">
        <f t="shared" si="71"/>
        <v>10035</v>
      </c>
      <c r="AD235" s="389">
        <f t="shared" si="84"/>
        <v>111567</v>
      </c>
    </row>
    <row r="236" spans="1:31">
      <c r="A236" s="225" t="s">
        <v>90</v>
      </c>
      <c r="B236" s="226" t="s">
        <v>24</v>
      </c>
      <c r="C236" t="s">
        <v>546</v>
      </c>
      <c r="D236"/>
      <c r="E236" s="399" t="s">
        <v>787</v>
      </c>
      <c r="F236"/>
      <c r="G236"/>
      <c r="H236"/>
      <c r="I236" t="str">
        <f t="shared" si="80"/>
        <v>MO-Yes</v>
      </c>
      <c r="J236" t="str">
        <f t="shared" si="81"/>
        <v>MO-Yes</v>
      </c>
      <c r="K236" t="str">
        <f t="shared" ref="K236:K237" si="92">IF(M236=2010, 1, "")</f>
        <v/>
      </c>
      <c r="L236" t="str">
        <f t="shared" ref="L236:L240" si="93">IF(M236=2010, 1, "")</f>
        <v/>
      </c>
      <c r="M236">
        <v>2004</v>
      </c>
      <c r="N236" s="242">
        <v>5</v>
      </c>
      <c r="O236" s="415">
        <v>102076</v>
      </c>
      <c r="P236" s="416">
        <v>84578</v>
      </c>
      <c r="Q236" s="228">
        <f t="shared" ref="Q236:Q240" si="94">R236-P236-O236</f>
        <v>4769</v>
      </c>
      <c r="R236" s="423">
        <v>191423</v>
      </c>
      <c r="S236" s="239"/>
      <c r="T236" s="231">
        <f t="shared" si="82"/>
        <v>102076</v>
      </c>
      <c r="U236" s="231">
        <f t="shared" si="79"/>
        <v>84578</v>
      </c>
      <c r="V236" s="232">
        <f t="shared" si="83"/>
        <v>9.3745647026048193E-2</v>
      </c>
      <c r="W236" s="233">
        <f t="shared" si="72"/>
        <v>0.5332483557357266</v>
      </c>
      <c r="X236" s="234" t="str">
        <f t="shared" si="67"/>
        <v>MO-No</v>
      </c>
      <c r="Y236" s="235" t="str">
        <f t="shared" si="68"/>
        <v>MO-Dem</v>
      </c>
      <c r="Z236" s="236" t="str">
        <f>B236&amp;"-"&amp;IF(V236&gt;Instructions!$H$14,Instructions!$I$14,IF(V236&gt;Instructions!$H$15,Instructions!$I$15,IF(V236&gt;Instructions!$H$16,Instructions!$I$16,IF(V236&gt;Instructions!$H$17,Instructions!$I$17,Instructions!$I$18))))</f>
        <v>MO-Competitive</v>
      </c>
      <c r="AA236" s="237">
        <f t="shared" si="69"/>
        <v>0</v>
      </c>
      <c r="AB236" s="237">
        <f t="shared" si="70"/>
        <v>84578</v>
      </c>
      <c r="AC236" s="238">
        <f t="shared" si="71"/>
        <v>4769</v>
      </c>
      <c r="AD236" s="389">
        <f t="shared" si="84"/>
        <v>89347</v>
      </c>
    </row>
    <row r="237" spans="1:31">
      <c r="A237" s="225" t="s">
        <v>90</v>
      </c>
      <c r="B237" s="226" t="s">
        <v>24</v>
      </c>
      <c r="C237" s="426" t="s">
        <v>547</v>
      </c>
      <c r="D237"/>
      <c r="E237"/>
      <c r="F237"/>
      <c r="G237"/>
      <c r="H237"/>
      <c r="I237" t="str">
        <f t="shared" si="80"/>
        <v>MO-Yes</v>
      </c>
      <c r="J237" t="str">
        <f t="shared" si="81"/>
        <v>MO-Yes</v>
      </c>
      <c r="K237" t="str">
        <f t="shared" si="92"/>
        <v/>
      </c>
      <c r="L237" t="str">
        <f>IF(M237=2010, 1, "")</f>
        <v/>
      </c>
      <c r="M237">
        <v>2000</v>
      </c>
      <c r="N237" s="242">
        <v>6</v>
      </c>
      <c r="O237" s="415">
        <v>67762</v>
      </c>
      <c r="P237" s="416">
        <v>154103</v>
      </c>
      <c r="Q237" s="228">
        <f t="shared" si="94"/>
        <v>47</v>
      </c>
      <c r="R237" s="423">
        <v>221912</v>
      </c>
      <c r="S237" s="239"/>
      <c r="T237" s="231">
        <f t="shared" si="82"/>
        <v>154103</v>
      </c>
      <c r="U237" s="231">
        <f t="shared" si="79"/>
        <v>67762</v>
      </c>
      <c r="V237" s="232">
        <f t="shared" si="83"/>
        <v>0.38916007482027359</v>
      </c>
      <c r="W237" s="233">
        <f t="shared" si="72"/>
        <v>0.69443292836800175</v>
      </c>
      <c r="X237" s="234" t="str">
        <f t="shared" si="67"/>
        <v>MO-No</v>
      </c>
      <c r="Y237" s="235" t="str">
        <f t="shared" si="68"/>
        <v>MO-Rep</v>
      </c>
      <c r="Z237" s="236" t="str">
        <f>B237&amp;"-"&amp;IF(V237&gt;Instructions!$H$14,Instructions!$I$14,IF(V237&gt;Instructions!$H$15,Instructions!$I$15,IF(V237&gt;Instructions!$H$16,Instructions!$I$16,IF(V237&gt;Instructions!$H$17,Instructions!$I$17,Instructions!$I$18))))</f>
        <v>MO-Landslide</v>
      </c>
      <c r="AA237" s="237">
        <f t="shared" si="69"/>
        <v>67762</v>
      </c>
      <c r="AB237" s="237">
        <f t="shared" si="70"/>
        <v>0</v>
      </c>
      <c r="AC237" s="238">
        <f t="shared" si="71"/>
        <v>47</v>
      </c>
      <c r="AD237" s="389">
        <f t="shared" si="84"/>
        <v>67809</v>
      </c>
    </row>
    <row r="238" spans="1:31">
      <c r="A238" s="225" t="s">
        <v>90</v>
      </c>
      <c r="B238" s="226" t="s">
        <v>24</v>
      </c>
      <c r="C238" t="s">
        <v>548</v>
      </c>
      <c r="D238"/>
      <c r="E238"/>
      <c r="F238"/>
      <c r="G238"/>
      <c r="H238"/>
      <c r="I238" t="str">
        <f t="shared" si="80"/>
        <v>MO-No</v>
      </c>
      <c r="J238" t="str">
        <f t="shared" si="81"/>
        <v>MO-No</v>
      </c>
      <c r="K238">
        <v>0</v>
      </c>
      <c r="L238"/>
      <c r="M238">
        <v>2010</v>
      </c>
      <c r="N238" s="242">
        <v>7</v>
      </c>
      <c r="O238" s="415">
        <v>67545</v>
      </c>
      <c r="P238" s="416">
        <v>141010</v>
      </c>
      <c r="Q238" s="228">
        <f t="shared" si="94"/>
        <v>13876</v>
      </c>
      <c r="R238" s="423">
        <v>222431</v>
      </c>
      <c r="S238" s="239"/>
      <c r="T238" s="231">
        <f t="shared" si="82"/>
        <v>141010</v>
      </c>
      <c r="U238" s="231">
        <f t="shared" si="79"/>
        <v>67545</v>
      </c>
      <c r="V238" s="232">
        <f t="shared" si="83"/>
        <v>0.35225719834096519</v>
      </c>
      <c r="W238" s="233">
        <f t="shared" si="72"/>
        <v>0.63394940453443993</v>
      </c>
      <c r="X238" s="234" t="str">
        <f t="shared" si="67"/>
        <v>MO-No</v>
      </c>
      <c r="Y238" s="235" t="str">
        <f t="shared" si="68"/>
        <v>MO-Rep</v>
      </c>
      <c r="Z238" s="236" t="str">
        <f>B238&amp;"-"&amp;IF(V238&gt;Instructions!$H$14,Instructions!$I$14,IF(V238&gt;Instructions!$H$15,Instructions!$I$15,IF(V238&gt;Instructions!$H$16,Instructions!$I$16,IF(V238&gt;Instructions!$H$17,Instructions!$I$17,Instructions!$I$18))))</f>
        <v>MO-Landslide</v>
      </c>
      <c r="AA238" s="237">
        <f t="shared" si="69"/>
        <v>67545</v>
      </c>
      <c r="AB238" s="237">
        <f t="shared" si="70"/>
        <v>0</v>
      </c>
      <c r="AC238" s="238">
        <f t="shared" si="71"/>
        <v>13876</v>
      </c>
      <c r="AD238" s="389">
        <f t="shared" si="84"/>
        <v>81421</v>
      </c>
    </row>
    <row r="239" spans="1:31">
      <c r="A239" s="225" t="s">
        <v>90</v>
      </c>
      <c r="B239" s="226" t="s">
        <v>24</v>
      </c>
      <c r="C239" s="426" t="s">
        <v>549</v>
      </c>
      <c r="D239" s="399" t="s">
        <v>787</v>
      </c>
      <c r="E239"/>
      <c r="F239"/>
      <c r="G239"/>
      <c r="H239"/>
      <c r="I239" t="str">
        <f t="shared" si="80"/>
        <v>MO-Yes</v>
      </c>
      <c r="J239" t="str">
        <f t="shared" si="81"/>
        <v>MO-Yes</v>
      </c>
      <c r="K239" t="str">
        <f t="shared" ref="K239:K240" si="95">IF(M239=2010, 1, "")</f>
        <v/>
      </c>
      <c r="L239" t="str">
        <f t="shared" si="93"/>
        <v/>
      </c>
      <c r="M239">
        <v>1996</v>
      </c>
      <c r="N239" s="242">
        <v>8</v>
      </c>
      <c r="O239" s="415">
        <v>56377</v>
      </c>
      <c r="P239" s="416">
        <v>128499</v>
      </c>
      <c r="Q239" s="228">
        <f t="shared" si="94"/>
        <v>11123</v>
      </c>
      <c r="R239" s="423">
        <v>195999</v>
      </c>
      <c r="S239" s="239"/>
      <c r="T239" s="231">
        <f t="shared" si="82"/>
        <v>128499</v>
      </c>
      <c r="U239" s="231">
        <f t="shared" si="79"/>
        <v>56377</v>
      </c>
      <c r="V239" s="232">
        <f t="shared" si="83"/>
        <v>0.3901101278694909</v>
      </c>
      <c r="W239" s="233">
        <f t="shared" si="72"/>
        <v>0.65561048780861131</v>
      </c>
      <c r="X239" s="234" t="str">
        <f t="shared" si="67"/>
        <v>MO-No</v>
      </c>
      <c r="Y239" s="235" t="str">
        <f t="shared" si="68"/>
        <v>MO-Rep</v>
      </c>
      <c r="Z239" s="236" t="str">
        <f>B239&amp;"-"&amp;IF(V239&gt;Instructions!$H$14,Instructions!$I$14,IF(V239&gt;Instructions!$H$15,Instructions!$I$15,IF(V239&gt;Instructions!$H$16,Instructions!$I$16,IF(V239&gt;Instructions!$H$17,Instructions!$I$17,Instructions!$I$18))))</f>
        <v>MO-Landslide</v>
      </c>
      <c r="AA239" s="237">
        <f t="shared" si="69"/>
        <v>56377</v>
      </c>
      <c r="AB239" s="237">
        <f t="shared" si="70"/>
        <v>0</v>
      </c>
      <c r="AC239" s="238">
        <f t="shared" si="71"/>
        <v>11123</v>
      </c>
      <c r="AD239" s="389">
        <f t="shared" si="84"/>
        <v>67500</v>
      </c>
    </row>
    <row r="240" spans="1:31">
      <c r="A240" s="225" t="s">
        <v>90</v>
      </c>
      <c r="B240" s="226" t="s">
        <v>24</v>
      </c>
      <c r="C240" t="s">
        <v>550</v>
      </c>
      <c r="D240"/>
      <c r="E240"/>
      <c r="F240"/>
      <c r="G240"/>
      <c r="H240"/>
      <c r="I240" t="str">
        <f t="shared" si="80"/>
        <v>MO-Yes</v>
      </c>
      <c r="J240" t="str">
        <f t="shared" si="81"/>
        <v>MO-Yes</v>
      </c>
      <c r="K240" t="str">
        <f t="shared" si="95"/>
        <v/>
      </c>
      <c r="L240" t="str">
        <f t="shared" si="93"/>
        <v/>
      </c>
      <c r="M240">
        <v>2008</v>
      </c>
      <c r="N240" s="242">
        <v>9</v>
      </c>
      <c r="O240" s="415">
        <v>0</v>
      </c>
      <c r="P240" s="416">
        <v>162724</v>
      </c>
      <c r="Q240" s="228">
        <f t="shared" si="94"/>
        <v>47634</v>
      </c>
      <c r="R240" s="423">
        <v>210358</v>
      </c>
      <c r="S240" s="239"/>
      <c r="T240" s="231">
        <f t="shared" si="82"/>
        <v>162724</v>
      </c>
      <c r="U240" s="231">
        <f t="shared" si="79"/>
        <v>47634</v>
      </c>
      <c r="V240" s="232">
        <f t="shared" si="83"/>
        <v>1</v>
      </c>
      <c r="W240" s="233">
        <f t="shared" si="72"/>
        <v>0.77355745918862129</v>
      </c>
      <c r="X240" s="234" t="str">
        <f t="shared" si="67"/>
        <v>MO-Yes</v>
      </c>
      <c r="Y240" s="235" t="str">
        <f t="shared" si="68"/>
        <v>MO-Rep</v>
      </c>
      <c r="Z240" s="236" t="str">
        <f>B240&amp;"-"&amp;IF(V240&gt;Instructions!$H$14,Instructions!$I$14,IF(V240&gt;Instructions!$H$15,Instructions!$I$15,IF(V240&gt;Instructions!$H$16,Instructions!$I$16,IF(V240&gt;Instructions!$H$17,Instructions!$I$17,Instructions!$I$18))))</f>
        <v>MO-No contest</v>
      </c>
      <c r="AA240" s="237">
        <f t="shared" si="69"/>
        <v>0</v>
      </c>
      <c r="AB240" s="237">
        <f t="shared" si="70"/>
        <v>0</v>
      </c>
      <c r="AC240" s="238">
        <f t="shared" si="71"/>
        <v>47634</v>
      </c>
      <c r="AD240" s="389">
        <f t="shared" si="84"/>
        <v>47634</v>
      </c>
      <c r="AE240" s="389">
        <f>SUM(AD232:AD240)</f>
        <v>702988</v>
      </c>
    </row>
    <row r="241" spans="1:31">
      <c r="A241" s="225" t="s">
        <v>91</v>
      </c>
      <c r="B241" s="226" t="s">
        <v>25</v>
      </c>
      <c r="C241" s="426" t="s">
        <v>555</v>
      </c>
      <c r="D241"/>
      <c r="E241"/>
      <c r="F241"/>
      <c r="G241"/>
      <c r="H241"/>
      <c r="I241" t="str">
        <f t="shared" si="80"/>
        <v>MT-Yes</v>
      </c>
      <c r="J241" t="str">
        <f t="shared" si="81"/>
        <v>MT-Yes</v>
      </c>
      <c r="K241" t="str">
        <f t="shared" si="87"/>
        <v/>
      </c>
      <c r="L241" t="str">
        <f t="shared" si="85"/>
        <v/>
      </c>
      <c r="M241">
        <v>2000</v>
      </c>
      <c r="N241" s="242">
        <v>1</v>
      </c>
      <c r="O241" s="415">
        <v>121954</v>
      </c>
      <c r="P241" s="416">
        <v>217696</v>
      </c>
      <c r="Q241" s="228">
        <f t="shared" si="86"/>
        <v>20691</v>
      </c>
      <c r="R241" s="423">
        <v>360341</v>
      </c>
      <c r="S241" s="239"/>
      <c r="T241" s="231">
        <f t="shared" si="82"/>
        <v>217696</v>
      </c>
      <c r="U241" s="231">
        <f t="shared" si="79"/>
        <v>121954</v>
      </c>
      <c r="V241" s="232">
        <f t="shared" si="83"/>
        <v>0.28188429265420284</v>
      </c>
      <c r="W241" s="233">
        <f t="shared" si="72"/>
        <v>0.60413885736011164</v>
      </c>
      <c r="X241" s="234" t="str">
        <f t="shared" si="67"/>
        <v>MT-No</v>
      </c>
      <c r="Y241" s="235" t="str">
        <f t="shared" si="68"/>
        <v>MT-Rep</v>
      </c>
      <c r="Z241" s="236" t="str">
        <f>B241&amp;"-"&amp;IF(V241&gt;Instructions!$H$14,Instructions!$I$14,IF(V241&gt;Instructions!$H$15,Instructions!$I$15,IF(V241&gt;Instructions!$H$16,Instructions!$I$16,IF(V241&gt;Instructions!$H$17,Instructions!$I$17,Instructions!$I$18))))</f>
        <v>MT-Landslide</v>
      </c>
      <c r="AA241" s="237">
        <f t="shared" si="69"/>
        <v>121954</v>
      </c>
      <c r="AB241" s="237">
        <f t="shared" si="70"/>
        <v>0</v>
      </c>
      <c r="AC241" s="238">
        <f t="shared" si="71"/>
        <v>20691</v>
      </c>
      <c r="AD241" s="389">
        <f t="shared" si="84"/>
        <v>142645</v>
      </c>
      <c r="AE241" s="389">
        <f>SUM(AD241)</f>
        <v>142645</v>
      </c>
    </row>
    <row r="242" spans="1:31">
      <c r="A242" s="225" t="s">
        <v>92</v>
      </c>
      <c r="B242" s="226" t="s">
        <v>26</v>
      </c>
      <c r="C242" t="s">
        <v>570</v>
      </c>
      <c r="D242"/>
      <c r="E242"/>
      <c r="F242"/>
      <c r="G242"/>
      <c r="H242"/>
      <c r="I242" t="str">
        <f t="shared" si="80"/>
        <v>NE-Yes</v>
      </c>
      <c r="J242" t="str">
        <f t="shared" si="81"/>
        <v>NE-Yes</v>
      </c>
      <c r="K242" t="str">
        <f t="shared" si="87"/>
        <v/>
      </c>
      <c r="L242" t="str">
        <f t="shared" si="85"/>
        <v/>
      </c>
      <c r="M242">
        <v>2004</v>
      </c>
      <c r="N242" s="242">
        <v>1</v>
      </c>
      <c r="O242" s="415">
        <v>47106</v>
      </c>
      <c r="P242" s="416">
        <v>116871</v>
      </c>
      <c r="Q242" s="228">
        <f t="shared" si="86"/>
        <v>0</v>
      </c>
      <c r="R242" s="423">
        <v>163977</v>
      </c>
      <c r="S242" s="239"/>
      <c r="T242" s="231">
        <f t="shared" si="82"/>
        <v>116871</v>
      </c>
      <c r="U242" s="231">
        <f t="shared" si="79"/>
        <v>47106</v>
      </c>
      <c r="V242" s="232">
        <f t="shared" si="83"/>
        <v>0.42545600907444336</v>
      </c>
      <c r="W242" s="233">
        <f t="shared" si="72"/>
        <v>0.71272800453722174</v>
      </c>
      <c r="X242" s="234" t="str">
        <f t="shared" si="67"/>
        <v>NE-No</v>
      </c>
      <c r="Y242" s="235" t="str">
        <f t="shared" si="68"/>
        <v>NE-Rep</v>
      </c>
      <c r="Z242" s="236" t="str">
        <f>B242&amp;"-"&amp;IF(V242&gt;Instructions!$H$14,Instructions!$I$14,IF(V242&gt;Instructions!$H$15,Instructions!$I$15,IF(V242&gt;Instructions!$H$16,Instructions!$I$16,IF(V242&gt;Instructions!$H$17,Instructions!$I$17,Instructions!$I$18))))</f>
        <v>NE-No contest</v>
      </c>
      <c r="AA242" s="237">
        <f t="shared" si="69"/>
        <v>47106</v>
      </c>
      <c r="AB242" s="237">
        <f t="shared" si="70"/>
        <v>0</v>
      </c>
      <c r="AC242" s="238">
        <f t="shared" si="71"/>
        <v>0</v>
      </c>
      <c r="AD242" s="389">
        <f t="shared" si="84"/>
        <v>47106</v>
      </c>
    </row>
    <row r="243" spans="1:31">
      <c r="A243" s="225" t="s">
        <v>92</v>
      </c>
      <c r="B243" s="226" t="s">
        <v>26</v>
      </c>
      <c r="C243" t="s">
        <v>571</v>
      </c>
      <c r="D243"/>
      <c r="E243"/>
      <c r="F243"/>
      <c r="G243"/>
      <c r="H243"/>
      <c r="I243" t="str">
        <f t="shared" si="80"/>
        <v>NE-Yes</v>
      </c>
      <c r="J243" t="str">
        <f t="shared" si="81"/>
        <v>NE-Yes</v>
      </c>
      <c r="K243" t="str">
        <f t="shared" si="87"/>
        <v/>
      </c>
      <c r="L243" t="str">
        <f t="shared" si="85"/>
        <v/>
      </c>
      <c r="M243">
        <v>1998</v>
      </c>
      <c r="N243" s="242">
        <v>2</v>
      </c>
      <c r="O243" s="415">
        <v>60486</v>
      </c>
      <c r="P243" s="416">
        <v>93840</v>
      </c>
      <c r="Q243" s="228">
        <f t="shared" si="86"/>
        <v>0</v>
      </c>
      <c r="R243" s="423">
        <v>154326</v>
      </c>
      <c r="S243" s="239"/>
      <c r="T243" s="231">
        <f t="shared" si="82"/>
        <v>93840</v>
      </c>
      <c r="U243" s="231">
        <f t="shared" si="79"/>
        <v>60486</v>
      </c>
      <c r="V243" s="232">
        <f t="shared" si="83"/>
        <v>0.21612690019828157</v>
      </c>
      <c r="W243" s="233">
        <f t="shared" si="72"/>
        <v>0.60806345009914076</v>
      </c>
      <c r="X243" s="234" t="str">
        <f t="shared" si="67"/>
        <v>NE-No</v>
      </c>
      <c r="Y243" s="235" t="str">
        <f t="shared" si="68"/>
        <v>NE-Rep</v>
      </c>
      <c r="Z243" s="236" t="str">
        <f>B243&amp;"-"&amp;IF(V243&gt;Instructions!$H$14,Instructions!$I$14,IF(V243&gt;Instructions!$H$15,Instructions!$I$15,IF(V243&gt;Instructions!$H$16,Instructions!$I$16,IF(V243&gt;Instructions!$H$17,Instructions!$I$17,Instructions!$I$18))))</f>
        <v>NE-Landslide</v>
      </c>
      <c r="AA243" s="237">
        <f t="shared" si="69"/>
        <v>60486</v>
      </c>
      <c r="AB243" s="237">
        <f t="shared" si="70"/>
        <v>0</v>
      </c>
      <c r="AC243" s="238">
        <f t="shared" si="71"/>
        <v>0</v>
      </c>
      <c r="AD243" s="389">
        <f t="shared" si="84"/>
        <v>60486</v>
      </c>
    </row>
    <row r="244" spans="1:31">
      <c r="A244" s="225" t="s">
        <v>92</v>
      </c>
      <c r="B244" s="226" t="s">
        <v>26</v>
      </c>
      <c r="C244" t="s">
        <v>572</v>
      </c>
      <c r="D244"/>
      <c r="E244"/>
      <c r="F244"/>
      <c r="G244"/>
      <c r="H244"/>
      <c r="I244" t="str">
        <f t="shared" si="80"/>
        <v>NE-Yes</v>
      </c>
      <c r="J244" t="str">
        <f t="shared" si="81"/>
        <v>NE-Yes</v>
      </c>
      <c r="K244" t="str">
        <f t="shared" si="87"/>
        <v/>
      </c>
      <c r="L244" t="str">
        <f t="shared" si="85"/>
        <v/>
      </c>
      <c r="M244">
        <v>2006</v>
      </c>
      <c r="N244" s="242">
        <v>3</v>
      </c>
      <c r="O244" s="415">
        <v>29932</v>
      </c>
      <c r="P244" s="416">
        <v>117275</v>
      </c>
      <c r="Q244" s="228">
        <f t="shared" si="86"/>
        <v>20036</v>
      </c>
      <c r="R244" s="423">
        <v>167243</v>
      </c>
      <c r="S244" s="239"/>
      <c r="T244" s="231">
        <f t="shared" si="82"/>
        <v>117275</v>
      </c>
      <c r="U244" s="231">
        <f t="shared" si="79"/>
        <v>29932</v>
      </c>
      <c r="V244" s="232">
        <f t="shared" si="83"/>
        <v>0.59333455610127239</v>
      </c>
      <c r="W244" s="233">
        <f t="shared" si="72"/>
        <v>0.70122516338501462</v>
      </c>
      <c r="X244" s="234" t="str">
        <f t="shared" si="67"/>
        <v>NE-No</v>
      </c>
      <c r="Y244" s="235" t="str">
        <f t="shared" si="68"/>
        <v>NE-Rep</v>
      </c>
      <c r="Z244" s="236" t="str">
        <f>B244&amp;"-"&amp;IF(V244&gt;Instructions!$H$14,Instructions!$I$14,IF(V244&gt;Instructions!$H$15,Instructions!$I$15,IF(V244&gt;Instructions!$H$16,Instructions!$I$16,IF(V244&gt;Instructions!$H$17,Instructions!$I$17,Instructions!$I$18))))</f>
        <v>NE-No contest</v>
      </c>
      <c r="AA244" s="237">
        <f t="shared" si="69"/>
        <v>29932</v>
      </c>
      <c r="AB244" s="237">
        <f t="shared" si="70"/>
        <v>0</v>
      </c>
      <c r="AC244" s="238">
        <f t="shared" si="71"/>
        <v>20036</v>
      </c>
      <c r="AD244" s="389">
        <f t="shared" si="84"/>
        <v>49968</v>
      </c>
      <c r="AE244" s="389">
        <f>SUM(AD242:AD244)</f>
        <v>157560</v>
      </c>
    </row>
    <row r="245" spans="1:31">
      <c r="A245" s="225" t="s">
        <v>93</v>
      </c>
      <c r="B245" s="226" t="s">
        <v>27</v>
      </c>
      <c r="C245" s="426" t="s">
        <v>591</v>
      </c>
      <c r="D245" s="399" t="s">
        <v>788</v>
      </c>
      <c r="E245"/>
      <c r="F245"/>
      <c r="G245"/>
      <c r="H245"/>
      <c r="I245" t="str">
        <f t="shared" si="80"/>
        <v>NV-Yes</v>
      </c>
      <c r="J245" t="str">
        <f t="shared" si="81"/>
        <v>NV-Yes</v>
      </c>
      <c r="K245" t="str">
        <f t="shared" si="87"/>
        <v/>
      </c>
      <c r="L245" t="str">
        <f t="shared" si="85"/>
        <v/>
      </c>
      <c r="M245">
        <v>1998</v>
      </c>
      <c r="N245" s="242">
        <v>1</v>
      </c>
      <c r="O245" s="415">
        <v>103246</v>
      </c>
      <c r="P245" s="416">
        <v>58995</v>
      </c>
      <c r="Q245" s="228">
        <f t="shared" si="86"/>
        <v>4965</v>
      </c>
      <c r="R245" s="423">
        <v>167206</v>
      </c>
      <c r="S245" s="239"/>
      <c r="T245" s="231">
        <f t="shared" si="82"/>
        <v>103246</v>
      </c>
      <c r="U245" s="231">
        <f t="shared" si="79"/>
        <v>58995</v>
      </c>
      <c r="V245" s="232">
        <f t="shared" si="83"/>
        <v>0.27274856540578524</v>
      </c>
      <c r="W245" s="233">
        <f t="shared" si="72"/>
        <v>0.61747784170424502</v>
      </c>
      <c r="X245" s="234" t="str">
        <f t="shared" si="67"/>
        <v>NV-No</v>
      </c>
      <c r="Y245" s="235" t="str">
        <f t="shared" si="68"/>
        <v>NV-Dem</v>
      </c>
      <c r="Z245" s="236" t="str">
        <f>B245&amp;"-"&amp;IF(V245&gt;Instructions!$H$14,Instructions!$I$14,IF(V245&gt;Instructions!$H$15,Instructions!$I$15,IF(V245&gt;Instructions!$H$16,Instructions!$I$16,IF(V245&gt;Instructions!$H$17,Instructions!$I$17,Instructions!$I$18))))</f>
        <v>NV-Landslide</v>
      </c>
      <c r="AA245" s="237">
        <f t="shared" si="69"/>
        <v>0</v>
      </c>
      <c r="AB245" s="237">
        <f t="shared" si="70"/>
        <v>58995</v>
      </c>
      <c r="AC245" s="238">
        <f t="shared" si="71"/>
        <v>4965</v>
      </c>
      <c r="AD245" s="389">
        <f t="shared" si="84"/>
        <v>63960</v>
      </c>
    </row>
    <row r="246" spans="1:31">
      <c r="A246" s="225" t="s">
        <v>93</v>
      </c>
      <c r="B246" s="226" t="s">
        <v>27</v>
      </c>
      <c r="C246" t="s">
        <v>592</v>
      </c>
      <c r="D246"/>
      <c r="E246"/>
      <c r="F246"/>
      <c r="G246"/>
      <c r="H246"/>
      <c r="I246" t="str">
        <f t="shared" si="80"/>
        <v>NV-Yes</v>
      </c>
      <c r="J246" t="str">
        <f t="shared" si="81"/>
        <v>NV-Yes</v>
      </c>
      <c r="K246" t="str">
        <f t="shared" si="87"/>
        <v/>
      </c>
      <c r="L246" t="str">
        <f t="shared" si="85"/>
        <v/>
      </c>
      <c r="M246">
        <v>2006</v>
      </c>
      <c r="N246" s="242">
        <v>2</v>
      </c>
      <c r="O246" s="415">
        <v>87421</v>
      </c>
      <c r="P246" s="416">
        <v>169458</v>
      </c>
      <c r="Q246" s="228">
        <f t="shared" si="86"/>
        <v>10829</v>
      </c>
      <c r="R246" s="423">
        <v>267708</v>
      </c>
      <c r="S246" s="239"/>
      <c r="T246" s="231">
        <f t="shared" si="82"/>
        <v>169458</v>
      </c>
      <c r="U246" s="231">
        <f t="shared" si="79"/>
        <v>87421</v>
      </c>
      <c r="V246" s="232">
        <f t="shared" si="83"/>
        <v>0.31936047711179194</v>
      </c>
      <c r="W246" s="233">
        <f t="shared" si="72"/>
        <v>0.63299565197902197</v>
      </c>
      <c r="X246" s="234" t="str">
        <f t="shared" si="67"/>
        <v>NV-No</v>
      </c>
      <c r="Y246" s="235" t="str">
        <f t="shared" si="68"/>
        <v>NV-Rep</v>
      </c>
      <c r="Z246" s="236" t="str">
        <f>B246&amp;"-"&amp;IF(V246&gt;Instructions!$H$14,Instructions!$I$14,IF(V246&gt;Instructions!$H$15,Instructions!$I$15,IF(V246&gt;Instructions!$H$16,Instructions!$I$16,IF(V246&gt;Instructions!$H$17,Instructions!$I$17,Instructions!$I$18))))</f>
        <v>NV-Landslide</v>
      </c>
      <c r="AA246" s="237">
        <f t="shared" si="69"/>
        <v>87421</v>
      </c>
      <c r="AB246" s="237">
        <f t="shared" si="70"/>
        <v>0</v>
      </c>
      <c r="AC246" s="238">
        <f t="shared" si="71"/>
        <v>10829</v>
      </c>
      <c r="AD246" s="389">
        <f t="shared" si="84"/>
        <v>98250</v>
      </c>
    </row>
    <row r="247" spans="1:31">
      <c r="A247" s="225" t="s">
        <v>93</v>
      </c>
      <c r="B247" s="226" t="s">
        <v>27</v>
      </c>
      <c r="C247" t="s">
        <v>593</v>
      </c>
      <c r="D247"/>
      <c r="E247"/>
      <c r="F247"/>
      <c r="G247"/>
      <c r="H247"/>
      <c r="I247" t="str">
        <f t="shared" si="80"/>
        <v>NV-Yes</v>
      </c>
      <c r="J247" t="str">
        <f t="shared" si="81"/>
        <v>NV-No</v>
      </c>
      <c r="K247">
        <f t="shared" si="87"/>
        <v>1</v>
      </c>
      <c r="L247" t="str">
        <f>B247&amp;"-"&amp;IF(M247=2010, 1, "")</f>
        <v>NV-1</v>
      </c>
      <c r="M247">
        <v>2010</v>
      </c>
      <c r="N247" s="242">
        <v>3</v>
      </c>
      <c r="O247" s="415">
        <v>127168</v>
      </c>
      <c r="P247" s="416">
        <v>128916</v>
      </c>
      <c r="Q247" s="228">
        <f t="shared" si="86"/>
        <v>11790</v>
      </c>
      <c r="R247" s="423">
        <v>267874</v>
      </c>
      <c r="S247" s="239"/>
      <c r="T247" s="231">
        <f t="shared" si="82"/>
        <v>128916</v>
      </c>
      <c r="U247" s="231">
        <f t="shared" si="79"/>
        <v>127168</v>
      </c>
      <c r="V247" s="232">
        <f t="shared" si="83"/>
        <v>6.8258852564002433E-3</v>
      </c>
      <c r="W247" s="233">
        <f t="shared" si="72"/>
        <v>0.48125611294862508</v>
      </c>
      <c r="X247" s="234" t="str">
        <f t="shared" si="67"/>
        <v>NV-No</v>
      </c>
      <c r="Y247" s="235" t="str">
        <f t="shared" si="68"/>
        <v>NV-Rep</v>
      </c>
      <c r="Z247" s="236" t="str">
        <f>B247&amp;"-"&amp;IF(V247&gt;Instructions!$H$14,Instructions!$I$14,IF(V247&gt;Instructions!$H$15,Instructions!$I$15,IF(V247&gt;Instructions!$H$16,Instructions!$I$16,IF(V247&gt;Instructions!$H$17,Instructions!$I$17,Instructions!$I$18))))</f>
        <v>NV-Tight</v>
      </c>
      <c r="AA247" s="237">
        <f t="shared" si="69"/>
        <v>127168</v>
      </c>
      <c r="AB247" s="237">
        <f t="shared" si="70"/>
        <v>0</v>
      </c>
      <c r="AC247" s="238">
        <f t="shared" si="71"/>
        <v>11790</v>
      </c>
      <c r="AD247" s="389">
        <f t="shared" si="84"/>
        <v>138958</v>
      </c>
      <c r="AE247" s="389">
        <f>SUM(AD245:AD247)</f>
        <v>301168</v>
      </c>
    </row>
    <row r="248" spans="1:31">
      <c r="A248" s="225" t="s">
        <v>94</v>
      </c>
      <c r="B248" s="226" t="s">
        <v>28</v>
      </c>
      <c r="C248" t="s">
        <v>573</v>
      </c>
      <c r="D248"/>
      <c r="E248"/>
      <c r="F248"/>
      <c r="G248"/>
      <c r="H248"/>
      <c r="I248" t="str">
        <f t="shared" si="80"/>
        <v>NH-Yes</v>
      </c>
      <c r="J248" t="str">
        <f t="shared" si="81"/>
        <v>NH-No</v>
      </c>
      <c r="K248">
        <f t="shared" si="87"/>
        <v>1</v>
      </c>
      <c r="L248" t="str">
        <f>B248&amp;"-"&amp;IF(M248=2010, 1, "")</f>
        <v>NH-1</v>
      </c>
      <c r="M248">
        <v>2010</v>
      </c>
      <c r="N248" s="242">
        <v>1</v>
      </c>
      <c r="O248" s="415">
        <v>95503</v>
      </c>
      <c r="P248" s="416">
        <v>121655</v>
      </c>
      <c r="Q248" s="228">
        <f t="shared" si="86"/>
        <v>8265</v>
      </c>
      <c r="R248" s="423">
        <v>225423</v>
      </c>
      <c r="S248" s="239"/>
      <c r="T248" s="231">
        <f t="shared" si="82"/>
        <v>121655</v>
      </c>
      <c r="U248" s="231">
        <f t="shared" si="79"/>
        <v>95503</v>
      </c>
      <c r="V248" s="232">
        <f t="shared" si="83"/>
        <v>0.12042844380589249</v>
      </c>
      <c r="W248" s="233">
        <f t="shared" si="72"/>
        <v>0.53967430120262794</v>
      </c>
      <c r="X248" s="234" t="str">
        <f t="shared" si="67"/>
        <v>NH-No</v>
      </c>
      <c r="Y248" s="235" t="str">
        <f t="shared" si="68"/>
        <v>NH-Rep</v>
      </c>
      <c r="Z248" s="236" t="str">
        <f>B248&amp;"-"&amp;IF(V248&gt;Instructions!$H$14,Instructions!$I$14,IF(V248&gt;Instructions!$H$15,Instructions!$I$15,IF(V248&gt;Instructions!$H$16,Instructions!$I$16,IF(V248&gt;Instructions!$H$17,Instructions!$I$17,Instructions!$I$18))))</f>
        <v>NH-Opportunity</v>
      </c>
      <c r="AA248" s="237">
        <f t="shared" si="69"/>
        <v>95503</v>
      </c>
      <c r="AB248" s="237">
        <f t="shared" si="70"/>
        <v>0</v>
      </c>
      <c r="AC248" s="238">
        <f t="shared" si="71"/>
        <v>8265</v>
      </c>
      <c r="AD248" s="389">
        <f t="shared" si="84"/>
        <v>103768</v>
      </c>
    </row>
    <row r="249" spans="1:31">
      <c r="A249" s="225" t="s">
        <v>94</v>
      </c>
      <c r="B249" s="226" t="s">
        <v>28</v>
      </c>
      <c r="C249" t="s">
        <v>574</v>
      </c>
      <c r="D249"/>
      <c r="E249"/>
      <c r="F249"/>
      <c r="G249"/>
      <c r="H249"/>
      <c r="I249" t="str">
        <f t="shared" si="80"/>
        <v>NH-No</v>
      </c>
      <c r="J249" t="str">
        <f t="shared" si="81"/>
        <v>NH-No</v>
      </c>
      <c r="K249">
        <v>0</v>
      </c>
      <c r="L249" t="str">
        <f>B249&amp;"-"&amp;IF(M249=2010, 1, "")</f>
        <v>NH-1</v>
      </c>
      <c r="M249">
        <v>2010</v>
      </c>
      <c r="N249" s="242">
        <v>2</v>
      </c>
      <c r="O249" s="415">
        <v>105060</v>
      </c>
      <c r="P249" s="416">
        <v>108610</v>
      </c>
      <c r="Q249" s="228">
        <f t="shared" si="86"/>
        <v>10993</v>
      </c>
      <c r="R249" s="423">
        <v>224663</v>
      </c>
      <c r="S249" s="239"/>
      <c r="T249" s="231">
        <f t="shared" si="82"/>
        <v>108610</v>
      </c>
      <c r="U249" s="231">
        <f t="shared" si="79"/>
        <v>105060</v>
      </c>
      <c r="V249" s="232">
        <f t="shared" si="83"/>
        <v>1.6614405391491553E-2</v>
      </c>
      <c r="W249" s="233">
        <f t="shared" ref="W249:W312" si="96">T249/R249</f>
        <v>0.48343518959508242</v>
      </c>
      <c r="X249" s="234" t="str">
        <f t="shared" ref="X249:X312" si="97">B249&amp;"-"&amp;IF(O249*P249=0,"Yes","No")</f>
        <v>NH-No</v>
      </c>
      <c r="Y249" s="235" t="str">
        <f t="shared" ref="Y249:Y312" si="98">B249&amp;"-"&amp;IF(Q249=MAX(O249:Q249),"Other",IF(P249&gt;O249,"Rep","Dem"))</f>
        <v>NH-Rep</v>
      </c>
      <c r="Z249" s="236" t="str">
        <f>B249&amp;"-"&amp;IF(V249&gt;Instructions!$H$14,Instructions!$I$14,IF(V249&gt;Instructions!$H$15,Instructions!$I$15,IF(V249&gt;Instructions!$H$16,Instructions!$I$16,IF(V249&gt;Instructions!$H$17,Instructions!$I$17,Instructions!$I$18))))</f>
        <v>NH-Tight</v>
      </c>
      <c r="AA249" s="237">
        <f t="shared" ref="AA249:AA312" si="99">IF(T249=O249,0,O249)</f>
        <v>105060</v>
      </c>
      <c r="AB249" s="237">
        <f t="shared" ref="AB249:AB312" si="100">IF(T249=P249,0,P249)</f>
        <v>0</v>
      </c>
      <c r="AC249" s="238">
        <f t="shared" ref="AC249:AC312" si="101">IF(T249=Q249,0,Q249)</f>
        <v>10993</v>
      </c>
      <c r="AD249" s="389">
        <f t="shared" si="84"/>
        <v>116053</v>
      </c>
      <c r="AE249" s="389">
        <f>SUM(AD248:AD249)</f>
        <v>219821</v>
      </c>
    </row>
    <row r="250" spans="1:31">
      <c r="A250" s="225" t="s">
        <v>95</v>
      </c>
      <c r="B250" s="226" t="s">
        <v>29</v>
      </c>
      <c r="C250" s="426" t="s">
        <v>575</v>
      </c>
      <c r="D250"/>
      <c r="E250"/>
      <c r="F250"/>
      <c r="G250"/>
      <c r="H250"/>
      <c r="I250" t="str">
        <f t="shared" si="80"/>
        <v>NJ-Yes</v>
      </c>
      <c r="J250" t="str">
        <f t="shared" si="81"/>
        <v>NJ-Yes</v>
      </c>
      <c r="K250" t="str">
        <f t="shared" si="87"/>
        <v/>
      </c>
      <c r="L250" t="str">
        <f t="shared" si="85"/>
        <v/>
      </c>
      <c r="M250">
        <v>1990</v>
      </c>
      <c r="N250" s="242">
        <v>1</v>
      </c>
      <c r="O250" s="415">
        <v>106334</v>
      </c>
      <c r="P250" s="416">
        <v>58562</v>
      </c>
      <c r="Q250" s="228">
        <f t="shared" si="86"/>
        <v>3371</v>
      </c>
      <c r="R250" s="423">
        <v>168267</v>
      </c>
      <c r="S250" s="239"/>
      <c r="T250" s="231">
        <f t="shared" si="82"/>
        <v>106334</v>
      </c>
      <c r="U250" s="231">
        <f t="shared" si="79"/>
        <v>58562</v>
      </c>
      <c r="V250" s="232">
        <f t="shared" si="83"/>
        <v>0.28970987774112167</v>
      </c>
      <c r="W250" s="233">
        <f t="shared" si="96"/>
        <v>0.63193614909637663</v>
      </c>
      <c r="X250" s="234" t="str">
        <f t="shared" si="97"/>
        <v>NJ-No</v>
      </c>
      <c r="Y250" s="235" t="str">
        <f t="shared" si="98"/>
        <v>NJ-Dem</v>
      </c>
      <c r="Z250" s="236" t="str">
        <f>B250&amp;"-"&amp;IF(V250&gt;Instructions!$H$14,Instructions!$I$14,IF(V250&gt;Instructions!$H$15,Instructions!$I$15,IF(V250&gt;Instructions!$H$16,Instructions!$I$16,IF(V250&gt;Instructions!$H$17,Instructions!$I$17,Instructions!$I$18))))</f>
        <v>NJ-Landslide</v>
      </c>
      <c r="AA250" s="237">
        <f t="shared" si="99"/>
        <v>0</v>
      </c>
      <c r="AB250" s="237">
        <f t="shared" si="100"/>
        <v>58562</v>
      </c>
      <c r="AC250" s="238">
        <f t="shared" si="101"/>
        <v>3371</v>
      </c>
      <c r="AD250" s="389">
        <f t="shared" si="84"/>
        <v>61933</v>
      </c>
    </row>
    <row r="251" spans="1:31">
      <c r="A251" s="225" t="s">
        <v>95</v>
      </c>
      <c r="B251" s="226" t="s">
        <v>29</v>
      </c>
      <c r="C251" s="426" t="s">
        <v>576</v>
      </c>
      <c r="D251"/>
      <c r="E251"/>
      <c r="F251"/>
      <c r="G251"/>
      <c r="H251"/>
      <c r="I251" t="str">
        <f t="shared" si="80"/>
        <v>NJ-Yes</v>
      </c>
      <c r="J251" t="str">
        <f t="shared" si="81"/>
        <v>NJ-Yes</v>
      </c>
      <c r="K251" t="str">
        <f>IF(M251=2010, 1, "")</f>
        <v/>
      </c>
      <c r="L251" t="str">
        <f t="shared" si="85"/>
        <v/>
      </c>
      <c r="M251">
        <v>1994</v>
      </c>
      <c r="N251" s="242">
        <v>2</v>
      </c>
      <c r="O251" s="415">
        <v>51690</v>
      </c>
      <c r="P251" s="416">
        <v>109460</v>
      </c>
      <c r="Q251" s="228">
        <f t="shared" si="86"/>
        <v>5970</v>
      </c>
      <c r="R251" s="423">
        <v>167120</v>
      </c>
      <c r="S251" s="239"/>
      <c r="T251" s="231">
        <f t="shared" si="82"/>
        <v>109460</v>
      </c>
      <c r="U251" s="231">
        <f t="shared" si="79"/>
        <v>51690</v>
      </c>
      <c r="V251" s="232">
        <f t="shared" si="83"/>
        <v>0.35848588271796461</v>
      </c>
      <c r="W251" s="233">
        <f t="shared" si="96"/>
        <v>0.65497845859262804</v>
      </c>
      <c r="X251" s="234" t="str">
        <f t="shared" si="97"/>
        <v>NJ-No</v>
      </c>
      <c r="Y251" s="235" t="str">
        <f t="shared" si="98"/>
        <v>NJ-Rep</v>
      </c>
      <c r="Z251" s="236" t="str">
        <f>B251&amp;"-"&amp;IF(V251&gt;Instructions!$H$14,Instructions!$I$14,IF(V251&gt;Instructions!$H$15,Instructions!$I$15,IF(V251&gt;Instructions!$H$16,Instructions!$I$16,IF(V251&gt;Instructions!$H$17,Instructions!$I$17,Instructions!$I$18))))</f>
        <v>NJ-Landslide</v>
      </c>
      <c r="AA251" s="237">
        <f t="shared" si="99"/>
        <v>51690</v>
      </c>
      <c r="AB251" s="237">
        <f t="shared" si="100"/>
        <v>0</v>
      </c>
      <c r="AC251" s="238">
        <f t="shared" si="101"/>
        <v>5970</v>
      </c>
      <c r="AD251" s="389">
        <f t="shared" si="84"/>
        <v>57660</v>
      </c>
    </row>
    <row r="252" spans="1:31">
      <c r="A252" s="225" t="s">
        <v>95</v>
      </c>
      <c r="B252" s="226" t="s">
        <v>29</v>
      </c>
      <c r="C252" t="s">
        <v>577</v>
      </c>
      <c r="D252"/>
      <c r="E252"/>
      <c r="F252"/>
      <c r="G252"/>
      <c r="H252"/>
      <c r="I252" t="str">
        <f t="shared" si="80"/>
        <v>NJ-Yes</v>
      </c>
      <c r="J252" t="str">
        <f t="shared" si="81"/>
        <v>NJ-No</v>
      </c>
      <c r="K252">
        <f t="shared" si="87"/>
        <v>1</v>
      </c>
      <c r="L252" t="str">
        <f>B252&amp;"-"&amp;IF(M252=2010, 1, "")</f>
        <v>NJ-1</v>
      </c>
      <c r="M252">
        <v>2010</v>
      </c>
      <c r="N252" s="242">
        <v>3</v>
      </c>
      <c r="O252" s="415">
        <v>104252</v>
      </c>
      <c r="P252" s="416">
        <v>110215</v>
      </c>
      <c r="Q252" s="228">
        <f t="shared" si="86"/>
        <v>5842</v>
      </c>
      <c r="R252" s="423">
        <v>220309</v>
      </c>
      <c r="S252" s="239"/>
      <c r="T252" s="231">
        <f t="shared" si="82"/>
        <v>110215</v>
      </c>
      <c r="U252" s="231">
        <f t="shared" si="79"/>
        <v>104252</v>
      </c>
      <c r="V252" s="232">
        <f t="shared" si="83"/>
        <v>2.7803811308965948E-2</v>
      </c>
      <c r="W252" s="233">
        <f t="shared" si="96"/>
        <v>0.5002746142917448</v>
      </c>
      <c r="X252" s="234" t="str">
        <f t="shared" si="97"/>
        <v>NJ-No</v>
      </c>
      <c r="Y252" s="235" t="str">
        <f t="shared" si="98"/>
        <v>NJ-Rep</v>
      </c>
      <c r="Z252" s="236" t="str">
        <f>B252&amp;"-"&amp;IF(V252&gt;Instructions!$H$14,Instructions!$I$14,IF(V252&gt;Instructions!$H$15,Instructions!$I$15,IF(V252&gt;Instructions!$H$16,Instructions!$I$16,IF(V252&gt;Instructions!$H$17,Instructions!$I$17,Instructions!$I$18))))</f>
        <v>NJ-Tight</v>
      </c>
      <c r="AA252" s="237">
        <f t="shared" si="99"/>
        <v>104252</v>
      </c>
      <c r="AB252" s="237">
        <f t="shared" si="100"/>
        <v>0</v>
      </c>
      <c r="AC252" s="238">
        <f t="shared" si="101"/>
        <v>5842</v>
      </c>
      <c r="AD252" s="389">
        <f t="shared" si="84"/>
        <v>110094</v>
      </c>
    </row>
    <row r="253" spans="1:31">
      <c r="A253" s="225" t="s">
        <v>95</v>
      </c>
      <c r="B253" s="226" t="s">
        <v>29</v>
      </c>
      <c r="C253" s="426" t="s">
        <v>578</v>
      </c>
      <c r="D253"/>
      <c r="E253"/>
      <c r="F253"/>
      <c r="G253"/>
      <c r="H253"/>
      <c r="I253" t="str">
        <f t="shared" si="80"/>
        <v>NJ-Yes</v>
      </c>
      <c r="J253" t="str">
        <f t="shared" si="81"/>
        <v>NJ-Yes</v>
      </c>
      <c r="K253" t="str">
        <f t="shared" si="87"/>
        <v/>
      </c>
      <c r="L253" t="str">
        <f t="shared" si="85"/>
        <v/>
      </c>
      <c r="M253">
        <v>1980</v>
      </c>
      <c r="N253" s="242">
        <v>4</v>
      </c>
      <c r="O253" s="415">
        <v>52118</v>
      </c>
      <c r="P253" s="416">
        <v>129752</v>
      </c>
      <c r="Q253" s="228">
        <f t="shared" si="86"/>
        <v>5068</v>
      </c>
      <c r="R253" s="423">
        <v>186938</v>
      </c>
      <c r="S253" s="239"/>
      <c r="T253" s="231">
        <f t="shared" si="82"/>
        <v>129752</v>
      </c>
      <c r="U253" s="231">
        <f t="shared" si="79"/>
        <v>52118</v>
      </c>
      <c r="V253" s="232">
        <f t="shared" si="83"/>
        <v>0.4268653433771375</v>
      </c>
      <c r="W253" s="233">
        <f t="shared" si="96"/>
        <v>0.69409108902416849</v>
      </c>
      <c r="X253" s="234" t="str">
        <f t="shared" si="97"/>
        <v>NJ-No</v>
      </c>
      <c r="Y253" s="235" t="str">
        <f t="shared" si="98"/>
        <v>NJ-Rep</v>
      </c>
      <c r="Z253" s="236" t="str">
        <f>B253&amp;"-"&amp;IF(V253&gt;Instructions!$H$14,Instructions!$I$14,IF(V253&gt;Instructions!$H$15,Instructions!$I$15,IF(V253&gt;Instructions!$H$16,Instructions!$I$16,IF(V253&gt;Instructions!$H$17,Instructions!$I$17,Instructions!$I$18))))</f>
        <v>NJ-No contest</v>
      </c>
      <c r="AA253" s="237">
        <f t="shared" si="99"/>
        <v>52118</v>
      </c>
      <c r="AB253" s="237">
        <f t="shared" si="100"/>
        <v>0</v>
      </c>
      <c r="AC253" s="238">
        <f t="shared" si="101"/>
        <v>5068</v>
      </c>
      <c r="AD253" s="389">
        <f t="shared" si="84"/>
        <v>57186</v>
      </c>
    </row>
    <row r="254" spans="1:31">
      <c r="A254" s="225" t="s">
        <v>95</v>
      </c>
      <c r="B254" s="226" t="s">
        <v>29</v>
      </c>
      <c r="C254" t="s">
        <v>579</v>
      </c>
      <c r="D254"/>
      <c r="E254"/>
      <c r="F254"/>
      <c r="G254"/>
      <c r="H254"/>
      <c r="I254" t="str">
        <f t="shared" si="80"/>
        <v>NJ-Yes</v>
      </c>
      <c r="J254" t="str">
        <f t="shared" si="81"/>
        <v>NJ-Yes</v>
      </c>
      <c r="K254" t="str">
        <f t="shared" si="87"/>
        <v/>
      </c>
      <c r="L254" t="str">
        <f t="shared" si="85"/>
        <v/>
      </c>
      <c r="M254">
        <v>2002</v>
      </c>
      <c r="N254" s="242">
        <v>5</v>
      </c>
      <c r="O254" s="415">
        <v>62634</v>
      </c>
      <c r="P254" s="416">
        <v>124030</v>
      </c>
      <c r="Q254" s="228">
        <f t="shared" si="86"/>
        <v>4329</v>
      </c>
      <c r="R254" s="423">
        <v>190993</v>
      </c>
      <c r="S254" s="239"/>
      <c r="T254" s="231">
        <f t="shared" si="82"/>
        <v>124030</v>
      </c>
      <c r="U254" s="231">
        <f t="shared" si="79"/>
        <v>62634</v>
      </c>
      <c r="V254" s="232">
        <f t="shared" si="83"/>
        <v>0.32891184159773712</v>
      </c>
      <c r="W254" s="233">
        <f t="shared" si="96"/>
        <v>0.64939552758478059</v>
      </c>
      <c r="X254" s="234" t="str">
        <f t="shared" si="97"/>
        <v>NJ-No</v>
      </c>
      <c r="Y254" s="235" t="str">
        <f t="shared" si="98"/>
        <v>NJ-Rep</v>
      </c>
      <c r="Z254" s="236" t="str">
        <f>B254&amp;"-"&amp;IF(V254&gt;Instructions!$H$14,Instructions!$I$14,IF(V254&gt;Instructions!$H$15,Instructions!$I$15,IF(V254&gt;Instructions!$H$16,Instructions!$I$16,IF(V254&gt;Instructions!$H$17,Instructions!$I$17,Instructions!$I$18))))</f>
        <v>NJ-Landslide</v>
      </c>
      <c r="AA254" s="237">
        <f t="shared" si="99"/>
        <v>62634</v>
      </c>
      <c r="AB254" s="237">
        <f t="shared" si="100"/>
        <v>0</v>
      </c>
      <c r="AC254" s="238">
        <f t="shared" si="101"/>
        <v>4329</v>
      </c>
      <c r="AD254" s="389">
        <f t="shared" si="84"/>
        <v>66963</v>
      </c>
    </row>
    <row r="255" spans="1:31">
      <c r="A255" s="225" t="s">
        <v>95</v>
      </c>
      <c r="B255" s="226" t="s">
        <v>29</v>
      </c>
      <c r="C255" t="s">
        <v>580</v>
      </c>
      <c r="D255"/>
      <c r="E255"/>
      <c r="F255"/>
      <c r="G255"/>
      <c r="H255"/>
      <c r="I255" t="str">
        <f t="shared" si="80"/>
        <v>NJ-Yes</v>
      </c>
      <c r="J255" t="str">
        <f t="shared" si="81"/>
        <v>NJ-Yes</v>
      </c>
      <c r="K255" t="str">
        <f t="shared" si="87"/>
        <v/>
      </c>
      <c r="L255" t="str">
        <f t="shared" si="85"/>
        <v/>
      </c>
      <c r="M255">
        <v>1988</v>
      </c>
      <c r="N255" s="242">
        <v>6</v>
      </c>
      <c r="O255" s="415">
        <v>81933</v>
      </c>
      <c r="P255" s="416">
        <v>65413</v>
      </c>
      <c r="Q255" s="228">
        <f t="shared" si="86"/>
        <v>2316</v>
      </c>
      <c r="R255" s="423">
        <v>149662</v>
      </c>
      <c r="S255" s="239"/>
      <c r="T255" s="231">
        <f t="shared" si="82"/>
        <v>81933</v>
      </c>
      <c r="U255" s="231">
        <f t="shared" si="79"/>
        <v>65413</v>
      </c>
      <c r="V255" s="232">
        <f t="shared" si="83"/>
        <v>0.11211705780950959</v>
      </c>
      <c r="W255" s="233">
        <f t="shared" si="96"/>
        <v>0.54745359543504701</v>
      </c>
      <c r="X255" s="234" t="str">
        <f t="shared" si="97"/>
        <v>NJ-No</v>
      </c>
      <c r="Y255" s="235" t="str">
        <f t="shared" si="98"/>
        <v>NJ-Dem</v>
      </c>
      <c r="Z255" s="236" t="str">
        <f>B255&amp;"-"&amp;IF(V255&gt;Instructions!$H$14,Instructions!$I$14,IF(V255&gt;Instructions!$H$15,Instructions!$I$15,IF(V255&gt;Instructions!$H$16,Instructions!$I$16,IF(V255&gt;Instructions!$H$17,Instructions!$I$17,Instructions!$I$18))))</f>
        <v>NJ-Opportunity</v>
      </c>
      <c r="AA255" s="237">
        <f t="shared" si="99"/>
        <v>0</v>
      </c>
      <c r="AB255" s="237">
        <f t="shared" si="100"/>
        <v>65413</v>
      </c>
      <c r="AC255" s="238">
        <f t="shared" si="101"/>
        <v>2316</v>
      </c>
      <c r="AD255" s="389">
        <f t="shared" si="84"/>
        <v>67729</v>
      </c>
    </row>
    <row r="256" spans="1:31">
      <c r="A256" s="225" t="s">
        <v>95</v>
      </c>
      <c r="B256" s="226" t="s">
        <v>29</v>
      </c>
      <c r="C256" t="s">
        <v>581</v>
      </c>
      <c r="D256"/>
      <c r="E256"/>
      <c r="F256"/>
      <c r="G256"/>
      <c r="H256"/>
      <c r="I256" t="str">
        <f t="shared" si="80"/>
        <v>NJ-Yes</v>
      </c>
      <c r="J256" t="str">
        <f t="shared" si="81"/>
        <v>NJ-Yes</v>
      </c>
      <c r="K256" t="str">
        <f t="shared" si="87"/>
        <v/>
      </c>
      <c r="L256" t="str">
        <f t="shared" si="85"/>
        <v/>
      </c>
      <c r="M256">
        <v>2008</v>
      </c>
      <c r="N256" s="242">
        <v>7</v>
      </c>
      <c r="O256" s="415">
        <v>71902</v>
      </c>
      <c r="P256" s="416">
        <v>105084</v>
      </c>
      <c r="Q256" s="228">
        <f t="shared" si="86"/>
        <v>0</v>
      </c>
      <c r="R256" s="423">
        <v>176986</v>
      </c>
      <c r="S256" s="239"/>
      <c r="T256" s="231">
        <f t="shared" si="82"/>
        <v>105084</v>
      </c>
      <c r="U256" s="231">
        <f t="shared" si="79"/>
        <v>71902</v>
      </c>
      <c r="V256" s="232">
        <f t="shared" si="83"/>
        <v>0.18748375577729312</v>
      </c>
      <c r="W256" s="233">
        <f t="shared" si="96"/>
        <v>0.59374187788864652</v>
      </c>
      <c r="X256" s="234" t="str">
        <f t="shared" si="97"/>
        <v>NJ-No</v>
      </c>
      <c r="Y256" s="235" t="str">
        <f t="shared" si="98"/>
        <v>NJ-Rep</v>
      </c>
      <c r="Z256" s="236" t="str">
        <f>B256&amp;"-"&amp;IF(V256&gt;Instructions!$H$14,Instructions!$I$14,IF(V256&gt;Instructions!$H$15,Instructions!$I$15,IF(V256&gt;Instructions!$H$16,Instructions!$I$16,IF(V256&gt;Instructions!$H$17,Instructions!$I$17,Instructions!$I$18))))</f>
        <v>NJ-Opportunity</v>
      </c>
      <c r="AA256" s="237">
        <f t="shared" si="99"/>
        <v>71902</v>
      </c>
      <c r="AB256" s="237">
        <f t="shared" si="100"/>
        <v>0</v>
      </c>
      <c r="AC256" s="238">
        <f t="shared" si="101"/>
        <v>0</v>
      </c>
      <c r="AD256" s="389">
        <f t="shared" si="84"/>
        <v>71902</v>
      </c>
    </row>
    <row r="257" spans="1:31">
      <c r="A257" s="225" t="s">
        <v>95</v>
      </c>
      <c r="B257" s="226" t="s">
        <v>29</v>
      </c>
      <c r="C257" s="426" t="s">
        <v>582</v>
      </c>
      <c r="D257"/>
      <c r="E257"/>
      <c r="F257"/>
      <c r="G257"/>
      <c r="H257"/>
      <c r="I257" t="str">
        <f t="shared" si="80"/>
        <v>NJ-Yes</v>
      </c>
      <c r="J257" t="str">
        <f t="shared" si="81"/>
        <v>NJ-Yes</v>
      </c>
      <c r="K257" t="str">
        <f>IF(M257=2010, 1, "")</f>
        <v/>
      </c>
      <c r="L257" t="str">
        <f t="shared" si="85"/>
        <v/>
      </c>
      <c r="M257">
        <v>1996</v>
      </c>
      <c r="N257" s="242">
        <v>8</v>
      </c>
      <c r="O257" s="415">
        <v>88478</v>
      </c>
      <c r="P257" s="416">
        <v>51023</v>
      </c>
      <c r="Q257" s="228">
        <f t="shared" si="86"/>
        <v>1707</v>
      </c>
      <c r="R257" s="423">
        <v>141208</v>
      </c>
      <c r="S257" s="239"/>
      <c r="T257" s="231">
        <f t="shared" si="82"/>
        <v>88478</v>
      </c>
      <c r="U257" s="231">
        <f t="shared" si="79"/>
        <v>51023</v>
      </c>
      <c r="V257" s="232">
        <f t="shared" si="83"/>
        <v>0.26849269897706829</v>
      </c>
      <c r="W257" s="233">
        <f t="shared" si="96"/>
        <v>0.62657923063849075</v>
      </c>
      <c r="X257" s="234" t="str">
        <f t="shared" si="97"/>
        <v>NJ-No</v>
      </c>
      <c r="Y257" s="235" t="str">
        <f t="shared" si="98"/>
        <v>NJ-Dem</v>
      </c>
      <c r="Z257" s="236" t="str">
        <f>B257&amp;"-"&amp;IF(V257&gt;Instructions!$H$14,Instructions!$I$14,IF(V257&gt;Instructions!$H$15,Instructions!$I$15,IF(V257&gt;Instructions!$H$16,Instructions!$I$16,IF(V257&gt;Instructions!$H$17,Instructions!$I$17,Instructions!$I$18))))</f>
        <v>NJ-Landslide</v>
      </c>
      <c r="AA257" s="237">
        <f t="shared" si="99"/>
        <v>0</v>
      </c>
      <c r="AB257" s="237">
        <f t="shared" si="100"/>
        <v>51023</v>
      </c>
      <c r="AC257" s="238">
        <f t="shared" si="101"/>
        <v>1707</v>
      </c>
      <c r="AD257" s="389">
        <f t="shared" si="84"/>
        <v>52730</v>
      </c>
    </row>
    <row r="258" spans="1:31">
      <c r="A258" s="225" t="s">
        <v>95</v>
      </c>
      <c r="B258" s="226" t="s">
        <v>29</v>
      </c>
      <c r="C258" s="426" t="s">
        <v>583</v>
      </c>
      <c r="D258"/>
      <c r="E258"/>
      <c r="F258"/>
      <c r="G258"/>
      <c r="H258"/>
      <c r="I258" t="str">
        <f t="shared" si="80"/>
        <v>NJ-Yes</v>
      </c>
      <c r="J258" t="str">
        <f t="shared" si="81"/>
        <v>NJ-Yes</v>
      </c>
      <c r="K258" t="str">
        <f t="shared" si="87"/>
        <v/>
      </c>
      <c r="L258" t="str">
        <f t="shared" si="85"/>
        <v/>
      </c>
      <c r="M258">
        <v>1996</v>
      </c>
      <c r="N258" s="242">
        <v>9</v>
      </c>
      <c r="O258" s="415">
        <v>83564</v>
      </c>
      <c r="P258" s="416">
        <v>52082</v>
      </c>
      <c r="Q258" s="228">
        <f t="shared" si="86"/>
        <v>1980</v>
      </c>
      <c r="R258" s="423">
        <v>137626</v>
      </c>
      <c r="S258" s="239"/>
      <c r="T258" s="231">
        <f t="shared" si="82"/>
        <v>83564</v>
      </c>
      <c r="U258" s="231">
        <f t="shared" si="79"/>
        <v>52082</v>
      </c>
      <c r="V258" s="232">
        <f t="shared" si="83"/>
        <v>0.2320894091974699</v>
      </c>
      <c r="W258" s="233">
        <f t="shared" si="96"/>
        <v>0.60718178251202537</v>
      </c>
      <c r="X258" s="234" t="str">
        <f t="shared" si="97"/>
        <v>NJ-No</v>
      </c>
      <c r="Y258" s="235" t="str">
        <f t="shared" si="98"/>
        <v>NJ-Dem</v>
      </c>
      <c r="Z258" s="236" t="str">
        <f>B258&amp;"-"&amp;IF(V258&gt;Instructions!$H$14,Instructions!$I$14,IF(V258&gt;Instructions!$H$15,Instructions!$I$15,IF(V258&gt;Instructions!$H$16,Instructions!$I$16,IF(V258&gt;Instructions!$H$17,Instructions!$I$17,Instructions!$I$18))))</f>
        <v>NJ-Landslide</v>
      </c>
      <c r="AA258" s="237">
        <f t="shared" si="99"/>
        <v>0</v>
      </c>
      <c r="AB258" s="237">
        <f t="shared" si="100"/>
        <v>52082</v>
      </c>
      <c r="AC258" s="238">
        <f t="shared" si="101"/>
        <v>1980</v>
      </c>
      <c r="AD258" s="389">
        <f t="shared" si="84"/>
        <v>54062</v>
      </c>
    </row>
    <row r="259" spans="1:31">
      <c r="A259" s="225" t="s">
        <v>95</v>
      </c>
      <c r="B259" s="226" t="s">
        <v>29</v>
      </c>
      <c r="C259" s="426" t="s">
        <v>584</v>
      </c>
      <c r="D259"/>
      <c r="E259" s="399" t="s">
        <v>789</v>
      </c>
      <c r="F259"/>
      <c r="G259"/>
      <c r="H259"/>
      <c r="I259" t="str">
        <f t="shared" si="80"/>
        <v>NJ-Yes</v>
      </c>
      <c r="J259" t="str">
        <f t="shared" si="81"/>
        <v>NJ-Yes</v>
      </c>
      <c r="K259" t="str">
        <f t="shared" si="87"/>
        <v/>
      </c>
      <c r="L259" t="str">
        <f t="shared" si="85"/>
        <v/>
      </c>
      <c r="M259">
        <v>1988</v>
      </c>
      <c r="N259" s="242">
        <v>10</v>
      </c>
      <c r="O259" s="415">
        <v>95299</v>
      </c>
      <c r="P259" s="416">
        <v>14357</v>
      </c>
      <c r="Q259" s="228">
        <f t="shared" si="86"/>
        <v>2221</v>
      </c>
      <c r="R259" s="423">
        <v>111877</v>
      </c>
      <c r="S259" s="239"/>
      <c r="T259" s="231">
        <f t="shared" si="82"/>
        <v>95299</v>
      </c>
      <c r="U259" s="231">
        <f t="shared" si="79"/>
        <v>14357</v>
      </c>
      <c r="V259" s="232">
        <f t="shared" si="83"/>
        <v>0.7381447435616838</v>
      </c>
      <c r="W259" s="233">
        <f t="shared" si="96"/>
        <v>0.85181940881503793</v>
      </c>
      <c r="X259" s="234" t="str">
        <f t="shared" si="97"/>
        <v>NJ-No</v>
      </c>
      <c r="Y259" s="235" t="str">
        <f t="shared" si="98"/>
        <v>NJ-Dem</v>
      </c>
      <c r="Z259" s="236" t="str">
        <f>B259&amp;"-"&amp;IF(V259&gt;Instructions!$H$14,Instructions!$I$14,IF(V259&gt;Instructions!$H$15,Instructions!$I$15,IF(V259&gt;Instructions!$H$16,Instructions!$I$16,IF(V259&gt;Instructions!$H$17,Instructions!$I$17,Instructions!$I$18))))</f>
        <v>NJ-No contest</v>
      </c>
      <c r="AA259" s="237">
        <f t="shared" si="99"/>
        <v>0</v>
      </c>
      <c r="AB259" s="237">
        <f t="shared" si="100"/>
        <v>14357</v>
      </c>
      <c r="AC259" s="238">
        <f t="shared" si="101"/>
        <v>2221</v>
      </c>
      <c r="AD259" s="389">
        <f t="shared" si="84"/>
        <v>16578</v>
      </c>
    </row>
    <row r="260" spans="1:31">
      <c r="A260" s="225" t="s">
        <v>95</v>
      </c>
      <c r="B260" s="226" t="s">
        <v>29</v>
      </c>
      <c r="C260" s="426" t="s">
        <v>585</v>
      </c>
      <c r="D260"/>
      <c r="E260"/>
      <c r="F260"/>
      <c r="G260"/>
      <c r="H260"/>
      <c r="I260" t="str">
        <f t="shared" si="80"/>
        <v>NJ-Yes</v>
      </c>
      <c r="J260" t="str">
        <f t="shared" si="81"/>
        <v>NJ-Yes</v>
      </c>
      <c r="K260" t="str">
        <f t="shared" si="87"/>
        <v/>
      </c>
      <c r="L260" t="str">
        <f t="shared" si="85"/>
        <v/>
      </c>
      <c r="M260">
        <v>1994</v>
      </c>
      <c r="N260" s="242">
        <v>11</v>
      </c>
      <c r="O260" s="415">
        <v>55472</v>
      </c>
      <c r="P260" s="416">
        <v>122149</v>
      </c>
      <c r="Q260" s="228">
        <f t="shared" si="86"/>
        <v>4179</v>
      </c>
      <c r="R260" s="423">
        <v>181800</v>
      </c>
      <c r="S260" s="239"/>
      <c r="T260" s="231">
        <f t="shared" si="82"/>
        <v>122149</v>
      </c>
      <c r="U260" s="231">
        <f t="shared" si="79"/>
        <v>55472</v>
      </c>
      <c r="V260" s="232">
        <f t="shared" si="83"/>
        <v>0.37538917132546262</v>
      </c>
      <c r="W260" s="233">
        <f t="shared" si="96"/>
        <v>0.67188668866886692</v>
      </c>
      <c r="X260" s="234" t="str">
        <f t="shared" si="97"/>
        <v>NJ-No</v>
      </c>
      <c r="Y260" s="235" t="str">
        <f t="shared" si="98"/>
        <v>NJ-Rep</v>
      </c>
      <c r="Z260" s="236" t="str">
        <f>B260&amp;"-"&amp;IF(V260&gt;Instructions!$H$14,Instructions!$I$14,IF(V260&gt;Instructions!$H$15,Instructions!$I$15,IF(V260&gt;Instructions!$H$16,Instructions!$I$16,IF(V260&gt;Instructions!$H$17,Instructions!$I$17,Instructions!$I$18))))</f>
        <v>NJ-Landslide</v>
      </c>
      <c r="AA260" s="237">
        <f t="shared" si="99"/>
        <v>55472</v>
      </c>
      <c r="AB260" s="237">
        <f t="shared" si="100"/>
        <v>0</v>
      </c>
      <c r="AC260" s="238">
        <f t="shared" si="101"/>
        <v>4179</v>
      </c>
      <c r="AD260" s="389">
        <f t="shared" si="84"/>
        <v>59651</v>
      </c>
    </row>
    <row r="261" spans="1:31">
      <c r="A261" s="225" t="s">
        <v>95</v>
      </c>
      <c r="B261" s="226" t="s">
        <v>29</v>
      </c>
      <c r="C261" t="s">
        <v>586</v>
      </c>
      <c r="D261"/>
      <c r="E261"/>
      <c r="F261"/>
      <c r="G261"/>
      <c r="H261"/>
      <c r="I261" t="str">
        <f t="shared" si="80"/>
        <v>NJ-Yes</v>
      </c>
      <c r="J261" t="str">
        <f t="shared" si="81"/>
        <v>NJ-Yes</v>
      </c>
      <c r="K261" t="str">
        <f t="shared" si="87"/>
        <v/>
      </c>
      <c r="L261" t="str">
        <f t="shared" si="85"/>
        <v/>
      </c>
      <c r="M261">
        <v>1998</v>
      </c>
      <c r="N261" s="242">
        <v>12</v>
      </c>
      <c r="O261" s="415">
        <v>108214</v>
      </c>
      <c r="P261" s="416">
        <v>93634</v>
      </c>
      <c r="Q261" s="228">
        <f t="shared" si="86"/>
        <v>2154</v>
      </c>
      <c r="R261" s="423">
        <v>204002</v>
      </c>
      <c r="S261" s="239"/>
      <c r="T261" s="231">
        <f t="shared" si="82"/>
        <v>108214</v>
      </c>
      <c r="U261" s="231">
        <f t="shared" si="79"/>
        <v>93634</v>
      </c>
      <c r="V261" s="232">
        <f t="shared" si="83"/>
        <v>7.2232571043557528E-2</v>
      </c>
      <c r="W261" s="233">
        <f t="shared" si="96"/>
        <v>0.53045558376878654</v>
      </c>
      <c r="X261" s="234" t="str">
        <f t="shared" si="97"/>
        <v>NJ-No</v>
      </c>
      <c r="Y261" s="235" t="str">
        <f t="shared" si="98"/>
        <v>NJ-Dem</v>
      </c>
      <c r="Z261" s="236" t="str">
        <f>B261&amp;"-"&amp;IF(V261&gt;Instructions!$H$14,Instructions!$I$14,IF(V261&gt;Instructions!$H$15,Instructions!$I$15,IF(V261&gt;Instructions!$H$16,Instructions!$I$16,IF(V261&gt;Instructions!$H$17,Instructions!$I$17,Instructions!$I$18))))</f>
        <v>NJ-Competitive</v>
      </c>
      <c r="AA261" s="237">
        <f t="shared" si="99"/>
        <v>0</v>
      </c>
      <c r="AB261" s="237">
        <f t="shared" si="100"/>
        <v>93634</v>
      </c>
      <c r="AC261" s="238">
        <f t="shared" si="101"/>
        <v>2154</v>
      </c>
      <c r="AD261" s="389">
        <f t="shared" si="84"/>
        <v>95788</v>
      </c>
    </row>
    <row r="262" spans="1:31">
      <c r="A262" s="225" t="s">
        <v>95</v>
      </c>
      <c r="B262" s="226" t="s">
        <v>29</v>
      </c>
      <c r="C262" s="426" t="s">
        <v>587</v>
      </c>
      <c r="D262"/>
      <c r="E262"/>
      <c r="F262" s="399" t="s">
        <v>789</v>
      </c>
      <c r="G262"/>
      <c r="H262"/>
      <c r="I262" t="str">
        <f t="shared" si="80"/>
        <v>NJ-Yes</v>
      </c>
      <c r="J262" t="str">
        <f t="shared" si="81"/>
        <v>NJ-Yes</v>
      </c>
      <c r="K262" t="str">
        <f t="shared" si="87"/>
        <v/>
      </c>
      <c r="L262" t="str">
        <f t="shared" si="85"/>
        <v/>
      </c>
      <c r="M262">
        <v>2006</v>
      </c>
      <c r="N262" s="242">
        <v>13</v>
      </c>
      <c r="O262" s="415">
        <v>62840</v>
      </c>
      <c r="P262" s="416">
        <v>19538</v>
      </c>
      <c r="Q262" s="228">
        <f t="shared" si="86"/>
        <v>2418</v>
      </c>
      <c r="R262" s="423">
        <v>84796</v>
      </c>
      <c r="S262" s="239"/>
      <c r="T262" s="231">
        <f t="shared" si="82"/>
        <v>62840</v>
      </c>
      <c r="U262" s="231">
        <f t="shared" si="79"/>
        <v>19538</v>
      </c>
      <c r="V262" s="232">
        <f t="shared" si="83"/>
        <v>0.52565005219840244</v>
      </c>
      <c r="W262" s="233">
        <f t="shared" si="96"/>
        <v>0.74107269210811832</v>
      </c>
      <c r="X262" s="234" t="str">
        <f t="shared" si="97"/>
        <v>NJ-No</v>
      </c>
      <c r="Y262" s="235" t="str">
        <f t="shared" si="98"/>
        <v>NJ-Dem</v>
      </c>
      <c r="Z262" s="236" t="str">
        <f>B262&amp;"-"&amp;IF(V262&gt;Instructions!$H$14,Instructions!$I$14,IF(V262&gt;Instructions!$H$15,Instructions!$I$15,IF(V262&gt;Instructions!$H$16,Instructions!$I$16,IF(V262&gt;Instructions!$H$17,Instructions!$I$17,Instructions!$I$18))))</f>
        <v>NJ-No contest</v>
      </c>
      <c r="AA262" s="237">
        <f t="shared" si="99"/>
        <v>0</v>
      </c>
      <c r="AB262" s="237">
        <f t="shared" si="100"/>
        <v>19538</v>
      </c>
      <c r="AC262" s="238">
        <f t="shared" si="101"/>
        <v>2418</v>
      </c>
      <c r="AD262" s="389">
        <f t="shared" si="84"/>
        <v>21956</v>
      </c>
      <c r="AE262" s="389">
        <f>SUM(AD250:AD262)</f>
        <v>794232</v>
      </c>
    </row>
    <row r="263" spans="1:31">
      <c r="A263" s="225" t="s">
        <v>96</v>
      </c>
      <c r="B263" s="226" t="s">
        <v>30</v>
      </c>
      <c r="C263" t="s">
        <v>588</v>
      </c>
      <c r="D263"/>
      <c r="E263"/>
      <c r="F263"/>
      <c r="G263"/>
      <c r="H263"/>
      <c r="I263" t="str">
        <f t="shared" si="80"/>
        <v>NM-Yes</v>
      </c>
      <c r="J263" t="str">
        <f t="shared" si="81"/>
        <v>NM-Yes</v>
      </c>
      <c r="K263" t="str">
        <f t="shared" si="87"/>
        <v/>
      </c>
      <c r="L263" t="str">
        <f t="shared" si="85"/>
        <v/>
      </c>
      <c r="M263">
        <v>2008</v>
      </c>
      <c r="N263" s="242">
        <v>1</v>
      </c>
      <c r="O263" s="415">
        <v>112707</v>
      </c>
      <c r="P263" s="416">
        <v>104543</v>
      </c>
      <c r="Q263" s="228">
        <f t="shared" ref="Q263:Q265" si="102">R263-P263-O263</f>
        <v>0</v>
      </c>
      <c r="R263" s="423">
        <v>217250</v>
      </c>
      <c r="S263" s="239"/>
      <c r="T263" s="231">
        <f t="shared" si="82"/>
        <v>112707</v>
      </c>
      <c r="U263" s="231">
        <f t="shared" ref="U263:U326" si="103">IF(Q263=MAX(O263:Q263),MAX(O263:P263),IF(P263&gt;O263,MAX(O263,Q263),MAX(P263,Q263)))</f>
        <v>104543</v>
      </c>
      <c r="V263" s="232">
        <f t="shared" si="83"/>
        <v>3.7578826237054087E-2</v>
      </c>
      <c r="W263" s="233">
        <f t="shared" si="96"/>
        <v>0.518789413118527</v>
      </c>
      <c r="X263" s="234" t="str">
        <f t="shared" si="97"/>
        <v>NM-No</v>
      </c>
      <c r="Y263" s="235" t="str">
        <f t="shared" si="98"/>
        <v>NM-Dem</v>
      </c>
      <c r="Z263" s="236" t="str">
        <f>B263&amp;"-"&amp;IF(V263&gt;Instructions!$H$14,Instructions!$I$14,IF(V263&gt;Instructions!$H$15,Instructions!$I$15,IF(V263&gt;Instructions!$H$16,Instructions!$I$16,IF(V263&gt;Instructions!$H$17,Instructions!$I$17,Instructions!$I$18))))</f>
        <v>NM-Tight</v>
      </c>
      <c r="AA263" s="237">
        <f t="shared" si="99"/>
        <v>0</v>
      </c>
      <c r="AB263" s="237">
        <f t="shared" si="100"/>
        <v>104543</v>
      </c>
      <c r="AC263" s="238">
        <f t="shared" si="101"/>
        <v>0</v>
      </c>
      <c r="AD263" s="389">
        <f t="shared" si="84"/>
        <v>104543</v>
      </c>
    </row>
    <row r="264" spans="1:31">
      <c r="A264" s="225" t="s">
        <v>96</v>
      </c>
      <c r="B264" s="226" t="s">
        <v>30</v>
      </c>
      <c r="C264" t="s">
        <v>589</v>
      </c>
      <c r="D264"/>
      <c r="E264"/>
      <c r="F264"/>
      <c r="G264"/>
      <c r="H264"/>
      <c r="I264" t="str">
        <f t="shared" ref="I264:I327" si="104">B264&amp;"-"&amp;IF(K264=1, "Yes", IF(K264="", "Yes", IF(K264=0, "No")))</f>
        <v>NM-Yes</v>
      </c>
      <c r="J264" t="str">
        <f t="shared" ref="J264:J327" si="105">B264&amp;"-"&amp;IF(K264=1, "No", IF(L264=1, "No", IF(K264="", "Yes", IF(K264=0, "No"))))</f>
        <v>NM-No</v>
      </c>
      <c r="K264">
        <f t="shared" si="87"/>
        <v>1</v>
      </c>
      <c r="L264" t="str">
        <f>B264&amp;"-"&amp;IF(M264=2010, 1, "")</f>
        <v>NM-1</v>
      </c>
      <c r="M264">
        <v>2010</v>
      </c>
      <c r="N264" s="242">
        <v>2</v>
      </c>
      <c r="O264" s="415">
        <v>75709</v>
      </c>
      <c r="P264" s="416">
        <v>94053</v>
      </c>
      <c r="Q264" s="228">
        <f t="shared" si="102"/>
        <v>0</v>
      </c>
      <c r="R264" s="423">
        <v>169762</v>
      </c>
      <c r="S264" s="239"/>
      <c r="T264" s="231">
        <f t="shared" ref="T264:T327" si="106">MAX(O264:Q264)</f>
        <v>94053</v>
      </c>
      <c r="U264" s="231">
        <f t="shared" si="103"/>
        <v>75709</v>
      </c>
      <c r="V264" s="232">
        <f t="shared" ref="V264:V327" si="107">ABS(O264-P264)/(O264+P264)</f>
        <v>0.10805716238027356</v>
      </c>
      <c r="W264" s="233">
        <f t="shared" si="96"/>
        <v>0.55402858119013676</v>
      </c>
      <c r="X264" s="234" t="str">
        <f t="shared" si="97"/>
        <v>NM-No</v>
      </c>
      <c r="Y264" s="235" t="str">
        <f t="shared" si="98"/>
        <v>NM-Rep</v>
      </c>
      <c r="Z264" s="236" t="str">
        <f>B264&amp;"-"&amp;IF(V264&gt;Instructions!$H$14,Instructions!$I$14,IF(V264&gt;Instructions!$H$15,Instructions!$I$15,IF(V264&gt;Instructions!$H$16,Instructions!$I$16,IF(V264&gt;Instructions!$H$17,Instructions!$I$17,Instructions!$I$18))))</f>
        <v>NM-Opportunity</v>
      </c>
      <c r="AA264" s="237">
        <f t="shared" si="99"/>
        <v>75709</v>
      </c>
      <c r="AB264" s="237">
        <f t="shared" si="100"/>
        <v>0</v>
      </c>
      <c r="AC264" s="238">
        <f t="shared" si="101"/>
        <v>0</v>
      </c>
      <c r="AD264" s="389">
        <f t="shared" ref="AD264:AD327" si="108">SUM(AA264:AC264)</f>
        <v>75709</v>
      </c>
    </row>
    <row r="265" spans="1:31">
      <c r="A265" s="225" t="s">
        <v>96</v>
      </c>
      <c r="B265" s="226" t="s">
        <v>30</v>
      </c>
      <c r="C265" t="s">
        <v>590</v>
      </c>
      <c r="D265"/>
      <c r="E265"/>
      <c r="F265" s="399" t="s">
        <v>790</v>
      </c>
      <c r="G265"/>
      <c r="H265"/>
      <c r="I265" t="str">
        <f t="shared" si="104"/>
        <v>NM-Yes</v>
      </c>
      <c r="J265" t="str">
        <f t="shared" si="105"/>
        <v>NM-Yes</v>
      </c>
      <c r="K265" t="str">
        <f t="shared" si="87"/>
        <v/>
      </c>
      <c r="L265" t="str">
        <f t="shared" si="85"/>
        <v/>
      </c>
      <c r="M265">
        <v>2008</v>
      </c>
      <c r="N265" s="242">
        <v>3</v>
      </c>
      <c r="O265" s="415">
        <v>120057</v>
      </c>
      <c r="P265" s="416">
        <v>90621</v>
      </c>
      <c r="Q265" s="228">
        <f t="shared" si="102"/>
        <v>0</v>
      </c>
      <c r="R265" s="423">
        <v>210678</v>
      </c>
      <c r="S265" s="239"/>
      <c r="T265" s="231">
        <f t="shared" si="106"/>
        <v>120057</v>
      </c>
      <c r="U265" s="231">
        <f t="shared" si="103"/>
        <v>90621</v>
      </c>
      <c r="V265" s="232">
        <f t="shared" si="107"/>
        <v>0.13972033150115343</v>
      </c>
      <c r="W265" s="233">
        <f t="shared" si="96"/>
        <v>0.56986016575057674</v>
      </c>
      <c r="X265" s="234" t="str">
        <f t="shared" si="97"/>
        <v>NM-No</v>
      </c>
      <c r="Y265" s="235" t="str">
        <f t="shared" si="98"/>
        <v>NM-Dem</v>
      </c>
      <c r="Z265" s="236" t="str">
        <f>B265&amp;"-"&amp;IF(V265&gt;Instructions!$H$14,Instructions!$I$14,IF(V265&gt;Instructions!$H$15,Instructions!$I$15,IF(V265&gt;Instructions!$H$16,Instructions!$I$16,IF(V265&gt;Instructions!$H$17,Instructions!$I$17,Instructions!$I$18))))</f>
        <v>NM-Opportunity</v>
      </c>
      <c r="AA265" s="237">
        <f t="shared" si="99"/>
        <v>0</v>
      </c>
      <c r="AB265" s="237">
        <f t="shared" si="100"/>
        <v>90621</v>
      </c>
      <c r="AC265" s="238">
        <f t="shared" si="101"/>
        <v>0</v>
      </c>
      <c r="AD265" s="389">
        <f t="shared" si="108"/>
        <v>90621</v>
      </c>
      <c r="AE265" s="389">
        <f>SUM(AD263:AD265)</f>
        <v>270873</v>
      </c>
    </row>
    <row r="266" spans="1:31">
      <c r="A266" s="225" t="s">
        <v>97</v>
      </c>
      <c r="B266" s="226" t="s">
        <v>31</v>
      </c>
      <c r="C266" t="s">
        <v>594</v>
      </c>
      <c r="D266"/>
      <c r="E266"/>
      <c r="F266"/>
      <c r="G266"/>
      <c r="H266"/>
      <c r="I266" t="str">
        <f t="shared" si="104"/>
        <v>NY-Yes</v>
      </c>
      <c r="J266" t="str">
        <f t="shared" si="105"/>
        <v>NY-Yes</v>
      </c>
      <c r="K266" t="str">
        <f t="shared" ref="K266:K308" si="109">IF(M266=2010, 1, "")</f>
        <v/>
      </c>
      <c r="L266" t="str">
        <f t="shared" si="85"/>
        <v/>
      </c>
      <c r="M266">
        <v>2002</v>
      </c>
      <c r="N266" s="242">
        <v>1</v>
      </c>
      <c r="O266" s="413">
        <v>98316</v>
      </c>
      <c r="P266" s="414">
        <v>97723</v>
      </c>
      <c r="Q266" s="228">
        <f t="shared" ref="Q266:Q308" si="110">R266-P266-O266</f>
        <v>0</v>
      </c>
      <c r="R266" s="423">
        <v>196039</v>
      </c>
      <c r="S266" s="239"/>
      <c r="T266" s="231">
        <f t="shared" si="106"/>
        <v>98316</v>
      </c>
      <c r="U266" s="231">
        <f t="shared" si="103"/>
        <v>97723</v>
      </c>
      <c r="V266" s="232">
        <f t="shared" si="107"/>
        <v>3.0249083090609519E-3</v>
      </c>
      <c r="W266" s="233">
        <f t="shared" si="96"/>
        <v>0.5015124541545305</v>
      </c>
      <c r="X266" s="234" t="str">
        <f t="shared" si="97"/>
        <v>NY-No</v>
      </c>
      <c r="Y266" s="235" t="str">
        <f t="shared" si="98"/>
        <v>NY-Dem</v>
      </c>
      <c r="Z266" s="236" t="str">
        <f>B266&amp;"-"&amp;IF(V266&gt;Instructions!$H$14,Instructions!$I$14,IF(V266&gt;Instructions!$H$15,Instructions!$I$15,IF(V266&gt;Instructions!$H$16,Instructions!$I$16,IF(V266&gt;Instructions!$H$17,Instructions!$I$17,Instructions!$I$18))))</f>
        <v>NY-Tight</v>
      </c>
      <c r="AA266" s="237">
        <f t="shared" si="99"/>
        <v>0</v>
      </c>
      <c r="AB266" s="237">
        <f t="shared" si="100"/>
        <v>97723</v>
      </c>
      <c r="AC266" s="238">
        <f t="shared" si="101"/>
        <v>0</v>
      </c>
      <c r="AD266" s="389">
        <f t="shared" si="108"/>
        <v>97723</v>
      </c>
    </row>
    <row r="267" spans="1:31">
      <c r="A267" s="225" t="s">
        <v>97</v>
      </c>
      <c r="B267" s="226" t="s">
        <v>31</v>
      </c>
      <c r="C267" t="s">
        <v>595</v>
      </c>
      <c r="D267"/>
      <c r="E267"/>
      <c r="F267"/>
      <c r="G267"/>
      <c r="H267"/>
      <c r="I267" t="str">
        <f t="shared" si="104"/>
        <v>NY-Yes</v>
      </c>
      <c r="J267" t="str">
        <f t="shared" si="105"/>
        <v>NY-Yes</v>
      </c>
      <c r="K267" t="str">
        <f t="shared" si="109"/>
        <v/>
      </c>
      <c r="L267" t="str">
        <f t="shared" ref="L267:L277" si="111">IF(M267=2010, 1, "")</f>
        <v/>
      </c>
      <c r="M267">
        <v>2000</v>
      </c>
      <c r="N267" s="242">
        <v>2</v>
      </c>
      <c r="O267" s="415">
        <v>94694</v>
      </c>
      <c r="P267" s="416">
        <v>72115</v>
      </c>
      <c r="Q267" s="228">
        <f t="shared" si="110"/>
        <v>1258</v>
      </c>
      <c r="R267" s="423">
        <v>168067</v>
      </c>
      <c r="S267" s="239"/>
      <c r="T267" s="231">
        <f t="shared" si="106"/>
        <v>94694</v>
      </c>
      <c r="U267" s="231">
        <f t="shared" si="103"/>
        <v>72115</v>
      </c>
      <c r="V267" s="232">
        <f t="shared" si="107"/>
        <v>0.13535840392304971</v>
      </c>
      <c r="W267" s="233">
        <f t="shared" si="96"/>
        <v>0.56343006063058187</v>
      </c>
      <c r="X267" s="234" t="str">
        <f t="shared" si="97"/>
        <v>NY-No</v>
      </c>
      <c r="Y267" s="235" t="str">
        <f t="shared" si="98"/>
        <v>NY-Dem</v>
      </c>
      <c r="Z267" s="236" t="str">
        <f>B267&amp;"-"&amp;IF(V267&gt;Instructions!$H$14,Instructions!$I$14,IF(V267&gt;Instructions!$H$15,Instructions!$I$15,IF(V267&gt;Instructions!$H$16,Instructions!$I$16,IF(V267&gt;Instructions!$H$17,Instructions!$I$17,Instructions!$I$18))))</f>
        <v>NY-Opportunity</v>
      </c>
      <c r="AA267" s="237">
        <f t="shared" si="99"/>
        <v>0</v>
      </c>
      <c r="AB267" s="237">
        <f t="shared" si="100"/>
        <v>72115</v>
      </c>
      <c r="AC267" s="238">
        <f t="shared" si="101"/>
        <v>1258</v>
      </c>
      <c r="AD267" s="389">
        <f t="shared" si="108"/>
        <v>73373</v>
      </c>
    </row>
    <row r="268" spans="1:31">
      <c r="A268" s="225" t="s">
        <v>97</v>
      </c>
      <c r="B268" s="226" t="s">
        <v>31</v>
      </c>
      <c r="C268" t="s">
        <v>596</v>
      </c>
      <c r="D268"/>
      <c r="E268"/>
      <c r="F268"/>
      <c r="G268"/>
      <c r="H268"/>
      <c r="I268" t="str">
        <f t="shared" si="104"/>
        <v>NY-Yes</v>
      </c>
      <c r="J268" t="str">
        <f t="shared" si="105"/>
        <v>NY-Yes</v>
      </c>
      <c r="K268" t="str">
        <f t="shared" si="109"/>
        <v/>
      </c>
      <c r="L268" t="str">
        <f t="shared" si="111"/>
        <v/>
      </c>
      <c r="M268">
        <v>1992</v>
      </c>
      <c r="N268" s="242">
        <v>3</v>
      </c>
      <c r="O268" s="415">
        <v>51346</v>
      </c>
      <c r="P268" s="416">
        <v>131674</v>
      </c>
      <c r="Q268" s="228">
        <f t="shared" si="110"/>
        <v>0</v>
      </c>
      <c r="R268" s="423">
        <v>183020</v>
      </c>
      <c r="S268" s="239"/>
      <c r="T268" s="231">
        <f t="shared" si="106"/>
        <v>131674</v>
      </c>
      <c r="U268" s="231">
        <f t="shared" si="103"/>
        <v>51346</v>
      </c>
      <c r="V268" s="232">
        <f t="shared" si="107"/>
        <v>0.43890285214730629</v>
      </c>
      <c r="W268" s="233">
        <f t="shared" si="96"/>
        <v>0.7194514260736532</v>
      </c>
      <c r="X268" s="234" t="str">
        <f t="shared" si="97"/>
        <v>NY-No</v>
      </c>
      <c r="Y268" s="235" t="str">
        <f t="shared" si="98"/>
        <v>NY-Rep</v>
      </c>
      <c r="Z268" s="236" t="str">
        <f>B268&amp;"-"&amp;IF(V268&gt;Instructions!$H$14,Instructions!$I$14,IF(V268&gt;Instructions!$H$15,Instructions!$I$15,IF(V268&gt;Instructions!$H$16,Instructions!$I$16,IF(V268&gt;Instructions!$H$17,Instructions!$I$17,Instructions!$I$18))))</f>
        <v>NY-No contest</v>
      </c>
      <c r="AA268" s="237">
        <f t="shared" si="99"/>
        <v>51346</v>
      </c>
      <c r="AB268" s="237">
        <f t="shared" si="100"/>
        <v>0</v>
      </c>
      <c r="AC268" s="238">
        <f t="shared" si="101"/>
        <v>0</v>
      </c>
      <c r="AD268" s="389">
        <f t="shared" si="108"/>
        <v>51346</v>
      </c>
    </row>
    <row r="269" spans="1:31">
      <c r="A269" s="225" t="s">
        <v>97</v>
      </c>
      <c r="B269" s="226" t="s">
        <v>31</v>
      </c>
      <c r="C269" t="s">
        <v>597</v>
      </c>
      <c r="D269" s="399" t="s">
        <v>791</v>
      </c>
      <c r="E269"/>
      <c r="F269"/>
      <c r="G269"/>
      <c r="H269"/>
      <c r="I269" t="str">
        <f t="shared" si="104"/>
        <v>NY-Yes</v>
      </c>
      <c r="J269" t="str">
        <f t="shared" si="105"/>
        <v>NY-Yes</v>
      </c>
      <c r="K269" t="str">
        <f t="shared" si="109"/>
        <v/>
      </c>
      <c r="L269" t="str">
        <f t="shared" si="111"/>
        <v/>
      </c>
      <c r="M269">
        <v>1996</v>
      </c>
      <c r="N269" s="242">
        <v>4</v>
      </c>
      <c r="O269" s="415">
        <v>94483</v>
      </c>
      <c r="P269" s="416">
        <v>81718</v>
      </c>
      <c r="Q269" s="228">
        <f t="shared" si="110"/>
        <v>0</v>
      </c>
      <c r="R269" s="423">
        <v>176201</v>
      </c>
      <c r="S269" s="239"/>
      <c r="T269" s="231">
        <f t="shared" si="106"/>
        <v>94483</v>
      </c>
      <c r="U269" s="231">
        <f t="shared" si="103"/>
        <v>81718</v>
      </c>
      <c r="V269" s="232">
        <f t="shared" si="107"/>
        <v>7.2445672839541203E-2</v>
      </c>
      <c r="W269" s="233">
        <f t="shared" si="96"/>
        <v>0.53622283641977064</v>
      </c>
      <c r="X269" s="234" t="str">
        <f t="shared" si="97"/>
        <v>NY-No</v>
      </c>
      <c r="Y269" s="235" t="str">
        <f t="shared" si="98"/>
        <v>NY-Dem</v>
      </c>
      <c r="Z269" s="236" t="str">
        <f>B269&amp;"-"&amp;IF(V269&gt;Instructions!$H$14,Instructions!$I$14,IF(V269&gt;Instructions!$H$15,Instructions!$I$15,IF(V269&gt;Instructions!$H$16,Instructions!$I$16,IF(V269&gt;Instructions!$H$17,Instructions!$I$17,Instructions!$I$18))))</f>
        <v>NY-Competitive</v>
      </c>
      <c r="AA269" s="237">
        <f t="shared" si="99"/>
        <v>0</v>
      </c>
      <c r="AB269" s="237">
        <f t="shared" si="100"/>
        <v>81718</v>
      </c>
      <c r="AC269" s="238">
        <f t="shared" si="101"/>
        <v>0</v>
      </c>
      <c r="AD269" s="389">
        <f t="shared" si="108"/>
        <v>81718</v>
      </c>
    </row>
    <row r="270" spans="1:31">
      <c r="A270" s="225" t="s">
        <v>97</v>
      </c>
      <c r="B270" s="226" t="s">
        <v>31</v>
      </c>
      <c r="C270" s="426" t="s">
        <v>598</v>
      </c>
      <c r="D270"/>
      <c r="E270"/>
      <c r="F270"/>
      <c r="G270"/>
      <c r="H270"/>
      <c r="I270" t="str">
        <f t="shared" si="104"/>
        <v>NY-Yes</v>
      </c>
      <c r="J270" t="str">
        <f t="shared" si="105"/>
        <v>NY-Yes</v>
      </c>
      <c r="K270" t="str">
        <f t="shared" si="109"/>
        <v/>
      </c>
      <c r="L270" t="str">
        <f t="shared" si="111"/>
        <v/>
      </c>
      <c r="M270">
        <v>1983</v>
      </c>
      <c r="N270" s="242">
        <v>5</v>
      </c>
      <c r="O270" s="415">
        <v>72239</v>
      </c>
      <c r="P270" s="416">
        <v>41493</v>
      </c>
      <c r="Q270" s="228">
        <f t="shared" si="110"/>
        <v>798</v>
      </c>
      <c r="R270" s="423">
        <v>114530</v>
      </c>
      <c r="S270" s="239"/>
      <c r="T270" s="231">
        <f t="shared" si="106"/>
        <v>72239</v>
      </c>
      <c r="U270" s="231">
        <f t="shared" si="103"/>
        <v>41493</v>
      </c>
      <c r="V270" s="232">
        <f t="shared" si="107"/>
        <v>0.27033728414166636</v>
      </c>
      <c r="W270" s="233">
        <f t="shared" si="96"/>
        <v>0.63074303675892784</v>
      </c>
      <c r="X270" s="234" t="str">
        <f t="shared" si="97"/>
        <v>NY-No</v>
      </c>
      <c r="Y270" s="235" t="str">
        <f t="shared" si="98"/>
        <v>NY-Dem</v>
      </c>
      <c r="Z270" s="236" t="str">
        <f>B270&amp;"-"&amp;IF(V270&gt;Instructions!$H$14,Instructions!$I$14,IF(V270&gt;Instructions!$H$15,Instructions!$I$15,IF(V270&gt;Instructions!$H$16,Instructions!$I$16,IF(V270&gt;Instructions!$H$17,Instructions!$I$17,Instructions!$I$18))))</f>
        <v>NY-Landslide</v>
      </c>
      <c r="AA270" s="237">
        <f t="shared" si="99"/>
        <v>0</v>
      </c>
      <c r="AB270" s="237">
        <f t="shared" si="100"/>
        <v>41493</v>
      </c>
      <c r="AC270" s="238">
        <f t="shared" si="101"/>
        <v>798</v>
      </c>
      <c r="AD270" s="389">
        <f t="shared" si="108"/>
        <v>42291</v>
      </c>
    </row>
    <row r="271" spans="1:31">
      <c r="A271" s="225" t="s">
        <v>97</v>
      </c>
      <c r="B271" s="226" t="s">
        <v>31</v>
      </c>
      <c r="C271" s="426" t="s">
        <v>599</v>
      </c>
      <c r="D271"/>
      <c r="E271" s="399" t="s">
        <v>791</v>
      </c>
      <c r="F271"/>
      <c r="G271"/>
      <c r="H271"/>
      <c r="I271" t="str">
        <f t="shared" si="104"/>
        <v>NY-Yes</v>
      </c>
      <c r="J271" t="str">
        <f t="shared" si="105"/>
        <v>NY-Yes</v>
      </c>
      <c r="K271" t="str">
        <f t="shared" si="109"/>
        <v/>
      </c>
      <c r="L271" t="str">
        <f t="shared" si="111"/>
        <v/>
      </c>
      <c r="M271">
        <v>1998</v>
      </c>
      <c r="N271" s="242">
        <v>6</v>
      </c>
      <c r="O271" s="415">
        <v>85096</v>
      </c>
      <c r="P271" s="416">
        <v>11826</v>
      </c>
      <c r="Q271" s="228">
        <f t="shared" si="110"/>
        <v>0</v>
      </c>
      <c r="R271" s="423">
        <v>96922</v>
      </c>
      <c r="S271" s="239"/>
      <c r="T271" s="231">
        <f t="shared" si="106"/>
        <v>85096</v>
      </c>
      <c r="U271" s="231">
        <f t="shared" si="103"/>
        <v>11826</v>
      </c>
      <c r="V271" s="232">
        <f t="shared" si="107"/>
        <v>0.75596871711272984</v>
      </c>
      <c r="W271" s="233">
        <f t="shared" si="96"/>
        <v>0.87798435855636492</v>
      </c>
      <c r="X271" s="234" t="str">
        <f t="shared" si="97"/>
        <v>NY-No</v>
      </c>
      <c r="Y271" s="235" t="str">
        <f t="shared" si="98"/>
        <v>NY-Dem</v>
      </c>
      <c r="Z271" s="236" t="str">
        <f>B271&amp;"-"&amp;IF(V271&gt;Instructions!$H$14,Instructions!$I$14,IF(V271&gt;Instructions!$H$15,Instructions!$I$15,IF(V271&gt;Instructions!$H$16,Instructions!$I$16,IF(V271&gt;Instructions!$H$17,Instructions!$I$17,Instructions!$I$18))))</f>
        <v>NY-No contest</v>
      </c>
      <c r="AA271" s="237">
        <f t="shared" si="99"/>
        <v>0</v>
      </c>
      <c r="AB271" s="237">
        <f t="shared" si="100"/>
        <v>11826</v>
      </c>
      <c r="AC271" s="238">
        <f t="shared" si="101"/>
        <v>0</v>
      </c>
      <c r="AD271" s="389">
        <f t="shared" si="108"/>
        <v>11826</v>
      </c>
    </row>
    <row r="272" spans="1:31">
      <c r="A272" s="225" t="s">
        <v>97</v>
      </c>
      <c r="B272" s="226" t="s">
        <v>31</v>
      </c>
      <c r="C272" s="426" t="s">
        <v>600</v>
      </c>
      <c r="D272"/>
      <c r="E272"/>
      <c r="F272"/>
      <c r="G272"/>
      <c r="H272"/>
      <c r="I272" t="str">
        <f t="shared" si="104"/>
        <v>NY-Yes</v>
      </c>
      <c r="J272" t="str">
        <f t="shared" si="105"/>
        <v>NY-Yes</v>
      </c>
      <c r="K272" t="str">
        <f t="shared" si="109"/>
        <v/>
      </c>
      <c r="L272" t="str">
        <f t="shared" si="111"/>
        <v/>
      </c>
      <c r="M272">
        <v>1998</v>
      </c>
      <c r="N272" s="242">
        <v>7</v>
      </c>
      <c r="O272" s="415">
        <v>71247</v>
      </c>
      <c r="P272" s="416">
        <v>16145</v>
      </c>
      <c r="Q272" s="228">
        <f t="shared" si="110"/>
        <v>1038</v>
      </c>
      <c r="R272" s="423">
        <v>88430</v>
      </c>
      <c r="S272" s="239"/>
      <c r="T272" s="231">
        <f t="shared" si="106"/>
        <v>71247</v>
      </c>
      <c r="U272" s="231">
        <f t="shared" si="103"/>
        <v>16145</v>
      </c>
      <c r="V272" s="232">
        <f t="shared" si="107"/>
        <v>0.63051537898205789</v>
      </c>
      <c r="W272" s="233">
        <f t="shared" si="96"/>
        <v>0.80568811489313585</v>
      </c>
      <c r="X272" s="234" t="str">
        <f t="shared" si="97"/>
        <v>NY-No</v>
      </c>
      <c r="Y272" s="235" t="str">
        <f t="shared" si="98"/>
        <v>NY-Dem</v>
      </c>
      <c r="Z272" s="236" t="str">
        <f>B272&amp;"-"&amp;IF(V272&gt;Instructions!$H$14,Instructions!$I$14,IF(V272&gt;Instructions!$H$15,Instructions!$I$15,IF(V272&gt;Instructions!$H$16,Instructions!$I$16,IF(V272&gt;Instructions!$H$17,Instructions!$I$17,Instructions!$I$18))))</f>
        <v>NY-No contest</v>
      </c>
      <c r="AA272" s="237">
        <f t="shared" si="99"/>
        <v>0</v>
      </c>
      <c r="AB272" s="237">
        <f t="shared" si="100"/>
        <v>16145</v>
      </c>
      <c r="AC272" s="238">
        <f t="shared" si="101"/>
        <v>1038</v>
      </c>
      <c r="AD272" s="389">
        <f t="shared" si="108"/>
        <v>17183</v>
      </c>
    </row>
    <row r="273" spans="1:30">
      <c r="A273" s="225" t="s">
        <v>97</v>
      </c>
      <c r="B273" s="226" t="s">
        <v>31</v>
      </c>
      <c r="C273" s="426" t="s">
        <v>601</v>
      </c>
      <c r="D273"/>
      <c r="E273"/>
      <c r="F273"/>
      <c r="G273"/>
      <c r="H273"/>
      <c r="I273" t="str">
        <f t="shared" si="104"/>
        <v>NY-Yes</v>
      </c>
      <c r="J273" t="str">
        <f t="shared" si="105"/>
        <v>NY-Yes</v>
      </c>
      <c r="K273" t="str">
        <f t="shared" si="109"/>
        <v/>
      </c>
      <c r="L273" t="str">
        <f t="shared" si="111"/>
        <v/>
      </c>
      <c r="M273">
        <v>1992</v>
      </c>
      <c r="N273" s="242">
        <v>8</v>
      </c>
      <c r="O273" s="415">
        <v>98839</v>
      </c>
      <c r="P273" s="416">
        <v>31996</v>
      </c>
      <c r="Q273" s="228">
        <f t="shared" si="110"/>
        <v>0</v>
      </c>
      <c r="R273" s="423">
        <v>130835</v>
      </c>
      <c r="S273" s="239"/>
      <c r="T273" s="231">
        <f t="shared" si="106"/>
        <v>98839</v>
      </c>
      <c r="U273" s="231">
        <f t="shared" si="103"/>
        <v>31996</v>
      </c>
      <c r="V273" s="232">
        <f t="shared" si="107"/>
        <v>0.51089540260633626</v>
      </c>
      <c r="W273" s="233">
        <f t="shared" si="96"/>
        <v>0.75544770130316807</v>
      </c>
      <c r="X273" s="234" t="str">
        <f t="shared" si="97"/>
        <v>NY-No</v>
      </c>
      <c r="Y273" s="235" t="str">
        <f t="shared" si="98"/>
        <v>NY-Dem</v>
      </c>
      <c r="Z273" s="236" t="str">
        <f>B273&amp;"-"&amp;IF(V273&gt;Instructions!$H$14,Instructions!$I$14,IF(V273&gt;Instructions!$H$15,Instructions!$I$15,IF(V273&gt;Instructions!$H$16,Instructions!$I$16,IF(V273&gt;Instructions!$H$17,Instructions!$I$17,Instructions!$I$18))))</f>
        <v>NY-No contest</v>
      </c>
      <c r="AA273" s="237">
        <f t="shared" si="99"/>
        <v>0</v>
      </c>
      <c r="AB273" s="237">
        <f t="shared" si="100"/>
        <v>31996</v>
      </c>
      <c r="AC273" s="238">
        <f t="shared" si="101"/>
        <v>0</v>
      </c>
      <c r="AD273" s="389">
        <f t="shared" si="108"/>
        <v>31996</v>
      </c>
    </row>
    <row r="274" spans="1:30">
      <c r="A274" s="225" t="s">
        <v>97</v>
      </c>
      <c r="B274" s="226" t="s">
        <v>31</v>
      </c>
      <c r="C274" s="426" t="s">
        <v>602</v>
      </c>
      <c r="D274"/>
      <c r="E274"/>
      <c r="F274"/>
      <c r="G274"/>
      <c r="H274"/>
      <c r="I274" t="str">
        <f t="shared" si="104"/>
        <v>NY-Yes</v>
      </c>
      <c r="J274" t="str">
        <f t="shared" si="105"/>
        <v>NY-Yes</v>
      </c>
      <c r="K274" t="str">
        <f t="shared" si="109"/>
        <v/>
      </c>
      <c r="L274" t="str">
        <f t="shared" si="111"/>
        <v/>
      </c>
      <c r="M274">
        <v>1998</v>
      </c>
      <c r="N274" s="242">
        <v>9</v>
      </c>
      <c r="O274" s="415">
        <v>67011</v>
      </c>
      <c r="P274" s="416">
        <v>43129</v>
      </c>
      <c r="Q274" s="228">
        <f t="shared" si="110"/>
        <v>0</v>
      </c>
      <c r="R274" s="423">
        <v>110140</v>
      </c>
      <c r="S274" s="239"/>
      <c r="T274" s="231">
        <f t="shared" si="106"/>
        <v>67011</v>
      </c>
      <c r="U274" s="231">
        <f t="shared" si="103"/>
        <v>43129</v>
      </c>
      <c r="V274" s="232">
        <f t="shared" si="107"/>
        <v>0.21683312148175049</v>
      </c>
      <c r="W274" s="233">
        <f t="shared" si="96"/>
        <v>0.60841656074087525</v>
      </c>
      <c r="X274" s="234" t="str">
        <f t="shared" si="97"/>
        <v>NY-No</v>
      </c>
      <c r="Y274" s="235" t="str">
        <f t="shared" si="98"/>
        <v>NY-Dem</v>
      </c>
      <c r="Z274" s="236" t="str">
        <f>B274&amp;"-"&amp;IF(V274&gt;Instructions!$H$14,Instructions!$I$14,IF(V274&gt;Instructions!$H$15,Instructions!$I$15,IF(V274&gt;Instructions!$H$16,Instructions!$I$16,IF(V274&gt;Instructions!$H$17,Instructions!$I$17,Instructions!$I$18))))</f>
        <v>NY-Landslide</v>
      </c>
      <c r="AA274" s="237">
        <f t="shared" si="99"/>
        <v>0</v>
      </c>
      <c r="AB274" s="237">
        <f t="shared" si="100"/>
        <v>43129</v>
      </c>
      <c r="AC274" s="238">
        <f t="shared" si="101"/>
        <v>0</v>
      </c>
      <c r="AD274" s="389">
        <f t="shared" si="108"/>
        <v>43129</v>
      </c>
    </row>
    <row r="275" spans="1:30">
      <c r="A275" s="225" t="s">
        <v>97</v>
      </c>
      <c r="B275" s="226" t="s">
        <v>31</v>
      </c>
      <c r="C275" s="426" t="s">
        <v>603</v>
      </c>
      <c r="D275"/>
      <c r="E275" s="399" t="s">
        <v>791</v>
      </c>
      <c r="F275"/>
      <c r="G275"/>
      <c r="H275"/>
      <c r="I275" t="str">
        <f t="shared" si="104"/>
        <v>NY-Yes</v>
      </c>
      <c r="J275" t="str">
        <f t="shared" si="105"/>
        <v>NY-Yes</v>
      </c>
      <c r="K275" t="str">
        <f t="shared" si="109"/>
        <v/>
      </c>
      <c r="L275" t="str">
        <f t="shared" si="111"/>
        <v/>
      </c>
      <c r="M275">
        <v>1982</v>
      </c>
      <c r="N275" s="242">
        <v>10</v>
      </c>
      <c r="O275" s="415">
        <v>95485</v>
      </c>
      <c r="P275" s="416">
        <v>7419</v>
      </c>
      <c r="Q275" s="228">
        <f t="shared" si="110"/>
        <v>1853</v>
      </c>
      <c r="R275" s="423">
        <v>104757</v>
      </c>
      <c r="S275" s="239"/>
      <c r="T275" s="231">
        <f t="shared" si="106"/>
        <v>95485</v>
      </c>
      <c r="U275" s="231">
        <f t="shared" si="103"/>
        <v>7419</v>
      </c>
      <c r="V275" s="232">
        <f t="shared" si="107"/>
        <v>0.8558073544274275</v>
      </c>
      <c r="W275" s="233">
        <f t="shared" si="96"/>
        <v>0.91149040159607475</v>
      </c>
      <c r="X275" s="234" t="str">
        <f t="shared" si="97"/>
        <v>NY-No</v>
      </c>
      <c r="Y275" s="235" t="str">
        <f t="shared" si="98"/>
        <v>NY-Dem</v>
      </c>
      <c r="Z275" s="236" t="str">
        <f>B275&amp;"-"&amp;IF(V275&gt;Instructions!$H$14,Instructions!$I$14,IF(V275&gt;Instructions!$H$15,Instructions!$I$15,IF(V275&gt;Instructions!$H$16,Instructions!$I$16,IF(V275&gt;Instructions!$H$17,Instructions!$I$17,Instructions!$I$18))))</f>
        <v>NY-No contest</v>
      </c>
      <c r="AA275" s="237">
        <f t="shared" si="99"/>
        <v>0</v>
      </c>
      <c r="AB275" s="237">
        <f t="shared" si="100"/>
        <v>7419</v>
      </c>
      <c r="AC275" s="238">
        <f t="shared" si="101"/>
        <v>1853</v>
      </c>
      <c r="AD275" s="389">
        <f t="shared" si="108"/>
        <v>9272</v>
      </c>
    </row>
    <row r="276" spans="1:30">
      <c r="A276" s="225" t="s">
        <v>97</v>
      </c>
      <c r="B276" s="226" t="s">
        <v>31</v>
      </c>
      <c r="C276" s="426" t="s">
        <v>604</v>
      </c>
      <c r="D276" s="399" t="s">
        <v>791</v>
      </c>
      <c r="E276" s="399" t="s">
        <v>791</v>
      </c>
      <c r="F276"/>
      <c r="G276"/>
      <c r="H276"/>
      <c r="I276" t="str">
        <f t="shared" si="104"/>
        <v>NY-Yes</v>
      </c>
      <c r="J276" t="str">
        <f t="shared" si="105"/>
        <v>NY-Yes</v>
      </c>
      <c r="K276" t="str">
        <f t="shared" si="109"/>
        <v/>
      </c>
      <c r="L276" t="str">
        <f t="shared" si="111"/>
        <v/>
      </c>
      <c r="M276">
        <v>2006</v>
      </c>
      <c r="N276" s="242">
        <v>11</v>
      </c>
      <c r="O276" s="415">
        <v>104297</v>
      </c>
      <c r="P276" s="416">
        <v>10858</v>
      </c>
      <c r="Q276" s="228">
        <f t="shared" si="110"/>
        <v>0</v>
      </c>
      <c r="R276" s="423">
        <v>115155</v>
      </c>
      <c r="S276" s="239"/>
      <c r="T276" s="231">
        <f t="shared" si="106"/>
        <v>104297</v>
      </c>
      <c r="U276" s="231">
        <f t="shared" si="103"/>
        <v>10858</v>
      </c>
      <c r="V276" s="232">
        <f t="shared" si="107"/>
        <v>0.81141939125526463</v>
      </c>
      <c r="W276" s="233">
        <f t="shared" si="96"/>
        <v>0.90570969562763237</v>
      </c>
      <c r="X276" s="234" t="str">
        <f t="shared" si="97"/>
        <v>NY-No</v>
      </c>
      <c r="Y276" s="235" t="str">
        <f t="shared" si="98"/>
        <v>NY-Dem</v>
      </c>
      <c r="Z276" s="236" t="str">
        <f>B276&amp;"-"&amp;IF(V276&gt;Instructions!$H$14,Instructions!$I$14,IF(V276&gt;Instructions!$H$15,Instructions!$I$15,IF(V276&gt;Instructions!$H$16,Instructions!$I$16,IF(V276&gt;Instructions!$H$17,Instructions!$I$17,Instructions!$I$18))))</f>
        <v>NY-No contest</v>
      </c>
      <c r="AA276" s="237">
        <f t="shared" si="99"/>
        <v>0</v>
      </c>
      <c r="AB276" s="237">
        <f t="shared" si="100"/>
        <v>10858</v>
      </c>
      <c r="AC276" s="238">
        <f t="shared" si="101"/>
        <v>0</v>
      </c>
      <c r="AD276" s="389">
        <f t="shared" si="108"/>
        <v>10858</v>
      </c>
    </row>
    <row r="277" spans="1:30">
      <c r="A277" s="225" t="s">
        <v>97</v>
      </c>
      <c r="B277" s="226" t="s">
        <v>31</v>
      </c>
      <c r="C277" s="426" t="s">
        <v>605</v>
      </c>
      <c r="D277" s="399" t="s">
        <v>791</v>
      </c>
      <c r="E277"/>
      <c r="F277" s="399" t="s">
        <v>791</v>
      </c>
      <c r="G277"/>
      <c r="H277"/>
      <c r="I277" t="str">
        <f t="shared" si="104"/>
        <v>NY-Yes</v>
      </c>
      <c r="J277" t="str">
        <f t="shared" si="105"/>
        <v>NY-Yes</v>
      </c>
      <c r="K277" t="str">
        <f t="shared" si="109"/>
        <v/>
      </c>
      <c r="L277" t="str">
        <f t="shared" si="111"/>
        <v/>
      </c>
      <c r="M277">
        <v>1992</v>
      </c>
      <c r="N277" s="242">
        <v>12</v>
      </c>
      <c r="O277" s="415">
        <v>68624</v>
      </c>
      <c r="P277" s="416">
        <v>4482</v>
      </c>
      <c r="Q277" s="228">
        <f t="shared" si="110"/>
        <v>0</v>
      </c>
      <c r="R277" s="423">
        <v>73106</v>
      </c>
      <c r="S277" s="239"/>
      <c r="T277" s="231">
        <f t="shared" si="106"/>
        <v>68624</v>
      </c>
      <c r="U277" s="231">
        <f t="shared" si="103"/>
        <v>4482</v>
      </c>
      <c r="V277" s="232">
        <f t="shared" si="107"/>
        <v>0.87738352529204167</v>
      </c>
      <c r="W277" s="233">
        <f t="shared" si="96"/>
        <v>0.93869176264602083</v>
      </c>
      <c r="X277" s="234" t="str">
        <f t="shared" si="97"/>
        <v>NY-No</v>
      </c>
      <c r="Y277" s="235" t="str">
        <f t="shared" si="98"/>
        <v>NY-Dem</v>
      </c>
      <c r="Z277" s="236" t="str">
        <f>B277&amp;"-"&amp;IF(V277&gt;Instructions!$H$14,Instructions!$I$14,IF(V277&gt;Instructions!$H$15,Instructions!$I$15,IF(V277&gt;Instructions!$H$16,Instructions!$I$16,IF(V277&gt;Instructions!$H$17,Instructions!$I$17,Instructions!$I$18))))</f>
        <v>NY-No contest</v>
      </c>
      <c r="AA277" s="237">
        <f t="shared" si="99"/>
        <v>0</v>
      </c>
      <c r="AB277" s="237">
        <f t="shared" si="100"/>
        <v>4482</v>
      </c>
      <c r="AC277" s="238">
        <f t="shared" si="101"/>
        <v>0</v>
      </c>
      <c r="AD277" s="389">
        <f t="shared" si="108"/>
        <v>4482</v>
      </c>
    </row>
    <row r="278" spans="1:30">
      <c r="A278" s="225" t="s">
        <v>97</v>
      </c>
      <c r="B278" s="226" t="s">
        <v>31</v>
      </c>
      <c r="C278" t="s">
        <v>606</v>
      </c>
      <c r="D278"/>
      <c r="E278"/>
      <c r="F278"/>
      <c r="G278"/>
      <c r="H278"/>
      <c r="I278" t="str">
        <f t="shared" si="104"/>
        <v>NY-Yes</v>
      </c>
      <c r="J278" t="str">
        <f t="shared" si="105"/>
        <v>NY-No</v>
      </c>
      <c r="K278">
        <f t="shared" si="109"/>
        <v>1</v>
      </c>
      <c r="L278" t="str">
        <f>B278&amp;"-"&amp;IF(M278=2010, 1, "")</f>
        <v>NY-1</v>
      </c>
      <c r="M278">
        <v>2010</v>
      </c>
      <c r="N278" s="242">
        <v>13</v>
      </c>
      <c r="O278" s="415">
        <v>60773</v>
      </c>
      <c r="P278" s="416">
        <v>65024</v>
      </c>
      <c r="Q278" s="228">
        <f t="shared" si="110"/>
        <v>929</v>
      </c>
      <c r="R278" s="423">
        <v>126726</v>
      </c>
      <c r="S278" s="239"/>
      <c r="T278" s="231">
        <f t="shared" si="106"/>
        <v>65024</v>
      </c>
      <c r="U278" s="231">
        <f t="shared" si="103"/>
        <v>60773</v>
      </c>
      <c r="V278" s="232">
        <f t="shared" si="107"/>
        <v>3.3792538772784722E-2</v>
      </c>
      <c r="W278" s="233">
        <f t="shared" si="96"/>
        <v>0.5131070182914319</v>
      </c>
      <c r="X278" s="234" t="str">
        <f t="shared" si="97"/>
        <v>NY-No</v>
      </c>
      <c r="Y278" s="235" t="str">
        <f t="shared" si="98"/>
        <v>NY-Rep</v>
      </c>
      <c r="Z278" s="236" t="str">
        <f>B278&amp;"-"&amp;IF(V278&gt;Instructions!$H$14,Instructions!$I$14,IF(V278&gt;Instructions!$H$15,Instructions!$I$15,IF(V278&gt;Instructions!$H$16,Instructions!$I$16,IF(V278&gt;Instructions!$H$17,Instructions!$I$17,Instructions!$I$18))))</f>
        <v>NY-Tight</v>
      </c>
      <c r="AA278" s="237">
        <f t="shared" si="99"/>
        <v>60773</v>
      </c>
      <c r="AB278" s="237">
        <f t="shared" si="100"/>
        <v>0</v>
      </c>
      <c r="AC278" s="238">
        <f t="shared" si="101"/>
        <v>929</v>
      </c>
      <c r="AD278" s="389">
        <f t="shared" si="108"/>
        <v>61702</v>
      </c>
    </row>
    <row r="279" spans="1:30">
      <c r="A279" s="225" t="s">
        <v>97</v>
      </c>
      <c r="B279" s="226" t="s">
        <v>31</v>
      </c>
      <c r="C279" s="426" t="s">
        <v>607</v>
      </c>
      <c r="D279" s="399" t="s">
        <v>791</v>
      </c>
      <c r="E279"/>
      <c r="F279"/>
      <c r="G279"/>
      <c r="H279"/>
      <c r="I279" t="str">
        <f t="shared" si="104"/>
        <v>NY-Yes</v>
      </c>
      <c r="J279" t="str">
        <f t="shared" si="105"/>
        <v>NY-Yes</v>
      </c>
      <c r="K279" t="str">
        <f t="shared" si="109"/>
        <v/>
      </c>
      <c r="L279" t="str">
        <f t="shared" ref="L279:L283" si="112">IF(M279=2010, 1, "")</f>
        <v/>
      </c>
      <c r="M279">
        <v>1992</v>
      </c>
      <c r="N279" s="242">
        <v>14</v>
      </c>
      <c r="O279" s="415">
        <v>107327</v>
      </c>
      <c r="P279" s="416">
        <v>32065</v>
      </c>
      <c r="Q279" s="228">
        <f t="shared" si="110"/>
        <v>3508</v>
      </c>
      <c r="R279" s="423">
        <v>142900</v>
      </c>
      <c r="S279" s="239"/>
      <c r="T279" s="231">
        <f t="shared" si="106"/>
        <v>107327</v>
      </c>
      <c r="U279" s="231">
        <f t="shared" si="103"/>
        <v>32065</v>
      </c>
      <c r="V279" s="232">
        <f t="shared" si="107"/>
        <v>0.53993055555555558</v>
      </c>
      <c r="W279" s="233">
        <f t="shared" si="96"/>
        <v>0.75106368089573128</v>
      </c>
      <c r="X279" s="234" t="str">
        <f t="shared" si="97"/>
        <v>NY-No</v>
      </c>
      <c r="Y279" s="235" t="str">
        <f t="shared" si="98"/>
        <v>NY-Dem</v>
      </c>
      <c r="Z279" s="236" t="str">
        <f>B279&amp;"-"&amp;IF(V279&gt;Instructions!$H$14,Instructions!$I$14,IF(V279&gt;Instructions!$H$15,Instructions!$I$15,IF(V279&gt;Instructions!$H$16,Instructions!$I$16,IF(V279&gt;Instructions!$H$17,Instructions!$I$17,Instructions!$I$18))))</f>
        <v>NY-No contest</v>
      </c>
      <c r="AA279" s="237">
        <f t="shared" si="99"/>
        <v>0</v>
      </c>
      <c r="AB279" s="237">
        <f t="shared" si="100"/>
        <v>32065</v>
      </c>
      <c r="AC279" s="238">
        <f t="shared" si="101"/>
        <v>3508</v>
      </c>
      <c r="AD279" s="389">
        <f t="shared" si="108"/>
        <v>35573</v>
      </c>
    </row>
    <row r="280" spans="1:30">
      <c r="A280" s="225" t="s">
        <v>97</v>
      </c>
      <c r="B280" s="226" t="s">
        <v>31</v>
      </c>
      <c r="C280" s="426" t="s">
        <v>608</v>
      </c>
      <c r="D280"/>
      <c r="E280" s="399" t="s">
        <v>791</v>
      </c>
      <c r="F280"/>
      <c r="G280"/>
      <c r="H280"/>
      <c r="I280" t="str">
        <f t="shared" si="104"/>
        <v>NY-Yes</v>
      </c>
      <c r="J280" t="str">
        <f t="shared" si="105"/>
        <v>NY-Yes</v>
      </c>
      <c r="K280" t="str">
        <f t="shared" si="109"/>
        <v/>
      </c>
      <c r="L280" t="str">
        <f t="shared" si="112"/>
        <v/>
      </c>
      <c r="M280">
        <v>1970</v>
      </c>
      <c r="N280" s="242">
        <v>15</v>
      </c>
      <c r="O280" s="415">
        <v>91225</v>
      </c>
      <c r="P280" s="416">
        <v>11754</v>
      </c>
      <c r="Q280" s="228">
        <f t="shared" si="110"/>
        <v>10450</v>
      </c>
      <c r="R280" s="423">
        <v>113429</v>
      </c>
      <c r="S280" s="239"/>
      <c r="T280" s="231">
        <f t="shared" si="106"/>
        <v>91225</v>
      </c>
      <c r="U280" s="231">
        <f t="shared" si="103"/>
        <v>11754</v>
      </c>
      <c r="V280" s="232">
        <f t="shared" si="107"/>
        <v>0.77172044785830118</v>
      </c>
      <c r="W280" s="233">
        <f t="shared" si="96"/>
        <v>0.80424759100406418</v>
      </c>
      <c r="X280" s="234" t="str">
        <f t="shared" si="97"/>
        <v>NY-No</v>
      </c>
      <c r="Y280" s="235" t="str">
        <f t="shared" si="98"/>
        <v>NY-Dem</v>
      </c>
      <c r="Z280" s="236" t="str">
        <f>B280&amp;"-"&amp;IF(V280&gt;Instructions!$H$14,Instructions!$I$14,IF(V280&gt;Instructions!$H$15,Instructions!$I$15,IF(V280&gt;Instructions!$H$16,Instructions!$I$16,IF(V280&gt;Instructions!$H$17,Instructions!$I$17,Instructions!$I$18))))</f>
        <v>NY-No contest</v>
      </c>
      <c r="AA280" s="237">
        <f t="shared" si="99"/>
        <v>0</v>
      </c>
      <c r="AB280" s="237">
        <f t="shared" si="100"/>
        <v>11754</v>
      </c>
      <c r="AC280" s="238">
        <f t="shared" si="101"/>
        <v>10450</v>
      </c>
      <c r="AD280" s="389">
        <f t="shared" si="108"/>
        <v>22204</v>
      </c>
    </row>
    <row r="281" spans="1:30">
      <c r="A281" s="225" t="s">
        <v>97</v>
      </c>
      <c r="B281" s="226" t="s">
        <v>31</v>
      </c>
      <c r="C281" s="426" t="s">
        <v>609</v>
      </c>
      <c r="D281"/>
      <c r="E281"/>
      <c r="F281" s="399" t="s">
        <v>791</v>
      </c>
      <c r="G281"/>
      <c r="H281"/>
      <c r="I281" t="str">
        <f t="shared" si="104"/>
        <v>NY-Yes</v>
      </c>
      <c r="J281" t="str">
        <f t="shared" si="105"/>
        <v>NY-Yes</v>
      </c>
      <c r="K281" t="str">
        <f t="shared" si="109"/>
        <v/>
      </c>
      <c r="L281" t="str">
        <f t="shared" si="112"/>
        <v/>
      </c>
      <c r="M281">
        <v>1990</v>
      </c>
      <c r="N281" s="242">
        <v>16</v>
      </c>
      <c r="O281" s="415">
        <v>61642</v>
      </c>
      <c r="P281" s="416">
        <v>2758</v>
      </c>
      <c r="Q281" s="228">
        <f t="shared" si="110"/>
        <v>0</v>
      </c>
      <c r="R281" s="423">
        <v>64400</v>
      </c>
      <c r="S281" s="239"/>
      <c r="T281" s="231">
        <f t="shared" si="106"/>
        <v>61642</v>
      </c>
      <c r="U281" s="231">
        <f t="shared" si="103"/>
        <v>2758</v>
      </c>
      <c r="V281" s="232">
        <f t="shared" si="107"/>
        <v>0.91434782608695653</v>
      </c>
      <c r="W281" s="233">
        <f t="shared" si="96"/>
        <v>0.95717391304347821</v>
      </c>
      <c r="X281" s="234" t="str">
        <f t="shared" si="97"/>
        <v>NY-No</v>
      </c>
      <c r="Y281" s="235" t="str">
        <f t="shared" si="98"/>
        <v>NY-Dem</v>
      </c>
      <c r="Z281" s="236" t="str">
        <f>B281&amp;"-"&amp;IF(V281&gt;Instructions!$H$14,Instructions!$I$14,IF(V281&gt;Instructions!$H$15,Instructions!$I$15,IF(V281&gt;Instructions!$H$16,Instructions!$I$16,IF(V281&gt;Instructions!$H$17,Instructions!$I$17,Instructions!$I$18))))</f>
        <v>NY-No contest</v>
      </c>
      <c r="AA281" s="237">
        <f t="shared" si="99"/>
        <v>0</v>
      </c>
      <c r="AB281" s="237">
        <f t="shared" si="100"/>
        <v>2758</v>
      </c>
      <c r="AC281" s="238">
        <f t="shared" si="101"/>
        <v>0</v>
      </c>
      <c r="AD281" s="389">
        <f t="shared" si="108"/>
        <v>2758</v>
      </c>
    </row>
    <row r="282" spans="1:30">
      <c r="A282" s="225" t="s">
        <v>97</v>
      </c>
      <c r="B282" s="226" t="s">
        <v>31</v>
      </c>
      <c r="C282" s="426" t="s">
        <v>610</v>
      </c>
      <c r="D282"/>
      <c r="E282"/>
      <c r="F282"/>
      <c r="G282"/>
      <c r="H282"/>
      <c r="I282" t="str">
        <f t="shared" si="104"/>
        <v>NY-Yes</v>
      </c>
      <c r="J282" t="str">
        <f t="shared" si="105"/>
        <v>NY-Yes</v>
      </c>
      <c r="K282" t="str">
        <f t="shared" si="109"/>
        <v/>
      </c>
      <c r="L282" t="str">
        <f t="shared" si="112"/>
        <v/>
      </c>
      <c r="M282">
        <v>1988</v>
      </c>
      <c r="N282" s="242">
        <v>17</v>
      </c>
      <c r="O282" s="415">
        <v>95346</v>
      </c>
      <c r="P282" s="416">
        <v>29792</v>
      </c>
      <c r="Q282" s="228">
        <f t="shared" si="110"/>
        <v>5661</v>
      </c>
      <c r="R282" s="423">
        <v>130799</v>
      </c>
      <c r="S282" s="239"/>
      <c r="T282" s="231">
        <f t="shared" si="106"/>
        <v>95346</v>
      </c>
      <c r="U282" s="231">
        <f t="shared" si="103"/>
        <v>29792</v>
      </c>
      <c r="V282" s="232">
        <f t="shared" si="107"/>
        <v>0.52385366555322921</v>
      </c>
      <c r="W282" s="233">
        <f t="shared" si="96"/>
        <v>0.72895052714470299</v>
      </c>
      <c r="X282" s="234" t="str">
        <f t="shared" si="97"/>
        <v>NY-No</v>
      </c>
      <c r="Y282" s="235" t="str">
        <f t="shared" si="98"/>
        <v>NY-Dem</v>
      </c>
      <c r="Z282" s="236" t="str">
        <f>B282&amp;"-"&amp;IF(V282&gt;Instructions!$H$14,Instructions!$I$14,IF(V282&gt;Instructions!$H$15,Instructions!$I$15,IF(V282&gt;Instructions!$H$16,Instructions!$I$16,IF(V282&gt;Instructions!$H$17,Instructions!$I$17,Instructions!$I$18))))</f>
        <v>NY-No contest</v>
      </c>
      <c r="AA282" s="237">
        <f t="shared" si="99"/>
        <v>0</v>
      </c>
      <c r="AB282" s="237">
        <f t="shared" si="100"/>
        <v>29792</v>
      </c>
      <c r="AC282" s="238">
        <f t="shared" si="101"/>
        <v>5661</v>
      </c>
      <c r="AD282" s="389">
        <f t="shared" si="108"/>
        <v>35453</v>
      </c>
    </row>
    <row r="283" spans="1:30">
      <c r="A283" s="225" t="s">
        <v>97</v>
      </c>
      <c r="B283" s="226" t="s">
        <v>31</v>
      </c>
      <c r="C283" s="426" t="s">
        <v>611</v>
      </c>
      <c r="D283" s="399" t="s">
        <v>791</v>
      </c>
      <c r="E283"/>
      <c r="F283"/>
      <c r="G283"/>
      <c r="H283"/>
      <c r="I283" t="str">
        <f t="shared" si="104"/>
        <v>NY-Yes</v>
      </c>
      <c r="J283" t="str">
        <f t="shared" si="105"/>
        <v>NY-Yes</v>
      </c>
      <c r="K283" t="str">
        <f t="shared" si="109"/>
        <v/>
      </c>
      <c r="L283" t="str">
        <f t="shared" si="112"/>
        <v/>
      </c>
      <c r="M283">
        <v>1988</v>
      </c>
      <c r="N283" s="242">
        <v>18</v>
      </c>
      <c r="O283" s="415">
        <v>115619</v>
      </c>
      <c r="P283" s="416">
        <v>70413</v>
      </c>
      <c r="Q283" s="228">
        <f t="shared" si="110"/>
        <v>0</v>
      </c>
      <c r="R283" s="423">
        <v>186032</v>
      </c>
      <c r="S283" s="239"/>
      <c r="T283" s="231">
        <f t="shared" si="106"/>
        <v>115619</v>
      </c>
      <c r="U283" s="231">
        <f t="shared" si="103"/>
        <v>70413</v>
      </c>
      <c r="V283" s="232">
        <f t="shared" si="107"/>
        <v>0.24300120409391932</v>
      </c>
      <c r="W283" s="233">
        <f t="shared" si="96"/>
        <v>0.62150060204695967</v>
      </c>
      <c r="X283" s="234" t="str">
        <f t="shared" si="97"/>
        <v>NY-No</v>
      </c>
      <c r="Y283" s="235" t="str">
        <f t="shared" si="98"/>
        <v>NY-Dem</v>
      </c>
      <c r="Z283" s="236" t="str">
        <f>B283&amp;"-"&amp;IF(V283&gt;Instructions!$H$14,Instructions!$I$14,IF(V283&gt;Instructions!$H$15,Instructions!$I$15,IF(V283&gt;Instructions!$H$16,Instructions!$I$16,IF(V283&gt;Instructions!$H$17,Instructions!$I$17,Instructions!$I$18))))</f>
        <v>NY-Landslide</v>
      </c>
      <c r="AA283" s="237">
        <f t="shared" si="99"/>
        <v>0</v>
      </c>
      <c r="AB283" s="237">
        <f t="shared" si="100"/>
        <v>70413</v>
      </c>
      <c r="AC283" s="238">
        <f t="shared" si="101"/>
        <v>0</v>
      </c>
      <c r="AD283" s="389">
        <f t="shared" si="108"/>
        <v>70413</v>
      </c>
    </row>
    <row r="284" spans="1:30">
      <c r="A284" s="225" t="s">
        <v>97</v>
      </c>
      <c r="B284" s="226" t="s">
        <v>31</v>
      </c>
      <c r="C284" t="s">
        <v>612</v>
      </c>
      <c r="D284" s="399" t="s">
        <v>791</v>
      </c>
      <c r="E284"/>
      <c r="F284"/>
      <c r="G284"/>
      <c r="H284"/>
      <c r="I284" t="str">
        <f t="shared" si="104"/>
        <v>NY-Yes</v>
      </c>
      <c r="J284" t="str">
        <f t="shared" si="105"/>
        <v>NY-No</v>
      </c>
      <c r="K284">
        <f t="shared" si="109"/>
        <v>1</v>
      </c>
      <c r="L284" t="str">
        <f>B284&amp;"-"&amp;IF(M284=2010, 1, "")</f>
        <v>NY-1</v>
      </c>
      <c r="M284">
        <v>2010</v>
      </c>
      <c r="N284" s="242">
        <v>19</v>
      </c>
      <c r="O284" s="415">
        <v>98766</v>
      </c>
      <c r="P284" s="416">
        <v>109956</v>
      </c>
      <c r="Q284" s="228">
        <f t="shared" si="110"/>
        <v>0</v>
      </c>
      <c r="R284" s="423">
        <v>208722</v>
      </c>
      <c r="S284" s="239"/>
      <c r="T284" s="231">
        <f t="shared" si="106"/>
        <v>109956</v>
      </c>
      <c r="U284" s="231">
        <f t="shared" si="103"/>
        <v>98766</v>
      </c>
      <c r="V284" s="232">
        <f t="shared" si="107"/>
        <v>5.3611981487337222E-2</v>
      </c>
      <c r="W284" s="233">
        <f t="shared" si="96"/>
        <v>0.52680599074366863</v>
      </c>
      <c r="X284" s="234" t="str">
        <f t="shared" si="97"/>
        <v>NY-No</v>
      </c>
      <c r="Y284" s="235" t="str">
        <f t="shared" si="98"/>
        <v>NY-Rep</v>
      </c>
      <c r="Z284" s="236" t="str">
        <f>B284&amp;"-"&amp;IF(V284&gt;Instructions!$H$14,Instructions!$I$14,IF(V284&gt;Instructions!$H$15,Instructions!$I$15,IF(V284&gt;Instructions!$H$16,Instructions!$I$16,IF(V284&gt;Instructions!$H$17,Instructions!$I$17,Instructions!$I$18))))</f>
        <v>NY-Competitive</v>
      </c>
      <c r="AA284" s="237">
        <f t="shared" si="99"/>
        <v>98766</v>
      </c>
      <c r="AB284" s="237">
        <f t="shared" si="100"/>
        <v>0</v>
      </c>
      <c r="AC284" s="238">
        <f t="shared" si="101"/>
        <v>0</v>
      </c>
      <c r="AD284" s="389">
        <f t="shared" si="108"/>
        <v>98766</v>
      </c>
    </row>
    <row r="285" spans="1:30">
      <c r="A285" s="225" t="s">
        <v>97</v>
      </c>
      <c r="B285" s="226" t="s">
        <v>31</v>
      </c>
      <c r="C285" t="s">
        <v>613</v>
      </c>
      <c r="D285"/>
      <c r="E285"/>
      <c r="F285"/>
      <c r="G285"/>
      <c r="H285"/>
      <c r="I285" t="str">
        <f t="shared" si="104"/>
        <v>NY-Yes</v>
      </c>
      <c r="J285" t="str">
        <f t="shared" si="105"/>
        <v>NY-No</v>
      </c>
      <c r="K285">
        <f t="shared" si="109"/>
        <v>1</v>
      </c>
      <c r="L285" t="str">
        <f>B285&amp;"-"&amp;IF(M285=2010, 1, "")</f>
        <v>NY-1</v>
      </c>
      <c r="M285">
        <v>2010</v>
      </c>
      <c r="N285" s="242">
        <v>20</v>
      </c>
      <c r="O285" s="415">
        <v>107077</v>
      </c>
      <c r="P285" s="416">
        <v>130176</v>
      </c>
      <c r="Q285" s="228">
        <f t="shared" si="110"/>
        <v>0</v>
      </c>
      <c r="R285" s="423">
        <v>237253</v>
      </c>
      <c r="S285" s="239"/>
      <c r="T285" s="231">
        <f t="shared" si="106"/>
        <v>130176</v>
      </c>
      <c r="U285" s="231">
        <f t="shared" si="103"/>
        <v>107077</v>
      </c>
      <c r="V285" s="232">
        <f t="shared" si="107"/>
        <v>9.7360201978478667E-2</v>
      </c>
      <c r="W285" s="233">
        <f t="shared" si="96"/>
        <v>0.54868010098923936</v>
      </c>
      <c r="X285" s="234" t="str">
        <f t="shared" si="97"/>
        <v>NY-No</v>
      </c>
      <c r="Y285" s="235" t="str">
        <f t="shared" si="98"/>
        <v>NY-Rep</v>
      </c>
      <c r="Z285" s="236" t="str">
        <f>B285&amp;"-"&amp;IF(V285&gt;Instructions!$H$14,Instructions!$I$14,IF(V285&gt;Instructions!$H$15,Instructions!$I$15,IF(V285&gt;Instructions!$H$16,Instructions!$I$16,IF(V285&gt;Instructions!$H$17,Instructions!$I$17,Instructions!$I$18))))</f>
        <v>NY-Competitive</v>
      </c>
      <c r="AA285" s="237">
        <f t="shared" si="99"/>
        <v>107077</v>
      </c>
      <c r="AB285" s="237">
        <f t="shared" si="100"/>
        <v>0</v>
      </c>
      <c r="AC285" s="238">
        <f t="shared" si="101"/>
        <v>0</v>
      </c>
      <c r="AD285" s="389">
        <f t="shared" si="108"/>
        <v>107077</v>
      </c>
    </row>
    <row r="286" spans="1:30">
      <c r="A286" s="225" t="s">
        <v>97</v>
      </c>
      <c r="B286" s="226" t="s">
        <v>31</v>
      </c>
      <c r="C286" t="s">
        <v>614</v>
      </c>
      <c r="D286"/>
      <c r="E286"/>
      <c r="F286"/>
      <c r="G286"/>
      <c r="H286"/>
      <c r="I286" t="str">
        <f t="shared" si="104"/>
        <v>NY-Yes</v>
      </c>
      <c r="J286" t="str">
        <f t="shared" si="105"/>
        <v>NY-Yes</v>
      </c>
      <c r="K286" t="str">
        <f t="shared" si="109"/>
        <v/>
      </c>
      <c r="L286" t="str">
        <f t="shared" ref="L286:L288" si="113">IF(M286=2010, 1, "")</f>
        <v/>
      </c>
      <c r="M286">
        <v>2008</v>
      </c>
      <c r="N286" s="242">
        <v>21</v>
      </c>
      <c r="O286" s="415">
        <v>124889</v>
      </c>
      <c r="P286" s="416">
        <v>85752</v>
      </c>
      <c r="Q286" s="228">
        <f t="shared" si="110"/>
        <v>0</v>
      </c>
      <c r="R286" s="423">
        <v>210641</v>
      </c>
      <c r="S286" s="239"/>
      <c r="T286" s="231">
        <f t="shared" si="106"/>
        <v>124889</v>
      </c>
      <c r="U286" s="231">
        <f t="shared" si="103"/>
        <v>85752</v>
      </c>
      <c r="V286" s="232">
        <f t="shared" si="107"/>
        <v>0.18579953570292584</v>
      </c>
      <c r="W286" s="233">
        <f t="shared" si="96"/>
        <v>0.59289976785146292</v>
      </c>
      <c r="X286" s="234" t="str">
        <f t="shared" si="97"/>
        <v>NY-No</v>
      </c>
      <c r="Y286" s="235" t="str">
        <f t="shared" si="98"/>
        <v>NY-Dem</v>
      </c>
      <c r="Z286" s="236" t="str">
        <f>B286&amp;"-"&amp;IF(V286&gt;Instructions!$H$14,Instructions!$I$14,IF(V286&gt;Instructions!$H$15,Instructions!$I$15,IF(V286&gt;Instructions!$H$16,Instructions!$I$16,IF(V286&gt;Instructions!$H$17,Instructions!$I$17,Instructions!$I$18))))</f>
        <v>NY-Opportunity</v>
      </c>
      <c r="AA286" s="237">
        <f t="shared" si="99"/>
        <v>0</v>
      </c>
      <c r="AB286" s="237">
        <f t="shared" si="100"/>
        <v>85752</v>
      </c>
      <c r="AC286" s="238">
        <f t="shared" si="101"/>
        <v>0</v>
      </c>
      <c r="AD286" s="389">
        <f t="shared" si="108"/>
        <v>85752</v>
      </c>
    </row>
    <row r="287" spans="1:30">
      <c r="A287" s="225" t="s">
        <v>97</v>
      </c>
      <c r="B287" s="226" t="s">
        <v>31</v>
      </c>
      <c r="C287" t="s">
        <v>615</v>
      </c>
      <c r="D287"/>
      <c r="E287"/>
      <c r="F287"/>
      <c r="G287"/>
      <c r="H287"/>
      <c r="I287" t="str">
        <f t="shared" si="104"/>
        <v>NY-Yes</v>
      </c>
      <c r="J287" t="str">
        <f t="shared" si="105"/>
        <v>NY-Yes</v>
      </c>
      <c r="K287" t="str">
        <f t="shared" si="109"/>
        <v/>
      </c>
      <c r="L287" t="str">
        <f t="shared" si="113"/>
        <v/>
      </c>
      <c r="M287">
        <v>1992</v>
      </c>
      <c r="N287" s="242">
        <v>22</v>
      </c>
      <c r="O287" s="415">
        <v>98661</v>
      </c>
      <c r="P287" s="416">
        <v>88687</v>
      </c>
      <c r="Q287" s="228">
        <f t="shared" si="110"/>
        <v>0</v>
      </c>
      <c r="R287" s="423">
        <v>187348</v>
      </c>
      <c r="S287" s="239"/>
      <c r="T287" s="231">
        <f t="shared" si="106"/>
        <v>98661</v>
      </c>
      <c r="U287" s="231">
        <f t="shared" si="103"/>
        <v>88687</v>
      </c>
      <c r="V287" s="232">
        <f t="shared" si="107"/>
        <v>5.3237824796635136E-2</v>
      </c>
      <c r="W287" s="233">
        <f t="shared" si="96"/>
        <v>0.5266189123983176</v>
      </c>
      <c r="X287" s="234" t="str">
        <f t="shared" si="97"/>
        <v>NY-No</v>
      </c>
      <c r="Y287" s="235" t="str">
        <f t="shared" si="98"/>
        <v>NY-Dem</v>
      </c>
      <c r="Z287" s="236" t="str">
        <f>B287&amp;"-"&amp;IF(V287&gt;Instructions!$H$14,Instructions!$I$14,IF(V287&gt;Instructions!$H$15,Instructions!$I$15,IF(V287&gt;Instructions!$H$16,Instructions!$I$16,IF(V287&gt;Instructions!$H$17,Instructions!$I$17,Instructions!$I$18))))</f>
        <v>NY-Competitive</v>
      </c>
      <c r="AA287" s="237">
        <f t="shared" si="99"/>
        <v>0</v>
      </c>
      <c r="AB287" s="237">
        <f t="shared" si="100"/>
        <v>88687</v>
      </c>
      <c r="AC287" s="238">
        <f t="shared" si="101"/>
        <v>0</v>
      </c>
      <c r="AD287" s="389">
        <f t="shared" si="108"/>
        <v>88687</v>
      </c>
    </row>
    <row r="288" spans="1:30">
      <c r="A288" s="225" t="s">
        <v>97</v>
      </c>
      <c r="B288" s="226" t="s">
        <v>31</v>
      </c>
      <c r="C288" t="s">
        <v>616</v>
      </c>
      <c r="D288"/>
      <c r="E288"/>
      <c r="F288"/>
      <c r="G288"/>
      <c r="H288"/>
      <c r="I288" t="str">
        <f t="shared" si="104"/>
        <v>NY-Yes</v>
      </c>
      <c r="J288" t="str">
        <f t="shared" si="105"/>
        <v>NY-Yes</v>
      </c>
      <c r="K288" t="str">
        <f t="shared" si="109"/>
        <v/>
      </c>
      <c r="L288" t="str">
        <f t="shared" si="113"/>
        <v/>
      </c>
      <c r="M288">
        <v>2008</v>
      </c>
      <c r="N288" s="242">
        <v>23</v>
      </c>
      <c r="O288" s="415">
        <v>82232</v>
      </c>
      <c r="P288" s="416">
        <v>80237</v>
      </c>
      <c r="Q288" s="228">
        <f t="shared" si="110"/>
        <v>10507</v>
      </c>
      <c r="R288" s="423">
        <v>172976</v>
      </c>
      <c r="S288" s="239"/>
      <c r="T288" s="231">
        <f t="shared" si="106"/>
        <v>82232</v>
      </c>
      <c r="U288" s="231">
        <f t="shared" si="103"/>
        <v>80237</v>
      </c>
      <c r="V288" s="232">
        <f t="shared" si="107"/>
        <v>1.2279265582972751E-2</v>
      </c>
      <c r="W288" s="233">
        <f t="shared" si="96"/>
        <v>0.47539543057996486</v>
      </c>
      <c r="X288" s="234" t="str">
        <f t="shared" si="97"/>
        <v>NY-No</v>
      </c>
      <c r="Y288" s="235" t="str">
        <f t="shared" si="98"/>
        <v>NY-Dem</v>
      </c>
      <c r="Z288" s="236" t="str">
        <f>B288&amp;"-"&amp;IF(V288&gt;Instructions!$H$14,Instructions!$I$14,IF(V288&gt;Instructions!$H$15,Instructions!$I$15,IF(V288&gt;Instructions!$H$16,Instructions!$I$16,IF(V288&gt;Instructions!$H$17,Instructions!$I$17,Instructions!$I$18))))</f>
        <v>NY-Tight</v>
      </c>
      <c r="AA288" s="237">
        <f t="shared" si="99"/>
        <v>0</v>
      </c>
      <c r="AB288" s="237">
        <f t="shared" si="100"/>
        <v>80237</v>
      </c>
      <c r="AC288" s="238">
        <f t="shared" si="101"/>
        <v>10507</v>
      </c>
      <c r="AD288" s="389">
        <f t="shared" si="108"/>
        <v>90744</v>
      </c>
    </row>
    <row r="289" spans="1:31">
      <c r="A289" s="225" t="s">
        <v>97</v>
      </c>
      <c r="B289" s="226" t="s">
        <v>31</v>
      </c>
      <c r="C289" t="s">
        <v>617</v>
      </c>
      <c r="D289"/>
      <c r="E289"/>
      <c r="F289"/>
      <c r="G289"/>
      <c r="H289"/>
      <c r="I289" t="str">
        <f t="shared" si="104"/>
        <v>NY-Yes</v>
      </c>
      <c r="J289" t="str">
        <f t="shared" si="105"/>
        <v>NY-No</v>
      </c>
      <c r="K289">
        <f t="shared" si="109"/>
        <v>1</v>
      </c>
      <c r="L289" t="str">
        <f>B289&amp;"-"&amp;IF(M289=2010, 1, "")</f>
        <v>NY-1</v>
      </c>
      <c r="M289">
        <v>2010</v>
      </c>
      <c r="N289" s="242">
        <v>24</v>
      </c>
      <c r="O289" s="415">
        <v>89809</v>
      </c>
      <c r="P289" s="416">
        <v>101599</v>
      </c>
      <c r="Q289" s="228">
        <f t="shared" si="110"/>
        <v>0</v>
      </c>
      <c r="R289" s="423">
        <v>191408</v>
      </c>
      <c r="S289" s="239"/>
      <c r="T289" s="231">
        <f t="shared" si="106"/>
        <v>101599</v>
      </c>
      <c r="U289" s="231">
        <f t="shared" si="103"/>
        <v>89809</v>
      </c>
      <c r="V289" s="232">
        <f t="shared" si="107"/>
        <v>6.1596171528880715E-2</v>
      </c>
      <c r="W289" s="233">
        <f t="shared" si="96"/>
        <v>0.53079808576444032</v>
      </c>
      <c r="X289" s="234" t="str">
        <f t="shared" si="97"/>
        <v>NY-No</v>
      </c>
      <c r="Y289" s="235" t="str">
        <f t="shared" si="98"/>
        <v>NY-Rep</v>
      </c>
      <c r="Z289" s="236" t="str">
        <f>B289&amp;"-"&amp;IF(V289&gt;Instructions!$H$14,Instructions!$I$14,IF(V289&gt;Instructions!$H$15,Instructions!$I$15,IF(V289&gt;Instructions!$H$16,Instructions!$I$16,IF(V289&gt;Instructions!$H$17,Instructions!$I$17,Instructions!$I$18))))</f>
        <v>NY-Competitive</v>
      </c>
      <c r="AA289" s="237">
        <f t="shared" si="99"/>
        <v>89809</v>
      </c>
      <c r="AB289" s="237">
        <f t="shared" si="100"/>
        <v>0</v>
      </c>
      <c r="AC289" s="238">
        <f t="shared" si="101"/>
        <v>0</v>
      </c>
      <c r="AD289" s="389">
        <f t="shared" si="108"/>
        <v>89809</v>
      </c>
    </row>
    <row r="290" spans="1:31">
      <c r="A290" s="225" t="s">
        <v>97</v>
      </c>
      <c r="B290" s="226" t="s">
        <v>31</v>
      </c>
      <c r="C290" t="s">
        <v>618</v>
      </c>
      <c r="D290" s="399" t="s">
        <v>791</v>
      </c>
      <c r="E290"/>
      <c r="F290"/>
      <c r="G290"/>
      <c r="H290"/>
      <c r="I290" t="str">
        <f t="shared" si="104"/>
        <v>NY-Yes</v>
      </c>
      <c r="J290" t="str">
        <f t="shared" si="105"/>
        <v>NY-No</v>
      </c>
      <c r="K290">
        <f t="shared" si="109"/>
        <v>1</v>
      </c>
      <c r="L290" t="str">
        <f>B290&amp;"-"&amp;IF(M290=2010, 1, "")</f>
        <v>NY-1</v>
      </c>
      <c r="M290">
        <v>2010</v>
      </c>
      <c r="N290" s="242">
        <v>25</v>
      </c>
      <c r="O290" s="415">
        <v>103954</v>
      </c>
      <c r="P290" s="416">
        <v>104602</v>
      </c>
      <c r="Q290" s="228">
        <f t="shared" si="110"/>
        <v>0</v>
      </c>
      <c r="R290" s="423">
        <v>208556</v>
      </c>
      <c r="S290" s="239"/>
      <c r="T290" s="231">
        <f t="shared" si="106"/>
        <v>104602</v>
      </c>
      <c r="U290" s="231">
        <f t="shared" si="103"/>
        <v>103954</v>
      </c>
      <c r="V290" s="232">
        <f t="shared" si="107"/>
        <v>3.1070791538004182E-3</v>
      </c>
      <c r="W290" s="233">
        <f t="shared" si="96"/>
        <v>0.50155353957690019</v>
      </c>
      <c r="X290" s="234" t="str">
        <f t="shared" si="97"/>
        <v>NY-No</v>
      </c>
      <c r="Y290" s="235" t="str">
        <f t="shared" si="98"/>
        <v>NY-Rep</v>
      </c>
      <c r="Z290" s="236" t="str">
        <f>B290&amp;"-"&amp;IF(V290&gt;Instructions!$H$14,Instructions!$I$14,IF(V290&gt;Instructions!$H$15,Instructions!$I$15,IF(V290&gt;Instructions!$H$16,Instructions!$I$16,IF(V290&gt;Instructions!$H$17,Instructions!$I$17,Instructions!$I$18))))</f>
        <v>NY-Tight</v>
      </c>
      <c r="AA290" s="237">
        <f t="shared" si="99"/>
        <v>103954</v>
      </c>
      <c r="AB290" s="237">
        <f t="shared" si="100"/>
        <v>0</v>
      </c>
      <c r="AC290" s="238">
        <f t="shared" si="101"/>
        <v>0</v>
      </c>
      <c r="AD290" s="389">
        <f t="shared" si="108"/>
        <v>103954</v>
      </c>
    </row>
    <row r="291" spans="1:31">
      <c r="A291" s="225" t="s">
        <v>97</v>
      </c>
      <c r="B291" s="226" t="s">
        <v>31</v>
      </c>
      <c r="C291" t="s">
        <v>619</v>
      </c>
      <c r="D291"/>
      <c r="E291"/>
      <c r="F291"/>
      <c r="G291"/>
      <c r="H291"/>
      <c r="I291" t="str">
        <f t="shared" si="104"/>
        <v>NY-Yes</v>
      </c>
      <c r="J291" t="str">
        <f t="shared" si="105"/>
        <v>NY-Yes</v>
      </c>
      <c r="K291" t="str">
        <f t="shared" si="109"/>
        <v/>
      </c>
      <c r="L291" t="str">
        <f t="shared" ref="L291:L295" si="114">IF(M291=2010, 1, "")</f>
        <v/>
      </c>
      <c r="M291">
        <v>2008</v>
      </c>
      <c r="N291" s="242">
        <v>26</v>
      </c>
      <c r="O291" s="415">
        <v>54307</v>
      </c>
      <c r="P291" s="416">
        <v>151449</v>
      </c>
      <c r="Q291" s="228">
        <f t="shared" si="110"/>
        <v>0</v>
      </c>
      <c r="R291" s="423">
        <v>205756</v>
      </c>
      <c r="S291" s="239"/>
      <c r="T291" s="231">
        <f t="shared" si="106"/>
        <v>151449</v>
      </c>
      <c r="U291" s="231">
        <f t="shared" si="103"/>
        <v>54307</v>
      </c>
      <c r="V291" s="232">
        <f t="shared" si="107"/>
        <v>0.47212231964073953</v>
      </c>
      <c r="W291" s="233">
        <f t="shared" si="96"/>
        <v>0.73606115982036979</v>
      </c>
      <c r="X291" s="234" t="str">
        <f t="shared" si="97"/>
        <v>NY-No</v>
      </c>
      <c r="Y291" s="235" t="str">
        <f t="shared" si="98"/>
        <v>NY-Rep</v>
      </c>
      <c r="Z291" s="236" t="str">
        <f>B291&amp;"-"&amp;IF(V291&gt;Instructions!$H$14,Instructions!$I$14,IF(V291&gt;Instructions!$H$15,Instructions!$I$15,IF(V291&gt;Instructions!$H$16,Instructions!$I$16,IF(V291&gt;Instructions!$H$17,Instructions!$I$17,Instructions!$I$18))))</f>
        <v>NY-No contest</v>
      </c>
      <c r="AA291" s="237">
        <f t="shared" si="99"/>
        <v>54307</v>
      </c>
      <c r="AB291" s="237">
        <f t="shared" si="100"/>
        <v>0</v>
      </c>
      <c r="AC291" s="238">
        <f t="shared" si="101"/>
        <v>0</v>
      </c>
      <c r="AD291" s="389">
        <f t="shared" si="108"/>
        <v>54307</v>
      </c>
    </row>
    <row r="292" spans="1:31">
      <c r="A292" s="225" t="s">
        <v>97</v>
      </c>
      <c r="B292" s="226" t="s">
        <v>31</v>
      </c>
      <c r="C292" s="426" t="s">
        <v>620</v>
      </c>
      <c r="D292"/>
      <c r="E292"/>
      <c r="F292"/>
      <c r="G292"/>
      <c r="H292"/>
      <c r="I292" t="str">
        <f t="shared" si="104"/>
        <v>NY-Yes</v>
      </c>
      <c r="J292" t="str">
        <f t="shared" si="105"/>
        <v>NY-Yes</v>
      </c>
      <c r="K292" t="str">
        <f t="shared" si="109"/>
        <v/>
      </c>
      <c r="L292" t="str">
        <f t="shared" si="114"/>
        <v/>
      </c>
      <c r="M292">
        <v>2004</v>
      </c>
      <c r="N292" s="242">
        <v>27</v>
      </c>
      <c r="O292" s="415">
        <v>119085</v>
      </c>
      <c r="P292" s="416">
        <v>76320</v>
      </c>
      <c r="Q292" s="228">
        <f t="shared" si="110"/>
        <v>0</v>
      </c>
      <c r="R292" s="423">
        <v>195405</v>
      </c>
      <c r="S292" s="239"/>
      <c r="T292" s="231">
        <f t="shared" si="106"/>
        <v>119085</v>
      </c>
      <c r="U292" s="231">
        <f t="shared" si="103"/>
        <v>76320</v>
      </c>
      <c r="V292" s="232">
        <f t="shared" si="107"/>
        <v>0.2188531511476165</v>
      </c>
      <c r="W292" s="233">
        <f t="shared" si="96"/>
        <v>0.60942657557380819</v>
      </c>
      <c r="X292" s="234" t="str">
        <f t="shared" si="97"/>
        <v>NY-No</v>
      </c>
      <c r="Y292" s="235" t="str">
        <f t="shared" si="98"/>
        <v>NY-Dem</v>
      </c>
      <c r="Z292" s="236" t="str">
        <f>B292&amp;"-"&amp;IF(V292&gt;Instructions!$H$14,Instructions!$I$14,IF(V292&gt;Instructions!$H$15,Instructions!$I$15,IF(V292&gt;Instructions!$H$16,Instructions!$I$16,IF(V292&gt;Instructions!$H$17,Instructions!$I$17,Instructions!$I$18))))</f>
        <v>NY-Landslide</v>
      </c>
      <c r="AA292" s="237">
        <f t="shared" si="99"/>
        <v>0</v>
      </c>
      <c r="AB292" s="237">
        <f t="shared" si="100"/>
        <v>76320</v>
      </c>
      <c r="AC292" s="238">
        <f t="shared" si="101"/>
        <v>0</v>
      </c>
      <c r="AD292" s="389">
        <f t="shared" si="108"/>
        <v>76320</v>
      </c>
    </row>
    <row r="293" spans="1:31">
      <c r="A293" s="225" t="s">
        <v>97</v>
      </c>
      <c r="B293" s="226" t="s">
        <v>31</v>
      </c>
      <c r="C293" s="426" t="s">
        <v>621</v>
      </c>
      <c r="D293" s="399" t="s">
        <v>791</v>
      </c>
      <c r="E293"/>
      <c r="F293"/>
      <c r="G293"/>
      <c r="H293"/>
      <c r="I293" t="str">
        <f t="shared" si="104"/>
        <v>NY-Yes</v>
      </c>
      <c r="J293" t="str">
        <f t="shared" si="105"/>
        <v>NY-Yes</v>
      </c>
      <c r="K293" t="str">
        <f t="shared" si="109"/>
        <v/>
      </c>
      <c r="L293" t="str">
        <f t="shared" si="114"/>
        <v/>
      </c>
      <c r="M293">
        <v>1986</v>
      </c>
      <c r="N293" s="242">
        <v>28</v>
      </c>
      <c r="O293" s="415">
        <v>102514</v>
      </c>
      <c r="P293" s="416">
        <v>55392</v>
      </c>
      <c r="Q293" s="228">
        <f t="shared" si="110"/>
        <v>0</v>
      </c>
      <c r="R293" s="423">
        <v>157906</v>
      </c>
      <c r="S293" s="239"/>
      <c r="T293" s="231">
        <f t="shared" si="106"/>
        <v>102514</v>
      </c>
      <c r="U293" s="231">
        <f t="shared" si="103"/>
        <v>55392</v>
      </c>
      <c r="V293" s="232">
        <f t="shared" si="107"/>
        <v>0.29841804617937256</v>
      </c>
      <c r="W293" s="233">
        <f t="shared" si="96"/>
        <v>0.64920902308968631</v>
      </c>
      <c r="X293" s="234" t="str">
        <f t="shared" si="97"/>
        <v>NY-No</v>
      </c>
      <c r="Y293" s="235" t="str">
        <f t="shared" si="98"/>
        <v>NY-Dem</v>
      </c>
      <c r="Z293" s="236" t="str">
        <f>B293&amp;"-"&amp;IF(V293&gt;Instructions!$H$14,Instructions!$I$14,IF(V293&gt;Instructions!$H$15,Instructions!$I$15,IF(V293&gt;Instructions!$H$16,Instructions!$I$16,IF(V293&gt;Instructions!$H$17,Instructions!$I$17,Instructions!$I$18))))</f>
        <v>NY-Landslide</v>
      </c>
      <c r="AA293" s="237">
        <f t="shared" si="99"/>
        <v>0</v>
      </c>
      <c r="AB293" s="237">
        <f t="shared" si="100"/>
        <v>55392</v>
      </c>
      <c r="AC293" s="238">
        <f t="shared" si="101"/>
        <v>0</v>
      </c>
      <c r="AD293" s="389">
        <f t="shared" si="108"/>
        <v>55392</v>
      </c>
    </row>
    <row r="294" spans="1:31">
      <c r="A294" s="225" t="s">
        <v>97</v>
      </c>
      <c r="B294" s="226" t="s">
        <v>31</v>
      </c>
      <c r="C294" t="s">
        <v>622</v>
      </c>
      <c r="D294"/>
      <c r="E294"/>
      <c r="F294"/>
      <c r="G294"/>
      <c r="H294"/>
      <c r="I294" t="str">
        <f t="shared" si="104"/>
        <v>NY-No</v>
      </c>
      <c r="J294" t="str">
        <f t="shared" si="105"/>
        <v>NY-No</v>
      </c>
      <c r="K294">
        <v>0</v>
      </c>
      <c r="L294" t="str">
        <f>B294&amp;"-"&amp;IF(M294=2010, 1, "")</f>
        <v>NY-1</v>
      </c>
      <c r="M294">
        <v>2010</v>
      </c>
      <c r="N294" s="242">
        <v>29</v>
      </c>
      <c r="O294" s="415">
        <v>86099</v>
      </c>
      <c r="P294" s="416">
        <v>112314</v>
      </c>
      <c r="Q294" s="228">
        <f t="shared" si="110"/>
        <v>0</v>
      </c>
      <c r="R294" s="423">
        <v>198413</v>
      </c>
      <c r="S294" s="239"/>
      <c r="T294" s="231">
        <f t="shared" si="106"/>
        <v>112314</v>
      </c>
      <c r="U294" s="231">
        <f t="shared" si="103"/>
        <v>86099</v>
      </c>
      <c r="V294" s="232">
        <f t="shared" si="107"/>
        <v>0.13212339917243326</v>
      </c>
      <c r="W294" s="233">
        <f t="shared" si="96"/>
        <v>0.56606169958621666</v>
      </c>
      <c r="X294" s="234" t="str">
        <f t="shared" si="97"/>
        <v>NY-No</v>
      </c>
      <c r="Y294" s="235" t="str">
        <f t="shared" si="98"/>
        <v>NY-Rep</v>
      </c>
      <c r="Z294" s="236" t="str">
        <f>B294&amp;"-"&amp;IF(V294&gt;Instructions!$H$14,Instructions!$I$14,IF(V294&gt;Instructions!$H$15,Instructions!$I$15,IF(V294&gt;Instructions!$H$16,Instructions!$I$16,IF(V294&gt;Instructions!$H$17,Instructions!$I$17,Instructions!$I$18))))</f>
        <v>NY-Opportunity</v>
      </c>
      <c r="AA294" s="237">
        <f t="shared" si="99"/>
        <v>86099</v>
      </c>
      <c r="AB294" s="237">
        <f t="shared" si="100"/>
        <v>0</v>
      </c>
      <c r="AC294" s="238">
        <f t="shared" si="101"/>
        <v>0</v>
      </c>
      <c r="AD294" s="389">
        <f t="shared" si="108"/>
        <v>86099</v>
      </c>
      <c r="AE294" s="389">
        <f>SUM(AD266:AD294)</f>
        <v>1640207</v>
      </c>
    </row>
    <row r="295" spans="1:31">
      <c r="A295" s="225" t="s">
        <v>98</v>
      </c>
      <c r="B295" s="226" t="s">
        <v>32</v>
      </c>
      <c r="C295" t="s">
        <v>556</v>
      </c>
      <c r="D295"/>
      <c r="E295" s="399" t="s">
        <v>792</v>
      </c>
      <c r="F295"/>
      <c r="G295"/>
      <c r="H295"/>
      <c r="I295" t="str">
        <f t="shared" si="104"/>
        <v>NC-Yes</v>
      </c>
      <c r="J295" t="str">
        <f t="shared" si="105"/>
        <v>NC-Yes</v>
      </c>
      <c r="K295" t="str">
        <f t="shared" si="109"/>
        <v/>
      </c>
      <c r="L295" t="str">
        <f t="shared" si="114"/>
        <v/>
      </c>
      <c r="M295">
        <v>2004</v>
      </c>
      <c r="N295" s="242">
        <v>1</v>
      </c>
      <c r="O295" s="415">
        <v>103294</v>
      </c>
      <c r="P295" s="416">
        <v>70867</v>
      </c>
      <c r="Q295" s="228">
        <f t="shared" si="110"/>
        <v>0</v>
      </c>
      <c r="R295" s="423">
        <v>174161</v>
      </c>
      <c r="S295" s="239"/>
      <c r="T295" s="231">
        <f t="shared" si="106"/>
        <v>103294</v>
      </c>
      <c r="U295" s="231">
        <f t="shared" si="103"/>
        <v>70867</v>
      </c>
      <c r="V295" s="232">
        <f t="shared" si="107"/>
        <v>0.18618978990704005</v>
      </c>
      <c r="W295" s="233">
        <f t="shared" si="96"/>
        <v>0.59309489495351997</v>
      </c>
      <c r="X295" s="234" t="str">
        <f t="shared" si="97"/>
        <v>NC-No</v>
      </c>
      <c r="Y295" s="235" t="str">
        <f t="shared" si="98"/>
        <v>NC-Dem</v>
      </c>
      <c r="Z295" s="236" t="str">
        <f>B295&amp;"-"&amp;IF(V295&gt;Instructions!$H$14,Instructions!$I$14,IF(V295&gt;Instructions!$H$15,Instructions!$I$15,IF(V295&gt;Instructions!$H$16,Instructions!$I$16,IF(V295&gt;Instructions!$H$17,Instructions!$I$17,Instructions!$I$18))))</f>
        <v>NC-Opportunity</v>
      </c>
      <c r="AA295" s="237">
        <f t="shared" si="99"/>
        <v>0</v>
      </c>
      <c r="AB295" s="237">
        <f t="shared" si="100"/>
        <v>70867</v>
      </c>
      <c r="AC295" s="238">
        <f t="shared" si="101"/>
        <v>0</v>
      </c>
      <c r="AD295" s="389">
        <f t="shared" si="108"/>
        <v>70867</v>
      </c>
    </row>
    <row r="296" spans="1:31">
      <c r="A296" s="225" t="s">
        <v>98</v>
      </c>
      <c r="B296" s="226" t="s">
        <v>32</v>
      </c>
      <c r="C296" t="s">
        <v>557</v>
      </c>
      <c r="D296" s="399" t="s">
        <v>792</v>
      </c>
      <c r="E296"/>
      <c r="F296"/>
      <c r="G296"/>
      <c r="H296"/>
      <c r="I296" t="str">
        <f t="shared" si="104"/>
        <v>NC-Yes</v>
      </c>
      <c r="J296" t="str">
        <f t="shared" si="105"/>
        <v>NC-No</v>
      </c>
      <c r="K296">
        <f t="shared" si="109"/>
        <v>1</v>
      </c>
      <c r="L296" t="str">
        <f>B296&amp;"-"&amp;IF(M296=2010, 1, "")</f>
        <v>NC-1</v>
      </c>
      <c r="M296">
        <v>2010</v>
      </c>
      <c r="N296" s="242">
        <v>2</v>
      </c>
      <c r="O296" s="415">
        <v>92393</v>
      </c>
      <c r="P296" s="416">
        <v>93876</v>
      </c>
      <c r="Q296" s="228">
        <f t="shared" si="110"/>
        <v>3505</v>
      </c>
      <c r="R296" s="423">
        <v>189774</v>
      </c>
      <c r="S296" s="239"/>
      <c r="T296" s="231">
        <f t="shared" si="106"/>
        <v>93876</v>
      </c>
      <c r="U296" s="231">
        <f t="shared" si="103"/>
        <v>92393</v>
      </c>
      <c r="V296" s="232">
        <f t="shared" si="107"/>
        <v>7.9616039169158586E-3</v>
      </c>
      <c r="W296" s="233">
        <f t="shared" si="96"/>
        <v>0.49467261057889911</v>
      </c>
      <c r="X296" s="234" t="str">
        <f t="shared" si="97"/>
        <v>NC-No</v>
      </c>
      <c r="Y296" s="235" t="str">
        <f t="shared" si="98"/>
        <v>NC-Rep</v>
      </c>
      <c r="Z296" s="236" t="str">
        <f>B296&amp;"-"&amp;IF(V296&gt;Instructions!$H$14,Instructions!$I$14,IF(V296&gt;Instructions!$H$15,Instructions!$I$15,IF(V296&gt;Instructions!$H$16,Instructions!$I$16,IF(V296&gt;Instructions!$H$17,Instructions!$I$17,Instructions!$I$18))))</f>
        <v>NC-Tight</v>
      </c>
      <c r="AA296" s="237">
        <f t="shared" si="99"/>
        <v>92393</v>
      </c>
      <c r="AB296" s="237">
        <f t="shared" si="100"/>
        <v>0</v>
      </c>
      <c r="AC296" s="238">
        <f t="shared" si="101"/>
        <v>3505</v>
      </c>
      <c r="AD296" s="389">
        <f t="shared" si="108"/>
        <v>95898</v>
      </c>
    </row>
    <row r="297" spans="1:31">
      <c r="A297" s="225" t="s">
        <v>98</v>
      </c>
      <c r="B297" s="226" t="s">
        <v>32</v>
      </c>
      <c r="C297" s="426" t="s">
        <v>558</v>
      </c>
      <c r="D297"/>
      <c r="E297"/>
      <c r="F297"/>
      <c r="G297"/>
      <c r="H297"/>
      <c r="I297" t="str">
        <f t="shared" si="104"/>
        <v>NC-Yes</v>
      </c>
      <c r="J297" t="str">
        <f t="shared" si="105"/>
        <v>NC-Yes</v>
      </c>
      <c r="K297" t="str">
        <f t="shared" si="109"/>
        <v/>
      </c>
      <c r="L297" t="str">
        <f>IF(M297=2010, 1, "")</f>
        <v/>
      </c>
      <c r="M297">
        <v>1994</v>
      </c>
      <c r="N297" s="242">
        <v>3</v>
      </c>
      <c r="O297" s="415">
        <v>51317</v>
      </c>
      <c r="P297" s="416">
        <v>143225</v>
      </c>
      <c r="Q297" s="228">
        <f t="shared" si="110"/>
        <v>4762</v>
      </c>
      <c r="R297" s="423">
        <v>199304</v>
      </c>
      <c r="S297" s="239"/>
      <c r="T297" s="231">
        <f t="shared" si="106"/>
        <v>143225</v>
      </c>
      <c r="U297" s="231">
        <f t="shared" si="103"/>
        <v>51317</v>
      </c>
      <c r="V297" s="232">
        <f t="shared" si="107"/>
        <v>0.47243268805707767</v>
      </c>
      <c r="W297" s="233">
        <f t="shared" si="96"/>
        <v>0.71862581784610446</v>
      </c>
      <c r="X297" s="234" t="str">
        <f t="shared" si="97"/>
        <v>NC-No</v>
      </c>
      <c r="Y297" s="235" t="str">
        <f t="shared" si="98"/>
        <v>NC-Rep</v>
      </c>
      <c r="Z297" s="236" t="str">
        <f>B297&amp;"-"&amp;IF(V297&gt;Instructions!$H$14,Instructions!$I$14,IF(V297&gt;Instructions!$H$15,Instructions!$I$15,IF(V297&gt;Instructions!$H$16,Instructions!$I$16,IF(V297&gt;Instructions!$H$17,Instructions!$I$17,Instructions!$I$18))))</f>
        <v>NC-No contest</v>
      </c>
      <c r="AA297" s="237">
        <f t="shared" si="99"/>
        <v>51317</v>
      </c>
      <c r="AB297" s="237">
        <f t="shared" si="100"/>
        <v>0</v>
      </c>
      <c r="AC297" s="238">
        <f t="shared" si="101"/>
        <v>4762</v>
      </c>
      <c r="AD297" s="389">
        <f t="shared" si="108"/>
        <v>56079</v>
      </c>
    </row>
    <row r="298" spans="1:31">
      <c r="A298" s="225" t="s">
        <v>98</v>
      </c>
      <c r="B298" s="226" t="s">
        <v>32</v>
      </c>
      <c r="C298" t="s">
        <v>559</v>
      </c>
      <c r="D298"/>
      <c r="E298"/>
      <c r="F298"/>
      <c r="G298"/>
      <c r="H298"/>
      <c r="I298" t="str">
        <f t="shared" si="104"/>
        <v>NC-Yes</v>
      </c>
      <c r="J298" t="str">
        <f t="shared" si="105"/>
        <v>NC-Yes</v>
      </c>
      <c r="K298" t="str">
        <f t="shared" si="109"/>
        <v/>
      </c>
      <c r="L298" t="str">
        <f t="shared" ref="L298:L307" si="115">IF(M298=2010, 1, "")</f>
        <v/>
      </c>
      <c r="M298">
        <v>1996</v>
      </c>
      <c r="N298" s="242">
        <v>4</v>
      </c>
      <c r="O298" s="415">
        <v>155384</v>
      </c>
      <c r="P298" s="416">
        <v>116448</v>
      </c>
      <c r="Q298" s="228">
        <f t="shared" si="110"/>
        <v>0</v>
      </c>
      <c r="R298" s="423">
        <v>271832</v>
      </c>
      <c r="S298" s="239"/>
      <c r="T298" s="231">
        <f t="shared" si="106"/>
        <v>155384</v>
      </c>
      <c r="U298" s="231">
        <f t="shared" si="103"/>
        <v>116448</v>
      </c>
      <c r="V298" s="232">
        <f t="shared" si="107"/>
        <v>0.14323552782601018</v>
      </c>
      <c r="W298" s="233">
        <f t="shared" si="96"/>
        <v>0.57161776391300512</v>
      </c>
      <c r="X298" s="234" t="str">
        <f t="shared" si="97"/>
        <v>NC-No</v>
      </c>
      <c r="Y298" s="235" t="str">
        <f t="shared" si="98"/>
        <v>NC-Dem</v>
      </c>
      <c r="Z298" s="236" t="str">
        <f>B298&amp;"-"&amp;IF(V298&gt;Instructions!$H$14,Instructions!$I$14,IF(V298&gt;Instructions!$H$15,Instructions!$I$15,IF(V298&gt;Instructions!$H$16,Instructions!$I$16,IF(V298&gt;Instructions!$H$17,Instructions!$I$17,Instructions!$I$18))))</f>
        <v>NC-Opportunity</v>
      </c>
      <c r="AA298" s="237">
        <f t="shared" si="99"/>
        <v>0</v>
      </c>
      <c r="AB298" s="237">
        <f t="shared" si="100"/>
        <v>116448</v>
      </c>
      <c r="AC298" s="238">
        <f t="shared" si="101"/>
        <v>0</v>
      </c>
      <c r="AD298" s="389">
        <f t="shared" si="108"/>
        <v>116448</v>
      </c>
    </row>
    <row r="299" spans="1:31">
      <c r="A299" s="225" t="s">
        <v>98</v>
      </c>
      <c r="B299" s="226" t="s">
        <v>32</v>
      </c>
      <c r="C299" t="s">
        <v>560</v>
      </c>
      <c r="D299" s="399" t="s">
        <v>792</v>
      </c>
      <c r="E299"/>
      <c r="F299"/>
      <c r="G299"/>
      <c r="H299"/>
      <c r="I299" t="str">
        <f t="shared" si="104"/>
        <v>NC-Yes</v>
      </c>
      <c r="J299" t="str">
        <f t="shared" si="105"/>
        <v>NC-Yes</v>
      </c>
      <c r="K299" t="str">
        <f t="shared" si="109"/>
        <v/>
      </c>
      <c r="L299" t="str">
        <f>IF(M299=2010, 1, "")</f>
        <v/>
      </c>
      <c r="M299">
        <v>2004</v>
      </c>
      <c r="N299" s="242">
        <v>5</v>
      </c>
      <c r="O299" s="415">
        <v>72762</v>
      </c>
      <c r="P299" s="416">
        <v>140525</v>
      </c>
      <c r="Q299" s="228">
        <f t="shared" si="110"/>
        <v>0</v>
      </c>
      <c r="R299" s="423">
        <v>213287</v>
      </c>
      <c r="S299" s="239"/>
      <c r="T299" s="231">
        <f t="shared" si="106"/>
        <v>140525</v>
      </c>
      <c r="U299" s="231">
        <f t="shared" si="103"/>
        <v>72762</v>
      </c>
      <c r="V299" s="232">
        <f t="shared" si="107"/>
        <v>0.31770806472030644</v>
      </c>
      <c r="W299" s="233">
        <f t="shared" si="96"/>
        <v>0.65885403236015327</v>
      </c>
      <c r="X299" s="234" t="str">
        <f t="shared" si="97"/>
        <v>NC-No</v>
      </c>
      <c r="Y299" s="235" t="str">
        <f t="shared" si="98"/>
        <v>NC-Rep</v>
      </c>
      <c r="Z299" s="236" t="str">
        <f>B299&amp;"-"&amp;IF(V299&gt;Instructions!$H$14,Instructions!$I$14,IF(V299&gt;Instructions!$H$15,Instructions!$I$15,IF(V299&gt;Instructions!$H$16,Instructions!$I$16,IF(V299&gt;Instructions!$H$17,Instructions!$I$17,Instructions!$I$18))))</f>
        <v>NC-Landslide</v>
      </c>
      <c r="AA299" s="237">
        <f t="shared" si="99"/>
        <v>72762</v>
      </c>
      <c r="AB299" s="237">
        <f t="shared" si="100"/>
        <v>0</v>
      </c>
      <c r="AC299" s="238">
        <f t="shared" si="101"/>
        <v>0</v>
      </c>
      <c r="AD299" s="389">
        <f t="shared" si="108"/>
        <v>72762</v>
      </c>
    </row>
    <row r="300" spans="1:31">
      <c r="A300" s="225" t="s">
        <v>98</v>
      </c>
      <c r="B300" s="226" t="s">
        <v>32</v>
      </c>
      <c r="C300" s="426" t="s">
        <v>561</v>
      </c>
      <c r="D300"/>
      <c r="E300"/>
      <c r="F300"/>
      <c r="G300"/>
      <c r="H300"/>
      <c r="I300" t="str">
        <f t="shared" si="104"/>
        <v>NC-Yes</v>
      </c>
      <c r="J300" t="str">
        <f t="shared" si="105"/>
        <v>NC-Yes</v>
      </c>
      <c r="K300" t="str">
        <f t="shared" si="109"/>
        <v/>
      </c>
      <c r="L300" t="str">
        <f t="shared" si="115"/>
        <v/>
      </c>
      <c r="M300">
        <v>1984</v>
      </c>
      <c r="N300" s="242">
        <v>6</v>
      </c>
      <c r="O300" s="415">
        <v>51507</v>
      </c>
      <c r="P300" s="416">
        <v>156252</v>
      </c>
      <c r="Q300" s="228">
        <f t="shared" si="110"/>
        <v>0</v>
      </c>
      <c r="R300" s="423">
        <v>207759</v>
      </c>
      <c r="S300" s="239"/>
      <c r="T300" s="231">
        <f t="shared" si="106"/>
        <v>156252</v>
      </c>
      <c r="U300" s="231">
        <f t="shared" si="103"/>
        <v>51507</v>
      </c>
      <c r="V300" s="232">
        <f t="shared" si="107"/>
        <v>0.50416588451041833</v>
      </c>
      <c r="W300" s="233">
        <f t="shared" si="96"/>
        <v>0.75208294225520911</v>
      </c>
      <c r="X300" s="234" t="str">
        <f t="shared" si="97"/>
        <v>NC-No</v>
      </c>
      <c r="Y300" s="235" t="str">
        <f t="shared" si="98"/>
        <v>NC-Rep</v>
      </c>
      <c r="Z300" s="236" t="str">
        <f>B300&amp;"-"&amp;IF(V300&gt;Instructions!$H$14,Instructions!$I$14,IF(V300&gt;Instructions!$H$15,Instructions!$I$15,IF(V300&gt;Instructions!$H$16,Instructions!$I$16,IF(V300&gt;Instructions!$H$17,Instructions!$I$17,Instructions!$I$18))))</f>
        <v>NC-No contest</v>
      </c>
      <c r="AA300" s="237">
        <f t="shared" si="99"/>
        <v>51507</v>
      </c>
      <c r="AB300" s="237">
        <f t="shared" si="100"/>
        <v>0</v>
      </c>
      <c r="AC300" s="238">
        <f t="shared" si="101"/>
        <v>0</v>
      </c>
      <c r="AD300" s="389">
        <f t="shared" si="108"/>
        <v>51507</v>
      </c>
    </row>
    <row r="301" spans="1:31">
      <c r="A301" s="225" t="s">
        <v>98</v>
      </c>
      <c r="B301" s="226" t="s">
        <v>32</v>
      </c>
      <c r="C301" t="s">
        <v>562</v>
      </c>
      <c r="D301"/>
      <c r="E301"/>
      <c r="F301"/>
      <c r="G301"/>
      <c r="H301"/>
      <c r="I301" t="str">
        <f t="shared" si="104"/>
        <v>NC-Yes</v>
      </c>
      <c r="J301" t="str">
        <f t="shared" si="105"/>
        <v>NC-Yes</v>
      </c>
      <c r="K301" t="str">
        <f t="shared" si="109"/>
        <v/>
      </c>
      <c r="L301" t="str">
        <f t="shared" si="115"/>
        <v/>
      </c>
      <c r="M301">
        <v>1996</v>
      </c>
      <c r="N301" s="242">
        <v>7</v>
      </c>
      <c r="O301" s="415">
        <v>113957</v>
      </c>
      <c r="P301" s="416">
        <v>98328</v>
      </c>
      <c r="Q301" s="228">
        <f t="shared" si="110"/>
        <v>0</v>
      </c>
      <c r="R301" s="423">
        <v>212285</v>
      </c>
      <c r="S301" s="239"/>
      <c r="T301" s="231">
        <f t="shared" si="106"/>
        <v>113957</v>
      </c>
      <c r="U301" s="231">
        <f t="shared" si="103"/>
        <v>98328</v>
      </c>
      <c r="V301" s="232">
        <f t="shared" si="107"/>
        <v>7.3622724167981726E-2</v>
      </c>
      <c r="W301" s="233">
        <f t="shared" si="96"/>
        <v>0.53681136208399083</v>
      </c>
      <c r="X301" s="234" t="str">
        <f t="shared" si="97"/>
        <v>NC-No</v>
      </c>
      <c r="Y301" s="235" t="str">
        <f t="shared" si="98"/>
        <v>NC-Dem</v>
      </c>
      <c r="Z301" s="236" t="str">
        <f>B301&amp;"-"&amp;IF(V301&gt;Instructions!$H$14,Instructions!$I$14,IF(V301&gt;Instructions!$H$15,Instructions!$I$15,IF(V301&gt;Instructions!$H$16,Instructions!$I$16,IF(V301&gt;Instructions!$H$17,Instructions!$I$17,Instructions!$I$18))))</f>
        <v>NC-Competitive</v>
      </c>
      <c r="AA301" s="237">
        <f t="shared" si="99"/>
        <v>0</v>
      </c>
      <c r="AB301" s="237">
        <f t="shared" si="100"/>
        <v>98328</v>
      </c>
      <c r="AC301" s="238">
        <f t="shared" si="101"/>
        <v>0</v>
      </c>
      <c r="AD301" s="389">
        <f t="shared" si="108"/>
        <v>98328</v>
      </c>
    </row>
    <row r="302" spans="1:31">
      <c r="A302" s="225" t="s">
        <v>98</v>
      </c>
      <c r="B302" s="226" t="s">
        <v>32</v>
      </c>
      <c r="C302" t="s">
        <v>563</v>
      </c>
      <c r="D302"/>
      <c r="E302"/>
      <c r="F302"/>
      <c r="G302"/>
      <c r="H302"/>
      <c r="I302" t="str">
        <f t="shared" si="104"/>
        <v>NC-Yes</v>
      </c>
      <c r="J302" t="str">
        <f t="shared" si="105"/>
        <v>NC-Yes</v>
      </c>
      <c r="K302" t="str">
        <f t="shared" si="109"/>
        <v/>
      </c>
      <c r="L302" t="str">
        <f t="shared" si="115"/>
        <v/>
      </c>
      <c r="M302">
        <v>2008</v>
      </c>
      <c r="N302" s="242">
        <v>8</v>
      </c>
      <c r="O302" s="415">
        <v>88776</v>
      </c>
      <c r="P302" s="416">
        <v>73129</v>
      </c>
      <c r="Q302" s="228">
        <f t="shared" si="110"/>
        <v>5537</v>
      </c>
      <c r="R302" s="423">
        <v>167442</v>
      </c>
      <c r="S302" s="239"/>
      <c r="T302" s="231">
        <f t="shared" si="106"/>
        <v>88776</v>
      </c>
      <c r="U302" s="231">
        <f t="shared" si="103"/>
        <v>73129</v>
      </c>
      <c r="V302" s="232">
        <f t="shared" si="107"/>
        <v>9.6643093171921809E-2</v>
      </c>
      <c r="W302" s="233">
        <f t="shared" si="96"/>
        <v>0.53018955817536817</v>
      </c>
      <c r="X302" s="234" t="str">
        <f t="shared" si="97"/>
        <v>NC-No</v>
      </c>
      <c r="Y302" s="235" t="str">
        <f t="shared" si="98"/>
        <v>NC-Dem</v>
      </c>
      <c r="Z302" s="236" t="str">
        <f>B302&amp;"-"&amp;IF(V302&gt;Instructions!$H$14,Instructions!$I$14,IF(V302&gt;Instructions!$H$15,Instructions!$I$15,IF(V302&gt;Instructions!$H$16,Instructions!$I$16,IF(V302&gt;Instructions!$H$17,Instructions!$I$17,Instructions!$I$18))))</f>
        <v>NC-Competitive</v>
      </c>
      <c r="AA302" s="237">
        <f t="shared" si="99"/>
        <v>0</v>
      </c>
      <c r="AB302" s="237">
        <f t="shared" si="100"/>
        <v>73129</v>
      </c>
      <c r="AC302" s="238">
        <f t="shared" si="101"/>
        <v>5537</v>
      </c>
      <c r="AD302" s="389">
        <f t="shared" si="108"/>
        <v>78666</v>
      </c>
    </row>
    <row r="303" spans="1:31">
      <c r="A303" s="225" t="s">
        <v>98</v>
      </c>
      <c r="B303" s="226" t="s">
        <v>32</v>
      </c>
      <c r="C303" s="426" t="s">
        <v>564</v>
      </c>
      <c r="D303" s="399" t="s">
        <v>792</v>
      </c>
      <c r="E303"/>
      <c r="F303"/>
      <c r="G303"/>
      <c r="H303"/>
      <c r="I303" t="str">
        <f t="shared" si="104"/>
        <v>NC-Yes</v>
      </c>
      <c r="J303" t="str">
        <f t="shared" si="105"/>
        <v>NC-Yes</v>
      </c>
      <c r="K303" t="str">
        <f t="shared" si="109"/>
        <v/>
      </c>
      <c r="L303" t="str">
        <f t="shared" si="115"/>
        <v/>
      </c>
      <c r="M303">
        <v>1994</v>
      </c>
      <c r="N303" s="242">
        <v>9</v>
      </c>
      <c r="O303" s="415">
        <v>71450</v>
      </c>
      <c r="P303" s="416">
        <v>158790</v>
      </c>
      <c r="Q303" s="228">
        <f t="shared" si="110"/>
        <v>0</v>
      </c>
      <c r="R303" s="423">
        <v>230240</v>
      </c>
      <c r="S303" s="239"/>
      <c r="T303" s="231">
        <f t="shared" si="106"/>
        <v>158790</v>
      </c>
      <c r="U303" s="231">
        <f t="shared" si="103"/>
        <v>71450</v>
      </c>
      <c r="V303" s="232">
        <f t="shared" si="107"/>
        <v>0.3793432939541348</v>
      </c>
      <c r="W303" s="233">
        <f t="shared" si="96"/>
        <v>0.6896716469770674</v>
      </c>
      <c r="X303" s="234" t="str">
        <f t="shared" si="97"/>
        <v>NC-No</v>
      </c>
      <c r="Y303" s="235" t="str">
        <f t="shared" si="98"/>
        <v>NC-Rep</v>
      </c>
      <c r="Z303" s="236" t="str">
        <f>B303&amp;"-"&amp;IF(V303&gt;Instructions!$H$14,Instructions!$I$14,IF(V303&gt;Instructions!$H$15,Instructions!$I$15,IF(V303&gt;Instructions!$H$16,Instructions!$I$16,IF(V303&gt;Instructions!$H$17,Instructions!$I$17,Instructions!$I$18))))</f>
        <v>NC-Landslide</v>
      </c>
      <c r="AA303" s="237">
        <f t="shared" si="99"/>
        <v>71450</v>
      </c>
      <c r="AB303" s="237">
        <f t="shared" si="100"/>
        <v>0</v>
      </c>
      <c r="AC303" s="238">
        <f t="shared" si="101"/>
        <v>0</v>
      </c>
      <c r="AD303" s="389">
        <f t="shared" si="108"/>
        <v>71450</v>
      </c>
    </row>
    <row r="304" spans="1:31">
      <c r="A304" s="225" t="s">
        <v>98</v>
      </c>
      <c r="B304" s="226" t="s">
        <v>32</v>
      </c>
      <c r="C304" t="s">
        <v>565</v>
      </c>
      <c r="D304"/>
      <c r="E304"/>
      <c r="F304"/>
      <c r="G304"/>
      <c r="H304"/>
      <c r="I304" t="str">
        <f t="shared" si="104"/>
        <v>NC-Yes</v>
      </c>
      <c r="J304" t="str">
        <f t="shared" si="105"/>
        <v>NC-Yes</v>
      </c>
      <c r="K304" t="str">
        <f t="shared" si="109"/>
        <v/>
      </c>
      <c r="L304" t="str">
        <f t="shared" si="115"/>
        <v/>
      </c>
      <c r="M304">
        <v>2004</v>
      </c>
      <c r="N304" s="242">
        <v>10</v>
      </c>
      <c r="O304" s="415">
        <v>52972</v>
      </c>
      <c r="P304" s="416">
        <v>130813</v>
      </c>
      <c r="Q304" s="228">
        <f t="shared" si="110"/>
        <v>0</v>
      </c>
      <c r="R304" s="423">
        <v>183785</v>
      </c>
      <c r="S304" s="239"/>
      <c r="T304" s="231">
        <f t="shared" si="106"/>
        <v>130813</v>
      </c>
      <c r="U304" s="231">
        <f t="shared" si="103"/>
        <v>52972</v>
      </c>
      <c r="V304" s="232">
        <f t="shared" si="107"/>
        <v>0.42354381478357866</v>
      </c>
      <c r="W304" s="233">
        <f t="shared" si="96"/>
        <v>0.7117719073917893</v>
      </c>
      <c r="X304" s="234" t="str">
        <f t="shared" si="97"/>
        <v>NC-No</v>
      </c>
      <c r="Y304" s="235" t="str">
        <f t="shared" si="98"/>
        <v>NC-Rep</v>
      </c>
      <c r="Z304" s="236" t="str">
        <f>B304&amp;"-"&amp;IF(V304&gt;Instructions!$H$14,Instructions!$I$14,IF(V304&gt;Instructions!$H$15,Instructions!$I$15,IF(V304&gt;Instructions!$H$16,Instructions!$I$16,IF(V304&gt;Instructions!$H$17,Instructions!$I$17,Instructions!$I$18))))</f>
        <v>NC-No contest</v>
      </c>
      <c r="AA304" s="237">
        <f t="shared" si="99"/>
        <v>52972</v>
      </c>
      <c r="AB304" s="237">
        <f t="shared" si="100"/>
        <v>0</v>
      </c>
      <c r="AC304" s="238">
        <f t="shared" si="101"/>
        <v>0</v>
      </c>
      <c r="AD304" s="389">
        <f t="shared" si="108"/>
        <v>52972</v>
      </c>
    </row>
    <row r="305" spans="1:31">
      <c r="A305" s="225" t="s">
        <v>98</v>
      </c>
      <c r="B305" s="226" t="s">
        <v>32</v>
      </c>
      <c r="C305" t="s">
        <v>566</v>
      </c>
      <c r="D305"/>
      <c r="E305"/>
      <c r="F305"/>
      <c r="G305"/>
      <c r="H305"/>
      <c r="I305" t="str">
        <f t="shared" si="104"/>
        <v>NC-Yes</v>
      </c>
      <c r="J305" t="str">
        <f t="shared" si="105"/>
        <v>NC-Yes</v>
      </c>
      <c r="K305" t="str">
        <f t="shared" si="109"/>
        <v/>
      </c>
      <c r="L305" t="str">
        <f t="shared" si="115"/>
        <v/>
      </c>
      <c r="M305">
        <v>2006</v>
      </c>
      <c r="N305" s="242">
        <v>11</v>
      </c>
      <c r="O305" s="415">
        <v>131225</v>
      </c>
      <c r="P305" s="416">
        <v>110246</v>
      </c>
      <c r="Q305" s="228">
        <f t="shared" si="110"/>
        <v>0</v>
      </c>
      <c r="R305" s="423">
        <v>241471</v>
      </c>
      <c r="S305" s="239"/>
      <c r="T305" s="231">
        <f t="shared" si="106"/>
        <v>131225</v>
      </c>
      <c r="U305" s="231">
        <f t="shared" si="103"/>
        <v>110246</v>
      </c>
      <c r="V305" s="232">
        <f t="shared" si="107"/>
        <v>8.6879998012183657E-2</v>
      </c>
      <c r="W305" s="233">
        <f t="shared" si="96"/>
        <v>0.54343999900609186</v>
      </c>
      <c r="X305" s="234" t="str">
        <f t="shared" si="97"/>
        <v>NC-No</v>
      </c>
      <c r="Y305" s="235" t="str">
        <f t="shared" si="98"/>
        <v>NC-Dem</v>
      </c>
      <c r="Z305" s="236" t="str">
        <f>B305&amp;"-"&amp;IF(V305&gt;Instructions!$H$14,Instructions!$I$14,IF(V305&gt;Instructions!$H$15,Instructions!$I$15,IF(V305&gt;Instructions!$H$16,Instructions!$I$16,IF(V305&gt;Instructions!$H$17,Instructions!$I$17,Instructions!$I$18))))</f>
        <v>NC-Competitive</v>
      </c>
      <c r="AA305" s="237">
        <f t="shared" si="99"/>
        <v>0</v>
      </c>
      <c r="AB305" s="237">
        <f t="shared" si="100"/>
        <v>110246</v>
      </c>
      <c r="AC305" s="238">
        <f t="shared" si="101"/>
        <v>0</v>
      </c>
      <c r="AD305" s="389">
        <f t="shared" si="108"/>
        <v>110246</v>
      </c>
    </row>
    <row r="306" spans="1:31">
      <c r="A306" s="225" t="s">
        <v>98</v>
      </c>
      <c r="B306" s="226" t="s">
        <v>32</v>
      </c>
      <c r="C306" s="426" t="s">
        <v>567</v>
      </c>
      <c r="D306"/>
      <c r="E306" s="399" t="s">
        <v>792</v>
      </c>
      <c r="F306"/>
      <c r="G306"/>
      <c r="H306"/>
      <c r="I306" t="str">
        <f t="shared" si="104"/>
        <v>NC-Yes</v>
      </c>
      <c r="J306" t="str">
        <f t="shared" si="105"/>
        <v>NC-Yes</v>
      </c>
      <c r="K306" t="str">
        <f t="shared" si="109"/>
        <v/>
      </c>
      <c r="L306" t="str">
        <f t="shared" si="115"/>
        <v/>
      </c>
      <c r="M306">
        <v>1992</v>
      </c>
      <c r="N306" s="242">
        <v>12</v>
      </c>
      <c r="O306" s="415">
        <v>103495</v>
      </c>
      <c r="P306" s="416">
        <v>55315</v>
      </c>
      <c r="Q306" s="228">
        <f t="shared" si="110"/>
        <v>3197</v>
      </c>
      <c r="R306" s="423">
        <v>162007</v>
      </c>
      <c r="S306" s="239"/>
      <c r="T306" s="231">
        <f t="shared" si="106"/>
        <v>103495</v>
      </c>
      <c r="U306" s="231">
        <f t="shared" si="103"/>
        <v>55315</v>
      </c>
      <c r="V306" s="232">
        <f t="shared" si="107"/>
        <v>0.30338139915622442</v>
      </c>
      <c r="W306" s="233">
        <f t="shared" si="96"/>
        <v>0.63883042090773856</v>
      </c>
      <c r="X306" s="234" t="str">
        <f t="shared" si="97"/>
        <v>NC-No</v>
      </c>
      <c r="Y306" s="235" t="str">
        <f t="shared" si="98"/>
        <v>NC-Dem</v>
      </c>
      <c r="Z306" s="236" t="str">
        <f>B306&amp;"-"&amp;IF(V306&gt;Instructions!$H$14,Instructions!$I$14,IF(V306&gt;Instructions!$H$15,Instructions!$I$15,IF(V306&gt;Instructions!$H$16,Instructions!$I$16,IF(V306&gt;Instructions!$H$17,Instructions!$I$17,Instructions!$I$18))))</f>
        <v>NC-Landslide</v>
      </c>
      <c r="AA306" s="237">
        <f t="shared" si="99"/>
        <v>0</v>
      </c>
      <c r="AB306" s="237">
        <f t="shared" si="100"/>
        <v>55315</v>
      </c>
      <c r="AC306" s="238">
        <f t="shared" si="101"/>
        <v>3197</v>
      </c>
      <c r="AD306" s="389">
        <f t="shared" si="108"/>
        <v>58512</v>
      </c>
    </row>
    <row r="307" spans="1:31">
      <c r="A307" s="225" t="s">
        <v>98</v>
      </c>
      <c r="B307" s="226" t="s">
        <v>32</v>
      </c>
      <c r="C307" t="s">
        <v>568</v>
      </c>
      <c r="D307"/>
      <c r="E307"/>
      <c r="F307"/>
      <c r="G307"/>
      <c r="H307"/>
      <c r="I307" t="str">
        <f t="shared" si="104"/>
        <v>NC-Yes</v>
      </c>
      <c r="J307" t="str">
        <f t="shared" si="105"/>
        <v>NC-Yes</v>
      </c>
      <c r="K307" t="str">
        <f t="shared" si="109"/>
        <v/>
      </c>
      <c r="L307" t="str">
        <f t="shared" si="115"/>
        <v/>
      </c>
      <c r="M307">
        <v>2002</v>
      </c>
      <c r="N307" s="242">
        <v>13</v>
      </c>
      <c r="O307" s="415">
        <v>116103</v>
      </c>
      <c r="P307" s="416">
        <v>93099</v>
      </c>
      <c r="Q307" s="228">
        <f t="shared" si="110"/>
        <v>0</v>
      </c>
      <c r="R307" s="423">
        <v>209202</v>
      </c>
      <c r="S307" s="239"/>
      <c r="T307" s="231">
        <f t="shared" si="106"/>
        <v>116103</v>
      </c>
      <c r="U307" s="231">
        <f t="shared" si="103"/>
        <v>93099</v>
      </c>
      <c r="V307" s="232">
        <f t="shared" si="107"/>
        <v>0.1099607078326211</v>
      </c>
      <c r="W307" s="233">
        <f t="shared" si="96"/>
        <v>0.55498035391631051</v>
      </c>
      <c r="X307" s="234" t="str">
        <f t="shared" si="97"/>
        <v>NC-No</v>
      </c>
      <c r="Y307" s="235" t="str">
        <f t="shared" si="98"/>
        <v>NC-Dem</v>
      </c>
      <c r="Z307" s="236" t="str">
        <f>B307&amp;"-"&amp;IF(V307&gt;Instructions!$H$14,Instructions!$I$14,IF(V307&gt;Instructions!$H$15,Instructions!$I$15,IF(V307&gt;Instructions!$H$16,Instructions!$I$16,IF(V307&gt;Instructions!$H$17,Instructions!$I$17,Instructions!$I$18))))</f>
        <v>NC-Opportunity</v>
      </c>
      <c r="AA307" s="237">
        <f t="shared" si="99"/>
        <v>0</v>
      </c>
      <c r="AB307" s="237">
        <f t="shared" si="100"/>
        <v>93099</v>
      </c>
      <c r="AC307" s="238">
        <f t="shared" si="101"/>
        <v>0</v>
      </c>
      <c r="AD307" s="389">
        <f t="shared" si="108"/>
        <v>93099</v>
      </c>
      <c r="AE307" s="389">
        <f>SUM(AD295:AD307)</f>
        <v>1026834</v>
      </c>
    </row>
    <row r="308" spans="1:31">
      <c r="A308" s="225" t="s">
        <v>99</v>
      </c>
      <c r="B308" s="226" t="s">
        <v>33</v>
      </c>
      <c r="C308" t="s">
        <v>569</v>
      </c>
      <c r="D308"/>
      <c r="E308"/>
      <c r="F308"/>
      <c r="G308"/>
      <c r="H308"/>
      <c r="I308" t="str">
        <f t="shared" si="104"/>
        <v>ND-Yes</v>
      </c>
      <c r="J308" t="str">
        <f t="shared" si="105"/>
        <v>ND-No</v>
      </c>
      <c r="K308">
        <f t="shared" si="109"/>
        <v>1</v>
      </c>
      <c r="L308" t="str">
        <f>B308&amp;"-"&amp;IF(M308=2010, 1, "")</f>
        <v>ND-1</v>
      </c>
      <c r="M308">
        <v>2010</v>
      </c>
      <c r="N308" s="242">
        <v>1</v>
      </c>
      <c r="O308" s="415">
        <v>106542</v>
      </c>
      <c r="P308" s="416">
        <v>129802</v>
      </c>
      <c r="Q308" s="228">
        <f t="shared" si="110"/>
        <v>793</v>
      </c>
      <c r="R308" s="423">
        <v>237137</v>
      </c>
      <c r="S308" s="239"/>
      <c r="T308" s="231">
        <f t="shared" si="106"/>
        <v>129802</v>
      </c>
      <c r="U308" s="231">
        <f t="shared" si="103"/>
        <v>106542</v>
      </c>
      <c r="V308" s="232">
        <f t="shared" si="107"/>
        <v>9.8415868395220527E-2</v>
      </c>
      <c r="W308" s="233">
        <f t="shared" si="96"/>
        <v>0.54737135073818088</v>
      </c>
      <c r="X308" s="234" t="str">
        <f t="shared" si="97"/>
        <v>ND-No</v>
      </c>
      <c r="Y308" s="235" t="str">
        <f t="shared" si="98"/>
        <v>ND-Rep</v>
      </c>
      <c r="Z308" s="236" t="str">
        <f>B308&amp;"-"&amp;IF(V308&gt;Instructions!$H$14,Instructions!$I$14,IF(V308&gt;Instructions!$H$15,Instructions!$I$15,IF(V308&gt;Instructions!$H$16,Instructions!$I$16,IF(V308&gt;Instructions!$H$17,Instructions!$I$17,Instructions!$I$18))))</f>
        <v>ND-Competitive</v>
      </c>
      <c r="AA308" s="237">
        <f t="shared" si="99"/>
        <v>106542</v>
      </c>
      <c r="AB308" s="237">
        <f t="shared" si="100"/>
        <v>0</v>
      </c>
      <c r="AC308" s="238">
        <f t="shared" si="101"/>
        <v>793</v>
      </c>
      <c r="AD308" s="389">
        <f t="shared" si="108"/>
        <v>107335</v>
      </c>
      <c r="AE308" s="389">
        <f>SUM(AD308)</f>
        <v>107335</v>
      </c>
    </row>
    <row r="309" spans="1:31">
      <c r="A309" s="225" t="s">
        <v>100</v>
      </c>
      <c r="B309" s="226" t="s">
        <v>34</v>
      </c>
      <c r="C309" t="s">
        <v>623</v>
      </c>
      <c r="D309"/>
      <c r="E309"/>
      <c r="F309"/>
      <c r="G309"/>
      <c r="H309"/>
      <c r="I309" t="str">
        <f t="shared" si="104"/>
        <v>OH-Yes</v>
      </c>
      <c r="J309" t="str">
        <f t="shared" si="105"/>
        <v>OH-No</v>
      </c>
      <c r="K309">
        <f t="shared" ref="K309:K347" si="116">IF(M309=2010, 1, "")</f>
        <v>1</v>
      </c>
      <c r="L309" t="str">
        <f>B309&amp;"-"&amp;IF(M309=2010, 1, "")</f>
        <v>OH-1</v>
      </c>
      <c r="M309">
        <v>2010</v>
      </c>
      <c r="N309" s="242">
        <v>1</v>
      </c>
      <c r="O309" s="415">
        <v>92672</v>
      </c>
      <c r="P309" s="416">
        <v>103770</v>
      </c>
      <c r="Q309" s="228">
        <f t="shared" ref="Q309:Q326" si="117">R309-P309-O309</f>
        <v>5076</v>
      </c>
      <c r="R309" s="423">
        <v>201518</v>
      </c>
      <c r="S309" s="239"/>
      <c r="T309" s="231">
        <f t="shared" si="106"/>
        <v>103770</v>
      </c>
      <c r="U309" s="231">
        <f t="shared" si="103"/>
        <v>92672</v>
      </c>
      <c r="V309" s="232">
        <f t="shared" si="107"/>
        <v>5.6495046884067562E-2</v>
      </c>
      <c r="W309" s="233">
        <f t="shared" si="96"/>
        <v>0.51494159330680134</v>
      </c>
      <c r="X309" s="234" t="str">
        <f t="shared" si="97"/>
        <v>OH-No</v>
      </c>
      <c r="Y309" s="235" t="str">
        <f t="shared" si="98"/>
        <v>OH-Rep</v>
      </c>
      <c r="Z309" s="236" t="str">
        <f>B309&amp;"-"&amp;IF(V309&gt;Instructions!$H$14,Instructions!$I$14,IF(V309&gt;Instructions!$H$15,Instructions!$I$15,IF(V309&gt;Instructions!$H$16,Instructions!$I$16,IF(V309&gt;Instructions!$H$17,Instructions!$I$17,Instructions!$I$18))))</f>
        <v>OH-Competitive</v>
      </c>
      <c r="AA309" s="237">
        <f t="shared" si="99"/>
        <v>92672</v>
      </c>
      <c r="AB309" s="237">
        <f t="shared" si="100"/>
        <v>0</v>
      </c>
      <c r="AC309" s="238">
        <f t="shared" si="101"/>
        <v>5076</v>
      </c>
      <c r="AD309" s="389">
        <f t="shared" si="108"/>
        <v>97748</v>
      </c>
    </row>
    <row r="310" spans="1:31">
      <c r="A310" s="225" t="s">
        <v>100</v>
      </c>
      <c r="B310" s="226" t="s">
        <v>34</v>
      </c>
      <c r="C310" t="s">
        <v>624</v>
      </c>
      <c r="D310" s="399" t="s">
        <v>793</v>
      </c>
      <c r="E310"/>
      <c r="F310"/>
      <c r="G310"/>
      <c r="H310"/>
      <c r="I310" t="str">
        <f t="shared" si="104"/>
        <v>OH-Yes</v>
      </c>
      <c r="J310" t="str">
        <f t="shared" si="105"/>
        <v>OH-Yes</v>
      </c>
      <c r="K310" t="str">
        <f t="shared" si="116"/>
        <v/>
      </c>
      <c r="L310" t="str">
        <f t="shared" ref="L310:L330" si="118">IF(M310=2010, 1, "")</f>
        <v/>
      </c>
      <c r="M310">
        <v>2005</v>
      </c>
      <c r="N310" s="242">
        <v>2</v>
      </c>
      <c r="O310" s="420">
        <v>82431</v>
      </c>
      <c r="P310" s="421">
        <v>139027</v>
      </c>
      <c r="Q310" s="228">
        <f t="shared" si="117"/>
        <v>16387</v>
      </c>
      <c r="R310" s="423">
        <v>237845</v>
      </c>
      <c r="S310" s="239"/>
      <c r="T310" s="231">
        <f t="shared" si="106"/>
        <v>139027</v>
      </c>
      <c r="U310" s="231">
        <f t="shared" si="103"/>
        <v>82431</v>
      </c>
      <c r="V310" s="232">
        <f t="shared" si="107"/>
        <v>0.25556087384515347</v>
      </c>
      <c r="W310" s="233">
        <f t="shared" si="96"/>
        <v>0.58452773865332464</v>
      </c>
      <c r="X310" s="234" t="str">
        <f t="shared" si="97"/>
        <v>OH-No</v>
      </c>
      <c r="Y310" s="235" t="str">
        <f t="shared" si="98"/>
        <v>OH-Rep</v>
      </c>
      <c r="Z310" s="236" t="str">
        <f>B310&amp;"-"&amp;IF(V310&gt;Instructions!$H$14,Instructions!$I$14,IF(V310&gt;Instructions!$H$15,Instructions!$I$15,IF(V310&gt;Instructions!$H$16,Instructions!$I$16,IF(V310&gt;Instructions!$H$17,Instructions!$I$17,Instructions!$I$18))))</f>
        <v>OH-Landslide</v>
      </c>
      <c r="AA310" s="237">
        <f t="shared" si="99"/>
        <v>82431</v>
      </c>
      <c r="AB310" s="237">
        <f t="shared" si="100"/>
        <v>0</v>
      </c>
      <c r="AC310" s="238">
        <f t="shared" si="101"/>
        <v>16387</v>
      </c>
      <c r="AD310" s="389">
        <f t="shared" si="108"/>
        <v>98818</v>
      </c>
    </row>
    <row r="311" spans="1:31">
      <c r="A311" s="225" t="s">
        <v>100</v>
      </c>
      <c r="B311" s="226" t="s">
        <v>34</v>
      </c>
      <c r="C311" t="s">
        <v>625</v>
      </c>
      <c r="D311"/>
      <c r="E311"/>
      <c r="F311"/>
      <c r="G311"/>
      <c r="H311"/>
      <c r="I311" t="str">
        <f t="shared" si="104"/>
        <v>OH-Yes</v>
      </c>
      <c r="J311" t="str">
        <f t="shared" si="105"/>
        <v>OH-Yes</v>
      </c>
      <c r="K311" t="str">
        <f>IF(M311=2010, 1, "")</f>
        <v/>
      </c>
      <c r="L311" t="str">
        <f t="shared" si="118"/>
        <v/>
      </c>
      <c r="M311">
        <v>2002</v>
      </c>
      <c r="N311" s="242">
        <v>3</v>
      </c>
      <c r="O311" s="420">
        <v>71455</v>
      </c>
      <c r="P311" s="421">
        <v>152629</v>
      </c>
      <c r="Q311" s="228">
        <f t="shared" si="117"/>
        <v>0</v>
      </c>
      <c r="R311" s="423">
        <v>224084</v>
      </c>
      <c r="S311" s="239"/>
      <c r="T311" s="231">
        <f t="shared" si="106"/>
        <v>152629</v>
      </c>
      <c r="U311" s="231">
        <f t="shared" si="103"/>
        <v>71455</v>
      </c>
      <c r="V311" s="232">
        <f t="shared" si="107"/>
        <v>0.36224808553935134</v>
      </c>
      <c r="W311" s="233">
        <f t="shared" si="96"/>
        <v>0.68112404276967564</v>
      </c>
      <c r="X311" s="234" t="str">
        <f t="shared" si="97"/>
        <v>OH-No</v>
      </c>
      <c r="Y311" s="235" t="str">
        <f t="shared" si="98"/>
        <v>OH-Rep</v>
      </c>
      <c r="Z311" s="236" t="str">
        <f>B311&amp;"-"&amp;IF(V311&gt;Instructions!$H$14,Instructions!$I$14,IF(V311&gt;Instructions!$H$15,Instructions!$I$15,IF(V311&gt;Instructions!$H$16,Instructions!$I$16,IF(V311&gt;Instructions!$H$17,Instructions!$I$17,Instructions!$I$18))))</f>
        <v>OH-Landslide</v>
      </c>
      <c r="AA311" s="237">
        <f t="shared" si="99"/>
        <v>71455</v>
      </c>
      <c r="AB311" s="237">
        <f t="shared" si="100"/>
        <v>0</v>
      </c>
      <c r="AC311" s="238">
        <f t="shared" si="101"/>
        <v>0</v>
      </c>
      <c r="AD311" s="389">
        <f t="shared" si="108"/>
        <v>71455</v>
      </c>
    </row>
    <row r="312" spans="1:31">
      <c r="A312" s="225" t="s">
        <v>100</v>
      </c>
      <c r="B312" s="226" t="s">
        <v>34</v>
      </c>
      <c r="C312" t="s">
        <v>626</v>
      </c>
      <c r="D312"/>
      <c r="E312"/>
      <c r="F312"/>
      <c r="G312"/>
      <c r="H312"/>
      <c r="I312" t="str">
        <f t="shared" si="104"/>
        <v>OH-Yes</v>
      </c>
      <c r="J312" t="str">
        <f t="shared" si="105"/>
        <v>OH-Yes</v>
      </c>
      <c r="K312" t="str">
        <f t="shared" si="116"/>
        <v/>
      </c>
      <c r="L312" t="str">
        <f t="shared" si="118"/>
        <v/>
      </c>
      <c r="M312">
        <v>2006</v>
      </c>
      <c r="N312" s="242">
        <v>4</v>
      </c>
      <c r="O312" s="420">
        <v>50533</v>
      </c>
      <c r="P312" s="421">
        <v>146029</v>
      </c>
      <c r="Q312" s="228">
        <f t="shared" si="117"/>
        <v>7708</v>
      </c>
      <c r="R312" s="423">
        <v>204270</v>
      </c>
      <c r="S312" s="239"/>
      <c r="T312" s="231">
        <f t="shared" si="106"/>
        <v>146029</v>
      </c>
      <c r="U312" s="231">
        <f t="shared" si="103"/>
        <v>50533</v>
      </c>
      <c r="V312" s="232">
        <f t="shared" si="107"/>
        <v>0.48583144249651511</v>
      </c>
      <c r="W312" s="233">
        <f t="shared" si="96"/>
        <v>0.71488226367063201</v>
      </c>
      <c r="X312" s="234" t="str">
        <f t="shared" si="97"/>
        <v>OH-No</v>
      </c>
      <c r="Y312" s="235" t="str">
        <f t="shared" si="98"/>
        <v>OH-Rep</v>
      </c>
      <c r="Z312" s="236" t="str">
        <f>B312&amp;"-"&amp;IF(V312&gt;Instructions!$H$14,Instructions!$I$14,IF(V312&gt;Instructions!$H$15,Instructions!$I$15,IF(V312&gt;Instructions!$H$16,Instructions!$I$16,IF(V312&gt;Instructions!$H$17,Instructions!$I$17,Instructions!$I$18))))</f>
        <v>OH-No contest</v>
      </c>
      <c r="AA312" s="237">
        <f t="shared" si="99"/>
        <v>50533</v>
      </c>
      <c r="AB312" s="237">
        <f t="shared" si="100"/>
        <v>0</v>
      </c>
      <c r="AC312" s="238">
        <f t="shared" si="101"/>
        <v>7708</v>
      </c>
      <c r="AD312" s="389">
        <f t="shared" si="108"/>
        <v>58241</v>
      </c>
    </row>
    <row r="313" spans="1:31">
      <c r="A313" s="225" t="s">
        <v>100</v>
      </c>
      <c r="B313" s="226" t="s">
        <v>34</v>
      </c>
      <c r="C313" t="s">
        <v>627</v>
      </c>
      <c r="D313"/>
      <c r="E313"/>
      <c r="F313"/>
      <c r="G313"/>
      <c r="H313"/>
      <c r="I313" t="str">
        <f t="shared" si="104"/>
        <v>OH-Yes</v>
      </c>
      <c r="J313" t="str">
        <f t="shared" si="105"/>
        <v>OH-Yes</v>
      </c>
      <c r="K313" t="str">
        <f t="shared" si="116"/>
        <v/>
      </c>
      <c r="L313" t="str">
        <f t="shared" si="118"/>
        <v/>
      </c>
      <c r="M313">
        <v>2007</v>
      </c>
      <c r="N313" s="242">
        <v>5</v>
      </c>
      <c r="O313" s="420">
        <v>54919</v>
      </c>
      <c r="P313" s="421">
        <v>140703</v>
      </c>
      <c r="Q313" s="228">
        <f t="shared" si="117"/>
        <v>11831</v>
      </c>
      <c r="R313" s="423">
        <v>207453</v>
      </c>
      <c r="S313" s="239"/>
      <c r="T313" s="231">
        <f t="shared" si="106"/>
        <v>140703</v>
      </c>
      <c r="U313" s="231">
        <f t="shared" si="103"/>
        <v>54919</v>
      </c>
      <c r="V313" s="232">
        <f t="shared" si="107"/>
        <v>0.43851918495874698</v>
      </c>
      <c r="W313" s="233">
        <f t="shared" ref="W313:W376" si="119">T313/R313</f>
        <v>0.67824037251811253</v>
      </c>
      <c r="X313" s="234" t="str">
        <f t="shared" ref="X313:X376" si="120">B313&amp;"-"&amp;IF(O313*P313=0,"Yes","No")</f>
        <v>OH-No</v>
      </c>
      <c r="Y313" s="235" t="str">
        <f t="shared" ref="Y313:Y376" si="121">B313&amp;"-"&amp;IF(Q313=MAX(O313:Q313),"Other",IF(P313&gt;O313,"Rep","Dem"))</f>
        <v>OH-Rep</v>
      </c>
      <c r="Z313" s="236" t="str">
        <f>B313&amp;"-"&amp;IF(V313&gt;Instructions!$H$14,Instructions!$I$14,IF(V313&gt;Instructions!$H$15,Instructions!$I$15,IF(V313&gt;Instructions!$H$16,Instructions!$I$16,IF(V313&gt;Instructions!$H$17,Instructions!$I$17,Instructions!$I$18))))</f>
        <v>OH-No contest</v>
      </c>
      <c r="AA313" s="237">
        <f t="shared" ref="AA313:AA376" si="122">IF(T313=O313,0,O313)</f>
        <v>54919</v>
      </c>
      <c r="AB313" s="237">
        <f t="shared" ref="AB313:AB376" si="123">IF(T313=P313,0,P313)</f>
        <v>0</v>
      </c>
      <c r="AC313" s="238">
        <f t="shared" ref="AC313:AC376" si="124">IF(T313=Q313,0,Q313)</f>
        <v>11831</v>
      </c>
      <c r="AD313" s="389">
        <f t="shared" si="108"/>
        <v>66750</v>
      </c>
    </row>
    <row r="314" spans="1:31" ht="15" customHeight="1">
      <c r="A314" s="225" t="s">
        <v>100</v>
      </c>
      <c r="B314" s="226" t="s">
        <v>34</v>
      </c>
      <c r="C314" t="s">
        <v>628</v>
      </c>
      <c r="D314"/>
      <c r="E314"/>
      <c r="F314"/>
      <c r="G314"/>
      <c r="H314"/>
      <c r="I314" t="str">
        <f t="shared" si="104"/>
        <v>OH-Yes</v>
      </c>
      <c r="J314" t="str">
        <f t="shared" si="105"/>
        <v>OH-No</v>
      </c>
      <c r="K314">
        <f t="shared" si="116"/>
        <v>1</v>
      </c>
      <c r="L314" t="str">
        <f>B314&amp;"-"&amp;IF(M314=2010, 1, "")</f>
        <v>OH-1</v>
      </c>
      <c r="M314">
        <v>2010</v>
      </c>
      <c r="N314" s="242">
        <v>6</v>
      </c>
      <c r="O314" s="420">
        <v>92823</v>
      </c>
      <c r="P314" s="421">
        <v>103170</v>
      </c>
      <c r="Q314" s="228">
        <f t="shared" si="117"/>
        <v>9582</v>
      </c>
      <c r="R314" s="423">
        <v>205575</v>
      </c>
      <c r="S314" s="239"/>
      <c r="T314" s="231">
        <f t="shared" si="106"/>
        <v>103170</v>
      </c>
      <c r="U314" s="231">
        <f t="shared" si="103"/>
        <v>92823</v>
      </c>
      <c r="V314" s="232">
        <f t="shared" si="107"/>
        <v>5.2792701780165617E-2</v>
      </c>
      <c r="W314" s="233">
        <f t="shared" si="119"/>
        <v>0.5018606348048158</v>
      </c>
      <c r="X314" s="234" t="str">
        <f t="shared" si="120"/>
        <v>OH-No</v>
      </c>
      <c r="Y314" s="235" t="str">
        <f t="shared" si="121"/>
        <v>OH-Rep</v>
      </c>
      <c r="Z314" s="236" t="str">
        <f>B314&amp;"-"&amp;IF(V314&gt;Instructions!$H$14,Instructions!$I$14,IF(V314&gt;Instructions!$H$15,Instructions!$I$15,IF(V314&gt;Instructions!$H$16,Instructions!$I$16,IF(V314&gt;Instructions!$H$17,Instructions!$I$17,Instructions!$I$18))))</f>
        <v>OH-Competitive</v>
      </c>
      <c r="AA314" s="237">
        <f t="shared" si="122"/>
        <v>92823</v>
      </c>
      <c r="AB314" s="237">
        <f t="shared" si="123"/>
        <v>0</v>
      </c>
      <c r="AC314" s="238">
        <f t="shared" si="124"/>
        <v>9582</v>
      </c>
      <c r="AD314" s="389">
        <f t="shared" si="108"/>
        <v>102405</v>
      </c>
    </row>
    <row r="315" spans="1:31">
      <c r="A315" s="225" t="s">
        <v>100</v>
      </c>
      <c r="B315" s="226" t="s">
        <v>34</v>
      </c>
      <c r="C315" t="s">
        <v>629</v>
      </c>
      <c r="D315"/>
      <c r="E315"/>
      <c r="F315"/>
      <c r="G315" s="399" t="s">
        <v>793</v>
      </c>
      <c r="H315"/>
      <c r="I315" t="str">
        <f t="shared" si="104"/>
        <v>OH-Yes</v>
      </c>
      <c r="J315" t="str">
        <f t="shared" si="105"/>
        <v>OH-Yes</v>
      </c>
      <c r="K315" t="str">
        <f t="shared" si="116"/>
        <v/>
      </c>
      <c r="L315" t="str">
        <f t="shared" si="118"/>
        <v/>
      </c>
      <c r="M315">
        <v>2008</v>
      </c>
      <c r="N315" s="242">
        <v>7</v>
      </c>
      <c r="O315" s="420">
        <v>70400</v>
      </c>
      <c r="P315" s="421">
        <v>135721</v>
      </c>
      <c r="Q315" s="228">
        <f t="shared" si="117"/>
        <v>12192</v>
      </c>
      <c r="R315" s="423">
        <v>218313</v>
      </c>
      <c r="S315" s="239"/>
      <c r="T315" s="231">
        <f t="shared" si="106"/>
        <v>135721</v>
      </c>
      <c r="U315" s="231">
        <f t="shared" si="103"/>
        <v>70400</v>
      </c>
      <c r="V315" s="232">
        <f t="shared" si="107"/>
        <v>0.31690608914181478</v>
      </c>
      <c r="W315" s="233">
        <f t="shared" si="119"/>
        <v>0.6216807977536839</v>
      </c>
      <c r="X315" s="234" t="str">
        <f t="shared" si="120"/>
        <v>OH-No</v>
      </c>
      <c r="Y315" s="235" t="str">
        <f t="shared" si="121"/>
        <v>OH-Rep</v>
      </c>
      <c r="Z315" s="236" t="str">
        <f>B315&amp;"-"&amp;IF(V315&gt;Instructions!$H$14,Instructions!$I$14,IF(V315&gt;Instructions!$H$15,Instructions!$I$15,IF(V315&gt;Instructions!$H$16,Instructions!$I$16,IF(V315&gt;Instructions!$H$17,Instructions!$I$17,Instructions!$I$18))))</f>
        <v>OH-Landslide</v>
      </c>
      <c r="AA315" s="237">
        <f t="shared" si="122"/>
        <v>70400</v>
      </c>
      <c r="AB315" s="237">
        <f t="shared" si="123"/>
        <v>0</v>
      </c>
      <c r="AC315" s="238">
        <f t="shared" si="124"/>
        <v>12192</v>
      </c>
      <c r="AD315" s="389">
        <f t="shared" si="108"/>
        <v>82592</v>
      </c>
    </row>
    <row r="316" spans="1:31">
      <c r="A316" s="225" t="s">
        <v>100</v>
      </c>
      <c r="B316" s="226" t="s">
        <v>34</v>
      </c>
      <c r="C316" s="426" t="s">
        <v>630</v>
      </c>
      <c r="D316"/>
      <c r="E316"/>
      <c r="F316"/>
      <c r="G316"/>
      <c r="H316"/>
      <c r="I316" t="str">
        <f t="shared" si="104"/>
        <v>OH-Yes</v>
      </c>
      <c r="J316" t="str">
        <f t="shared" si="105"/>
        <v>OH-Yes</v>
      </c>
      <c r="K316" t="str">
        <f t="shared" si="116"/>
        <v/>
      </c>
      <c r="L316" t="str">
        <f t="shared" si="118"/>
        <v/>
      </c>
      <c r="M316">
        <v>1990</v>
      </c>
      <c r="N316" s="242">
        <v>8</v>
      </c>
      <c r="O316" s="420">
        <v>65883</v>
      </c>
      <c r="P316" s="421">
        <v>142731</v>
      </c>
      <c r="Q316" s="228">
        <f t="shared" si="117"/>
        <v>8822</v>
      </c>
      <c r="R316" s="423">
        <v>217436</v>
      </c>
      <c r="S316" s="239"/>
      <c r="T316" s="231">
        <f t="shared" si="106"/>
        <v>142731</v>
      </c>
      <c r="U316" s="231">
        <f t="shared" si="103"/>
        <v>65883</v>
      </c>
      <c r="V316" s="232">
        <f t="shared" si="107"/>
        <v>0.368374126376945</v>
      </c>
      <c r="W316" s="233">
        <f t="shared" si="119"/>
        <v>0.65642763847752905</v>
      </c>
      <c r="X316" s="234" t="str">
        <f t="shared" si="120"/>
        <v>OH-No</v>
      </c>
      <c r="Y316" s="235" t="str">
        <f t="shared" si="121"/>
        <v>OH-Rep</v>
      </c>
      <c r="Z316" s="236" t="str">
        <f>B316&amp;"-"&amp;IF(V316&gt;Instructions!$H$14,Instructions!$I$14,IF(V316&gt;Instructions!$H$15,Instructions!$I$15,IF(V316&gt;Instructions!$H$16,Instructions!$I$16,IF(V316&gt;Instructions!$H$17,Instructions!$I$17,Instructions!$I$18))))</f>
        <v>OH-Landslide</v>
      </c>
      <c r="AA316" s="237">
        <f t="shared" si="122"/>
        <v>65883</v>
      </c>
      <c r="AB316" s="237">
        <f t="shared" si="123"/>
        <v>0</v>
      </c>
      <c r="AC316" s="238">
        <f t="shared" si="124"/>
        <v>8822</v>
      </c>
      <c r="AD316" s="389">
        <f t="shared" si="108"/>
        <v>74705</v>
      </c>
    </row>
    <row r="317" spans="1:31">
      <c r="A317" s="225" t="s">
        <v>100</v>
      </c>
      <c r="B317" s="226" t="s">
        <v>34</v>
      </c>
      <c r="C317" t="s">
        <v>631</v>
      </c>
      <c r="D317" s="399" t="s">
        <v>793</v>
      </c>
      <c r="E317"/>
      <c r="F317"/>
      <c r="G317"/>
      <c r="H317"/>
      <c r="I317" t="str">
        <f t="shared" si="104"/>
        <v>OH-Yes</v>
      </c>
      <c r="J317" t="str">
        <f t="shared" si="105"/>
        <v>OH-Yes</v>
      </c>
      <c r="K317" t="str">
        <f t="shared" si="116"/>
        <v/>
      </c>
      <c r="L317" t="str">
        <f t="shared" si="118"/>
        <v/>
      </c>
      <c r="M317">
        <v>1982</v>
      </c>
      <c r="N317" s="242">
        <v>9</v>
      </c>
      <c r="O317" s="420">
        <v>121819</v>
      </c>
      <c r="P317" s="421">
        <v>83423</v>
      </c>
      <c r="Q317" s="228">
        <f t="shared" si="117"/>
        <v>0</v>
      </c>
      <c r="R317" s="423">
        <v>205242</v>
      </c>
      <c r="S317" s="239"/>
      <c r="T317" s="231">
        <f t="shared" si="106"/>
        <v>121819</v>
      </c>
      <c r="U317" s="231">
        <f t="shared" si="103"/>
        <v>83423</v>
      </c>
      <c r="V317" s="232">
        <f t="shared" si="107"/>
        <v>0.18707671919002933</v>
      </c>
      <c r="W317" s="233">
        <f t="shared" si="119"/>
        <v>0.59353835959501466</v>
      </c>
      <c r="X317" s="234" t="str">
        <f t="shared" si="120"/>
        <v>OH-No</v>
      </c>
      <c r="Y317" s="235" t="str">
        <f t="shared" si="121"/>
        <v>OH-Dem</v>
      </c>
      <c r="Z317" s="236" t="str">
        <f>B317&amp;"-"&amp;IF(V317&gt;Instructions!$H$14,Instructions!$I$14,IF(V317&gt;Instructions!$H$15,Instructions!$I$15,IF(V317&gt;Instructions!$H$16,Instructions!$I$16,IF(V317&gt;Instructions!$H$17,Instructions!$I$17,Instructions!$I$18))))</f>
        <v>OH-Opportunity</v>
      </c>
      <c r="AA317" s="237">
        <f t="shared" si="122"/>
        <v>0</v>
      </c>
      <c r="AB317" s="237">
        <f t="shared" si="123"/>
        <v>83423</v>
      </c>
      <c r="AC317" s="238">
        <f t="shared" si="124"/>
        <v>0</v>
      </c>
      <c r="AD317" s="389">
        <f t="shared" si="108"/>
        <v>83423</v>
      </c>
    </row>
    <row r="318" spans="1:31">
      <c r="A318" s="225" t="s">
        <v>100</v>
      </c>
      <c r="B318" s="226" t="s">
        <v>34</v>
      </c>
      <c r="C318" t="s">
        <v>632</v>
      </c>
      <c r="D318"/>
      <c r="E318"/>
      <c r="F318"/>
      <c r="G318"/>
      <c r="H318"/>
      <c r="I318" t="str">
        <f t="shared" si="104"/>
        <v>OH-Yes</v>
      </c>
      <c r="J318" t="str">
        <f t="shared" si="105"/>
        <v>OH-Yes</v>
      </c>
      <c r="K318" t="str">
        <f t="shared" si="116"/>
        <v/>
      </c>
      <c r="L318" t="str">
        <f t="shared" si="118"/>
        <v/>
      </c>
      <c r="M318">
        <v>1996</v>
      </c>
      <c r="N318" s="242">
        <v>10</v>
      </c>
      <c r="O318" s="420">
        <v>101343</v>
      </c>
      <c r="P318" s="421">
        <v>83809</v>
      </c>
      <c r="Q318" s="228">
        <f t="shared" si="117"/>
        <v>5874</v>
      </c>
      <c r="R318" s="423">
        <v>191026</v>
      </c>
      <c r="S318" s="239"/>
      <c r="T318" s="231">
        <f t="shared" si="106"/>
        <v>101343</v>
      </c>
      <c r="U318" s="231">
        <f t="shared" si="103"/>
        <v>83809</v>
      </c>
      <c r="V318" s="232">
        <f t="shared" si="107"/>
        <v>9.4700570342205317E-2</v>
      </c>
      <c r="W318" s="233">
        <f t="shared" si="119"/>
        <v>0.53051940573534495</v>
      </c>
      <c r="X318" s="234" t="str">
        <f t="shared" si="120"/>
        <v>OH-No</v>
      </c>
      <c r="Y318" s="235" t="str">
        <f t="shared" si="121"/>
        <v>OH-Dem</v>
      </c>
      <c r="Z318" s="236" t="str">
        <f>B318&amp;"-"&amp;IF(V318&gt;Instructions!$H$14,Instructions!$I$14,IF(V318&gt;Instructions!$H$15,Instructions!$I$15,IF(V318&gt;Instructions!$H$16,Instructions!$I$16,IF(V318&gt;Instructions!$H$17,Instructions!$I$17,Instructions!$I$18))))</f>
        <v>OH-Competitive</v>
      </c>
      <c r="AA318" s="237">
        <f t="shared" si="122"/>
        <v>0</v>
      </c>
      <c r="AB318" s="237">
        <f t="shared" si="123"/>
        <v>83809</v>
      </c>
      <c r="AC318" s="238">
        <f t="shared" si="124"/>
        <v>5874</v>
      </c>
      <c r="AD318" s="389">
        <f t="shared" si="108"/>
        <v>89683</v>
      </c>
    </row>
    <row r="319" spans="1:31">
      <c r="A319" s="225" t="s">
        <v>100</v>
      </c>
      <c r="B319" s="226" t="s">
        <v>34</v>
      </c>
      <c r="C319" t="s">
        <v>633</v>
      </c>
      <c r="D319" s="399" t="s">
        <v>793</v>
      </c>
      <c r="E319" s="399" t="s">
        <v>793</v>
      </c>
      <c r="F319"/>
      <c r="G319"/>
      <c r="H319"/>
      <c r="I319" t="str">
        <f t="shared" si="104"/>
        <v>OH-Yes</v>
      </c>
      <c r="J319" t="str">
        <f t="shared" si="105"/>
        <v>OH-Yes</v>
      </c>
      <c r="K319" t="str">
        <f t="shared" si="116"/>
        <v/>
      </c>
      <c r="L319" t="str">
        <f t="shared" si="118"/>
        <v/>
      </c>
      <c r="M319">
        <v>2008</v>
      </c>
      <c r="N319" s="242">
        <v>11</v>
      </c>
      <c r="O319" s="420">
        <v>139693</v>
      </c>
      <c r="P319" s="421">
        <v>28754</v>
      </c>
      <c r="Q319" s="228">
        <f t="shared" si="117"/>
        <v>0</v>
      </c>
      <c r="R319" s="423">
        <v>168447</v>
      </c>
      <c r="S319" s="239"/>
      <c r="T319" s="231">
        <f t="shared" si="106"/>
        <v>139693</v>
      </c>
      <c r="U319" s="231">
        <f t="shared" si="103"/>
        <v>28754</v>
      </c>
      <c r="V319" s="232">
        <f t="shared" si="107"/>
        <v>0.65859884711511629</v>
      </c>
      <c r="W319" s="233">
        <f t="shared" si="119"/>
        <v>0.82929942355755815</v>
      </c>
      <c r="X319" s="234" t="str">
        <f t="shared" si="120"/>
        <v>OH-No</v>
      </c>
      <c r="Y319" s="235" t="str">
        <f t="shared" si="121"/>
        <v>OH-Dem</v>
      </c>
      <c r="Z319" s="236" t="str">
        <f>B319&amp;"-"&amp;IF(V319&gt;Instructions!$H$14,Instructions!$I$14,IF(V319&gt;Instructions!$H$15,Instructions!$I$15,IF(V319&gt;Instructions!$H$16,Instructions!$I$16,IF(V319&gt;Instructions!$H$17,Instructions!$I$17,Instructions!$I$18))))</f>
        <v>OH-No contest</v>
      </c>
      <c r="AA319" s="237">
        <f t="shared" si="122"/>
        <v>0</v>
      </c>
      <c r="AB319" s="237">
        <f t="shared" si="123"/>
        <v>28754</v>
      </c>
      <c r="AC319" s="238">
        <f t="shared" si="124"/>
        <v>0</v>
      </c>
      <c r="AD319" s="389">
        <f t="shared" si="108"/>
        <v>28754</v>
      </c>
    </row>
    <row r="320" spans="1:31">
      <c r="A320" s="225" t="s">
        <v>100</v>
      </c>
      <c r="B320" s="226" t="s">
        <v>34</v>
      </c>
      <c r="C320" t="s">
        <v>634</v>
      </c>
      <c r="D320"/>
      <c r="E320"/>
      <c r="F320"/>
      <c r="G320"/>
      <c r="H320"/>
      <c r="I320" t="str">
        <f t="shared" si="104"/>
        <v>OH-Yes</v>
      </c>
      <c r="J320" t="str">
        <f t="shared" si="105"/>
        <v>OH-Yes</v>
      </c>
      <c r="K320" t="str">
        <f t="shared" si="116"/>
        <v/>
      </c>
      <c r="L320" t="str">
        <f t="shared" si="118"/>
        <v/>
      </c>
      <c r="M320">
        <v>2000</v>
      </c>
      <c r="N320" s="242">
        <v>12</v>
      </c>
      <c r="O320" s="420">
        <v>110307</v>
      </c>
      <c r="P320" s="421">
        <v>150163</v>
      </c>
      <c r="Q320" s="228">
        <f t="shared" si="117"/>
        <v>8710</v>
      </c>
      <c r="R320" s="423">
        <v>269180</v>
      </c>
      <c r="S320" s="239"/>
      <c r="T320" s="231">
        <f t="shared" si="106"/>
        <v>150163</v>
      </c>
      <c r="U320" s="231">
        <f t="shared" si="103"/>
        <v>110307</v>
      </c>
      <c r="V320" s="232">
        <f t="shared" si="107"/>
        <v>0.15301570238415171</v>
      </c>
      <c r="W320" s="233">
        <f t="shared" si="119"/>
        <v>0.55785348094212051</v>
      </c>
      <c r="X320" s="234" t="str">
        <f t="shared" si="120"/>
        <v>OH-No</v>
      </c>
      <c r="Y320" s="235" t="str">
        <f t="shared" si="121"/>
        <v>OH-Rep</v>
      </c>
      <c r="Z320" s="236" t="str">
        <f>B320&amp;"-"&amp;IF(V320&gt;Instructions!$H$14,Instructions!$I$14,IF(V320&gt;Instructions!$H$15,Instructions!$I$15,IF(V320&gt;Instructions!$H$16,Instructions!$I$16,IF(V320&gt;Instructions!$H$17,Instructions!$I$17,Instructions!$I$18))))</f>
        <v>OH-Opportunity</v>
      </c>
      <c r="AA320" s="237">
        <f t="shared" si="122"/>
        <v>110307</v>
      </c>
      <c r="AB320" s="237">
        <f t="shared" si="123"/>
        <v>0</v>
      </c>
      <c r="AC320" s="238">
        <f t="shared" si="124"/>
        <v>8710</v>
      </c>
      <c r="AD320" s="389">
        <f t="shared" si="108"/>
        <v>119017</v>
      </c>
    </row>
    <row r="321" spans="1:31">
      <c r="A321" s="225" t="s">
        <v>100</v>
      </c>
      <c r="B321" s="226" t="s">
        <v>34</v>
      </c>
      <c r="C321" t="s">
        <v>635</v>
      </c>
      <c r="D321" s="399" t="s">
        <v>793</v>
      </c>
      <c r="E321"/>
      <c r="F321"/>
      <c r="G321"/>
      <c r="H321"/>
      <c r="I321" t="str">
        <f t="shared" si="104"/>
        <v>OH-Yes</v>
      </c>
      <c r="J321" t="str">
        <f t="shared" si="105"/>
        <v>OH-Yes</v>
      </c>
      <c r="K321" t="str">
        <f t="shared" si="116"/>
        <v/>
      </c>
      <c r="L321" t="str">
        <f t="shared" si="118"/>
        <v/>
      </c>
      <c r="M321">
        <v>2006</v>
      </c>
      <c r="N321" s="242">
        <v>13</v>
      </c>
      <c r="O321" s="420">
        <v>118806</v>
      </c>
      <c r="P321" s="421">
        <v>94367</v>
      </c>
      <c r="Q321" s="228">
        <f t="shared" si="117"/>
        <v>0</v>
      </c>
      <c r="R321" s="423">
        <v>213173</v>
      </c>
      <c r="S321" s="239"/>
      <c r="T321" s="231">
        <f t="shared" si="106"/>
        <v>118806</v>
      </c>
      <c r="U321" s="231">
        <f t="shared" si="103"/>
        <v>94367</v>
      </c>
      <c r="V321" s="232">
        <f t="shared" si="107"/>
        <v>0.11464397461216946</v>
      </c>
      <c r="W321" s="233">
        <f t="shared" si="119"/>
        <v>0.55732198730608473</v>
      </c>
      <c r="X321" s="234" t="str">
        <f t="shared" si="120"/>
        <v>OH-No</v>
      </c>
      <c r="Y321" s="235" t="str">
        <f t="shared" si="121"/>
        <v>OH-Dem</v>
      </c>
      <c r="Z321" s="236" t="str">
        <f>B321&amp;"-"&amp;IF(V321&gt;Instructions!$H$14,Instructions!$I$14,IF(V321&gt;Instructions!$H$15,Instructions!$I$15,IF(V321&gt;Instructions!$H$16,Instructions!$I$16,IF(V321&gt;Instructions!$H$17,Instructions!$I$17,Instructions!$I$18))))</f>
        <v>OH-Opportunity</v>
      </c>
      <c r="AA321" s="237">
        <f t="shared" si="122"/>
        <v>0</v>
      </c>
      <c r="AB321" s="237">
        <f t="shared" si="123"/>
        <v>94367</v>
      </c>
      <c r="AC321" s="238">
        <f t="shared" si="124"/>
        <v>0</v>
      </c>
      <c r="AD321" s="389">
        <f t="shared" si="108"/>
        <v>94367</v>
      </c>
    </row>
    <row r="322" spans="1:31">
      <c r="A322" s="225" t="s">
        <v>100</v>
      </c>
      <c r="B322" s="226" t="s">
        <v>34</v>
      </c>
      <c r="C322" s="426" t="s">
        <v>636</v>
      </c>
      <c r="D322"/>
      <c r="E322"/>
      <c r="F322"/>
      <c r="G322"/>
      <c r="H322"/>
      <c r="I322" t="str">
        <f t="shared" si="104"/>
        <v>OH-Yes</v>
      </c>
      <c r="J322" t="str">
        <f t="shared" si="105"/>
        <v>OH-Yes</v>
      </c>
      <c r="K322" t="str">
        <f t="shared" si="116"/>
        <v/>
      </c>
      <c r="L322" t="str">
        <f t="shared" si="118"/>
        <v/>
      </c>
      <c r="M322">
        <v>1994</v>
      </c>
      <c r="N322" s="242">
        <v>14</v>
      </c>
      <c r="O322" s="420">
        <v>72604</v>
      </c>
      <c r="P322" s="421">
        <v>149878</v>
      </c>
      <c r="Q322" s="228">
        <f t="shared" si="117"/>
        <v>8383</v>
      </c>
      <c r="R322" s="423">
        <v>230865</v>
      </c>
      <c r="S322" s="239"/>
      <c r="T322" s="231">
        <f t="shared" si="106"/>
        <v>149878</v>
      </c>
      <c r="U322" s="231">
        <f t="shared" si="103"/>
        <v>72604</v>
      </c>
      <c r="V322" s="232">
        <f t="shared" si="107"/>
        <v>0.34732697476649799</v>
      </c>
      <c r="W322" s="233">
        <f t="shared" si="119"/>
        <v>0.64920191453879972</v>
      </c>
      <c r="X322" s="234" t="str">
        <f t="shared" si="120"/>
        <v>OH-No</v>
      </c>
      <c r="Y322" s="235" t="str">
        <f t="shared" si="121"/>
        <v>OH-Rep</v>
      </c>
      <c r="Z322" s="236" t="str">
        <f>B322&amp;"-"&amp;IF(V322&gt;Instructions!$H$14,Instructions!$I$14,IF(V322&gt;Instructions!$H$15,Instructions!$I$15,IF(V322&gt;Instructions!$H$16,Instructions!$I$16,IF(V322&gt;Instructions!$H$17,Instructions!$I$17,Instructions!$I$18))))</f>
        <v>OH-Landslide</v>
      </c>
      <c r="AA322" s="237">
        <f t="shared" si="122"/>
        <v>72604</v>
      </c>
      <c r="AB322" s="237">
        <f t="shared" si="123"/>
        <v>0</v>
      </c>
      <c r="AC322" s="238">
        <f t="shared" si="124"/>
        <v>8383</v>
      </c>
      <c r="AD322" s="389">
        <f t="shared" si="108"/>
        <v>80987</v>
      </c>
    </row>
    <row r="323" spans="1:31">
      <c r="A323" s="225" t="s">
        <v>100</v>
      </c>
      <c r="B323" s="226" t="s">
        <v>34</v>
      </c>
      <c r="C323" t="s">
        <v>637</v>
      </c>
      <c r="D323"/>
      <c r="E323"/>
      <c r="F323"/>
      <c r="G323"/>
      <c r="H323"/>
      <c r="I323" t="str">
        <f t="shared" si="104"/>
        <v>OH-Yes</v>
      </c>
      <c r="J323" t="str">
        <f t="shared" si="105"/>
        <v>OH-No</v>
      </c>
      <c r="K323">
        <f t="shared" si="116"/>
        <v>1</v>
      </c>
      <c r="L323" t="str">
        <f>B323&amp;"-"&amp;IF(M323=2010, 1, "")</f>
        <v>OH-1</v>
      </c>
      <c r="M323">
        <v>2010</v>
      </c>
      <c r="N323" s="242">
        <v>15</v>
      </c>
      <c r="O323" s="420">
        <v>91077</v>
      </c>
      <c r="P323" s="421">
        <v>119471</v>
      </c>
      <c r="Q323" s="228">
        <f t="shared" si="117"/>
        <v>10048</v>
      </c>
      <c r="R323" s="423">
        <v>220596</v>
      </c>
      <c r="S323" s="239"/>
      <c r="T323" s="231">
        <f t="shared" si="106"/>
        <v>119471</v>
      </c>
      <c r="U323" s="231">
        <f t="shared" si="103"/>
        <v>91077</v>
      </c>
      <c r="V323" s="232">
        <f t="shared" si="107"/>
        <v>0.13485760966620439</v>
      </c>
      <c r="W323" s="233">
        <f t="shared" si="119"/>
        <v>0.54158280295200278</v>
      </c>
      <c r="X323" s="234" t="str">
        <f t="shared" si="120"/>
        <v>OH-No</v>
      </c>
      <c r="Y323" s="235" t="str">
        <f t="shared" si="121"/>
        <v>OH-Rep</v>
      </c>
      <c r="Z323" s="236" t="str">
        <f>B323&amp;"-"&amp;IF(V323&gt;Instructions!$H$14,Instructions!$I$14,IF(V323&gt;Instructions!$H$15,Instructions!$I$15,IF(V323&gt;Instructions!$H$16,Instructions!$I$16,IF(V323&gt;Instructions!$H$17,Instructions!$I$17,Instructions!$I$18))))</f>
        <v>OH-Opportunity</v>
      </c>
      <c r="AA323" s="237">
        <f t="shared" si="122"/>
        <v>91077</v>
      </c>
      <c r="AB323" s="237">
        <f t="shared" si="123"/>
        <v>0</v>
      </c>
      <c r="AC323" s="238">
        <f t="shared" si="124"/>
        <v>10048</v>
      </c>
      <c r="AD323" s="389">
        <f t="shared" si="108"/>
        <v>101125</v>
      </c>
    </row>
    <row r="324" spans="1:31">
      <c r="A324" s="225" t="s">
        <v>100</v>
      </c>
      <c r="B324" s="226" t="s">
        <v>34</v>
      </c>
      <c r="C324" t="s">
        <v>638</v>
      </c>
      <c r="D324"/>
      <c r="E324"/>
      <c r="F324"/>
      <c r="G324"/>
      <c r="H324"/>
      <c r="I324" t="str">
        <f t="shared" si="104"/>
        <v>OH-Yes</v>
      </c>
      <c r="J324" t="str">
        <f t="shared" si="105"/>
        <v>OH-No</v>
      </c>
      <c r="K324">
        <f t="shared" si="116"/>
        <v>1</v>
      </c>
      <c r="L324" t="str">
        <f>B324&amp;"-"&amp;IF(M324=2010, 1, "")</f>
        <v>OH-1</v>
      </c>
      <c r="M324">
        <v>2010</v>
      </c>
      <c r="N324" s="242">
        <v>16</v>
      </c>
      <c r="O324" s="420">
        <v>90833</v>
      </c>
      <c r="P324" s="421">
        <v>114652</v>
      </c>
      <c r="Q324" s="228">
        <f t="shared" si="117"/>
        <v>14652</v>
      </c>
      <c r="R324" s="423">
        <v>220137</v>
      </c>
      <c r="S324" s="239"/>
      <c r="T324" s="231">
        <f t="shared" si="106"/>
        <v>114652</v>
      </c>
      <c r="U324" s="231">
        <f t="shared" si="103"/>
        <v>90833</v>
      </c>
      <c r="V324" s="232">
        <f t="shared" si="107"/>
        <v>0.11591600360123611</v>
      </c>
      <c r="W324" s="233">
        <f t="shared" si="119"/>
        <v>0.52082112502668798</v>
      </c>
      <c r="X324" s="234" t="str">
        <f t="shared" si="120"/>
        <v>OH-No</v>
      </c>
      <c r="Y324" s="235" t="str">
        <f t="shared" si="121"/>
        <v>OH-Rep</v>
      </c>
      <c r="Z324" s="236" t="str">
        <f>B324&amp;"-"&amp;IF(V324&gt;Instructions!$H$14,Instructions!$I$14,IF(V324&gt;Instructions!$H$15,Instructions!$I$15,IF(V324&gt;Instructions!$H$16,Instructions!$I$16,IF(V324&gt;Instructions!$H$17,Instructions!$I$17,Instructions!$I$18))))</f>
        <v>OH-Opportunity</v>
      </c>
      <c r="AA324" s="237">
        <f t="shared" si="122"/>
        <v>90833</v>
      </c>
      <c r="AB324" s="237">
        <f t="shared" si="123"/>
        <v>0</v>
      </c>
      <c r="AC324" s="238">
        <f t="shared" si="124"/>
        <v>14652</v>
      </c>
      <c r="AD324" s="389">
        <f t="shared" si="108"/>
        <v>105485</v>
      </c>
    </row>
    <row r="325" spans="1:31">
      <c r="A325" s="225" t="s">
        <v>100</v>
      </c>
      <c r="B325" s="226" t="s">
        <v>34</v>
      </c>
      <c r="C325" s="426" t="s">
        <v>639</v>
      </c>
      <c r="D325"/>
      <c r="E325"/>
      <c r="F325"/>
      <c r="G325"/>
      <c r="H325"/>
      <c r="I325" t="str">
        <f t="shared" si="104"/>
        <v>OH-Yes</v>
      </c>
      <c r="J325" t="str">
        <f t="shared" si="105"/>
        <v>OH-Yes</v>
      </c>
      <c r="K325" t="str">
        <f t="shared" si="116"/>
        <v/>
      </c>
      <c r="L325" t="str">
        <f t="shared" si="118"/>
        <v/>
      </c>
      <c r="M325">
        <v>2002</v>
      </c>
      <c r="N325" s="242">
        <v>17</v>
      </c>
      <c r="O325" s="420">
        <v>102758</v>
      </c>
      <c r="P325" s="421">
        <v>57352</v>
      </c>
      <c r="Q325" s="228">
        <f t="shared" si="117"/>
        <v>30556</v>
      </c>
      <c r="R325" s="423">
        <v>190666</v>
      </c>
      <c r="S325" s="239"/>
      <c r="T325" s="231">
        <f t="shared" si="106"/>
        <v>102758</v>
      </c>
      <c r="U325" s="231">
        <f t="shared" si="103"/>
        <v>57352</v>
      </c>
      <c r="V325" s="232">
        <f t="shared" si="107"/>
        <v>0.28359253013553182</v>
      </c>
      <c r="W325" s="233">
        <f t="shared" si="119"/>
        <v>0.5389424438546988</v>
      </c>
      <c r="X325" s="234" t="str">
        <f t="shared" si="120"/>
        <v>OH-No</v>
      </c>
      <c r="Y325" s="235" t="str">
        <f t="shared" si="121"/>
        <v>OH-Dem</v>
      </c>
      <c r="Z325" s="236" t="str">
        <f>B325&amp;"-"&amp;IF(V325&gt;Instructions!$H$14,Instructions!$I$14,IF(V325&gt;Instructions!$H$15,Instructions!$I$15,IF(V325&gt;Instructions!$H$16,Instructions!$I$16,IF(V325&gt;Instructions!$H$17,Instructions!$I$17,Instructions!$I$18))))</f>
        <v>OH-Landslide</v>
      </c>
      <c r="AA325" s="237">
        <f t="shared" si="122"/>
        <v>0</v>
      </c>
      <c r="AB325" s="237">
        <f t="shared" si="123"/>
        <v>57352</v>
      </c>
      <c r="AC325" s="238">
        <f t="shared" si="124"/>
        <v>30556</v>
      </c>
      <c r="AD325" s="389">
        <f t="shared" si="108"/>
        <v>87908</v>
      </c>
    </row>
    <row r="326" spans="1:31">
      <c r="A326" s="225" t="s">
        <v>100</v>
      </c>
      <c r="B326" s="226" t="s">
        <v>34</v>
      </c>
      <c r="C326" t="s">
        <v>640</v>
      </c>
      <c r="D326"/>
      <c r="E326"/>
      <c r="F326"/>
      <c r="G326"/>
      <c r="H326"/>
      <c r="I326" t="str">
        <f t="shared" si="104"/>
        <v>OH-Yes</v>
      </c>
      <c r="J326" t="str">
        <f t="shared" si="105"/>
        <v>OH-No</v>
      </c>
      <c r="K326">
        <f t="shared" si="116"/>
        <v>1</v>
      </c>
      <c r="L326" t="str">
        <f>B326&amp;"-"&amp;IF(M326=2010, 1, "")</f>
        <v>OH-1</v>
      </c>
      <c r="M326">
        <v>2010</v>
      </c>
      <c r="N326" s="242">
        <v>18</v>
      </c>
      <c r="O326" s="420">
        <v>80756</v>
      </c>
      <c r="P326" s="421">
        <v>107426</v>
      </c>
      <c r="Q326" s="228">
        <f t="shared" si="117"/>
        <v>11266</v>
      </c>
      <c r="R326" s="423">
        <v>199448</v>
      </c>
      <c r="S326" s="239"/>
      <c r="T326" s="231">
        <f t="shared" si="106"/>
        <v>107426</v>
      </c>
      <c r="U326" s="231">
        <f t="shared" si="103"/>
        <v>80756</v>
      </c>
      <c r="V326" s="232">
        <f t="shared" si="107"/>
        <v>0.14172450074927465</v>
      </c>
      <c r="W326" s="233">
        <f t="shared" si="119"/>
        <v>0.53861658176567329</v>
      </c>
      <c r="X326" s="234" t="str">
        <f t="shared" si="120"/>
        <v>OH-No</v>
      </c>
      <c r="Y326" s="235" t="str">
        <f t="shared" si="121"/>
        <v>OH-Rep</v>
      </c>
      <c r="Z326" s="236" t="str">
        <f>B326&amp;"-"&amp;IF(V326&gt;Instructions!$H$14,Instructions!$I$14,IF(V326&gt;Instructions!$H$15,Instructions!$I$15,IF(V326&gt;Instructions!$H$16,Instructions!$I$16,IF(V326&gt;Instructions!$H$17,Instructions!$I$17,Instructions!$I$18))))</f>
        <v>OH-Opportunity</v>
      </c>
      <c r="AA326" s="237">
        <f t="shared" si="122"/>
        <v>80756</v>
      </c>
      <c r="AB326" s="237">
        <f t="shared" si="123"/>
        <v>0</v>
      </c>
      <c r="AC326" s="238">
        <f t="shared" si="124"/>
        <v>11266</v>
      </c>
      <c r="AD326" s="389">
        <f t="shared" si="108"/>
        <v>92022</v>
      </c>
      <c r="AE326" s="389">
        <f>SUM(AD309:AD326)</f>
        <v>1535485</v>
      </c>
    </row>
    <row r="327" spans="1:31">
      <c r="A327" s="225" t="s">
        <v>101</v>
      </c>
      <c r="B327" s="226" t="s">
        <v>35</v>
      </c>
      <c r="C327" s="426" t="s">
        <v>641</v>
      </c>
      <c r="D327"/>
      <c r="E327"/>
      <c r="F327"/>
      <c r="G327"/>
      <c r="H327"/>
      <c r="I327" t="str">
        <f t="shared" si="104"/>
        <v>OK-Yes</v>
      </c>
      <c r="J327" t="str">
        <f t="shared" si="105"/>
        <v>OK-Yes</v>
      </c>
      <c r="K327" t="str">
        <f t="shared" si="116"/>
        <v/>
      </c>
      <c r="L327" t="str">
        <f t="shared" si="118"/>
        <v/>
      </c>
      <c r="M327">
        <v>2002</v>
      </c>
      <c r="N327" s="242">
        <v>1</v>
      </c>
      <c r="O327" s="415">
        <v>0</v>
      </c>
      <c r="P327" s="416">
        <v>151173</v>
      </c>
      <c r="Q327" s="228">
        <f t="shared" ref="Q327:Q390" si="125">R327-P327-O327</f>
        <v>45656</v>
      </c>
      <c r="R327" s="423">
        <v>196829</v>
      </c>
      <c r="S327" s="239"/>
      <c r="T327" s="231">
        <f t="shared" si="106"/>
        <v>151173</v>
      </c>
      <c r="U327" s="231">
        <f t="shared" ref="U327:U390" si="126">IF(Q327=MAX(O327:Q327),MAX(O327:P327),IF(P327&gt;O327,MAX(O327,Q327),MAX(P327,Q327)))</f>
        <v>45656</v>
      </c>
      <c r="V327" s="232">
        <f t="shared" si="107"/>
        <v>1</v>
      </c>
      <c r="W327" s="233">
        <f t="shared" si="119"/>
        <v>0.76804231083834196</v>
      </c>
      <c r="X327" s="234" t="str">
        <f t="shared" si="120"/>
        <v>OK-Yes</v>
      </c>
      <c r="Y327" s="235" t="str">
        <f t="shared" si="121"/>
        <v>OK-Rep</v>
      </c>
      <c r="Z327" s="236" t="str">
        <f>B327&amp;"-"&amp;IF(V327&gt;Instructions!$H$14,Instructions!$I$14,IF(V327&gt;Instructions!$H$15,Instructions!$I$15,IF(V327&gt;Instructions!$H$16,Instructions!$I$16,IF(V327&gt;Instructions!$H$17,Instructions!$I$17,Instructions!$I$18))))</f>
        <v>OK-No contest</v>
      </c>
      <c r="AA327" s="237">
        <f t="shared" si="122"/>
        <v>0</v>
      </c>
      <c r="AB327" s="237">
        <f t="shared" si="123"/>
        <v>0</v>
      </c>
      <c r="AC327" s="238">
        <f t="shared" si="124"/>
        <v>45656</v>
      </c>
      <c r="AD327" s="389">
        <f t="shared" si="108"/>
        <v>45656</v>
      </c>
    </row>
    <row r="328" spans="1:31">
      <c r="A328" s="225" t="s">
        <v>101</v>
      </c>
      <c r="B328" s="226" t="s">
        <v>35</v>
      </c>
      <c r="C328" t="s">
        <v>642</v>
      </c>
      <c r="D328"/>
      <c r="E328"/>
      <c r="F328"/>
      <c r="G328"/>
      <c r="H328"/>
      <c r="I328" t="str">
        <f t="shared" ref="I328:I391" si="127">B328&amp;"-"&amp;IF(K328=1, "Yes", IF(K328="", "Yes", IF(K328=0, "No")))</f>
        <v>OK-Yes</v>
      </c>
      <c r="J328" t="str">
        <f t="shared" ref="J328:J391" si="128">B328&amp;"-"&amp;IF(K328=1, "No", IF(L328=1, "No", IF(K328="", "Yes", IF(K328=0, "No"))))</f>
        <v>OK-Yes</v>
      </c>
      <c r="K328" t="str">
        <f t="shared" si="116"/>
        <v/>
      </c>
      <c r="L328" t="str">
        <f t="shared" si="118"/>
        <v/>
      </c>
      <c r="M328">
        <v>2004</v>
      </c>
      <c r="N328" s="242">
        <v>2</v>
      </c>
      <c r="O328" s="415">
        <v>108203</v>
      </c>
      <c r="P328" s="416">
        <v>83226</v>
      </c>
      <c r="Q328" s="228">
        <f t="shared" si="125"/>
        <v>0</v>
      </c>
      <c r="R328" s="423">
        <v>191429</v>
      </c>
      <c r="S328" s="239"/>
      <c r="T328" s="231">
        <f t="shared" ref="T328:T391" si="129">MAX(O328:Q328)</f>
        <v>108203</v>
      </c>
      <c r="U328" s="231">
        <f t="shared" si="126"/>
        <v>83226</v>
      </c>
      <c r="V328" s="232">
        <f t="shared" ref="V328:V391" si="130">ABS(O328-P328)/(O328+P328)</f>
        <v>0.13047657355990994</v>
      </c>
      <c r="W328" s="233">
        <f t="shared" si="119"/>
        <v>0.56523828677995502</v>
      </c>
      <c r="X328" s="234" t="str">
        <f t="shared" si="120"/>
        <v>OK-No</v>
      </c>
      <c r="Y328" s="235" t="str">
        <f t="shared" si="121"/>
        <v>OK-Dem</v>
      </c>
      <c r="Z328" s="236" t="str">
        <f>B328&amp;"-"&amp;IF(V328&gt;Instructions!$H$14,Instructions!$I$14,IF(V328&gt;Instructions!$H$15,Instructions!$I$15,IF(V328&gt;Instructions!$H$16,Instructions!$I$16,IF(V328&gt;Instructions!$H$17,Instructions!$I$17,Instructions!$I$18))))</f>
        <v>OK-Opportunity</v>
      </c>
      <c r="AA328" s="237">
        <f t="shared" si="122"/>
        <v>0</v>
      </c>
      <c r="AB328" s="237">
        <f t="shared" si="123"/>
        <v>83226</v>
      </c>
      <c r="AC328" s="238">
        <f t="shared" si="124"/>
        <v>0</v>
      </c>
      <c r="AD328" s="389">
        <f t="shared" ref="AD328:AD391" si="131">SUM(AA328:AC328)</f>
        <v>83226</v>
      </c>
    </row>
    <row r="329" spans="1:31">
      <c r="A329" s="225" t="s">
        <v>101</v>
      </c>
      <c r="B329" s="226" t="s">
        <v>35</v>
      </c>
      <c r="C329" s="426" t="s">
        <v>643</v>
      </c>
      <c r="D329"/>
      <c r="E329"/>
      <c r="F329"/>
      <c r="G329"/>
      <c r="H329"/>
      <c r="I329" t="str">
        <f t="shared" si="127"/>
        <v>OK-Yes</v>
      </c>
      <c r="J329" t="str">
        <f t="shared" si="128"/>
        <v>OK-Yes</v>
      </c>
      <c r="K329" t="str">
        <f t="shared" si="116"/>
        <v/>
      </c>
      <c r="L329" t="str">
        <f t="shared" si="118"/>
        <v/>
      </c>
      <c r="M329">
        <v>1994</v>
      </c>
      <c r="N329" s="242">
        <v>3</v>
      </c>
      <c r="O329" s="415">
        <v>45689</v>
      </c>
      <c r="P329" s="416">
        <v>161927</v>
      </c>
      <c r="Q329" s="228">
        <f t="shared" si="125"/>
        <v>0</v>
      </c>
      <c r="R329" s="423">
        <v>207616</v>
      </c>
      <c r="S329" s="239"/>
      <c r="T329" s="231">
        <f t="shared" si="129"/>
        <v>161927</v>
      </c>
      <c r="U329" s="231">
        <f t="shared" si="126"/>
        <v>45689</v>
      </c>
      <c r="V329" s="232">
        <f t="shared" si="130"/>
        <v>0.55987014488286069</v>
      </c>
      <c r="W329" s="233">
        <f t="shared" si="119"/>
        <v>0.77993507244143034</v>
      </c>
      <c r="X329" s="234" t="str">
        <f t="shared" si="120"/>
        <v>OK-No</v>
      </c>
      <c r="Y329" s="235" t="str">
        <f t="shared" si="121"/>
        <v>OK-Rep</v>
      </c>
      <c r="Z329" s="236" t="str">
        <f>B329&amp;"-"&amp;IF(V329&gt;Instructions!$H$14,Instructions!$I$14,IF(V329&gt;Instructions!$H$15,Instructions!$I$15,IF(V329&gt;Instructions!$H$16,Instructions!$I$16,IF(V329&gt;Instructions!$H$17,Instructions!$I$17,Instructions!$I$18))))</f>
        <v>OK-No contest</v>
      </c>
      <c r="AA329" s="237">
        <f t="shared" si="122"/>
        <v>45689</v>
      </c>
      <c r="AB329" s="237">
        <f t="shared" si="123"/>
        <v>0</v>
      </c>
      <c r="AC329" s="238">
        <f t="shared" si="124"/>
        <v>0</v>
      </c>
      <c r="AD329" s="389">
        <f t="shared" si="131"/>
        <v>45689</v>
      </c>
    </row>
    <row r="330" spans="1:31">
      <c r="A330" s="225" t="s">
        <v>101</v>
      </c>
      <c r="B330" s="226" t="s">
        <v>35</v>
      </c>
      <c r="C330" s="426" t="s">
        <v>644</v>
      </c>
      <c r="D330"/>
      <c r="E330"/>
      <c r="F330"/>
      <c r="G330"/>
      <c r="H330" s="399" t="s">
        <v>794</v>
      </c>
      <c r="I330" t="str">
        <f t="shared" si="127"/>
        <v>OK-Yes</v>
      </c>
      <c r="J330" t="str">
        <f t="shared" si="128"/>
        <v>OK-Yes</v>
      </c>
      <c r="K330" t="str">
        <f t="shared" si="116"/>
        <v/>
      </c>
      <c r="L330" t="str">
        <f t="shared" si="118"/>
        <v/>
      </c>
      <c r="M330">
        <v>2002</v>
      </c>
      <c r="N330" s="242">
        <v>4</v>
      </c>
      <c r="O330" s="415">
        <v>0</v>
      </c>
      <c r="P330" s="416">
        <v>1</v>
      </c>
      <c r="Q330" s="228">
        <f t="shared" si="125"/>
        <v>0</v>
      </c>
      <c r="R330" s="423">
        <v>1</v>
      </c>
      <c r="S330" s="239"/>
      <c r="T330" s="231">
        <f t="shared" si="129"/>
        <v>1</v>
      </c>
      <c r="U330" s="231">
        <f t="shared" si="126"/>
        <v>0</v>
      </c>
      <c r="V330" s="232">
        <f t="shared" si="130"/>
        <v>1</v>
      </c>
      <c r="W330" s="233">
        <f t="shared" si="119"/>
        <v>1</v>
      </c>
      <c r="X330" s="234" t="str">
        <f t="shared" si="120"/>
        <v>OK-Yes</v>
      </c>
      <c r="Y330" s="235" t="str">
        <f t="shared" si="121"/>
        <v>OK-Rep</v>
      </c>
      <c r="Z330" s="236" t="str">
        <f>B330&amp;"-"&amp;IF(V330&gt;Instructions!$H$14,Instructions!$I$14,IF(V330&gt;Instructions!$H$15,Instructions!$I$15,IF(V330&gt;Instructions!$H$16,Instructions!$I$16,IF(V330&gt;Instructions!$H$17,Instructions!$I$17,Instructions!$I$18))))</f>
        <v>OK-No contest</v>
      </c>
      <c r="AA330" s="237">
        <f t="shared" si="122"/>
        <v>0</v>
      </c>
      <c r="AB330" s="237">
        <f t="shared" si="123"/>
        <v>0</v>
      </c>
      <c r="AC330" s="238">
        <f t="shared" si="124"/>
        <v>0</v>
      </c>
      <c r="AD330" s="389">
        <f t="shared" si="131"/>
        <v>0</v>
      </c>
    </row>
    <row r="331" spans="1:31">
      <c r="A331" s="225" t="s">
        <v>101</v>
      </c>
      <c r="B331" s="226" t="s">
        <v>35</v>
      </c>
      <c r="C331" t="s">
        <v>645</v>
      </c>
      <c r="D331"/>
      <c r="E331"/>
      <c r="F331"/>
      <c r="G331"/>
      <c r="H331"/>
      <c r="I331" t="str">
        <f t="shared" si="127"/>
        <v>OK-No</v>
      </c>
      <c r="J331" t="str">
        <f t="shared" si="128"/>
        <v>OK-No</v>
      </c>
      <c r="K331">
        <v>0</v>
      </c>
      <c r="L331"/>
      <c r="M331">
        <v>2010</v>
      </c>
      <c r="N331" s="242">
        <v>5</v>
      </c>
      <c r="O331" s="415">
        <v>68074</v>
      </c>
      <c r="P331" s="416">
        <v>123236</v>
      </c>
      <c r="Q331" s="228">
        <f t="shared" si="125"/>
        <v>5795</v>
      </c>
      <c r="R331" s="423">
        <v>197105</v>
      </c>
      <c r="S331" s="239"/>
      <c r="T331" s="231">
        <f t="shared" si="129"/>
        <v>123236</v>
      </c>
      <c r="U331" s="231">
        <f t="shared" si="126"/>
        <v>68074</v>
      </c>
      <c r="V331" s="232">
        <f t="shared" si="130"/>
        <v>0.28833829909570852</v>
      </c>
      <c r="W331" s="233">
        <f t="shared" si="119"/>
        <v>0.62523020724994294</v>
      </c>
      <c r="X331" s="234" t="str">
        <f t="shared" si="120"/>
        <v>OK-No</v>
      </c>
      <c r="Y331" s="235" t="str">
        <f t="shared" si="121"/>
        <v>OK-Rep</v>
      </c>
      <c r="Z331" s="236" t="str">
        <f>B331&amp;"-"&amp;IF(V331&gt;Instructions!$H$14,Instructions!$I$14,IF(V331&gt;Instructions!$H$15,Instructions!$I$15,IF(V331&gt;Instructions!$H$16,Instructions!$I$16,IF(V331&gt;Instructions!$H$17,Instructions!$I$17,Instructions!$I$18))))</f>
        <v>OK-Landslide</v>
      </c>
      <c r="AA331" s="237">
        <f t="shared" si="122"/>
        <v>68074</v>
      </c>
      <c r="AB331" s="237">
        <f t="shared" si="123"/>
        <v>0</v>
      </c>
      <c r="AC331" s="238">
        <f t="shared" si="124"/>
        <v>5795</v>
      </c>
      <c r="AD331" s="389">
        <f t="shared" si="131"/>
        <v>73869</v>
      </c>
      <c r="AE331" s="389">
        <f>SUM(AD327:AD331)</f>
        <v>248440</v>
      </c>
    </row>
    <row r="332" spans="1:31">
      <c r="A332" s="225" t="s">
        <v>102</v>
      </c>
      <c r="B332" s="226" t="s">
        <v>36</v>
      </c>
      <c r="C332" t="s">
        <v>646</v>
      </c>
      <c r="D332"/>
      <c r="E332"/>
      <c r="F332"/>
      <c r="G332" s="399" t="s">
        <v>795</v>
      </c>
      <c r="H332"/>
      <c r="I332" t="str">
        <f t="shared" si="127"/>
        <v>OR-Yes</v>
      </c>
      <c r="J332" t="str">
        <f t="shared" si="128"/>
        <v>OR-Yes</v>
      </c>
      <c r="K332" t="str">
        <f t="shared" si="116"/>
        <v/>
      </c>
      <c r="L332" t="str">
        <f t="shared" ref="L332:L394" si="132">IF(M332=2010, 1, "")</f>
        <v/>
      </c>
      <c r="M332">
        <v>1998</v>
      </c>
      <c r="N332" s="242">
        <v>1</v>
      </c>
      <c r="O332" s="415">
        <v>160357</v>
      </c>
      <c r="P332" s="416">
        <v>122858</v>
      </c>
      <c r="Q332" s="228">
        <f t="shared" si="125"/>
        <v>9302</v>
      </c>
      <c r="R332" s="423">
        <v>292517</v>
      </c>
      <c r="S332" s="239"/>
      <c r="T332" s="231">
        <f t="shared" si="129"/>
        <v>160357</v>
      </c>
      <c r="U332" s="231">
        <f t="shared" si="126"/>
        <v>122858</v>
      </c>
      <c r="V332" s="232">
        <f t="shared" si="130"/>
        <v>0.13240471020249633</v>
      </c>
      <c r="W332" s="233">
        <f t="shared" si="119"/>
        <v>0.54819719879528372</v>
      </c>
      <c r="X332" s="234" t="str">
        <f t="shared" si="120"/>
        <v>OR-No</v>
      </c>
      <c r="Y332" s="235" t="str">
        <f t="shared" si="121"/>
        <v>OR-Dem</v>
      </c>
      <c r="Z332" s="236" t="str">
        <f>B332&amp;"-"&amp;IF(V332&gt;Instructions!$H$14,Instructions!$I$14,IF(V332&gt;Instructions!$H$15,Instructions!$I$15,IF(V332&gt;Instructions!$H$16,Instructions!$I$16,IF(V332&gt;Instructions!$H$17,Instructions!$I$17,Instructions!$I$18))))</f>
        <v>OR-Opportunity</v>
      </c>
      <c r="AA332" s="237">
        <f t="shared" si="122"/>
        <v>0</v>
      </c>
      <c r="AB332" s="237">
        <f t="shared" si="123"/>
        <v>122858</v>
      </c>
      <c r="AC332" s="238">
        <f t="shared" si="124"/>
        <v>9302</v>
      </c>
      <c r="AD332" s="389">
        <f t="shared" si="131"/>
        <v>132160</v>
      </c>
    </row>
    <row r="333" spans="1:31">
      <c r="A333" s="225" t="s">
        <v>102</v>
      </c>
      <c r="B333" s="226" t="s">
        <v>36</v>
      </c>
      <c r="C333" s="426" t="s">
        <v>647</v>
      </c>
      <c r="D333"/>
      <c r="E333"/>
      <c r="F333"/>
      <c r="G333"/>
      <c r="H333"/>
      <c r="I333" t="str">
        <f t="shared" si="127"/>
        <v>OR-Yes</v>
      </c>
      <c r="J333" t="str">
        <f t="shared" si="128"/>
        <v>OR-Yes</v>
      </c>
      <c r="K333" t="str">
        <f t="shared" si="116"/>
        <v/>
      </c>
      <c r="L333" t="str">
        <f t="shared" si="132"/>
        <v/>
      </c>
      <c r="M333">
        <v>1998</v>
      </c>
      <c r="N333" s="242">
        <v>2</v>
      </c>
      <c r="O333" s="415">
        <v>72173</v>
      </c>
      <c r="P333" s="416">
        <v>206245</v>
      </c>
      <c r="Q333" s="228">
        <f t="shared" si="125"/>
        <v>619</v>
      </c>
      <c r="R333" s="423">
        <v>279037</v>
      </c>
      <c r="S333" s="239"/>
      <c r="T333" s="231">
        <f t="shared" si="129"/>
        <v>206245</v>
      </c>
      <c r="U333" s="231">
        <f t="shared" si="126"/>
        <v>72173</v>
      </c>
      <c r="V333" s="232">
        <f t="shared" si="130"/>
        <v>0.48154932511547388</v>
      </c>
      <c r="W333" s="233">
        <f t="shared" si="119"/>
        <v>0.73913136967498938</v>
      </c>
      <c r="X333" s="234" t="str">
        <f t="shared" si="120"/>
        <v>OR-No</v>
      </c>
      <c r="Y333" s="235" t="str">
        <f t="shared" si="121"/>
        <v>OR-Rep</v>
      </c>
      <c r="Z333" s="236" t="str">
        <f>B333&amp;"-"&amp;IF(V333&gt;Instructions!$H$14,Instructions!$I$14,IF(V333&gt;Instructions!$H$15,Instructions!$I$15,IF(V333&gt;Instructions!$H$16,Instructions!$I$16,IF(V333&gt;Instructions!$H$17,Instructions!$I$17,Instructions!$I$18))))</f>
        <v>OR-No contest</v>
      </c>
      <c r="AA333" s="237">
        <f t="shared" si="122"/>
        <v>72173</v>
      </c>
      <c r="AB333" s="237">
        <f t="shared" si="123"/>
        <v>0</v>
      </c>
      <c r="AC333" s="238">
        <f t="shared" si="124"/>
        <v>619</v>
      </c>
      <c r="AD333" s="389">
        <f t="shared" si="131"/>
        <v>72792</v>
      </c>
    </row>
    <row r="334" spans="1:31">
      <c r="A334" s="225" t="s">
        <v>102</v>
      </c>
      <c r="B334" s="226" t="s">
        <v>36</v>
      </c>
      <c r="C334" s="426" t="s">
        <v>648</v>
      </c>
      <c r="D334"/>
      <c r="E334"/>
      <c r="F334"/>
      <c r="G334"/>
      <c r="H334"/>
      <c r="I334" t="str">
        <f t="shared" si="127"/>
        <v>OR-Yes</v>
      </c>
      <c r="J334" t="str">
        <f t="shared" si="128"/>
        <v>OR-Yes</v>
      </c>
      <c r="K334" t="str">
        <f t="shared" si="116"/>
        <v/>
      </c>
      <c r="L334" t="str">
        <f t="shared" si="132"/>
        <v/>
      </c>
      <c r="M334">
        <v>1996</v>
      </c>
      <c r="N334" s="242">
        <v>3</v>
      </c>
      <c r="O334" s="415">
        <v>193104</v>
      </c>
      <c r="P334" s="416">
        <v>67714</v>
      </c>
      <c r="Q334" s="228">
        <f t="shared" si="125"/>
        <v>14984</v>
      </c>
      <c r="R334" s="423">
        <v>275802</v>
      </c>
      <c r="S334" s="239"/>
      <c r="T334" s="231">
        <f t="shared" si="129"/>
        <v>193104</v>
      </c>
      <c r="U334" s="231">
        <f t="shared" si="126"/>
        <v>67714</v>
      </c>
      <c r="V334" s="232">
        <f t="shared" si="130"/>
        <v>0.48075669624029016</v>
      </c>
      <c r="W334" s="233">
        <f t="shared" si="119"/>
        <v>0.70015445863336745</v>
      </c>
      <c r="X334" s="234" t="str">
        <f t="shared" si="120"/>
        <v>OR-No</v>
      </c>
      <c r="Y334" s="235" t="str">
        <f t="shared" si="121"/>
        <v>OR-Dem</v>
      </c>
      <c r="Z334" s="236" t="str">
        <f>B334&amp;"-"&amp;IF(V334&gt;Instructions!$H$14,Instructions!$I$14,IF(V334&gt;Instructions!$H$15,Instructions!$I$15,IF(V334&gt;Instructions!$H$16,Instructions!$I$16,IF(V334&gt;Instructions!$H$17,Instructions!$I$17,Instructions!$I$18))))</f>
        <v>OR-No contest</v>
      </c>
      <c r="AA334" s="237">
        <f t="shared" si="122"/>
        <v>0</v>
      </c>
      <c r="AB334" s="237">
        <f t="shared" si="123"/>
        <v>67714</v>
      </c>
      <c r="AC334" s="238">
        <f t="shared" si="124"/>
        <v>14984</v>
      </c>
      <c r="AD334" s="389">
        <f t="shared" si="131"/>
        <v>82698</v>
      </c>
    </row>
    <row r="335" spans="1:31">
      <c r="A335" s="225" t="s">
        <v>102</v>
      </c>
      <c r="B335" s="226" t="s">
        <v>36</v>
      </c>
      <c r="C335" t="s">
        <v>649</v>
      </c>
      <c r="D335"/>
      <c r="E335"/>
      <c r="F335"/>
      <c r="G335"/>
      <c r="H335"/>
      <c r="I335" t="str">
        <f t="shared" si="127"/>
        <v>OR-Yes</v>
      </c>
      <c r="J335" t="str">
        <f t="shared" si="128"/>
        <v>OR-Yes</v>
      </c>
      <c r="K335" t="str">
        <f t="shared" si="116"/>
        <v/>
      </c>
      <c r="L335" t="str">
        <f t="shared" si="132"/>
        <v/>
      </c>
      <c r="M335">
        <v>1986</v>
      </c>
      <c r="N335" s="242">
        <v>4</v>
      </c>
      <c r="O335" s="415">
        <v>162416</v>
      </c>
      <c r="P335" s="416">
        <v>129877</v>
      </c>
      <c r="Q335" s="228">
        <f t="shared" si="125"/>
        <v>5759</v>
      </c>
      <c r="R335" s="423">
        <v>298052</v>
      </c>
      <c r="S335" s="239"/>
      <c r="T335" s="231">
        <f t="shared" si="129"/>
        <v>162416</v>
      </c>
      <c r="U335" s="231">
        <f t="shared" si="126"/>
        <v>129877</v>
      </c>
      <c r="V335" s="232">
        <f t="shared" si="130"/>
        <v>0.11132322703588522</v>
      </c>
      <c r="W335" s="233">
        <f t="shared" si="119"/>
        <v>0.54492504663615748</v>
      </c>
      <c r="X335" s="234" t="str">
        <f t="shared" si="120"/>
        <v>OR-No</v>
      </c>
      <c r="Y335" s="235" t="str">
        <f t="shared" si="121"/>
        <v>OR-Dem</v>
      </c>
      <c r="Z335" s="236" t="str">
        <f>B335&amp;"-"&amp;IF(V335&gt;Instructions!$H$14,Instructions!$I$14,IF(V335&gt;Instructions!$H$15,Instructions!$I$15,IF(V335&gt;Instructions!$H$16,Instructions!$I$16,IF(V335&gt;Instructions!$H$17,Instructions!$I$17,Instructions!$I$18))))</f>
        <v>OR-Opportunity</v>
      </c>
      <c r="AA335" s="237">
        <f t="shared" si="122"/>
        <v>0</v>
      </c>
      <c r="AB335" s="237">
        <f t="shared" si="123"/>
        <v>129877</v>
      </c>
      <c r="AC335" s="238">
        <f t="shared" si="124"/>
        <v>5759</v>
      </c>
      <c r="AD335" s="389">
        <f t="shared" si="131"/>
        <v>135636</v>
      </c>
    </row>
    <row r="336" spans="1:31">
      <c r="A336" s="225" t="s">
        <v>102</v>
      </c>
      <c r="B336" s="226" t="s">
        <v>36</v>
      </c>
      <c r="C336" t="s">
        <v>650</v>
      </c>
      <c r="D336"/>
      <c r="E336"/>
      <c r="F336"/>
      <c r="G336"/>
      <c r="H336"/>
      <c r="I336" t="str">
        <f t="shared" si="127"/>
        <v>OR-Yes</v>
      </c>
      <c r="J336" t="str">
        <f t="shared" si="128"/>
        <v>OR-Yes</v>
      </c>
      <c r="K336" t="str">
        <f t="shared" si="116"/>
        <v/>
      </c>
      <c r="L336" t="str">
        <f>IF(M336=2010, 1, "")</f>
        <v/>
      </c>
      <c r="M336">
        <v>2008</v>
      </c>
      <c r="N336" s="242">
        <v>5</v>
      </c>
      <c r="O336" s="415">
        <v>145319</v>
      </c>
      <c r="P336" s="416">
        <v>130313</v>
      </c>
      <c r="Q336" s="228">
        <f t="shared" si="125"/>
        <v>7924</v>
      </c>
      <c r="R336" s="423">
        <v>283556</v>
      </c>
      <c r="S336" s="239"/>
      <c r="T336" s="231">
        <f t="shared" si="129"/>
        <v>145319</v>
      </c>
      <c r="U336" s="231">
        <f t="shared" si="126"/>
        <v>130313</v>
      </c>
      <c r="V336" s="232">
        <f t="shared" si="130"/>
        <v>5.4442154757067394E-2</v>
      </c>
      <c r="W336" s="233">
        <f t="shared" si="119"/>
        <v>0.51248783309117074</v>
      </c>
      <c r="X336" s="234" t="str">
        <f t="shared" si="120"/>
        <v>OR-No</v>
      </c>
      <c r="Y336" s="235" t="str">
        <f t="shared" si="121"/>
        <v>OR-Dem</v>
      </c>
      <c r="Z336" s="236" t="str">
        <f>B336&amp;"-"&amp;IF(V336&gt;Instructions!$H$14,Instructions!$I$14,IF(V336&gt;Instructions!$H$15,Instructions!$I$15,IF(V336&gt;Instructions!$H$16,Instructions!$I$16,IF(V336&gt;Instructions!$H$17,Instructions!$I$17,Instructions!$I$18))))</f>
        <v>OR-Competitive</v>
      </c>
      <c r="AA336" s="237">
        <f t="shared" si="122"/>
        <v>0</v>
      </c>
      <c r="AB336" s="237">
        <f t="shared" si="123"/>
        <v>130313</v>
      </c>
      <c r="AC336" s="238">
        <f t="shared" si="124"/>
        <v>7924</v>
      </c>
      <c r="AD336" s="389">
        <f t="shared" si="131"/>
        <v>138237</v>
      </c>
      <c r="AE336" s="389">
        <f>SUM(AD332:AD336)</f>
        <v>561523</v>
      </c>
    </row>
    <row r="337" spans="1:30">
      <c r="A337" s="225" t="s">
        <v>103</v>
      </c>
      <c r="B337" s="226" t="s">
        <v>37</v>
      </c>
      <c r="C337" s="426" t="s">
        <v>651</v>
      </c>
      <c r="D337"/>
      <c r="E337"/>
      <c r="F337"/>
      <c r="G337"/>
      <c r="H337"/>
      <c r="I337" t="str">
        <f t="shared" si="127"/>
        <v>PA-Yes</v>
      </c>
      <c r="J337" t="str">
        <f t="shared" si="128"/>
        <v>PA-Yes</v>
      </c>
      <c r="K337" t="str">
        <f t="shared" si="116"/>
        <v/>
      </c>
      <c r="L337" t="str">
        <f t="shared" si="132"/>
        <v/>
      </c>
      <c r="M337">
        <v>1998</v>
      </c>
      <c r="N337" s="242">
        <v>1</v>
      </c>
      <c r="O337" s="415">
        <v>149944</v>
      </c>
      <c r="P337" s="416">
        <v>0</v>
      </c>
      <c r="Q337" s="228">
        <f t="shared" si="125"/>
        <v>0</v>
      </c>
      <c r="R337" s="423">
        <v>149944</v>
      </c>
      <c r="S337" s="239"/>
      <c r="T337" s="231">
        <f t="shared" si="129"/>
        <v>149944</v>
      </c>
      <c r="U337" s="231">
        <f t="shared" si="126"/>
        <v>0</v>
      </c>
      <c r="V337" s="232">
        <f t="shared" si="130"/>
        <v>1</v>
      </c>
      <c r="W337" s="233">
        <f t="shared" si="119"/>
        <v>1</v>
      </c>
      <c r="X337" s="234" t="str">
        <f t="shared" si="120"/>
        <v>PA-Yes</v>
      </c>
      <c r="Y337" s="235" t="str">
        <f t="shared" si="121"/>
        <v>PA-Dem</v>
      </c>
      <c r="Z337" s="236" t="str">
        <f>B337&amp;"-"&amp;IF(V337&gt;Instructions!$H$14,Instructions!$I$14,IF(V337&gt;Instructions!$H$15,Instructions!$I$15,IF(V337&gt;Instructions!$H$16,Instructions!$I$16,IF(V337&gt;Instructions!$H$17,Instructions!$I$17,Instructions!$I$18))))</f>
        <v>PA-No contest</v>
      </c>
      <c r="AA337" s="237">
        <f t="shared" si="122"/>
        <v>0</v>
      </c>
      <c r="AB337" s="237">
        <f t="shared" si="123"/>
        <v>0</v>
      </c>
      <c r="AC337" s="238">
        <f t="shared" si="124"/>
        <v>0</v>
      </c>
      <c r="AD337" s="389">
        <f t="shared" si="131"/>
        <v>0</v>
      </c>
    </row>
    <row r="338" spans="1:30">
      <c r="A338" s="225" t="s">
        <v>103</v>
      </c>
      <c r="B338" s="226" t="s">
        <v>37</v>
      </c>
      <c r="C338" s="426" t="s">
        <v>652</v>
      </c>
      <c r="D338"/>
      <c r="E338" s="399" t="s">
        <v>796</v>
      </c>
      <c r="F338"/>
      <c r="G338"/>
      <c r="H338"/>
      <c r="I338" t="str">
        <f t="shared" si="127"/>
        <v>PA-Yes</v>
      </c>
      <c r="J338" t="str">
        <f t="shared" si="128"/>
        <v>PA-Yes</v>
      </c>
      <c r="K338" t="str">
        <f t="shared" si="116"/>
        <v/>
      </c>
      <c r="L338" t="str">
        <f t="shared" si="132"/>
        <v/>
      </c>
      <c r="M338">
        <v>1994</v>
      </c>
      <c r="N338" s="242">
        <v>2</v>
      </c>
      <c r="O338" s="415">
        <v>182800</v>
      </c>
      <c r="P338" s="416">
        <v>21907</v>
      </c>
      <c r="Q338" s="228">
        <f t="shared" si="125"/>
        <v>0</v>
      </c>
      <c r="R338" s="423">
        <v>204707</v>
      </c>
      <c r="S338" s="239"/>
      <c r="T338" s="231">
        <f t="shared" si="129"/>
        <v>182800</v>
      </c>
      <c r="U338" s="231">
        <f t="shared" si="126"/>
        <v>21907</v>
      </c>
      <c r="V338" s="232">
        <f t="shared" si="130"/>
        <v>0.78596726052357757</v>
      </c>
      <c r="W338" s="233">
        <f t="shared" si="119"/>
        <v>0.89298363026178884</v>
      </c>
      <c r="X338" s="234" t="str">
        <f t="shared" si="120"/>
        <v>PA-No</v>
      </c>
      <c r="Y338" s="235" t="str">
        <f t="shared" si="121"/>
        <v>PA-Dem</v>
      </c>
      <c r="Z338" s="236" t="str">
        <f>B338&amp;"-"&amp;IF(V338&gt;Instructions!$H$14,Instructions!$I$14,IF(V338&gt;Instructions!$H$15,Instructions!$I$15,IF(V338&gt;Instructions!$H$16,Instructions!$I$16,IF(V338&gt;Instructions!$H$17,Instructions!$I$17,Instructions!$I$18))))</f>
        <v>PA-No contest</v>
      </c>
      <c r="AA338" s="237">
        <f t="shared" si="122"/>
        <v>0</v>
      </c>
      <c r="AB338" s="237">
        <f t="shared" si="123"/>
        <v>21907</v>
      </c>
      <c r="AC338" s="238">
        <f t="shared" si="124"/>
        <v>0</v>
      </c>
      <c r="AD338" s="389">
        <f t="shared" si="131"/>
        <v>21907</v>
      </c>
    </row>
    <row r="339" spans="1:30">
      <c r="A339" s="225" t="s">
        <v>103</v>
      </c>
      <c r="B339" s="226" t="s">
        <v>37</v>
      </c>
      <c r="C339" t="s">
        <v>653</v>
      </c>
      <c r="D339"/>
      <c r="E339"/>
      <c r="F339"/>
      <c r="G339"/>
      <c r="H339"/>
      <c r="I339" t="str">
        <f t="shared" si="127"/>
        <v>PA-Yes</v>
      </c>
      <c r="J339" t="str">
        <f t="shared" si="128"/>
        <v>PA-No</v>
      </c>
      <c r="K339">
        <f t="shared" si="116"/>
        <v>1</v>
      </c>
      <c r="L339" t="str">
        <f>B339&amp;"-"&amp;IF(M339=2010, 1, "")</f>
        <v>PA-1</v>
      </c>
      <c r="M339">
        <v>2010</v>
      </c>
      <c r="N339" s="242">
        <v>3</v>
      </c>
      <c r="O339" s="415">
        <v>88924</v>
      </c>
      <c r="P339" s="416">
        <v>111909</v>
      </c>
      <c r="Q339" s="228">
        <f t="shared" si="125"/>
        <v>0</v>
      </c>
      <c r="R339" s="423">
        <v>200833</v>
      </c>
      <c r="S339" s="239"/>
      <c r="T339" s="231">
        <f t="shared" si="129"/>
        <v>111909</v>
      </c>
      <c r="U339" s="231">
        <f t="shared" si="126"/>
        <v>88924</v>
      </c>
      <c r="V339" s="232">
        <f t="shared" si="130"/>
        <v>0.11444832273580537</v>
      </c>
      <c r="W339" s="233">
        <f t="shared" si="119"/>
        <v>0.55722416136790265</v>
      </c>
      <c r="X339" s="234" t="str">
        <f t="shared" si="120"/>
        <v>PA-No</v>
      </c>
      <c r="Y339" s="235" t="str">
        <f t="shared" si="121"/>
        <v>PA-Rep</v>
      </c>
      <c r="Z339" s="236" t="str">
        <f>B339&amp;"-"&amp;IF(V339&gt;Instructions!$H$14,Instructions!$I$14,IF(V339&gt;Instructions!$H$15,Instructions!$I$15,IF(V339&gt;Instructions!$H$16,Instructions!$I$16,IF(V339&gt;Instructions!$H$17,Instructions!$I$17,Instructions!$I$18))))</f>
        <v>PA-Opportunity</v>
      </c>
      <c r="AA339" s="237">
        <f t="shared" si="122"/>
        <v>88924</v>
      </c>
      <c r="AB339" s="237">
        <f t="shared" si="123"/>
        <v>0</v>
      </c>
      <c r="AC339" s="238">
        <f t="shared" si="124"/>
        <v>0</v>
      </c>
      <c r="AD339" s="389">
        <f t="shared" si="131"/>
        <v>88924</v>
      </c>
    </row>
    <row r="340" spans="1:30">
      <c r="A340" s="225" t="s">
        <v>103</v>
      </c>
      <c r="B340" s="226" t="s">
        <v>37</v>
      </c>
      <c r="C340" t="s">
        <v>654</v>
      </c>
      <c r="D340"/>
      <c r="E340"/>
      <c r="F340"/>
      <c r="G340"/>
      <c r="H340"/>
      <c r="I340" t="str">
        <f t="shared" si="127"/>
        <v>PA-Yes</v>
      </c>
      <c r="J340" t="str">
        <f t="shared" si="128"/>
        <v>PA-Yes</v>
      </c>
      <c r="K340" t="str">
        <f t="shared" si="116"/>
        <v/>
      </c>
      <c r="L340" t="str">
        <f t="shared" si="132"/>
        <v/>
      </c>
      <c r="M340">
        <v>2006</v>
      </c>
      <c r="N340" s="242">
        <v>4</v>
      </c>
      <c r="O340" s="415">
        <v>120827</v>
      </c>
      <c r="P340" s="416">
        <v>116958</v>
      </c>
      <c r="Q340" s="228">
        <f t="shared" si="125"/>
        <v>0</v>
      </c>
      <c r="R340" s="423">
        <v>237785</v>
      </c>
      <c r="S340" s="239"/>
      <c r="T340" s="231">
        <f t="shared" si="129"/>
        <v>120827</v>
      </c>
      <c r="U340" s="231">
        <f t="shared" si="126"/>
        <v>116958</v>
      </c>
      <c r="V340" s="232">
        <f t="shared" si="130"/>
        <v>1.6271001114452132E-2</v>
      </c>
      <c r="W340" s="233">
        <f t="shared" si="119"/>
        <v>0.50813550055722612</v>
      </c>
      <c r="X340" s="234" t="str">
        <f t="shared" si="120"/>
        <v>PA-No</v>
      </c>
      <c r="Y340" s="235" t="str">
        <f t="shared" si="121"/>
        <v>PA-Dem</v>
      </c>
      <c r="Z340" s="236" t="str">
        <f>B340&amp;"-"&amp;IF(V340&gt;Instructions!$H$14,Instructions!$I$14,IF(V340&gt;Instructions!$H$15,Instructions!$I$15,IF(V340&gt;Instructions!$H$16,Instructions!$I$16,IF(V340&gt;Instructions!$H$17,Instructions!$I$17,Instructions!$I$18))))</f>
        <v>PA-Tight</v>
      </c>
      <c r="AA340" s="237">
        <f t="shared" si="122"/>
        <v>0</v>
      </c>
      <c r="AB340" s="237">
        <f t="shared" si="123"/>
        <v>116958</v>
      </c>
      <c r="AC340" s="238">
        <f t="shared" si="124"/>
        <v>0</v>
      </c>
      <c r="AD340" s="389">
        <f t="shared" si="131"/>
        <v>116958</v>
      </c>
    </row>
    <row r="341" spans="1:30">
      <c r="A341" s="225" t="s">
        <v>103</v>
      </c>
      <c r="B341" s="226" t="s">
        <v>37</v>
      </c>
      <c r="C341" t="s">
        <v>655</v>
      </c>
      <c r="D341"/>
      <c r="E341"/>
      <c r="F341"/>
      <c r="G341"/>
      <c r="H341"/>
      <c r="I341" t="str">
        <f t="shared" si="127"/>
        <v>PA-Yes</v>
      </c>
      <c r="J341" t="str">
        <f t="shared" si="128"/>
        <v>PA-Yes</v>
      </c>
      <c r="K341" t="str">
        <f t="shared" si="116"/>
        <v/>
      </c>
      <c r="L341" t="str">
        <f t="shared" si="132"/>
        <v/>
      </c>
      <c r="M341">
        <v>2008</v>
      </c>
      <c r="N341" s="242">
        <v>5</v>
      </c>
      <c r="O341" s="415">
        <v>52375</v>
      </c>
      <c r="P341" s="416">
        <v>127427</v>
      </c>
      <c r="Q341" s="228">
        <f t="shared" si="125"/>
        <v>5710</v>
      </c>
      <c r="R341" s="423">
        <v>185512</v>
      </c>
      <c r="S341" s="239"/>
      <c r="T341" s="231">
        <f t="shared" si="129"/>
        <v>127427</v>
      </c>
      <c r="U341" s="231">
        <f t="shared" si="126"/>
        <v>52375</v>
      </c>
      <c r="V341" s="232">
        <f t="shared" si="130"/>
        <v>0.41741471173846789</v>
      </c>
      <c r="W341" s="233">
        <f t="shared" si="119"/>
        <v>0.68689357022726294</v>
      </c>
      <c r="X341" s="234" t="str">
        <f t="shared" si="120"/>
        <v>PA-No</v>
      </c>
      <c r="Y341" s="235" t="str">
        <f t="shared" si="121"/>
        <v>PA-Rep</v>
      </c>
      <c r="Z341" s="236" t="str">
        <f>B341&amp;"-"&amp;IF(V341&gt;Instructions!$H$14,Instructions!$I$14,IF(V341&gt;Instructions!$H$15,Instructions!$I$15,IF(V341&gt;Instructions!$H$16,Instructions!$I$16,IF(V341&gt;Instructions!$H$17,Instructions!$I$17,Instructions!$I$18))))</f>
        <v>PA-No contest</v>
      </c>
      <c r="AA341" s="237">
        <f t="shared" si="122"/>
        <v>52375</v>
      </c>
      <c r="AB341" s="237">
        <f t="shared" si="123"/>
        <v>0</v>
      </c>
      <c r="AC341" s="238">
        <f t="shared" si="124"/>
        <v>5710</v>
      </c>
      <c r="AD341" s="389">
        <f t="shared" si="131"/>
        <v>58085</v>
      </c>
    </row>
    <row r="342" spans="1:30">
      <c r="A342" s="225" t="s">
        <v>103</v>
      </c>
      <c r="B342" s="226" t="s">
        <v>37</v>
      </c>
      <c r="C342" t="s">
        <v>656</v>
      </c>
      <c r="D342"/>
      <c r="E342"/>
      <c r="F342"/>
      <c r="G342"/>
      <c r="H342"/>
      <c r="I342" t="str">
        <f t="shared" si="127"/>
        <v>PA-Yes</v>
      </c>
      <c r="J342" t="str">
        <f t="shared" si="128"/>
        <v>PA-Yes</v>
      </c>
      <c r="K342" t="str">
        <f t="shared" si="116"/>
        <v/>
      </c>
      <c r="L342" t="str">
        <f t="shared" si="132"/>
        <v/>
      </c>
      <c r="M342">
        <v>2002</v>
      </c>
      <c r="N342" s="242">
        <v>6</v>
      </c>
      <c r="O342" s="415">
        <v>100493</v>
      </c>
      <c r="P342" s="416">
        <v>133770</v>
      </c>
      <c r="Q342" s="228">
        <f t="shared" si="125"/>
        <v>0</v>
      </c>
      <c r="R342" s="423">
        <v>234263</v>
      </c>
      <c r="S342" s="239"/>
      <c r="T342" s="231">
        <f t="shared" si="129"/>
        <v>133770</v>
      </c>
      <c r="U342" s="231">
        <f t="shared" si="126"/>
        <v>100493</v>
      </c>
      <c r="V342" s="232">
        <f t="shared" si="130"/>
        <v>0.14204974750600821</v>
      </c>
      <c r="W342" s="233">
        <f t="shared" si="119"/>
        <v>0.57102487375300415</v>
      </c>
      <c r="X342" s="234" t="str">
        <f t="shared" si="120"/>
        <v>PA-No</v>
      </c>
      <c r="Y342" s="235" t="str">
        <f t="shared" si="121"/>
        <v>PA-Rep</v>
      </c>
      <c r="Z342" s="236" t="str">
        <f>B342&amp;"-"&amp;IF(V342&gt;Instructions!$H$14,Instructions!$I$14,IF(V342&gt;Instructions!$H$15,Instructions!$I$15,IF(V342&gt;Instructions!$H$16,Instructions!$I$16,IF(V342&gt;Instructions!$H$17,Instructions!$I$17,Instructions!$I$18))))</f>
        <v>PA-Opportunity</v>
      </c>
      <c r="AA342" s="237">
        <f t="shared" si="122"/>
        <v>100493</v>
      </c>
      <c r="AB342" s="237">
        <f t="shared" si="123"/>
        <v>0</v>
      </c>
      <c r="AC342" s="238">
        <f t="shared" si="124"/>
        <v>0</v>
      </c>
      <c r="AD342" s="389">
        <f t="shared" si="131"/>
        <v>100493</v>
      </c>
    </row>
    <row r="343" spans="1:30">
      <c r="A343" s="225" t="s">
        <v>103</v>
      </c>
      <c r="B343" s="226" t="s">
        <v>37</v>
      </c>
      <c r="C343" t="s">
        <v>657</v>
      </c>
      <c r="D343"/>
      <c r="E343"/>
      <c r="F343"/>
      <c r="G343"/>
      <c r="H343"/>
      <c r="I343" t="str">
        <f t="shared" si="127"/>
        <v>PA-No</v>
      </c>
      <c r="J343" t="str">
        <f t="shared" si="128"/>
        <v>PA-No</v>
      </c>
      <c r="K343">
        <v>0</v>
      </c>
      <c r="L343" t="str">
        <f>B343&amp;"-"&amp;IF(M343=2010, 1, "")</f>
        <v>PA-1</v>
      </c>
      <c r="M343">
        <v>2010</v>
      </c>
      <c r="N343" s="242">
        <v>7</v>
      </c>
      <c r="O343" s="415">
        <v>110314</v>
      </c>
      <c r="P343" s="416">
        <v>137825</v>
      </c>
      <c r="Q343" s="228">
        <f t="shared" si="125"/>
        <v>2708</v>
      </c>
      <c r="R343" s="423">
        <v>250847</v>
      </c>
      <c r="S343" s="239"/>
      <c r="T343" s="231">
        <f t="shared" si="129"/>
        <v>137825</v>
      </c>
      <c r="U343" s="231">
        <f t="shared" si="126"/>
        <v>110314</v>
      </c>
      <c r="V343" s="232">
        <f t="shared" si="130"/>
        <v>0.1108693111522171</v>
      </c>
      <c r="W343" s="233">
        <f t="shared" si="119"/>
        <v>0.54943850235402458</v>
      </c>
      <c r="X343" s="234" t="str">
        <f t="shared" si="120"/>
        <v>PA-No</v>
      </c>
      <c r="Y343" s="235" t="str">
        <f t="shared" si="121"/>
        <v>PA-Rep</v>
      </c>
      <c r="Z343" s="236" t="str">
        <f>B343&amp;"-"&amp;IF(V343&gt;Instructions!$H$14,Instructions!$I$14,IF(V343&gt;Instructions!$H$15,Instructions!$I$15,IF(V343&gt;Instructions!$H$16,Instructions!$I$16,IF(V343&gt;Instructions!$H$17,Instructions!$I$17,Instructions!$I$18))))</f>
        <v>PA-Opportunity</v>
      </c>
      <c r="AA343" s="237">
        <f t="shared" si="122"/>
        <v>110314</v>
      </c>
      <c r="AB343" s="237">
        <f t="shared" si="123"/>
        <v>0</v>
      </c>
      <c r="AC343" s="238">
        <f t="shared" si="124"/>
        <v>2708</v>
      </c>
      <c r="AD343" s="389">
        <f t="shared" si="131"/>
        <v>113022</v>
      </c>
    </row>
    <row r="344" spans="1:30">
      <c r="A344" s="225" t="s">
        <v>103</v>
      </c>
      <c r="B344" s="226" t="s">
        <v>37</v>
      </c>
      <c r="C344" t="s">
        <v>658</v>
      </c>
      <c r="D344"/>
      <c r="E344"/>
      <c r="F344"/>
      <c r="G344"/>
      <c r="H344"/>
      <c r="I344" t="str">
        <f t="shared" si="127"/>
        <v>PA-Yes</v>
      </c>
      <c r="J344" t="str">
        <f t="shared" si="128"/>
        <v>PA-No</v>
      </c>
      <c r="K344">
        <f t="shared" si="116"/>
        <v>1</v>
      </c>
      <c r="L344" t="str">
        <f>B344&amp;"-"&amp;IF(M344=2010, 1, "")</f>
        <v>PA-1</v>
      </c>
      <c r="M344">
        <v>2010</v>
      </c>
      <c r="N344" s="242">
        <v>8</v>
      </c>
      <c r="O344" s="415">
        <v>113547</v>
      </c>
      <c r="P344" s="416">
        <v>130759</v>
      </c>
      <c r="Q344" s="228">
        <f t="shared" si="125"/>
        <v>0</v>
      </c>
      <c r="R344" s="423">
        <v>244306</v>
      </c>
      <c r="S344" s="239"/>
      <c r="T344" s="231">
        <f t="shared" si="129"/>
        <v>130759</v>
      </c>
      <c r="U344" s="231">
        <f t="shared" si="126"/>
        <v>113547</v>
      </c>
      <c r="V344" s="232">
        <f t="shared" si="130"/>
        <v>7.0452629079924362E-2</v>
      </c>
      <c r="W344" s="233">
        <f t="shared" si="119"/>
        <v>0.53522631453996217</v>
      </c>
      <c r="X344" s="234" t="str">
        <f t="shared" si="120"/>
        <v>PA-No</v>
      </c>
      <c r="Y344" s="235" t="str">
        <f t="shared" si="121"/>
        <v>PA-Rep</v>
      </c>
      <c r="Z344" s="236" t="str">
        <f>B344&amp;"-"&amp;IF(V344&gt;Instructions!$H$14,Instructions!$I$14,IF(V344&gt;Instructions!$H$15,Instructions!$I$15,IF(V344&gt;Instructions!$H$16,Instructions!$I$16,IF(V344&gt;Instructions!$H$17,Instructions!$I$17,Instructions!$I$18))))</f>
        <v>PA-Competitive</v>
      </c>
      <c r="AA344" s="237">
        <f t="shared" si="122"/>
        <v>113547</v>
      </c>
      <c r="AB344" s="237">
        <f t="shared" si="123"/>
        <v>0</v>
      </c>
      <c r="AC344" s="238">
        <f t="shared" si="124"/>
        <v>0</v>
      </c>
      <c r="AD344" s="389">
        <f t="shared" si="131"/>
        <v>113547</v>
      </c>
    </row>
    <row r="345" spans="1:30">
      <c r="A345" s="225" t="s">
        <v>103</v>
      </c>
      <c r="B345" s="226" t="s">
        <v>37</v>
      </c>
      <c r="C345" s="426" t="s">
        <v>659</v>
      </c>
      <c r="D345"/>
      <c r="E345"/>
      <c r="F345"/>
      <c r="G345"/>
      <c r="H345"/>
      <c r="I345" t="str">
        <f t="shared" si="127"/>
        <v>PA-Yes</v>
      </c>
      <c r="J345" t="str">
        <f t="shared" si="128"/>
        <v>PA-Yes</v>
      </c>
      <c r="K345" t="str">
        <f t="shared" si="116"/>
        <v/>
      </c>
      <c r="L345" t="str">
        <f t="shared" si="132"/>
        <v/>
      </c>
      <c r="M345">
        <v>2001</v>
      </c>
      <c r="N345" s="242">
        <v>9</v>
      </c>
      <c r="O345" s="415">
        <v>52322</v>
      </c>
      <c r="P345" s="416">
        <v>141904</v>
      </c>
      <c r="Q345" s="228">
        <f t="shared" si="125"/>
        <v>0</v>
      </c>
      <c r="R345" s="423">
        <v>194226</v>
      </c>
      <c r="S345" s="239"/>
      <c r="T345" s="231">
        <f t="shared" si="129"/>
        <v>141904</v>
      </c>
      <c r="U345" s="231">
        <f t="shared" si="126"/>
        <v>52322</v>
      </c>
      <c r="V345" s="232">
        <f t="shared" si="130"/>
        <v>0.46122558256876012</v>
      </c>
      <c r="W345" s="233">
        <f t="shared" si="119"/>
        <v>0.73061279128438006</v>
      </c>
      <c r="X345" s="234" t="str">
        <f t="shared" si="120"/>
        <v>PA-No</v>
      </c>
      <c r="Y345" s="235" t="str">
        <f t="shared" si="121"/>
        <v>PA-Rep</v>
      </c>
      <c r="Z345" s="236" t="str">
        <f>B345&amp;"-"&amp;IF(V345&gt;Instructions!$H$14,Instructions!$I$14,IF(V345&gt;Instructions!$H$15,Instructions!$I$15,IF(V345&gt;Instructions!$H$16,Instructions!$I$16,IF(V345&gt;Instructions!$H$17,Instructions!$I$17,Instructions!$I$18))))</f>
        <v>PA-No contest</v>
      </c>
      <c r="AA345" s="237">
        <f t="shared" si="122"/>
        <v>52322</v>
      </c>
      <c r="AB345" s="237">
        <f t="shared" si="123"/>
        <v>0</v>
      </c>
      <c r="AC345" s="238">
        <f t="shared" si="124"/>
        <v>0</v>
      </c>
      <c r="AD345" s="389">
        <f t="shared" si="131"/>
        <v>52322</v>
      </c>
    </row>
    <row r="346" spans="1:30">
      <c r="A346" s="225" t="s">
        <v>103</v>
      </c>
      <c r="B346" s="226" t="s">
        <v>37</v>
      </c>
      <c r="C346" t="s">
        <v>660</v>
      </c>
      <c r="D346"/>
      <c r="E346"/>
      <c r="F346"/>
      <c r="G346"/>
      <c r="H346"/>
      <c r="I346" t="str">
        <f t="shared" si="127"/>
        <v>PA-Yes</v>
      </c>
      <c r="J346" t="str">
        <f t="shared" si="128"/>
        <v>PA-No</v>
      </c>
      <c r="K346">
        <f t="shared" si="116"/>
        <v>1</v>
      </c>
      <c r="L346" t="str">
        <f>B346&amp;"-"&amp;IF(M346=2010, 1, "")</f>
        <v>PA-1</v>
      </c>
      <c r="M346">
        <v>2010</v>
      </c>
      <c r="N346" s="242">
        <v>10</v>
      </c>
      <c r="O346" s="415">
        <v>89846</v>
      </c>
      <c r="P346" s="416">
        <v>110599</v>
      </c>
      <c r="Q346" s="228">
        <f t="shared" si="125"/>
        <v>0</v>
      </c>
      <c r="R346" s="423">
        <v>200445</v>
      </c>
      <c r="S346" s="239"/>
      <c r="T346" s="231">
        <f t="shared" si="129"/>
        <v>110599</v>
      </c>
      <c r="U346" s="231">
        <f t="shared" si="126"/>
        <v>89846</v>
      </c>
      <c r="V346" s="232">
        <f t="shared" si="130"/>
        <v>0.10353463543615456</v>
      </c>
      <c r="W346" s="233">
        <f t="shared" si="119"/>
        <v>0.5517673177180773</v>
      </c>
      <c r="X346" s="234" t="str">
        <f t="shared" si="120"/>
        <v>PA-No</v>
      </c>
      <c r="Y346" s="235" t="str">
        <f t="shared" si="121"/>
        <v>PA-Rep</v>
      </c>
      <c r="Z346" s="236" t="str">
        <f>B346&amp;"-"&amp;IF(V346&gt;Instructions!$H$14,Instructions!$I$14,IF(V346&gt;Instructions!$H$15,Instructions!$I$15,IF(V346&gt;Instructions!$H$16,Instructions!$I$16,IF(V346&gt;Instructions!$H$17,Instructions!$I$17,Instructions!$I$18))))</f>
        <v>PA-Opportunity</v>
      </c>
      <c r="AA346" s="237">
        <f t="shared" si="122"/>
        <v>89846</v>
      </c>
      <c r="AB346" s="237">
        <f t="shared" si="123"/>
        <v>0</v>
      </c>
      <c r="AC346" s="238">
        <f t="shared" si="124"/>
        <v>0</v>
      </c>
      <c r="AD346" s="389">
        <f t="shared" si="131"/>
        <v>89846</v>
      </c>
    </row>
    <row r="347" spans="1:30">
      <c r="A347" s="225" t="s">
        <v>103</v>
      </c>
      <c r="B347" s="226" t="s">
        <v>37</v>
      </c>
      <c r="C347" t="s">
        <v>661</v>
      </c>
      <c r="D347"/>
      <c r="E347"/>
      <c r="F347"/>
      <c r="G347"/>
      <c r="H347"/>
      <c r="I347" t="str">
        <f t="shared" si="127"/>
        <v>PA-Yes</v>
      </c>
      <c r="J347" t="str">
        <f t="shared" si="128"/>
        <v>PA-No</v>
      </c>
      <c r="K347">
        <f t="shared" si="116"/>
        <v>1</v>
      </c>
      <c r="L347" t="str">
        <f>B347&amp;"-"&amp;IF(M347=2010, 1, "")</f>
        <v>PA-1</v>
      </c>
      <c r="M347">
        <v>2010</v>
      </c>
      <c r="N347" s="242">
        <v>11</v>
      </c>
      <c r="O347" s="415">
        <v>84618</v>
      </c>
      <c r="P347" s="416">
        <v>102179</v>
      </c>
      <c r="Q347" s="228">
        <f t="shared" si="125"/>
        <v>0</v>
      </c>
      <c r="R347" s="423">
        <v>186797</v>
      </c>
      <c r="S347" s="239"/>
      <c r="T347" s="231">
        <f t="shared" si="129"/>
        <v>102179</v>
      </c>
      <c r="U347" s="231">
        <f t="shared" si="126"/>
        <v>84618</v>
      </c>
      <c r="V347" s="232">
        <f t="shared" si="130"/>
        <v>9.4011145789279271E-2</v>
      </c>
      <c r="W347" s="233">
        <f t="shared" si="119"/>
        <v>0.54700557289463958</v>
      </c>
      <c r="X347" s="234" t="str">
        <f t="shared" si="120"/>
        <v>PA-No</v>
      </c>
      <c r="Y347" s="235" t="str">
        <f t="shared" si="121"/>
        <v>PA-Rep</v>
      </c>
      <c r="Z347" s="236" t="str">
        <f>B347&amp;"-"&amp;IF(V347&gt;Instructions!$H$14,Instructions!$I$14,IF(V347&gt;Instructions!$H$15,Instructions!$I$15,IF(V347&gt;Instructions!$H$16,Instructions!$I$16,IF(V347&gt;Instructions!$H$17,Instructions!$I$17,Instructions!$I$18))))</f>
        <v>PA-Competitive</v>
      </c>
      <c r="AA347" s="237">
        <f t="shared" si="122"/>
        <v>84618</v>
      </c>
      <c r="AB347" s="237">
        <f t="shared" si="123"/>
        <v>0</v>
      </c>
      <c r="AC347" s="238">
        <f t="shared" si="124"/>
        <v>0</v>
      </c>
      <c r="AD347" s="389">
        <f t="shared" si="131"/>
        <v>84618</v>
      </c>
    </row>
    <row r="348" spans="1:30">
      <c r="A348" s="225" t="s">
        <v>103</v>
      </c>
      <c r="B348" s="226" t="s">
        <v>37</v>
      </c>
      <c r="C348" t="s">
        <v>662</v>
      </c>
      <c r="D348"/>
      <c r="E348"/>
      <c r="F348"/>
      <c r="G348"/>
      <c r="H348"/>
      <c r="I348" t="str">
        <f t="shared" si="127"/>
        <v>PA-No</v>
      </c>
      <c r="J348" t="str">
        <f t="shared" si="128"/>
        <v>PA-No</v>
      </c>
      <c r="K348">
        <v>0</v>
      </c>
      <c r="L348"/>
      <c r="M348">
        <v>2010</v>
      </c>
      <c r="N348" s="242">
        <v>12</v>
      </c>
      <c r="O348" s="415">
        <v>94056</v>
      </c>
      <c r="P348" s="416">
        <v>91170</v>
      </c>
      <c r="Q348" s="228">
        <f t="shared" si="125"/>
        <v>0</v>
      </c>
      <c r="R348" s="423">
        <v>185226</v>
      </c>
      <c r="S348" s="239"/>
      <c r="T348" s="231">
        <f t="shared" si="129"/>
        <v>94056</v>
      </c>
      <c r="U348" s="231">
        <f t="shared" si="126"/>
        <v>91170</v>
      </c>
      <c r="V348" s="232">
        <f t="shared" si="130"/>
        <v>1.5580965955103495E-2</v>
      </c>
      <c r="W348" s="233">
        <f t="shared" si="119"/>
        <v>0.50779048297755169</v>
      </c>
      <c r="X348" s="234" t="str">
        <f t="shared" si="120"/>
        <v>PA-No</v>
      </c>
      <c r="Y348" s="235" t="str">
        <f t="shared" si="121"/>
        <v>PA-Dem</v>
      </c>
      <c r="Z348" s="236" t="str">
        <f>B348&amp;"-"&amp;IF(V348&gt;Instructions!$H$14,Instructions!$I$14,IF(V348&gt;Instructions!$H$15,Instructions!$I$15,IF(V348&gt;Instructions!$H$16,Instructions!$I$16,IF(V348&gt;Instructions!$H$17,Instructions!$I$17,Instructions!$I$18))))</f>
        <v>PA-Tight</v>
      </c>
      <c r="AA348" s="237">
        <f t="shared" si="122"/>
        <v>0</v>
      </c>
      <c r="AB348" s="237">
        <f t="shared" si="123"/>
        <v>91170</v>
      </c>
      <c r="AC348" s="238">
        <f t="shared" si="124"/>
        <v>0</v>
      </c>
      <c r="AD348" s="389">
        <f t="shared" si="131"/>
        <v>91170</v>
      </c>
    </row>
    <row r="349" spans="1:30">
      <c r="A349" s="225" t="s">
        <v>103</v>
      </c>
      <c r="B349" s="226" t="s">
        <v>37</v>
      </c>
      <c r="C349" t="s">
        <v>663</v>
      </c>
      <c r="D349" s="399" t="s">
        <v>796</v>
      </c>
      <c r="E349"/>
      <c r="F349"/>
      <c r="G349"/>
      <c r="H349"/>
      <c r="I349" t="str">
        <f t="shared" si="127"/>
        <v>PA-Yes</v>
      </c>
      <c r="J349" t="str">
        <f t="shared" si="128"/>
        <v>PA-Yes</v>
      </c>
      <c r="K349" t="str">
        <f t="shared" ref="K349:K389" si="133">IF(M349=2010, 1, "")</f>
        <v/>
      </c>
      <c r="L349" t="str">
        <f t="shared" si="132"/>
        <v/>
      </c>
      <c r="M349">
        <v>2004</v>
      </c>
      <c r="N349" s="242">
        <v>13</v>
      </c>
      <c r="O349" s="415">
        <v>118710</v>
      </c>
      <c r="P349" s="416">
        <v>91987</v>
      </c>
      <c r="Q349" s="228">
        <f t="shared" si="125"/>
        <v>0</v>
      </c>
      <c r="R349" s="423">
        <v>210697</v>
      </c>
      <c r="S349" s="239"/>
      <c r="T349" s="231">
        <f t="shared" si="129"/>
        <v>118710</v>
      </c>
      <c r="U349" s="231">
        <f t="shared" si="126"/>
        <v>91987</v>
      </c>
      <c r="V349" s="232">
        <f t="shared" si="130"/>
        <v>0.12683142142507961</v>
      </c>
      <c r="W349" s="233">
        <f t="shared" si="119"/>
        <v>0.56341571071253982</v>
      </c>
      <c r="X349" s="234" t="str">
        <f t="shared" si="120"/>
        <v>PA-No</v>
      </c>
      <c r="Y349" s="235" t="str">
        <f t="shared" si="121"/>
        <v>PA-Dem</v>
      </c>
      <c r="Z349" s="236" t="str">
        <f>B349&amp;"-"&amp;IF(V349&gt;Instructions!$H$14,Instructions!$I$14,IF(V349&gt;Instructions!$H$15,Instructions!$I$15,IF(V349&gt;Instructions!$H$16,Instructions!$I$16,IF(V349&gt;Instructions!$H$17,Instructions!$I$17,Instructions!$I$18))))</f>
        <v>PA-Opportunity</v>
      </c>
      <c r="AA349" s="237">
        <f t="shared" si="122"/>
        <v>0</v>
      </c>
      <c r="AB349" s="237">
        <f t="shared" si="123"/>
        <v>91987</v>
      </c>
      <c r="AC349" s="238">
        <f t="shared" si="124"/>
        <v>0</v>
      </c>
      <c r="AD349" s="389">
        <f t="shared" si="131"/>
        <v>91987</v>
      </c>
    </row>
    <row r="350" spans="1:30">
      <c r="A350" s="225" t="s">
        <v>103</v>
      </c>
      <c r="B350" s="226" t="s">
        <v>37</v>
      </c>
      <c r="C350" s="426" t="s">
        <v>664</v>
      </c>
      <c r="D350"/>
      <c r="E350"/>
      <c r="F350"/>
      <c r="G350"/>
      <c r="H350"/>
      <c r="I350" t="str">
        <f t="shared" si="127"/>
        <v>PA-Yes</v>
      </c>
      <c r="J350" t="str">
        <f t="shared" si="128"/>
        <v>PA-Yes</v>
      </c>
      <c r="K350" t="str">
        <f t="shared" si="133"/>
        <v/>
      </c>
      <c r="L350" t="str">
        <f t="shared" si="132"/>
        <v/>
      </c>
      <c r="M350">
        <v>1994</v>
      </c>
      <c r="N350" s="242">
        <v>14</v>
      </c>
      <c r="O350" s="415">
        <v>122073</v>
      </c>
      <c r="P350" s="416">
        <v>49997</v>
      </c>
      <c r="Q350" s="228">
        <f t="shared" si="125"/>
        <v>5400</v>
      </c>
      <c r="R350" s="423">
        <v>177470</v>
      </c>
      <c r="S350" s="239"/>
      <c r="T350" s="231">
        <f t="shared" si="129"/>
        <v>122073</v>
      </c>
      <c r="U350" s="231">
        <f t="shared" si="126"/>
        <v>49997</v>
      </c>
      <c r="V350" s="232">
        <f t="shared" si="130"/>
        <v>0.41887603882140989</v>
      </c>
      <c r="W350" s="233">
        <f t="shared" si="119"/>
        <v>0.68785146785372175</v>
      </c>
      <c r="X350" s="234" t="str">
        <f t="shared" si="120"/>
        <v>PA-No</v>
      </c>
      <c r="Y350" s="235" t="str">
        <f t="shared" si="121"/>
        <v>PA-Dem</v>
      </c>
      <c r="Z350" s="236" t="str">
        <f>B350&amp;"-"&amp;IF(V350&gt;Instructions!$H$14,Instructions!$I$14,IF(V350&gt;Instructions!$H$15,Instructions!$I$15,IF(V350&gt;Instructions!$H$16,Instructions!$I$16,IF(V350&gt;Instructions!$H$17,Instructions!$I$17,Instructions!$I$18))))</f>
        <v>PA-No contest</v>
      </c>
      <c r="AA350" s="237">
        <f t="shared" si="122"/>
        <v>0</v>
      </c>
      <c r="AB350" s="237">
        <f t="shared" si="123"/>
        <v>49997</v>
      </c>
      <c r="AC350" s="238">
        <f t="shared" si="124"/>
        <v>5400</v>
      </c>
      <c r="AD350" s="389">
        <f t="shared" si="131"/>
        <v>55397</v>
      </c>
    </row>
    <row r="351" spans="1:30">
      <c r="A351" s="225" t="s">
        <v>103</v>
      </c>
      <c r="B351" s="226" t="s">
        <v>37</v>
      </c>
      <c r="C351" t="s">
        <v>665</v>
      </c>
      <c r="D351"/>
      <c r="E351"/>
      <c r="F351"/>
      <c r="G351"/>
      <c r="H351"/>
      <c r="I351" t="str">
        <f t="shared" si="127"/>
        <v>PA-Yes</v>
      </c>
      <c r="J351" t="str">
        <f t="shared" si="128"/>
        <v>PA-Yes</v>
      </c>
      <c r="K351" t="str">
        <f t="shared" si="133"/>
        <v/>
      </c>
      <c r="L351" t="str">
        <f t="shared" si="132"/>
        <v/>
      </c>
      <c r="M351">
        <v>2004</v>
      </c>
      <c r="N351" s="242">
        <v>15</v>
      </c>
      <c r="O351" s="415">
        <v>79766</v>
      </c>
      <c r="P351" s="416">
        <v>109534</v>
      </c>
      <c r="Q351" s="228">
        <f t="shared" si="125"/>
        <v>15248</v>
      </c>
      <c r="R351" s="423">
        <v>204548</v>
      </c>
      <c r="S351" s="239"/>
      <c r="T351" s="231">
        <f t="shared" si="129"/>
        <v>109534</v>
      </c>
      <c r="U351" s="231">
        <f t="shared" si="126"/>
        <v>79766</v>
      </c>
      <c r="V351" s="232">
        <f t="shared" si="130"/>
        <v>0.15725303750660327</v>
      </c>
      <c r="W351" s="233">
        <f t="shared" si="119"/>
        <v>0.53549289164401515</v>
      </c>
      <c r="X351" s="234" t="str">
        <f t="shared" si="120"/>
        <v>PA-No</v>
      </c>
      <c r="Y351" s="235" t="str">
        <f t="shared" si="121"/>
        <v>PA-Rep</v>
      </c>
      <c r="Z351" s="236" t="str">
        <f>B351&amp;"-"&amp;IF(V351&gt;Instructions!$H$14,Instructions!$I$14,IF(V351&gt;Instructions!$H$15,Instructions!$I$15,IF(V351&gt;Instructions!$H$16,Instructions!$I$16,IF(V351&gt;Instructions!$H$17,Instructions!$I$17,Instructions!$I$18))))</f>
        <v>PA-Opportunity</v>
      </c>
      <c r="AA351" s="237">
        <f t="shared" si="122"/>
        <v>79766</v>
      </c>
      <c r="AB351" s="237">
        <f t="shared" si="123"/>
        <v>0</v>
      </c>
      <c r="AC351" s="238">
        <f t="shared" si="124"/>
        <v>15248</v>
      </c>
      <c r="AD351" s="389">
        <f t="shared" si="131"/>
        <v>95014</v>
      </c>
    </row>
    <row r="352" spans="1:30">
      <c r="A352" s="225" t="s">
        <v>103</v>
      </c>
      <c r="B352" s="226" t="s">
        <v>37</v>
      </c>
      <c r="C352" s="426" t="s">
        <v>666</v>
      </c>
      <c r="D352"/>
      <c r="E352"/>
      <c r="F352"/>
      <c r="G352"/>
      <c r="H352"/>
      <c r="I352" t="str">
        <f t="shared" si="127"/>
        <v>PA-Yes</v>
      </c>
      <c r="J352" t="str">
        <f t="shared" si="128"/>
        <v>PA-Yes</v>
      </c>
      <c r="K352" t="str">
        <f t="shared" si="133"/>
        <v/>
      </c>
      <c r="L352" t="str">
        <f t="shared" si="132"/>
        <v/>
      </c>
      <c r="M352">
        <v>1996</v>
      </c>
      <c r="N352" s="242">
        <v>16</v>
      </c>
      <c r="O352" s="415">
        <v>70994</v>
      </c>
      <c r="P352" s="416">
        <v>134113</v>
      </c>
      <c r="Q352" s="228">
        <f t="shared" si="125"/>
        <v>0</v>
      </c>
      <c r="R352" s="423">
        <v>205107</v>
      </c>
      <c r="S352" s="239"/>
      <c r="T352" s="231">
        <f t="shared" si="129"/>
        <v>134113</v>
      </c>
      <c r="U352" s="231">
        <f t="shared" si="126"/>
        <v>70994</v>
      </c>
      <c r="V352" s="232">
        <f t="shared" si="130"/>
        <v>0.30773693730589402</v>
      </c>
      <c r="W352" s="233">
        <f t="shared" si="119"/>
        <v>0.65386846865294701</v>
      </c>
      <c r="X352" s="234" t="str">
        <f t="shared" si="120"/>
        <v>PA-No</v>
      </c>
      <c r="Y352" s="235" t="str">
        <f t="shared" si="121"/>
        <v>PA-Rep</v>
      </c>
      <c r="Z352" s="236" t="str">
        <f>B352&amp;"-"&amp;IF(V352&gt;Instructions!$H$14,Instructions!$I$14,IF(V352&gt;Instructions!$H$15,Instructions!$I$15,IF(V352&gt;Instructions!$H$16,Instructions!$I$16,IF(V352&gt;Instructions!$H$17,Instructions!$I$17,Instructions!$I$18))))</f>
        <v>PA-Landslide</v>
      </c>
      <c r="AA352" s="237">
        <f t="shared" si="122"/>
        <v>70994</v>
      </c>
      <c r="AB352" s="237">
        <f t="shared" si="123"/>
        <v>0</v>
      </c>
      <c r="AC352" s="238">
        <f t="shared" si="124"/>
        <v>0</v>
      </c>
      <c r="AD352" s="389">
        <f t="shared" si="131"/>
        <v>70994</v>
      </c>
    </row>
    <row r="353" spans="1:31">
      <c r="A353" s="225" t="s">
        <v>103</v>
      </c>
      <c r="B353" s="226" t="s">
        <v>37</v>
      </c>
      <c r="C353" t="s">
        <v>667</v>
      </c>
      <c r="D353"/>
      <c r="E353"/>
      <c r="F353"/>
      <c r="G353"/>
      <c r="H353"/>
      <c r="I353" t="str">
        <f t="shared" si="127"/>
        <v>PA-Yes</v>
      </c>
      <c r="J353" t="str">
        <f t="shared" si="128"/>
        <v>PA-Yes</v>
      </c>
      <c r="K353" t="str">
        <f t="shared" si="133"/>
        <v/>
      </c>
      <c r="L353" t="str">
        <f t="shared" si="132"/>
        <v/>
      </c>
      <c r="M353">
        <v>1992</v>
      </c>
      <c r="N353" s="242">
        <v>17</v>
      </c>
      <c r="O353" s="415">
        <v>118486</v>
      </c>
      <c r="P353" s="416">
        <v>95000</v>
      </c>
      <c r="Q353" s="228">
        <f t="shared" si="125"/>
        <v>0</v>
      </c>
      <c r="R353" s="423">
        <v>213486</v>
      </c>
      <c r="S353" s="239"/>
      <c r="T353" s="231">
        <f t="shared" si="129"/>
        <v>118486</v>
      </c>
      <c r="U353" s="231">
        <f t="shared" si="126"/>
        <v>95000</v>
      </c>
      <c r="V353" s="232">
        <f t="shared" si="130"/>
        <v>0.1100118977356829</v>
      </c>
      <c r="W353" s="233">
        <f t="shared" si="119"/>
        <v>0.55500594886784149</v>
      </c>
      <c r="X353" s="234" t="str">
        <f t="shared" si="120"/>
        <v>PA-No</v>
      </c>
      <c r="Y353" s="235" t="str">
        <f t="shared" si="121"/>
        <v>PA-Dem</v>
      </c>
      <c r="Z353" s="236" t="str">
        <f>B353&amp;"-"&amp;IF(V353&gt;Instructions!$H$14,Instructions!$I$14,IF(V353&gt;Instructions!$H$15,Instructions!$I$15,IF(V353&gt;Instructions!$H$16,Instructions!$I$16,IF(V353&gt;Instructions!$H$17,Instructions!$I$17,Instructions!$I$18))))</f>
        <v>PA-Opportunity</v>
      </c>
      <c r="AA353" s="237">
        <f t="shared" si="122"/>
        <v>0</v>
      </c>
      <c r="AB353" s="237">
        <f t="shared" si="123"/>
        <v>95000</v>
      </c>
      <c r="AC353" s="238">
        <f t="shared" si="124"/>
        <v>0</v>
      </c>
      <c r="AD353" s="389">
        <f t="shared" si="131"/>
        <v>95000</v>
      </c>
    </row>
    <row r="354" spans="1:31">
      <c r="A354" s="225" t="s">
        <v>103</v>
      </c>
      <c r="B354" s="226" t="s">
        <v>37</v>
      </c>
      <c r="C354" t="s">
        <v>668</v>
      </c>
      <c r="D354"/>
      <c r="E354"/>
      <c r="F354"/>
      <c r="G354"/>
      <c r="H354"/>
      <c r="I354" t="str">
        <f t="shared" si="127"/>
        <v>PA-Yes</v>
      </c>
      <c r="J354" t="str">
        <f t="shared" si="128"/>
        <v>PA-Yes</v>
      </c>
      <c r="K354" t="str">
        <f t="shared" si="133"/>
        <v/>
      </c>
      <c r="L354" t="str">
        <f t="shared" si="132"/>
        <v/>
      </c>
      <c r="M354">
        <v>2002</v>
      </c>
      <c r="N354" s="242">
        <v>18</v>
      </c>
      <c r="O354" s="415">
        <v>78558</v>
      </c>
      <c r="P354" s="416">
        <v>161888</v>
      </c>
      <c r="Q354" s="228">
        <f t="shared" si="125"/>
        <v>0</v>
      </c>
      <c r="R354" s="423">
        <v>240446</v>
      </c>
      <c r="S354" s="239"/>
      <c r="T354" s="231">
        <f t="shared" si="129"/>
        <v>161888</v>
      </c>
      <c r="U354" s="231">
        <f t="shared" si="126"/>
        <v>78558</v>
      </c>
      <c r="V354" s="232">
        <f t="shared" si="130"/>
        <v>0.34656430134000982</v>
      </c>
      <c r="W354" s="233">
        <f t="shared" si="119"/>
        <v>0.67328215067000485</v>
      </c>
      <c r="X354" s="234" t="str">
        <f t="shared" si="120"/>
        <v>PA-No</v>
      </c>
      <c r="Y354" s="235" t="str">
        <f t="shared" si="121"/>
        <v>PA-Rep</v>
      </c>
      <c r="Z354" s="236" t="str">
        <f>B354&amp;"-"&amp;IF(V354&gt;Instructions!$H$14,Instructions!$I$14,IF(V354&gt;Instructions!$H$15,Instructions!$I$15,IF(V354&gt;Instructions!$H$16,Instructions!$I$16,IF(V354&gt;Instructions!$H$17,Instructions!$I$17,Instructions!$I$18))))</f>
        <v>PA-Landslide</v>
      </c>
      <c r="AA354" s="237">
        <f t="shared" si="122"/>
        <v>78558</v>
      </c>
      <c r="AB354" s="237">
        <f t="shared" si="123"/>
        <v>0</v>
      </c>
      <c r="AC354" s="238">
        <f t="shared" si="124"/>
        <v>0</v>
      </c>
      <c r="AD354" s="389">
        <f t="shared" si="131"/>
        <v>78558</v>
      </c>
    </row>
    <row r="355" spans="1:31">
      <c r="A355" s="225" t="s">
        <v>103</v>
      </c>
      <c r="B355" s="226" t="s">
        <v>37</v>
      </c>
      <c r="C355" s="426" t="s">
        <v>669</v>
      </c>
      <c r="D355"/>
      <c r="E355"/>
      <c r="F355"/>
      <c r="G355"/>
      <c r="H355"/>
      <c r="I355" t="str">
        <f t="shared" si="127"/>
        <v>PA-Yes</v>
      </c>
      <c r="J355" t="str">
        <f t="shared" si="128"/>
        <v>PA-Yes</v>
      </c>
      <c r="K355" t="str">
        <f t="shared" si="133"/>
        <v/>
      </c>
      <c r="L355" t="str">
        <f t="shared" si="132"/>
        <v/>
      </c>
      <c r="M355">
        <v>2000</v>
      </c>
      <c r="N355" s="242">
        <v>19</v>
      </c>
      <c r="O355" s="415">
        <v>53549</v>
      </c>
      <c r="P355" s="416">
        <v>165219</v>
      </c>
      <c r="Q355" s="228">
        <f t="shared" si="125"/>
        <v>10988</v>
      </c>
      <c r="R355" s="423">
        <v>229756</v>
      </c>
      <c r="S355" s="239"/>
      <c r="T355" s="231">
        <f t="shared" si="129"/>
        <v>165219</v>
      </c>
      <c r="U355" s="231">
        <f t="shared" si="126"/>
        <v>53549</v>
      </c>
      <c r="V355" s="232">
        <f t="shared" si="130"/>
        <v>0.51044942587581366</v>
      </c>
      <c r="W355" s="233">
        <f t="shared" si="119"/>
        <v>0.71910635630843156</v>
      </c>
      <c r="X355" s="234" t="str">
        <f t="shared" si="120"/>
        <v>PA-No</v>
      </c>
      <c r="Y355" s="235" t="str">
        <f t="shared" si="121"/>
        <v>PA-Rep</v>
      </c>
      <c r="Z355" s="236" t="str">
        <f>B355&amp;"-"&amp;IF(V355&gt;Instructions!$H$14,Instructions!$I$14,IF(V355&gt;Instructions!$H$15,Instructions!$I$15,IF(V355&gt;Instructions!$H$16,Instructions!$I$16,IF(V355&gt;Instructions!$H$17,Instructions!$I$17,Instructions!$I$18))))</f>
        <v>PA-No contest</v>
      </c>
      <c r="AA355" s="237">
        <f t="shared" si="122"/>
        <v>53549</v>
      </c>
      <c r="AB355" s="237">
        <f t="shared" si="123"/>
        <v>0</v>
      </c>
      <c r="AC355" s="238">
        <f t="shared" si="124"/>
        <v>10988</v>
      </c>
      <c r="AD355" s="389">
        <f t="shared" si="131"/>
        <v>64537</v>
      </c>
      <c r="AE355" s="389">
        <f>SUM(AD337:AD355)</f>
        <v>1482379</v>
      </c>
    </row>
    <row r="356" spans="1:31">
      <c r="A356" s="225" t="s">
        <v>104</v>
      </c>
      <c r="B356" s="226" t="s">
        <v>38</v>
      </c>
      <c r="C356" t="s">
        <v>670</v>
      </c>
      <c r="D356"/>
      <c r="E356"/>
      <c r="F356"/>
      <c r="G356"/>
      <c r="H356"/>
      <c r="I356" t="str">
        <f t="shared" si="127"/>
        <v>RI-No</v>
      </c>
      <c r="J356" t="str">
        <f t="shared" si="128"/>
        <v>RI-No</v>
      </c>
      <c r="K356">
        <v>0</v>
      </c>
      <c r="L356"/>
      <c r="M356">
        <v>2010</v>
      </c>
      <c r="N356" s="242">
        <v>1</v>
      </c>
      <c r="O356" s="415">
        <v>81269</v>
      </c>
      <c r="P356" s="416">
        <v>71542</v>
      </c>
      <c r="Q356" s="228">
        <f t="shared" si="125"/>
        <v>7758</v>
      </c>
      <c r="R356" s="423">
        <v>160569</v>
      </c>
      <c r="S356" s="239"/>
      <c r="T356" s="231">
        <f t="shared" si="129"/>
        <v>81269</v>
      </c>
      <c r="U356" s="231">
        <f t="shared" si="126"/>
        <v>71542</v>
      </c>
      <c r="V356" s="232">
        <f t="shared" si="130"/>
        <v>6.3653794556674581E-2</v>
      </c>
      <c r="W356" s="233">
        <f t="shared" si="119"/>
        <v>0.50613132049150211</v>
      </c>
      <c r="X356" s="234" t="str">
        <f t="shared" si="120"/>
        <v>RI-No</v>
      </c>
      <c r="Y356" s="235" t="str">
        <f t="shared" si="121"/>
        <v>RI-Dem</v>
      </c>
      <c r="Z356" s="236" t="str">
        <f>B356&amp;"-"&amp;IF(V356&gt;Instructions!$H$14,Instructions!$I$14,IF(V356&gt;Instructions!$H$15,Instructions!$I$15,IF(V356&gt;Instructions!$H$16,Instructions!$I$16,IF(V356&gt;Instructions!$H$17,Instructions!$I$17,Instructions!$I$18))))</f>
        <v>RI-Competitive</v>
      </c>
      <c r="AA356" s="237">
        <f t="shared" si="122"/>
        <v>0</v>
      </c>
      <c r="AB356" s="237">
        <f t="shared" si="123"/>
        <v>71542</v>
      </c>
      <c r="AC356" s="238">
        <f t="shared" si="124"/>
        <v>7758</v>
      </c>
      <c r="AD356" s="389">
        <f t="shared" si="131"/>
        <v>79300</v>
      </c>
    </row>
    <row r="357" spans="1:31">
      <c r="A357" s="225" t="s">
        <v>104</v>
      </c>
      <c r="B357" s="226" t="s">
        <v>38</v>
      </c>
      <c r="C357" s="426" t="s">
        <v>671</v>
      </c>
      <c r="D357"/>
      <c r="E357"/>
      <c r="F357"/>
      <c r="G357"/>
      <c r="H357"/>
      <c r="I357" t="str">
        <f t="shared" si="127"/>
        <v>RI-Yes</v>
      </c>
      <c r="J357" t="str">
        <f t="shared" si="128"/>
        <v>RI-Yes</v>
      </c>
      <c r="K357" t="str">
        <f t="shared" si="133"/>
        <v/>
      </c>
      <c r="L357" t="str">
        <f t="shared" si="132"/>
        <v/>
      </c>
      <c r="M357">
        <v>2000</v>
      </c>
      <c r="N357" s="242">
        <v>2</v>
      </c>
      <c r="O357" s="415">
        <v>104442</v>
      </c>
      <c r="P357" s="416">
        <v>55409</v>
      </c>
      <c r="Q357" s="228">
        <f t="shared" si="125"/>
        <v>14584</v>
      </c>
      <c r="R357" s="423">
        <v>174435</v>
      </c>
      <c r="S357" s="239"/>
      <c r="T357" s="231">
        <f t="shared" si="129"/>
        <v>104442</v>
      </c>
      <c r="U357" s="231">
        <f t="shared" si="126"/>
        <v>55409</v>
      </c>
      <c r="V357" s="232">
        <f t="shared" si="130"/>
        <v>0.30674190339753898</v>
      </c>
      <c r="W357" s="233">
        <f t="shared" si="119"/>
        <v>0.59874451801530659</v>
      </c>
      <c r="X357" s="234" t="str">
        <f t="shared" si="120"/>
        <v>RI-No</v>
      </c>
      <c r="Y357" s="235" t="str">
        <f t="shared" si="121"/>
        <v>RI-Dem</v>
      </c>
      <c r="Z357" s="236" t="str">
        <f>B357&amp;"-"&amp;IF(V357&gt;Instructions!$H$14,Instructions!$I$14,IF(V357&gt;Instructions!$H$15,Instructions!$I$15,IF(V357&gt;Instructions!$H$16,Instructions!$I$16,IF(V357&gt;Instructions!$H$17,Instructions!$I$17,Instructions!$I$18))))</f>
        <v>RI-Landslide</v>
      </c>
      <c r="AA357" s="237">
        <f t="shared" si="122"/>
        <v>0</v>
      </c>
      <c r="AB357" s="237">
        <f t="shared" si="123"/>
        <v>55409</v>
      </c>
      <c r="AC357" s="238">
        <f t="shared" si="124"/>
        <v>14584</v>
      </c>
      <c r="AD357" s="389">
        <f t="shared" si="131"/>
        <v>69993</v>
      </c>
      <c r="AE357" s="389">
        <f>SUM(AD356:AD357)</f>
        <v>149293</v>
      </c>
    </row>
    <row r="358" spans="1:31">
      <c r="A358" s="225" t="s">
        <v>105</v>
      </c>
      <c r="B358" s="226" t="s">
        <v>39</v>
      </c>
      <c r="C358" t="s">
        <v>672</v>
      </c>
      <c r="D358"/>
      <c r="E358" s="399" t="s">
        <v>797</v>
      </c>
      <c r="F358"/>
      <c r="G358"/>
      <c r="H358"/>
      <c r="I358" t="str">
        <f t="shared" si="127"/>
        <v>SC-No</v>
      </c>
      <c r="J358" t="str">
        <f t="shared" si="128"/>
        <v>SC-No</v>
      </c>
      <c r="K358">
        <v>0</v>
      </c>
      <c r="L358"/>
      <c r="M358">
        <v>2010</v>
      </c>
      <c r="N358" s="242">
        <v>1</v>
      </c>
      <c r="O358" s="415">
        <v>67008</v>
      </c>
      <c r="P358" s="416">
        <v>152755</v>
      </c>
      <c r="Q358" s="228">
        <f t="shared" si="125"/>
        <v>13932</v>
      </c>
      <c r="R358" s="423">
        <v>233695</v>
      </c>
      <c r="S358" s="239"/>
      <c r="T358" s="231">
        <f t="shared" si="129"/>
        <v>152755</v>
      </c>
      <c r="U358" s="231">
        <f t="shared" si="126"/>
        <v>67008</v>
      </c>
      <c r="V358" s="232">
        <f t="shared" si="130"/>
        <v>0.39017942055760069</v>
      </c>
      <c r="W358" s="233">
        <f t="shared" si="119"/>
        <v>0.65365112646825996</v>
      </c>
      <c r="X358" s="234" t="str">
        <f t="shared" si="120"/>
        <v>SC-No</v>
      </c>
      <c r="Y358" s="235" t="str">
        <f t="shared" si="121"/>
        <v>SC-Rep</v>
      </c>
      <c r="Z358" s="236" t="str">
        <f>B358&amp;"-"&amp;IF(V358&gt;Instructions!$H$14,Instructions!$I$14,IF(V358&gt;Instructions!$H$15,Instructions!$I$15,IF(V358&gt;Instructions!$H$16,Instructions!$I$16,IF(V358&gt;Instructions!$H$17,Instructions!$I$17,Instructions!$I$18))))</f>
        <v>SC-Landslide</v>
      </c>
      <c r="AA358" s="237">
        <f t="shared" si="122"/>
        <v>67008</v>
      </c>
      <c r="AB358" s="237">
        <f t="shared" si="123"/>
        <v>0</v>
      </c>
      <c r="AC358" s="238">
        <f t="shared" si="124"/>
        <v>13932</v>
      </c>
      <c r="AD358" s="389">
        <f t="shared" si="131"/>
        <v>80940</v>
      </c>
    </row>
    <row r="359" spans="1:31">
      <c r="A359" s="225" t="s">
        <v>105</v>
      </c>
      <c r="B359" s="226" t="s">
        <v>39</v>
      </c>
      <c r="C359" t="s">
        <v>673</v>
      </c>
      <c r="D359"/>
      <c r="E359"/>
      <c r="F359"/>
      <c r="G359"/>
      <c r="H359"/>
      <c r="I359" t="str">
        <f t="shared" si="127"/>
        <v>SC-Yes</v>
      </c>
      <c r="J359" t="str">
        <f t="shared" si="128"/>
        <v>SC-Yes</v>
      </c>
      <c r="K359" t="str">
        <f t="shared" si="133"/>
        <v/>
      </c>
      <c r="L359" t="str">
        <f t="shared" si="132"/>
        <v/>
      </c>
      <c r="M359">
        <v>2001</v>
      </c>
      <c r="N359" s="242">
        <v>2</v>
      </c>
      <c r="O359" s="415">
        <v>113625</v>
      </c>
      <c r="P359" s="416">
        <v>138861</v>
      </c>
      <c r="Q359" s="228">
        <f t="shared" si="125"/>
        <v>7186</v>
      </c>
      <c r="R359" s="423">
        <v>259672</v>
      </c>
      <c r="S359" s="239"/>
      <c r="T359" s="231">
        <f t="shared" si="129"/>
        <v>138861</v>
      </c>
      <c r="U359" s="231">
        <f t="shared" si="126"/>
        <v>113625</v>
      </c>
      <c r="V359" s="232">
        <f t="shared" si="130"/>
        <v>9.9950096242960002E-2</v>
      </c>
      <c r="W359" s="233">
        <f t="shared" si="119"/>
        <v>0.53475538371484022</v>
      </c>
      <c r="X359" s="234" t="str">
        <f t="shared" si="120"/>
        <v>SC-No</v>
      </c>
      <c r="Y359" s="235" t="str">
        <f t="shared" si="121"/>
        <v>SC-Rep</v>
      </c>
      <c r="Z359" s="236" t="str">
        <f>B359&amp;"-"&amp;IF(V359&gt;Instructions!$H$14,Instructions!$I$14,IF(V359&gt;Instructions!$H$15,Instructions!$I$15,IF(V359&gt;Instructions!$H$16,Instructions!$I$16,IF(V359&gt;Instructions!$H$17,Instructions!$I$17,Instructions!$I$18))))</f>
        <v>SC-Competitive</v>
      </c>
      <c r="AA359" s="237">
        <f t="shared" si="122"/>
        <v>113625</v>
      </c>
      <c r="AB359" s="237">
        <f t="shared" si="123"/>
        <v>0</v>
      </c>
      <c r="AC359" s="238">
        <f t="shared" si="124"/>
        <v>7186</v>
      </c>
      <c r="AD359" s="389">
        <f t="shared" si="131"/>
        <v>120811</v>
      </c>
    </row>
    <row r="360" spans="1:31">
      <c r="A360" s="225" t="s">
        <v>105</v>
      </c>
      <c r="B360" s="226" t="s">
        <v>39</v>
      </c>
      <c r="C360" t="s">
        <v>674</v>
      </c>
      <c r="D360"/>
      <c r="E360"/>
      <c r="F360"/>
      <c r="G360"/>
      <c r="H360"/>
      <c r="I360" t="str">
        <f t="shared" si="127"/>
        <v>SC-No</v>
      </c>
      <c r="J360" t="str">
        <f t="shared" si="128"/>
        <v>SC-No</v>
      </c>
      <c r="K360">
        <v>0</v>
      </c>
      <c r="L360"/>
      <c r="M360">
        <v>2010</v>
      </c>
      <c r="N360" s="242">
        <v>3</v>
      </c>
      <c r="O360" s="415">
        <v>73095</v>
      </c>
      <c r="P360" s="416">
        <v>126235</v>
      </c>
      <c r="Q360" s="228">
        <f t="shared" si="125"/>
        <v>2778</v>
      </c>
      <c r="R360" s="423">
        <v>202108</v>
      </c>
      <c r="S360" s="239"/>
      <c r="T360" s="231">
        <f t="shared" si="129"/>
        <v>126235</v>
      </c>
      <c r="U360" s="231">
        <f t="shared" si="126"/>
        <v>73095</v>
      </c>
      <c r="V360" s="232">
        <f t="shared" si="130"/>
        <v>0.26659308684091709</v>
      </c>
      <c r="W360" s="233">
        <f t="shared" si="119"/>
        <v>0.62459180240267576</v>
      </c>
      <c r="X360" s="234" t="str">
        <f t="shared" si="120"/>
        <v>SC-No</v>
      </c>
      <c r="Y360" s="235" t="str">
        <f t="shared" si="121"/>
        <v>SC-Rep</v>
      </c>
      <c r="Z360" s="236" t="str">
        <f>B360&amp;"-"&amp;IF(V360&gt;Instructions!$H$14,Instructions!$I$14,IF(V360&gt;Instructions!$H$15,Instructions!$I$15,IF(V360&gt;Instructions!$H$16,Instructions!$I$16,IF(V360&gt;Instructions!$H$17,Instructions!$I$17,Instructions!$I$18))))</f>
        <v>SC-Landslide</v>
      </c>
      <c r="AA360" s="237">
        <f t="shared" si="122"/>
        <v>73095</v>
      </c>
      <c r="AB360" s="237">
        <f t="shared" si="123"/>
        <v>0</v>
      </c>
      <c r="AC360" s="238">
        <f t="shared" si="124"/>
        <v>2778</v>
      </c>
      <c r="AD360" s="389">
        <f t="shared" si="131"/>
        <v>75873</v>
      </c>
    </row>
    <row r="361" spans="1:31">
      <c r="A361" s="225" t="s">
        <v>105</v>
      </c>
      <c r="B361" s="226" t="s">
        <v>39</v>
      </c>
      <c r="C361" t="s">
        <v>675</v>
      </c>
      <c r="D361"/>
      <c r="E361"/>
      <c r="F361"/>
      <c r="G361"/>
      <c r="H361"/>
      <c r="I361" t="str">
        <f t="shared" si="127"/>
        <v>SC-No</v>
      </c>
      <c r="J361" t="str">
        <f t="shared" si="128"/>
        <v>SC-No</v>
      </c>
      <c r="K361">
        <v>0</v>
      </c>
      <c r="L361"/>
      <c r="M361">
        <v>2010</v>
      </c>
      <c r="N361" s="242">
        <v>4</v>
      </c>
      <c r="O361" s="415">
        <v>62438</v>
      </c>
      <c r="P361" s="416">
        <v>137586</v>
      </c>
      <c r="Q361" s="228">
        <f t="shared" si="125"/>
        <v>16814</v>
      </c>
      <c r="R361" s="423">
        <v>216838</v>
      </c>
      <c r="S361" s="239"/>
      <c r="T361" s="231">
        <f t="shared" si="129"/>
        <v>137586</v>
      </c>
      <c r="U361" s="231">
        <f t="shared" si="126"/>
        <v>62438</v>
      </c>
      <c r="V361" s="232">
        <f t="shared" si="130"/>
        <v>0.37569491661000681</v>
      </c>
      <c r="W361" s="233">
        <f t="shared" si="119"/>
        <v>0.63451055626781283</v>
      </c>
      <c r="X361" s="234" t="str">
        <f t="shared" si="120"/>
        <v>SC-No</v>
      </c>
      <c r="Y361" s="235" t="str">
        <f t="shared" si="121"/>
        <v>SC-Rep</v>
      </c>
      <c r="Z361" s="236" t="str">
        <f>B361&amp;"-"&amp;IF(V361&gt;Instructions!$H$14,Instructions!$I$14,IF(V361&gt;Instructions!$H$15,Instructions!$I$15,IF(V361&gt;Instructions!$H$16,Instructions!$I$16,IF(V361&gt;Instructions!$H$17,Instructions!$I$17,Instructions!$I$18))))</f>
        <v>SC-Landslide</v>
      </c>
      <c r="AA361" s="237">
        <f t="shared" si="122"/>
        <v>62438</v>
      </c>
      <c r="AB361" s="237">
        <f t="shared" si="123"/>
        <v>0</v>
      </c>
      <c r="AC361" s="238">
        <f t="shared" si="124"/>
        <v>16814</v>
      </c>
      <c r="AD361" s="389">
        <f t="shared" si="131"/>
        <v>79252</v>
      </c>
    </row>
    <row r="362" spans="1:31">
      <c r="A362" s="225" t="s">
        <v>105</v>
      </c>
      <c r="B362" s="226" t="s">
        <v>39</v>
      </c>
      <c r="C362" t="s">
        <v>676</v>
      </c>
      <c r="D362"/>
      <c r="E362"/>
      <c r="F362"/>
      <c r="G362"/>
      <c r="H362"/>
      <c r="I362" t="str">
        <f t="shared" si="127"/>
        <v>SC-Yes</v>
      </c>
      <c r="J362" t="str">
        <f t="shared" si="128"/>
        <v>SC-No</v>
      </c>
      <c r="K362">
        <f t="shared" si="133"/>
        <v>1</v>
      </c>
      <c r="L362" t="str">
        <f>B362&amp;"-"&amp;IF(M362=2010, 1, "")</f>
        <v>SC-1</v>
      </c>
      <c r="M362">
        <v>2010</v>
      </c>
      <c r="N362" s="242">
        <v>5</v>
      </c>
      <c r="O362" s="415">
        <v>102296</v>
      </c>
      <c r="P362" s="416">
        <v>125834</v>
      </c>
      <c r="Q362" s="228">
        <f t="shared" si="125"/>
        <v>156</v>
      </c>
      <c r="R362" s="423">
        <v>228286</v>
      </c>
      <c r="S362" s="239"/>
      <c r="T362" s="231">
        <f t="shared" si="129"/>
        <v>125834</v>
      </c>
      <c r="U362" s="231">
        <f t="shared" si="126"/>
        <v>102296</v>
      </c>
      <c r="V362" s="232">
        <f t="shared" si="130"/>
        <v>0.10317801253671152</v>
      </c>
      <c r="W362" s="233">
        <f t="shared" si="119"/>
        <v>0.55121207608000489</v>
      </c>
      <c r="X362" s="234" t="str">
        <f t="shared" si="120"/>
        <v>SC-No</v>
      </c>
      <c r="Y362" s="235" t="str">
        <f t="shared" si="121"/>
        <v>SC-Rep</v>
      </c>
      <c r="Z362" s="236" t="str">
        <f>B362&amp;"-"&amp;IF(V362&gt;Instructions!$H$14,Instructions!$I$14,IF(V362&gt;Instructions!$H$15,Instructions!$I$15,IF(V362&gt;Instructions!$H$16,Instructions!$I$16,IF(V362&gt;Instructions!$H$17,Instructions!$I$17,Instructions!$I$18))))</f>
        <v>SC-Opportunity</v>
      </c>
      <c r="AA362" s="237">
        <f t="shared" si="122"/>
        <v>102296</v>
      </c>
      <c r="AB362" s="237">
        <f t="shared" si="123"/>
        <v>0</v>
      </c>
      <c r="AC362" s="238">
        <f t="shared" si="124"/>
        <v>156</v>
      </c>
      <c r="AD362" s="389">
        <f t="shared" si="131"/>
        <v>102452</v>
      </c>
    </row>
    <row r="363" spans="1:31">
      <c r="A363" s="225" t="s">
        <v>105</v>
      </c>
      <c r="B363" s="226" t="s">
        <v>39</v>
      </c>
      <c r="C363" s="426" t="s">
        <v>677</v>
      </c>
      <c r="D363"/>
      <c r="E363" s="399" t="s">
        <v>797</v>
      </c>
      <c r="F363"/>
      <c r="G363"/>
      <c r="H363"/>
      <c r="I363" t="str">
        <f t="shared" si="127"/>
        <v>SC-Yes</v>
      </c>
      <c r="J363" t="str">
        <f t="shared" si="128"/>
        <v>SC-Yes</v>
      </c>
      <c r="K363" t="str">
        <f t="shared" si="133"/>
        <v/>
      </c>
      <c r="L363" t="str">
        <f>IF(M363=2010, 1, "")</f>
        <v/>
      </c>
      <c r="M363">
        <v>1992</v>
      </c>
      <c r="N363" s="242">
        <v>6</v>
      </c>
      <c r="O363" s="415">
        <v>125459</v>
      </c>
      <c r="P363" s="416">
        <v>72661</v>
      </c>
      <c r="Q363" s="228">
        <f t="shared" si="125"/>
        <v>1470</v>
      </c>
      <c r="R363" s="423">
        <v>199590</v>
      </c>
      <c r="S363" s="239"/>
      <c r="T363" s="231">
        <f t="shared" si="129"/>
        <v>125459</v>
      </c>
      <c r="U363" s="231">
        <f t="shared" si="126"/>
        <v>72661</v>
      </c>
      <c r="V363" s="232">
        <f t="shared" si="130"/>
        <v>0.26649505350292751</v>
      </c>
      <c r="W363" s="233">
        <f t="shared" si="119"/>
        <v>0.62858359637256378</v>
      </c>
      <c r="X363" s="234" t="str">
        <f t="shared" si="120"/>
        <v>SC-No</v>
      </c>
      <c r="Y363" s="235" t="str">
        <f t="shared" si="121"/>
        <v>SC-Dem</v>
      </c>
      <c r="Z363" s="236" t="str">
        <f>B363&amp;"-"&amp;IF(V363&gt;Instructions!$H$14,Instructions!$I$14,IF(V363&gt;Instructions!$H$15,Instructions!$I$15,IF(V363&gt;Instructions!$H$16,Instructions!$I$16,IF(V363&gt;Instructions!$H$17,Instructions!$I$17,Instructions!$I$18))))</f>
        <v>SC-Landslide</v>
      </c>
      <c r="AA363" s="237">
        <f t="shared" si="122"/>
        <v>0</v>
      </c>
      <c r="AB363" s="237">
        <f t="shared" si="123"/>
        <v>72661</v>
      </c>
      <c r="AC363" s="238">
        <f t="shared" si="124"/>
        <v>1470</v>
      </c>
      <c r="AD363" s="389">
        <f t="shared" si="131"/>
        <v>74131</v>
      </c>
      <c r="AE363" s="389">
        <f>SUM(AD358:AD363)</f>
        <v>533459</v>
      </c>
    </row>
    <row r="364" spans="1:31">
      <c r="A364" s="225" t="s">
        <v>106</v>
      </c>
      <c r="B364" s="226" t="s">
        <v>40</v>
      </c>
      <c r="C364" t="s">
        <v>678</v>
      </c>
      <c r="D364" s="399" t="s">
        <v>798</v>
      </c>
      <c r="E364"/>
      <c r="F364"/>
      <c r="G364"/>
      <c r="H364"/>
      <c r="I364" t="str">
        <f t="shared" si="127"/>
        <v>SD-Yes</v>
      </c>
      <c r="J364" t="str">
        <f t="shared" si="128"/>
        <v>SD-No</v>
      </c>
      <c r="K364">
        <f t="shared" si="133"/>
        <v>1</v>
      </c>
      <c r="L364" t="str">
        <f>B364&amp;"-"&amp;IF(M364=2010, 1, "")</f>
        <v>SD-1</v>
      </c>
      <c r="M364">
        <v>2010</v>
      </c>
      <c r="N364" s="242">
        <v>1</v>
      </c>
      <c r="O364" s="415">
        <v>146589</v>
      </c>
      <c r="P364" s="416">
        <v>153703</v>
      </c>
      <c r="Q364" s="228">
        <f t="shared" si="125"/>
        <v>19134</v>
      </c>
      <c r="R364" s="423">
        <v>319426</v>
      </c>
      <c r="S364" s="239"/>
      <c r="T364" s="231">
        <f t="shared" si="129"/>
        <v>153703</v>
      </c>
      <c r="U364" s="231">
        <f t="shared" si="126"/>
        <v>146589</v>
      </c>
      <c r="V364" s="232">
        <f t="shared" si="130"/>
        <v>2.369027479919545E-2</v>
      </c>
      <c r="W364" s="233">
        <f t="shared" si="119"/>
        <v>0.48118500059481695</v>
      </c>
      <c r="X364" s="234" t="str">
        <f t="shared" si="120"/>
        <v>SD-No</v>
      </c>
      <c r="Y364" s="235" t="str">
        <f t="shared" si="121"/>
        <v>SD-Rep</v>
      </c>
      <c r="Z364" s="236" t="str">
        <f>B364&amp;"-"&amp;IF(V364&gt;Instructions!$H$14,Instructions!$I$14,IF(V364&gt;Instructions!$H$15,Instructions!$I$15,IF(V364&gt;Instructions!$H$16,Instructions!$I$16,IF(V364&gt;Instructions!$H$17,Instructions!$I$17,Instructions!$I$18))))</f>
        <v>SD-Tight</v>
      </c>
      <c r="AA364" s="237">
        <f t="shared" si="122"/>
        <v>146589</v>
      </c>
      <c r="AB364" s="237">
        <f t="shared" si="123"/>
        <v>0</v>
      </c>
      <c r="AC364" s="238">
        <f t="shared" si="124"/>
        <v>19134</v>
      </c>
      <c r="AD364" s="389">
        <f t="shared" si="131"/>
        <v>165723</v>
      </c>
      <c r="AE364" s="389">
        <f>SUM(AD364)</f>
        <v>165723</v>
      </c>
    </row>
    <row r="365" spans="1:31">
      <c r="A365" s="225" t="s">
        <v>107</v>
      </c>
      <c r="B365" s="226" t="s">
        <v>41</v>
      </c>
      <c r="C365" t="s">
        <v>679</v>
      </c>
      <c r="D365"/>
      <c r="E365"/>
      <c r="F365"/>
      <c r="G365"/>
      <c r="H365"/>
      <c r="I365" t="str">
        <f t="shared" si="127"/>
        <v>TN-Yes</v>
      </c>
      <c r="J365" t="str">
        <f t="shared" si="128"/>
        <v>TN-Yes</v>
      </c>
      <c r="K365" t="str">
        <f t="shared" si="133"/>
        <v/>
      </c>
      <c r="L365" t="str">
        <f t="shared" si="132"/>
        <v/>
      </c>
      <c r="M365">
        <v>2008</v>
      </c>
      <c r="N365" s="242">
        <v>1</v>
      </c>
      <c r="O365" s="415">
        <v>26045</v>
      </c>
      <c r="P365" s="416">
        <v>123006</v>
      </c>
      <c r="Q365" s="228">
        <f t="shared" si="125"/>
        <v>3110</v>
      </c>
      <c r="R365" s="423">
        <v>152161</v>
      </c>
      <c r="S365" s="239"/>
      <c r="T365" s="231">
        <f t="shared" si="129"/>
        <v>123006</v>
      </c>
      <c r="U365" s="231">
        <f t="shared" si="126"/>
        <v>26045</v>
      </c>
      <c r="V365" s="232">
        <f t="shared" si="130"/>
        <v>0.65052230444612913</v>
      </c>
      <c r="W365" s="233">
        <f t="shared" si="119"/>
        <v>0.80839374084029414</v>
      </c>
      <c r="X365" s="234" t="str">
        <f t="shared" si="120"/>
        <v>TN-No</v>
      </c>
      <c r="Y365" s="235" t="str">
        <f t="shared" si="121"/>
        <v>TN-Rep</v>
      </c>
      <c r="Z365" s="236" t="str">
        <f>B365&amp;"-"&amp;IF(V365&gt;Instructions!$H$14,Instructions!$I$14,IF(V365&gt;Instructions!$H$15,Instructions!$I$15,IF(V365&gt;Instructions!$H$16,Instructions!$I$16,IF(V365&gt;Instructions!$H$17,Instructions!$I$17,Instructions!$I$18))))</f>
        <v>TN-No contest</v>
      </c>
      <c r="AA365" s="237">
        <f t="shared" si="122"/>
        <v>26045</v>
      </c>
      <c r="AB365" s="237">
        <f t="shared" si="123"/>
        <v>0</v>
      </c>
      <c r="AC365" s="238">
        <f t="shared" si="124"/>
        <v>3110</v>
      </c>
      <c r="AD365" s="389">
        <f t="shared" si="131"/>
        <v>29155</v>
      </c>
    </row>
    <row r="366" spans="1:31">
      <c r="A366" s="225" t="s">
        <v>107</v>
      </c>
      <c r="B366" s="226" t="s">
        <v>41</v>
      </c>
      <c r="C366" s="426" t="s">
        <v>680</v>
      </c>
      <c r="D366"/>
      <c r="E366"/>
      <c r="F366"/>
      <c r="G366"/>
      <c r="H366"/>
      <c r="I366" t="str">
        <f t="shared" si="127"/>
        <v>TN-Yes</v>
      </c>
      <c r="J366" t="str">
        <f t="shared" si="128"/>
        <v>TN-Yes</v>
      </c>
      <c r="K366" t="str">
        <f t="shared" si="133"/>
        <v/>
      </c>
      <c r="L366" t="str">
        <f>IF(M366=2010, 1, "")</f>
        <v/>
      </c>
      <c r="M366">
        <v>1988</v>
      </c>
      <c r="N366" s="242">
        <v>2</v>
      </c>
      <c r="O366" s="415">
        <v>25400</v>
      </c>
      <c r="P366" s="416">
        <v>141796</v>
      </c>
      <c r="Q366" s="228">
        <f t="shared" si="125"/>
        <v>6184</v>
      </c>
      <c r="R366" s="423">
        <v>173380</v>
      </c>
      <c r="S366" s="239"/>
      <c r="T366" s="231">
        <f t="shared" si="129"/>
        <v>141796</v>
      </c>
      <c r="U366" s="231">
        <f t="shared" si="126"/>
        <v>25400</v>
      </c>
      <c r="V366" s="232">
        <f t="shared" si="130"/>
        <v>0.69616498002344551</v>
      </c>
      <c r="W366" s="233">
        <f t="shared" si="119"/>
        <v>0.81783366016841619</v>
      </c>
      <c r="X366" s="234" t="str">
        <f t="shared" si="120"/>
        <v>TN-No</v>
      </c>
      <c r="Y366" s="235" t="str">
        <f t="shared" si="121"/>
        <v>TN-Rep</v>
      </c>
      <c r="Z366" s="236" t="str">
        <f>B366&amp;"-"&amp;IF(V366&gt;Instructions!$H$14,Instructions!$I$14,IF(V366&gt;Instructions!$H$15,Instructions!$I$15,IF(V366&gt;Instructions!$H$16,Instructions!$I$16,IF(V366&gt;Instructions!$H$17,Instructions!$I$17,Instructions!$I$18))))</f>
        <v>TN-No contest</v>
      </c>
      <c r="AA366" s="237">
        <f t="shared" si="122"/>
        <v>25400</v>
      </c>
      <c r="AB366" s="237">
        <f t="shared" si="123"/>
        <v>0</v>
      </c>
      <c r="AC366" s="238">
        <f t="shared" si="124"/>
        <v>6184</v>
      </c>
      <c r="AD366" s="389">
        <f t="shared" si="131"/>
        <v>31584</v>
      </c>
    </row>
    <row r="367" spans="1:31">
      <c r="A367" s="225" t="s">
        <v>107</v>
      </c>
      <c r="B367" s="226" t="s">
        <v>41</v>
      </c>
      <c r="C367" t="s">
        <v>681</v>
      </c>
      <c r="D367"/>
      <c r="E367"/>
      <c r="F367"/>
      <c r="G367"/>
      <c r="H367"/>
      <c r="I367" t="str">
        <f t="shared" si="127"/>
        <v>TN-No</v>
      </c>
      <c r="J367" t="str">
        <f t="shared" si="128"/>
        <v>TN-No</v>
      </c>
      <c r="K367">
        <v>0</v>
      </c>
      <c r="L367"/>
      <c r="M367">
        <v>2010</v>
      </c>
      <c r="N367" s="242">
        <v>3</v>
      </c>
      <c r="O367" s="415">
        <v>45387</v>
      </c>
      <c r="P367" s="416">
        <v>92032</v>
      </c>
      <c r="Q367" s="228">
        <f t="shared" si="125"/>
        <v>24637</v>
      </c>
      <c r="R367" s="423">
        <v>162056</v>
      </c>
      <c r="S367" s="239"/>
      <c r="T367" s="231">
        <f t="shared" si="129"/>
        <v>92032</v>
      </c>
      <c r="U367" s="231">
        <f t="shared" si="126"/>
        <v>45387</v>
      </c>
      <c r="V367" s="232">
        <f t="shared" si="130"/>
        <v>0.33943632248815664</v>
      </c>
      <c r="W367" s="233">
        <f t="shared" si="119"/>
        <v>0.5679024534728736</v>
      </c>
      <c r="X367" s="234" t="str">
        <f t="shared" si="120"/>
        <v>TN-No</v>
      </c>
      <c r="Y367" s="235" t="str">
        <f t="shared" si="121"/>
        <v>TN-Rep</v>
      </c>
      <c r="Z367" s="236" t="str">
        <f>B367&amp;"-"&amp;IF(V367&gt;Instructions!$H$14,Instructions!$I$14,IF(V367&gt;Instructions!$H$15,Instructions!$I$15,IF(V367&gt;Instructions!$H$16,Instructions!$I$16,IF(V367&gt;Instructions!$H$17,Instructions!$I$17,Instructions!$I$18))))</f>
        <v>TN-Landslide</v>
      </c>
      <c r="AA367" s="237">
        <f t="shared" si="122"/>
        <v>45387</v>
      </c>
      <c r="AB367" s="237">
        <f t="shared" si="123"/>
        <v>0</v>
      </c>
      <c r="AC367" s="238">
        <f t="shared" si="124"/>
        <v>24637</v>
      </c>
      <c r="AD367" s="389">
        <f t="shared" si="131"/>
        <v>70024</v>
      </c>
    </row>
    <row r="368" spans="1:31">
      <c r="A368" s="225" t="s">
        <v>107</v>
      </c>
      <c r="B368" s="226" t="s">
        <v>41</v>
      </c>
      <c r="C368" t="s">
        <v>682</v>
      </c>
      <c r="D368"/>
      <c r="E368"/>
      <c r="F368"/>
      <c r="G368"/>
      <c r="H368"/>
      <c r="I368" t="str">
        <f t="shared" si="127"/>
        <v>TN-Yes</v>
      </c>
      <c r="J368" t="str">
        <f t="shared" si="128"/>
        <v>TN-No</v>
      </c>
      <c r="K368">
        <f t="shared" si="133"/>
        <v>1</v>
      </c>
      <c r="L368" t="str">
        <f>B368&amp;"-"&amp;IF(M368=2010, 1, "")</f>
        <v>TN-1</v>
      </c>
      <c r="M368">
        <v>2010</v>
      </c>
      <c r="N368" s="242">
        <v>4</v>
      </c>
      <c r="O368" s="415">
        <v>70254</v>
      </c>
      <c r="P368" s="416">
        <v>103969</v>
      </c>
      <c r="Q368" s="228">
        <f t="shared" si="125"/>
        <v>7968</v>
      </c>
      <c r="R368" s="423">
        <v>182191</v>
      </c>
      <c r="S368" s="239"/>
      <c r="T368" s="231">
        <f t="shared" si="129"/>
        <v>103969</v>
      </c>
      <c r="U368" s="231">
        <f t="shared" si="126"/>
        <v>70254</v>
      </c>
      <c r="V368" s="232">
        <f t="shared" si="130"/>
        <v>0.19351635547545387</v>
      </c>
      <c r="W368" s="233">
        <f t="shared" si="119"/>
        <v>0.57065936297621722</v>
      </c>
      <c r="X368" s="234" t="str">
        <f t="shared" si="120"/>
        <v>TN-No</v>
      </c>
      <c r="Y368" s="235" t="str">
        <f t="shared" si="121"/>
        <v>TN-Rep</v>
      </c>
      <c r="Z368" s="236" t="str">
        <f>B368&amp;"-"&amp;IF(V368&gt;Instructions!$H$14,Instructions!$I$14,IF(V368&gt;Instructions!$H$15,Instructions!$I$15,IF(V368&gt;Instructions!$H$16,Instructions!$I$16,IF(V368&gt;Instructions!$H$17,Instructions!$I$17,Instructions!$I$18))))</f>
        <v>TN-Opportunity</v>
      </c>
      <c r="AA368" s="237">
        <f t="shared" si="122"/>
        <v>70254</v>
      </c>
      <c r="AB368" s="237">
        <f t="shared" si="123"/>
        <v>0</v>
      </c>
      <c r="AC368" s="238">
        <f t="shared" si="124"/>
        <v>7968</v>
      </c>
      <c r="AD368" s="389">
        <f t="shared" si="131"/>
        <v>78222</v>
      </c>
    </row>
    <row r="369" spans="1:31">
      <c r="A369" s="225" t="s">
        <v>107</v>
      </c>
      <c r="B369" s="226" t="s">
        <v>41</v>
      </c>
      <c r="C369" t="s">
        <v>683</v>
      </c>
      <c r="D369"/>
      <c r="E369"/>
      <c r="F369"/>
      <c r="G369"/>
      <c r="H369"/>
      <c r="I369" t="str">
        <f t="shared" si="127"/>
        <v>TN-Yes</v>
      </c>
      <c r="J369" t="str">
        <f t="shared" si="128"/>
        <v>TN-Yes</v>
      </c>
      <c r="K369" t="str">
        <f t="shared" si="133"/>
        <v/>
      </c>
      <c r="L369" t="str">
        <f t="shared" si="132"/>
        <v/>
      </c>
      <c r="M369">
        <v>2002</v>
      </c>
      <c r="N369" s="242">
        <v>5</v>
      </c>
      <c r="O369" s="415">
        <v>99162</v>
      </c>
      <c r="P369" s="416">
        <v>74204</v>
      </c>
      <c r="Q369" s="228">
        <f t="shared" si="125"/>
        <v>2996</v>
      </c>
      <c r="R369" s="423">
        <v>176362</v>
      </c>
      <c r="S369" s="239"/>
      <c r="T369" s="231">
        <f t="shared" si="129"/>
        <v>99162</v>
      </c>
      <c r="U369" s="231">
        <f t="shared" si="126"/>
        <v>74204</v>
      </c>
      <c r="V369" s="232">
        <f t="shared" si="130"/>
        <v>0.14396133036466205</v>
      </c>
      <c r="W369" s="233">
        <f t="shared" si="119"/>
        <v>0.56226397976888443</v>
      </c>
      <c r="X369" s="234" t="str">
        <f t="shared" si="120"/>
        <v>TN-No</v>
      </c>
      <c r="Y369" s="235" t="str">
        <f t="shared" si="121"/>
        <v>TN-Dem</v>
      </c>
      <c r="Z369" s="236" t="str">
        <f>B369&amp;"-"&amp;IF(V369&gt;Instructions!$H$14,Instructions!$I$14,IF(V369&gt;Instructions!$H$15,Instructions!$I$15,IF(V369&gt;Instructions!$H$16,Instructions!$I$16,IF(V369&gt;Instructions!$H$17,Instructions!$I$17,Instructions!$I$18))))</f>
        <v>TN-Opportunity</v>
      </c>
      <c r="AA369" s="237">
        <f t="shared" si="122"/>
        <v>0</v>
      </c>
      <c r="AB369" s="237">
        <f t="shared" si="123"/>
        <v>74204</v>
      </c>
      <c r="AC369" s="238">
        <f t="shared" si="124"/>
        <v>2996</v>
      </c>
      <c r="AD369" s="389">
        <f t="shared" si="131"/>
        <v>77200</v>
      </c>
    </row>
    <row r="370" spans="1:31">
      <c r="A370" s="225" t="s">
        <v>107</v>
      </c>
      <c r="B370" s="226" t="s">
        <v>41</v>
      </c>
      <c r="C370" t="s">
        <v>684</v>
      </c>
      <c r="D370" s="399" t="s">
        <v>799</v>
      </c>
      <c r="E370"/>
      <c r="F370"/>
      <c r="G370"/>
      <c r="H370"/>
      <c r="I370" t="str">
        <f t="shared" si="127"/>
        <v>TN-No</v>
      </c>
      <c r="J370" t="str">
        <f t="shared" si="128"/>
        <v>TN-No</v>
      </c>
      <c r="K370">
        <v>0</v>
      </c>
      <c r="L370" t="str">
        <f>B370&amp;"-"&amp;IF(M370=2010, 1, "")</f>
        <v>TN-1</v>
      </c>
      <c r="M370">
        <v>2010</v>
      </c>
      <c r="N370" s="242">
        <v>6</v>
      </c>
      <c r="O370" s="415">
        <v>56145</v>
      </c>
      <c r="P370" s="416">
        <v>128517</v>
      </c>
      <c r="Q370" s="228">
        <f t="shared" si="125"/>
        <v>4265</v>
      </c>
      <c r="R370" s="423">
        <v>188927</v>
      </c>
      <c r="S370" s="239"/>
      <c r="T370" s="231">
        <f t="shared" si="129"/>
        <v>128517</v>
      </c>
      <c r="U370" s="231">
        <f t="shared" si="126"/>
        <v>56145</v>
      </c>
      <c r="V370" s="232">
        <f t="shared" si="130"/>
        <v>0.39191604119959711</v>
      </c>
      <c r="W370" s="233">
        <f t="shared" si="119"/>
        <v>0.68024686783784216</v>
      </c>
      <c r="X370" s="234" t="str">
        <f t="shared" si="120"/>
        <v>TN-No</v>
      </c>
      <c r="Y370" s="235" t="str">
        <f t="shared" si="121"/>
        <v>TN-Rep</v>
      </c>
      <c r="Z370" s="236" t="str">
        <f>B370&amp;"-"&amp;IF(V370&gt;Instructions!$H$14,Instructions!$I$14,IF(V370&gt;Instructions!$H$15,Instructions!$I$15,IF(V370&gt;Instructions!$H$16,Instructions!$I$16,IF(V370&gt;Instructions!$H$17,Instructions!$I$17,Instructions!$I$18))))</f>
        <v>TN-Landslide</v>
      </c>
      <c r="AA370" s="237">
        <f t="shared" si="122"/>
        <v>56145</v>
      </c>
      <c r="AB370" s="237">
        <f t="shared" si="123"/>
        <v>0</v>
      </c>
      <c r="AC370" s="238">
        <f t="shared" si="124"/>
        <v>4265</v>
      </c>
      <c r="AD370" s="389">
        <f t="shared" si="131"/>
        <v>60410</v>
      </c>
    </row>
    <row r="371" spans="1:31">
      <c r="A371" s="225" t="s">
        <v>107</v>
      </c>
      <c r="B371" s="226" t="s">
        <v>41</v>
      </c>
      <c r="C371" s="426" t="s">
        <v>685</v>
      </c>
      <c r="D371" s="399" t="s">
        <v>799</v>
      </c>
      <c r="E371"/>
      <c r="F371"/>
      <c r="G371"/>
      <c r="H371"/>
      <c r="I371" t="str">
        <f t="shared" si="127"/>
        <v>TN-Yes</v>
      </c>
      <c r="J371" t="str">
        <f t="shared" si="128"/>
        <v>TN-Yes</v>
      </c>
      <c r="K371" t="str">
        <f t="shared" si="133"/>
        <v/>
      </c>
      <c r="L371" t="str">
        <f t="shared" si="132"/>
        <v/>
      </c>
      <c r="M371">
        <v>2002</v>
      </c>
      <c r="N371" s="242">
        <v>7</v>
      </c>
      <c r="O371" s="415">
        <v>54347</v>
      </c>
      <c r="P371" s="416">
        <v>158916</v>
      </c>
      <c r="Q371" s="228">
        <f t="shared" si="125"/>
        <v>6320</v>
      </c>
      <c r="R371" s="423">
        <v>219583</v>
      </c>
      <c r="S371" s="239"/>
      <c r="T371" s="231">
        <f t="shared" si="129"/>
        <v>158916</v>
      </c>
      <c r="U371" s="231">
        <f t="shared" si="126"/>
        <v>54347</v>
      </c>
      <c r="V371" s="232">
        <f t="shared" si="130"/>
        <v>0.49032884279035743</v>
      </c>
      <c r="W371" s="233">
        <f t="shared" si="119"/>
        <v>0.72371722765423552</v>
      </c>
      <c r="X371" s="234" t="str">
        <f t="shared" si="120"/>
        <v>TN-No</v>
      </c>
      <c r="Y371" s="235" t="str">
        <f t="shared" si="121"/>
        <v>TN-Rep</v>
      </c>
      <c r="Z371" s="236" t="str">
        <f>B371&amp;"-"&amp;IF(V371&gt;Instructions!$H$14,Instructions!$I$14,IF(V371&gt;Instructions!$H$15,Instructions!$I$15,IF(V371&gt;Instructions!$H$16,Instructions!$I$16,IF(V371&gt;Instructions!$H$17,Instructions!$I$17,Instructions!$I$18))))</f>
        <v>TN-No contest</v>
      </c>
      <c r="AA371" s="237">
        <f t="shared" si="122"/>
        <v>54347</v>
      </c>
      <c r="AB371" s="237">
        <f t="shared" si="123"/>
        <v>0</v>
      </c>
      <c r="AC371" s="238">
        <f t="shared" si="124"/>
        <v>6320</v>
      </c>
      <c r="AD371" s="389">
        <f t="shared" si="131"/>
        <v>60667</v>
      </c>
    </row>
    <row r="372" spans="1:31">
      <c r="A372" s="225" t="s">
        <v>107</v>
      </c>
      <c r="B372" s="226" t="s">
        <v>41</v>
      </c>
      <c r="C372" t="s">
        <v>686</v>
      </c>
      <c r="D372"/>
      <c r="E372"/>
      <c r="F372"/>
      <c r="G372"/>
      <c r="H372"/>
      <c r="I372" t="str">
        <f t="shared" si="127"/>
        <v>TN-No</v>
      </c>
      <c r="J372" t="str">
        <f t="shared" si="128"/>
        <v>TN-No</v>
      </c>
      <c r="K372">
        <v>0</v>
      </c>
      <c r="L372" t="str">
        <f>B372&amp;"-"&amp;IF(M372=2010, 1, "")</f>
        <v>TN-1</v>
      </c>
      <c r="M372">
        <v>2010</v>
      </c>
      <c r="N372" s="242">
        <v>8</v>
      </c>
      <c r="O372" s="415">
        <v>64960</v>
      </c>
      <c r="P372" s="416">
        <v>98759</v>
      </c>
      <c r="Q372" s="228">
        <f t="shared" si="125"/>
        <v>3686</v>
      </c>
      <c r="R372" s="423">
        <v>167405</v>
      </c>
      <c r="S372" s="239"/>
      <c r="T372" s="231">
        <f t="shared" si="129"/>
        <v>98759</v>
      </c>
      <c r="U372" s="231">
        <f t="shared" si="126"/>
        <v>64960</v>
      </c>
      <c r="V372" s="232">
        <f t="shared" si="130"/>
        <v>0.20644518962368449</v>
      </c>
      <c r="W372" s="233">
        <f t="shared" si="119"/>
        <v>0.58994056330456079</v>
      </c>
      <c r="X372" s="234" t="str">
        <f t="shared" si="120"/>
        <v>TN-No</v>
      </c>
      <c r="Y372" s="235" t="str">
        <f t="shared" si="121"/>
        <v>TN-Rep</v>
      </c>
      <c r="Z372" s="236" t="str">
        <f>B372&amp;"-"&amp;IF(V372&gt;Instructions!$H$14,Instructions!$I$14,IF(V372&gt;Instructions!$H$15,Instructions!$I$15,IF(V372&gt;Instructions!$H$16,Instructions!$I$16,IF(V372&gt;Instructions!$H$17,Instructions!$I$17,Instructions!$I$18))))</f>
        <v>TN-Landslide</v>
      </c>
      <c r="AA372" s="237">
        <f t="shared" si="122"/>
        <v>64960</v>
      </c>
      <c r="AB372" s="237">
        <f t="shared" si="123"/>
        <v>0</v>
      </c>
      <c r="AC372" s="238">
        <f t="shared" si="124"/>
        <v>3686</v>
      </c>
      <c r="AD372" s="389">
        <f t="shared" si="131"/>
        <v>68646</v>
      </c>
    </row>
    <row r="373" spans="1:31">
      <c r="A373" s="225" t="s">
        <v>107</v>
      </c>
      <c r="B373" s="226" t="s">
        <v>41</v>
      </c>
      <c r="C373" s="426" t="s">
        <v>687</v>
      </c>
      <c r="D373"/>
      <c r="E373"/>
      <c r="F373"/>
      <c r="G373"/>
      <c r="H373"/>
      <c r="I373" t="str">
        <f t="shared" si="127"/>
        <v>TN-Yes</v>
      </c>
      <c r="J373" t="str">
        <f t="shared" si="128"/>
        <v>TN-Yes</v>
      </c>
      <c r="K373" t="str">
        <f t="shared" si="133"/>
        <v/>
      </c>
      <c r="L373" t="str">
        <f t="shared" si="132"/>
        <v/>
      </c>
      <c r="M373">
        <v>2006</v>
      </c>
      <c r="N373" s="242">
        <v>9</v>
      </c>
      <c r="O373" s="415">
        <v>99827</v>
      </c>
      <c r="P373" s="416">
        <v>33879</v>
      </c>
      <c r="Q373" s="228">
        <f t="shared" si="125"/>
        <v>1201</v>
      </c>
      <c r="R373" s="423">
        <v>134907</v>
      </c>
      <c r="S373" s="239"/>
      <c r="T373" s="231">
        <f t="shared" si="129"/>
        <v>99827</v>
      </c>
      <c r="U373" s="231">
        <f t="shared" si="126"/>
        <v>33879</v>
      </c>
      <c r="V373" s="232">
        <f t="shared" si="130"/>
        <v>0.49323141818616967</v>
      </c>
      <c r="W373" s="233">
        <f t="shared" si="119"/>
        <v>0.73996901569229168</v>
      </c>
      <c r="X373" s="234" t="str">
        <f t="shared" si="120"/>
        <v>TN-No</v>
      </c>
      <c r="Y373" s="235" t="str">
        <f t="shared" si="121"/>
        <v>TN-Dem</v>
      </c>
      <c r="Z373" s="236" t="str">
        <f>B373&amp;"-"&amp;IF(V373&gt;Instructions!$H$14,Instructions!$I$14,IF(V373&gt;Instructions!$H$15,Instructions!$I$15,IF(V373&gt;Instructions!$H$16,Instructions!$I$16,IF(V373&gt;Instructions!$H$17,Instructions!$I$17,Instructions!$I$18))))</f>
        <v>TN-No contest</v>
      </c>
      <c r="AA373" s="237">
        <f t="shared" si="122"/>
        <v>0</v>
      </c>
      <c r="AB373" s="237">
        <f t="shared" si="123"/>
        <v>33879</v>
      </c>
      <c r="AC373" s="238">
        <f t="shared" si="124"/>
        <v>1201</v>
      </c>
      <c r="AD373" s="389">
        <f t="shared" si="131"/>
        <v>35080</v>
      </c>
      <c r="AE373" s="389">
        <f>SUM(AD365:AD373)</f>
        <v>510988</v>
      </c>
    </row>
    <row r="374" spans="1:31">
      <c r="A374" s="225" t="s">
        <v>108</v>
      </c>
      <c r="B374" s="226" t="s">
        <v>42</v>
      </c>
      <c r="C374" s="426" t="s">
        <v>688</v>
      </c>
      <c r="D374"/>
      <c r="E374"/>
      <c r="F374"/>
      <c r="G374"/>
      <c r="H374"/>
      <c r="I374" t="str">
        <f t="shared" si="127"/>
        <v>TX-Yes</v>
      </c>
      <c r="J374" t="str">
        <f t="shared" si="128"/>
        <v>TX-Yes</v>
      </c>
      <c r="K374" t="str">
        <f t="shared" si="133"/>
        <v/>
      </c>
      <c r="L374" t="str">
        <f t="shared" si="132"/>
        <v/>
      </c>
      <c r="M374">
        <v>2004</v>
      </c>
      <c r="N374" s="242">
        <v>1</v>
      </c>
      <c r="O374" s="415">
        <v>0</v>
      </c>
      <c r="P374" s="416">
        <v>129398</v>
      </c>
      <c r="Q374" s="228">
        <f t="shared" si="125"/>
        <v>14811</v>
      </c>
      <c r="R374" s="423">
        <v>144209</v>
      </c>
      <c r="S374" s="239"/>
      <c r="T374" s="231">
        <f t="shared" si="129"/>
        <v>129398</v>
      </c>
      <c r="U374" s="231">
        <f t="shared" si="126"/>
        <v>14811</v>
      </c>
      <c r="V374" s="232">
        <f t="shared" si="130"/>
        <v>1</v>
      </c>
      <c r="W374" s="233">
        <f t="shared" si="119"/>
        <v>0.89729489837666165</v>
      </c>
      <c r="X374" s="234" t="str">
        <f t="shared" si="120"/>
        <v>TX-Yes</v>
      </c>
      <c r="Y374" s="235" t="str">
        <f t="shared" si="121"/>
        <v>TX-Rep</v>
      </c>
      <c r="Z374" s="236" t="str">
        <f>B374&amp;"-"&amp;IF(V374&gt;Instructions!$H$14,Instructions!$I$14,IF(V374&gt;Instructions!$H$15,Instructions!$I$15,IF(V374&gt;Instructions!$H$16,Instructions!$I$16,IF(V374&gt;Instructions!$H$17,Instructions!$I$17,Instructions!$I$18))))</f>
        <v>TX-No contest</v>
      </c>
      <c r="AA374" s="237">
        <f t="shared" si="122"/>
        <v>0</v>
      </c>
      <c r="AB374" s="237">
        <f t="shared" si="123"/>
        <v>0</v>
      </c>
      <c r="AC374" s="238">
        <f t="shared" si="124"/>
        <v>14811</v>
      </c>
      <c r="AD374" s="389">
        <f t="shared" si="131"/>
        <v>14811</v>
      </c>
    </row>
    <row r="375" spans="1:31">
      <c r="A375" s="225" t="s">
        <v>108</v>
      </c>
      <c r="B375" s="226" t="s">
        <v>42</v>
      </c>
      <c r="C375" s="426" t="s">
        <v>689</v>
      </c>
      <c r="D375"/>
      <c r="E375"/>
      <c r="F375"/>
      <c r="G375"/>
      <c r="H375"/>
      <c r="I375" t="str">
        <f t="shared" si="127"/>
        <v>TX-Yes</v>
      </c>
      <c r="J375" t="str">
        <f t="shared" si="128"/>
        <v>TX-Yes</v>
      </c>
      <c r="K375" t="str">
        <f t="shared" si="133"/>
        <v/>
      </c>
      <c r="L375" t="str">
        <f t="shared" si="132"/>
        <v/>
      </c>
      <c r="M375">
        <v>2004</v>
      </c>
      <c r="N375" s="242">
        <v>2</v>
      </c>
      <c r="O375" s="415">
        <v>0</v>
      </c>
      <c r="P375" s="416">
        <v>130020</v>
      </c>
      <c r="Q375" s="228">
        <f t="shared" si="125"/>
        <v>16711</v>
      </c>
      <c r="R375" s="423">
        <v>146731</v>
      </c>
      <c r="S375" s="239"/>
      <c r="T375" s="231">
        <f t="shared" si="129"/>
        <v>130020</v>
      </c>
      <c r="U375" s="231">
        <f t="shared" si="126"/>
        <v>16711</v>
      </c>
      <c r="V375" s="232">
        <f t="shared" si="130"/>
        <v>1</v>
      </c>
      <c r="W375" s="233">
        <f t="shared" si="119"/>
        <v>0.88611131935310194</v>
      </c>
      <c r="X375" s="234" t="str">
        <f t="shared" si="120"/>
        <v>TX-Yes</v>
      </c>
      <c r="Y375" s="235" t="str">
        <f t="shared" si="121"/>
        <v>TX-Rep</v>
      </c>
      <c r="Z375" s="236" t="str">
        <f>B375&amp;"-"&amp;IF(V375&gt;Instructions!$H$14,Instructions!$I$14,IF(V375&gt;Instructions!$H$15,Instructions!$I$15,IF(V375&gt;Instructions!$H$16,Instructions!$I$16,IF(V375&gt;Instructions!$H$17,Instructions!$I$17,Instructions!$I$18))))</f>
        <v>TX-No contest</v>
      </c>
      <c r="AA375" s="237">
        <f t="shared" si="122"/>
        <v>0</v>
      </c>
      <c r="AB375" s="237">
        <f t="shared" si="123"/>
        <v>0</v>
      </c>
      <c r="AC375" s="238">
        <f t="shared" si="124"/>
        <v>16711</v>
      </c>
      <c r="AD375" s="389">
        <f t="shared" si="131"/>
        <v>16711</v>
      </c>
    </row>
    <row r="376" spans="1:31">
      <c r="A376" s="225" t="s">
        <v>108</v>
      </c>
      <c r="B376" s="226" t="s">
        <v>42</v>
      </c>
      <c r="C376" s="426" t="s">
        <v>690</v>
      </c>
      <c r="D376"/>
      <c r="E376"/>
      <c r="F376"/>
      <c r="G376"/>
      <c r="H376"/>
      <c r="I376" t="str">
        <f t="shared" si="127"/>
        <v>TX-Yes</v>
      </c>
      <c r="J376" t="str">
        <f t="shared" si="128"/>
        <v>TX-Yes</v>
      </c>
      <c r="K376" t="str">
        <f t="shared" si="133"/>
        <v/>
      </c>
      <c r="L376" t="str">
        <f t="shared" si="132"/>
        <v/>
      </c>
      <c r="M376">
        <v>1991</v>
      </c>
      <c r="N376" s="242">
        <v>3</v>
      </c>
      <c r="O376" s="415">
        <v>47848</v>
      </c>
      <c r="P376" s="416">
        <v>101180</v>
      </c>
      <c r="Q376" s="228">
        <f t="shared" si="125"/>
        <v>3624</v>
      </c>
      <c r="R376" s="423">
        <v>152652</v>
      </c>
      <c r="S376" s="239"/>
      <c r="T376" s="231">
        <f t="shared" si="129"/>
        <v>101180</v>
      </c>
      <c r="U376" s="231">
        <f t="shared" si="126"/>
        <v>47848</v>
      </c>
      <c r="V376" s="232">
        <f t="shared" si="130"/>
        <v>0.35786563598786802</v>
      </c>
      <c r="W376" s="233">
        <f t="shared" si="119"/>
        <v>0.66281476823100904</v>
      </c>
      <c r="X376" s="234" t="str">
        <f t="shared" si="120"/>
        <v>TX-No</v>
      </c>
      <c r="Y376" s="235" t="str">
        <f t="shared" si="121"/>
        <v>TX-Rep</v>
      </c>
      <c r="Z376" s="236" t="str">
        <f>B376&amp;"-"&amp;IF(V376&gt;Instructions!$H$14,Instructions!$I$14,IF(V376&gt;Instructions!$H$15,Instructions!$I$15,IF(V376&gt;Instructions!$H$16,Instructions!$I$16,IF(V376&gt;Instructions!$H$17,Instructions!$I$17,Instructions!$I$18))))</f>
        <v>TX-Landslide</v>
      </c>
      <c r="AA376" s="237">
        <f t="shared" si="122"/>
        <v>47848</v>
      </c>
      <c r="AB376" s="237">
        <f t="shared" si="123"/>
        <v>0</v>
      </c>
      <c r="AC376" s="238">
        <f t="shared" si="124"/>
        <v>3624</v>
      </c>
      <c r="AD376" s="389">
        <f t="shared" si="131"/>
        <v>51472</v>
      </c>
    </row>
    <row r="377" spans="1:31">
      <c r="A377" s="225" t="s">
        <v>108</v>
      </c>
      <c r="B377" s="226" t="s">
        <v>42</v>
      </c>
      <c r="C377" s="426" t="s">
        <v>691</v>
      </c>
      <c r="D377"/>
      <c r="E377"/>
      <c r="F377"/>
      <c r="G377"/>
      <c r="H377"/>
      <c r="I377" t="str">
        <f t="shared" si="127"/>
        <v>TX-Yes</v>
      </c>
      <c r="J377" t="str">
        <f t="shared" si="128"/>
        <v>TX-Yes</v>
      </c>
      <c r="K377" t="str">
        <f t="shared" si="133"/>
        <v/>
      </c>
      <c r="L377" t="str">
        <f t="shared" si="132"/>
        <v/>
      </c>
      <c r="M377">
        <v>1980</v>
      </c>
      <c r="N377" s="242">
        <v>4</v>
      </c>
      <c r="O377" s="415">
        <v>40975</v>
      </c>
      <c r="P377" s="416">
        <v>136338</v>
      </c>
      <c r="Q377" s="228">
        <f t="shared" si="125"/>
        <v>8973</v>
      </c>
      <c r="R377" s="423">
        <v>186286</v>
      </c>
      <c r="S377" s="239"/>
      <c r="T377" s="231">
        <f t="shared" si="129"/>
        <v>136338</v>
      </c>
      <c r="U377" s="231">
        <f t="shared" si="126"/>
        <v>40975</v>
      </c>
      <c r="V377" s="232">
        <f t="shared" si="130"/>
        <v>0.5378229458640934</v>
      </c>
      <c r="W377" s="233">
        <f t="shared" ref="W377:W442" si="134">T377/R377</f>
        <v>0.73187464436404237</v>
      </c>
      <c r="X377" s="234" t="str">
        <f t="shared" ref="X377:X441" si="135">B377&amp;"-"&amp;IF(O377*P377=0,"Yes","No")</f>
        <v>TX-No</v>
      </c>
      <c r="Y377" s="235" t="str">
        <f t="shared" ref="Y377:Y441" si="136">B377&amp;"-"&amp;IF(Q377=MAX(O377:Q377),"Other",IF(P377&gt;O377,"Rep","Dem"))</f>
        <v>TX-Rep</v>
      </c>
      <c r="Z377" s="236" t="str">
        <f>B377&amp;"-"&amp;IF(V377&gt;Instructions!$H$14,Instructions!$I$14,IF(V377&gt;Instructions!$H$15,Instructions!$I$15,IF(V377&gt;Instructions!$H$16,Instructions!$I$16,IF(V377&gt;Instructions!$H$17,Instructions!$I$17,Instructions!$I$18))))</f>
        <v>TX-No contest</v>
      </c>
      <c r="AA377" s="237">
        <f t="shared" ref="AA377:AA441" si="137">IF(T377=O377,0,O377)</f>
        <v>40975</v>
      </c>
      <c r="AB377" s="237">
        <f t="shared" ref="AB377:AB441" si="138">IF(T377=P377,0,P377)</f>
        <v>0</v>
      </c>
      <c r="AC377" s="238">
        <f t="shared" ref="AC377:AC408" si="139">IF(T377=Q377,0,Q377)</f>
        <v>8973</v>
      </c>
      <c r="AD377" s="389">
        <f t="shared" si="131"/>
        <v>49948</v>
      </c>
    </row>
    <row r="378" spans="1:31">
      <c r="A378" s="225" t="s">
        <v>108</v>
      </c>
      <c r="B378" s="226" t="s">
        <v>42</v>
      </c>
      <c r="C378" s="426" t="s">
        <v>692</v>
      </c>
      <c r="D378"/>
      <c r="E378"/>
      <c r="F378"/>
      <c r="G378"/>
      <c r="H378"/>
      <c r="I378" t="str">
        <f t="shared" si="127"/>
        <v>TX-Yes</v>
      </c>
      <c r="J378" t="str">
        <f t="shared" si="128"/>
        <v>TX-Yes</v>
      </c>
      <c r="K378" t="str">
        <f t="shared" si="133"/>
        <v/>
      </c>
      <c r="L378" t="str">
        <f t="shared" si="132"/>
        <v/>
      </c>
      <c r="M378">
        <v>2002</v>
      </c>
      <c r="N378" s="242">
        <v>5</v>
      </c>
      <c r="O378" s="415">
        <v>41649</v>
      </c>
      <c r="P378" s="416">
        <v>106742</v>
      </c>
      <c r="Q378" s="228">
        <f t="shared" si="125"/>
        <v>2958</v>
      </c>
      <c r="R378" s="423">
        <v>151349</v>
      </c>
      <c r="S378" s="239"/>
      <c r="T378" s="231">
        <f t="shared" si="129"/>
        <v>106742</v>
      </c>
      <c r="U378" s="231">
        <f t="shared" si="126"/>
        <v>41649</v>
      </c>
      <c r="V378" s="232">
        <f t="shared" si="130"/>
        <v>0.4386586787608413</v>
      </c>
      <c r="W378" s="233">
        <f t="shared" si="134"/>
        <v>0.70527059973967454</v>
      </c>
      <c r="X378" s="234" t="str">
        <f t="shared" si="135"/>
        <v>TX-No</v>
      </c>
      <c r="Y378" s="235" t="str">
        <f t="shared" si="136"/>
        <v>TX-Rep</v>
      </c>
      <c r="Z378" s="236" t="str">
        <f>B378&amp;"-"&amp;IF(V378&gt;Instructions!$H$14,Instructions!$I$14,IF(V378&gt;Instructions!$H$15,Instructions!$I$15,IF(V378&gt;Instructions!$H$16,Instructions!$I$16,IF(V378&gt;Instructions!$H$17,Instructions!$I$17,Instructions!$I$18))))</f>
        <v>TX-No contest</v>
      </c>
      <c r="AA378" s="237">
        <f t="shared" si="137"/>
        <v>41649</v>
      </c>
      <c r="AB378" s="237">
        <f t="shared" si="138"/>
        <v>0</v>
      </c>
      <c r="AC378" s="238">
        <f t="shared" si="139"/>
        <v>2958</v>
      </c>
      <c r="AD378" s="389">
        <f t="shared" si="131"/>
        <v>44607</v>
      </c>
    </row>
    <row r="379" spans="1:31">
      <c r="A379" s="225" t="s">
        <v>108</v>
      </c>
      <c r="B379" s="226" t="s">
        <v>42</v>
      </c>
      <c r="C379" s="426" t="s">
        <v>693</v>
      </c>
      <c r="D379"/>
      <c r="E379"/>
      <c r="F379"/>
      <c r="G379"/>
      <c r="H379"/>
      <c r="I379" t="str">
        <f t="shared" si="127"/>
        <v>TX-Yes</v>
      </c>
      <c r="J379" t="str">
        <f t="shared" si="128"/>
        <v>TX-Yes</v>
      </c>
      <c r="K379" t="str">
        <f t="shared" si="133"/>
        <v/>
      </c>
      <c r="L379" t="str">
        <f t="shared" si="132"/>
        <v/>
      </c>
      <c r="M379">
        <v>1984</v>
      </c>
      <c r="N379" s="242">
        <v>6</v>
      </c>
      <c r="O379" s="415">
        <v>50683</v>
      </c>
      <c r="P379" s="416">
        <v>107104</v>
      </c>
      <c r="Q379" s="228">
        <f t="shared" si="125"/>
        <v>4696</v>
      </c>
      <c r="R379" s="423">
        <v>162483</v>
      </c>
      <c r="S379" s="239"/>
      <c r="T379" s="231">
        <f t="shared" si="129"/>
        <v>107104</v>
      </c>
      <c r="U379" s="231">
        <f t="shared" si="126"/>
        <v>50683</v>
      </c>
      <c r="V379" s="232">
        <f t="shared" si="130"/>
        <v>0.3575769866972564</v>
      </c>
      <c r="W379" s="233">
        <f t="shared" si="134"/>
        <v>0.65917049783669679</v>
      </c>
      <c r="X379" s="234" t="str">
        <f t="shared" si="135"/>
        <v>TX-No</v>
      </c>
      <c r="Y379" s="235" t="str">
        <f t="shared" si="136"/>
        <v>TX-Rep</v>
      </c>
      <c r="Z379" s="236" t="str">
        <f>B379&amp;"-"&amp;IF(V379&gt;Instructions!$H$14,Instructions!$I$14,IF(V379&gt;Instructions!$H$15,Instructions!$I$15,IF(V379&gt;Instructions!$H$16,Instructions!$I$16,IF(V379&gt;Instructions!$H$17,Instructions!$I$17,Instructions!$I$18))))</f>
        <v>TX-Landslide</v>
      </c>
      <c r="AA379" s="237">
        <f t="shared" si="137"/>
        <v>50683</v>
      </c>
      <c r="AB379" s="237">
        <f t="shared" si="138"/>
        <v>0</v>
      </c>
      <c r="AC379" s="238">
        <f t="shared" si="139"/>
        <v>4696</v>
      </c>
      <c r="AD379" s="389">
        <f t="shared" si="131"/>
        <v>55379</v>
      </c>
    </row>
    <row r="380" spans="1:31">
      <c r="A380" s="225" t="s">
        <v>108</v>
      </c>
      <c r="B380" s="226" t="s">
        <v>42</v>
      </c>
      <c r="C380" s="426" t="s">
        <v>694</v>
      </c>
      <c r="D380"/>
      <c r="E380"/>
      <c r="F380"/>
      <c r="G380"/>
      <c r="H380"/>
      <c r="I380" t="str">
        <f t="shared" si="127"/>
        <v>TX-Yes</v>
      </c>
      <c r="J380" t="str">
        <f t="shared" si="128"/>
        <v>TX-Yes</v>
      </c>
      <c r="K380" t="str">
        <f t="shared" si="133"/>
        <v/>
      </c>
      <c r="L380" t="str">
        <f t="shared" si="132"/>
        <v/>
      </c>
      <c r="M380">
        <v>2000</v>
      </c>
      <c r="N380" s="242">
        <v>7</v>
      </c>
      <c r="O380" s="415">
        <v>0</v>
      </c>
      <c r="P380" s="416">
        <v>143655</v>
      </c>
      <c r="Q380" s="228">
        <f t="shared" si="125"/>
        <v>32723</v>
      </c>
      <c r="R380" s="423">
        <v>176378</v>
      </c>
      <c r="S380" s="239"/>
      <c r="T380" s="231">
        <f t="shared" si="129"/>
        <v>143655</v>
      </c>
      <c r="U380" s="231">
        <f t="shared" si="126"/>
        <v>32723</v>
      </c>
      <c r="V380" s="232">
        <f t="shared" si="130"/>
        <v>1</v>
      </c>
      <c r="W380" s="233">
        <f t="shared" si="134"/>
        <v>0.81447232648062684</v>
      </c>
      <c r="X380" s="234" t="str">
        <f t="shared" si="135"/>
        <v>TX-Yes</v>
      </c>
      <c r="Y380" s="235" t="str">
        <f t="shared" si="136"/>
        <v>TX-Rep</v>
      </c>
      <c r="Z380" s="236" t="str">
        <f>B380&amp;"-"&amp;IF(V380&gt;Instructions!$H$14,Instructions!$I$14,IF(V380&gt;Instructions!$H$15,Instructions!$I$15,IF(V380&gt;Instructions!$H$16,Instructions!$I$16,IF(V380&gt;Instructions!$H$17,Instructions!$I$17,Instructions!$I$18))))</f>
        <v>TX-No contest</v>
      </c>
      <c r="AA380" s="237">
        <f t="shared" si="137"/>
        <v>0</v>
      </c>
      <c r="AB380" s="237">
        <f t="shared" si="138"/>
        <v>0</v>
      </c>
      <c r="AC380" s="238">
        <f t="shared" si="139"/>
        <v>32723</v>
      </c>
      <c r="AD380" s="389">
        <f t="shared" si="131"/>
        <v>32723</v>
      </c>
    </row>
    <row r="381" spans="1:31">
      <c r="A381" s="225" t="s">
        <v>108</v>
      </c>
      <c r="B381" s="226" t="s">
        <v>42</v>
      </c>
      <c r="C381" s="426" t="s">
        <v>695</v>
      </c>
      <c r="D381"/>
      <c r="E381"/>
      <c r="F381"/>
      <c r="G381"/>
      <c r="H381"/>
      <c r="I381" t="str">
        <f t="shared" si="127"/>
        <v>TX-Yes</v>
      </c>
      <c r="J381" t="str">
        <f t="shared" si="128"/>
        <v>TX-Yes</v>
      </c>
      <c r="K381" t="str">
        <f t="shared" si="133"/>
        <v/>
      </c>
      <c r="L381" t="str">
        <f t="shared" si="132"/>
        <v/>
      </c>
      <c r="M381">
        <v>1996</v>
      </c>
      <c r="N381" s="242">
        <v>8</v>
      </c>
      <c r="O381" s="415">
        <v>36566</v>
      </c>
      <c r="P381" s="416">
        <v>161257</v>
      </c>
      <c r="Q381" s="228">
        <f t="shared" si="125"/>
        <v>4975</v>
      </c>
      <c r="R381" s="423">
        <v>202798</v>
      </c>
      <c r="S381" s="239"/>
      <c r="T381" s="231">
        <f t="shared" si="129"/>
        <v>161257</v>
      </c>
      <c r="U381" s="231">
        <f t="shared" si="126"/>
        <v>36566</v>
      </c>
      <c r="V381" s="232">
        <f t="shared" si="130"/>
        <v>0.63031598954621049</v>
      </c>
      <c r="W381" s="233">
        <f t="shared" si="134"/>
        <v>0.79516070178206888</v>
      </c>
      <c r="X381" s="234" t="str">
        <f t="shared" si="135"/>
        <v>TX-No</v>
      </c>
      <c r="Y381" s="235" t="str">
        <f t="shared" si="136"/>
        <v>TX-Rep</v>
      </c>
      <c r="Z381" s="236" t="str">
        <f>B381&amp;"-"&amp;IF(V381&gt;Instructions!$H$14,Instructions!$I$14,IF(V381&gt;Instructions!$H$15,Instructions!$I$15,IF(V381&gt;Instructions!$H$16,Instructions!$I$16,IF(V381&gt;Instructions!$H$17,Instructions!$I$17,Instructions!$I$18))))</f>
        <v>TX-No contest</v>
      </c>
      <c r="AA381" s="237">
        <f t="shared" si="137"/>
        <v>36566</v>
      </c>
      <c r="AB381" s="237">
        <f t="shared" si="138"/>
        <v>0</v>
      </c>
      <c r="AC381" s="238">
        <f t="shared" si="139"/>
        <v>4975</v>
      </c>
      <c r="AD381" s="389">
        <f t="shared" si="131"/>
        <v>41541</v>
      </c>
    </row>
    <row r="382" spans="1:31">
      <c r="A382" s="225" t="s">
        <v>108</v>
      </c>
      <c r="B382" s="226" t="s">
        <v>42</v>
      </c>
      <c r="C382" s="426" t="s">
        <v>696</v>
      </c>
      <c r="D382"/>
      <c r="E382" s="399" t="s">
        <v>800</v>
      </c>
      <c r="F382"/>
      <c r="G382"/>
      <c r="H382"/>
      <c r="I382" t="str">
        <f t="shared" si="127"/>
        <v>TX-Yes</v>
      </c>
      <c r="J382" t="str">
        <f t="shared" si="128"/>
        <v>TX-Yes</v>
      </c>
      <c r="K382" t="str">
        <f t="shared" si="133"/>
        <v/>
      </c>
      <c r="L382" t="str">
        <f t="shared" si="132"/>
        <v/>
      </c>
      <c r="M382">
        <v>2004</v>
      </c>
      <c r="N382" s="242">
        <v>9</v>
      </c>
      <c r="O382" s="415">
        <v>79957</v>
      </c>
      <c r="P382" s="416">
        <v>24157</v>
      </c>
      <c r="Q382" s="228">
        <f t="shared" si="125"/>
        <v>1457</v>
      </c>
      <c r="R382" s="423">
        <v>105571</v>
      </c>
      <c r="S382" s="239"/>
      <c r="T382" s="231">
        <f t="shared" si="129"/>
        <v>79957</v>
      </c>
      <c r="U382" s="231">
        <f t="shared" si="126"/>
        <v>24157</v>
      </c>
      <c r="V382" s="232">
        <f t="shared" si="130"/>
        <v>0.53595097681387704</v>
      </c>
      <c r="W382" s="233">
        <f t="shared" si="134"/>
        <v>0.75737655227287792</v>
      </c>
      <c r="X382" s="234" t="str">
        <f t="shared" si="135"/>
        <v>TX-No</v>
      </c>
      <c r="Y382" s="235" t="str">
        <f t="shared" si="136"/>
        <v>TX-Dem</v>
      </c>
      <c r="Z382" s="236" t="str">
        <f>B382&amp;"-"&amp;IF(V382&gt;Instructions!$H$14,Instructions!$I$14,IF(V382&gt;Instructions!$H$15,Instructions!$I$15,IF(V382&gt;Instructions!$H$16,Instructions!$I$16,IF(V382&gt;Instructions!$H$17,Instructions!$I$17,Instructions!$I$18))))</f>
        <v>TX-No contest</v>
      </c>
      <c r="AA382" s="237">
        <f t="shared" si="137"/>
        <v>0</v>
      </c>
      <c r="AB382" s="237">
        <f t="shared" si="138"/>
        <v>24157</v>
      </c>
      <c r="AC382" s="238">
        <f t="shared" si="139"/>
        <v>1457</v>
      </c>
      <c r="AD382" s="389">
        <f t="shared" si="131"/>
        <v>25614</v>
      </c>
    </row>
    <row r="383" spans="1:31">
      <c r="A383" s="225" t="s">
        <v>108</v>
      </c>
      <c r="B383" s="226" t="s">
        <v>42</v>
      </c>
      <c r="C383" t="s">
        <v>697</v>
      </c>
      <c r="D383"/>
      <c r="E383"/>
      <c r="F383"/>
      <c r="G383"/>
      <c r="H383"/>
      <c r="I383" t="str">
        <f t="shared" si="127"/>
        <v>TX-Yes</v>
      </c>
      <c r="J383" t="str">
        <f t="shared" si="128"/>
        <v>TX-Yes</v>
      </c>
      <c r="K383" t="str">
        <f t="shared" si="133"/>
        <v/>
      </c>
      <c r="L383" t="str">
        <f t="shared" si="132"/>
        <v/>
      </c>
      <c r="M383">
        <v>2004</v>
      </c>
      <c r="N383" s="242">
        <v>10</v>
      </c>
      <c r="O383" s="415">
        <v>73934</v>
      </c>
      <c r="P383" s="416">
        <v>144774</v>
      </c>
      <c r="Q383" s="228">
        <f t="shared" si="125"/>
        <v>5091</v>
      </c>
      <c r="R383" s="423">
        <v>223799</v>
      </c>
      <c r="S383" s="239"/>
      <c r="T383" s="231">
        <f t="shared" si="129"/>
        <v>144774</v>
      </c>
      <c r="U383" s="231">
        <f t="shared" si="126"/>
        <v>73934</v>
      </c>
      <c r="V383" s="232">
        <f t="shared" si="130"/>
        <v>0.32390218922033032</v>
      </c>
      <c r="W383" s="233">
        <f t="shared" si="134"/>
        <v>0.64689297092480302</v>
      </c>
      <c r="X383" s="234" t="str">
        <f t="shared" si="135"/>
        <v>TX-No</v>
      </c>
      <c r="Y383" s="235" t="str">
        <f t="shared" si="136"/>
        <v>TX-Rep</v>
      </c>
      <c r="Z383" s="236" t="str">
        <f>B383&amp;"-"&amp;IF(V383&gt;Instructions!$H$14,Instructions!$I$14,IF(V383&gt;Instructions!$H$15,Instructions!$I$15,IF(V383&gt;Instructions!$H$16,Instructions!$I$16,IF(V383&gt;Instructions!$H$17,Instructions!$I$17,Instructions!$I$18))))</f>
        <v>TX-Landslide</v>
      </c>
      <c r="AA383" s="237">
        <f t="shared" si="137"/>
        <v>73934</v>
      </c>
      <c r="AB383" s="237">
        <f t="shared" si="138"/>
        <v>0</v>
      </c>
      <c r="AC383" s="238">
        <f t="shared" si="139"/>
        <v>5091</v>
      </c>
      <c r="AD383" s="389">
        <f t="shared" si="131"/>
        <v>79025</v>
      </c>
    </row>
    <row r="384" spans="1:31">
      <c r="A384" s="225" t="s">
        <v>108</v>
      </c>
      <c r="B384" s="226" t="s">
        <v>42</v>
      </c>
      <c r="C384" s="426" t="s">
        <v>698</v>
      </c>
      <c r="D384"/>
      <c r="E384"/>
      <c r="F384"/>
      <c r="G384"/>
      <c r="H384"/>
      <c r="I384" t="str">
        <f t="shared" si="127"/>
        <v>TX-Yes</v>
      </c>
      <c r="J384" t="str">
        <f t="shared" si="128"/>
        <v>TX-Yes</v>
      </c>
      <c r="K384" t="str">
        <f t="shared" si="133"/>
        <v/>
      </c>
      <c r="L384" t="str">
        <f t="shared" si="132"/>
        <v/>
      </c>
      <c r="M384">
        <v>2004</v>
      </c>
      <c r="N384" s="242">
        <v>11</v>
      </c>
      <c r="O384" s="415">
        <v>23939</v>
      </c>
      <c r="P384" s="416">
        <v>125354</v>
      </c>
      <c r="Q384" s="228">
        <f t="shared" si="125"/>
        <v>5768</v>
      </c>
      <c r="R384" s="423">
        <v>155061</v>
      </c>
      <c r="S384" s="239"/>
      <c r="T384" s="231">
        <f t="shared" si="129"/>
        <v>125354</v>
      </c>
      <c r="U384" s="231">
        <f t="shared" si="126"/>
        <v>23939</v>
      </c>
      <c r="V384" s="232">
        <f t="shared" si="130"/>
        <v>0.67930177570281258</v>
      </c>
      <c r="W384" s="233">
        <f t="shared" si="134"/>
        <v>0.808417332533648</v>
      </c>
      <c r="X384" s="234" t="str">
        <f t="shared" si="135"/>
        <v>TX-No</v>
      </c>
      <c r="Y384" s="235" t="str">
        <f t="shared" si="136"/>
        <v>TX-Rep</v>
      </c>
      <c r="Z384" s="236" t="str">
        <f>B384&amp;"-"&amp;IF(V384&gt;Instructions!$H$14,Instructions!$I$14,IF(V384&gt;Instructions!$H$15,Instructions!$I$15,IF(V384&gt;Instructions!$H$16,Instructions!$I$16,IF(V384&gt;Instructions!$H$17,Instructions!$I$17,Instructions!$I$18))))</f>
        <v>TX-No contest</v>
      </c>
      <c r="AA384" s="237">
        <f t="shared" si="137"/>
        <v>23939</v>
      </c>
      <c r="AB384" s="237">
        <f t="shared" si="138"/>
        <v>0</v>
      </c>
      <c r="AC384" s="238">
        <f t="shared" si="139"/>
        <v>5768</v>
      </c>
      <c r="AD384" s="389">
        <f t="shared" si="131"/>
        <v>29707</v>
      </c>
    </row>
    <row r="385" spans="1:30">
      <c r="A385" s="225" t="s">
        <v>108</v>
      </c>
      <c r="B385" s="226" t="s">
        <v>42</v>
      </c>
      <c r="C385" s="426" t="s">
        <v>699</v>
      </c>
      <c r="D385" s="399" t="s">
        <v>800</v>
      </c>
      <c r="E385"/>
      <c r="F385"/>
      <c r="G385"/>
      <c r="H385"/>
      <c r="I385" t="str">
        <f t="shared" si="127"/>
        <v>TX-Yes</v>
      </c>
      <c r="J385" t="str">
        <f t="shared" si="128"/>
        <v>TX-Yes</v>
      </c>
      <c r="K385" t="str">
        <f t="shared" si="133"/>
        <v/>
      </c>
      <c r="L385" t="str">
        <f t="shared" si="132"/>
        <v/>
      </c>
      <c r="M385">
        <v>1996</v>
      </c>
      <c r="N385" s="242">
        <v>12</v>
      </c>
      <c r="O385" s="415">
        <v>38403</v>
      </c>
      <c r="P385" s="416">
        <v>109766</v>
      </c>
      <c r="Q385" s="228">
        <f t="shared" si="125"/>
        <v>4598</v>
      </c>
      <c r="R385" s="423">
        <v>152767</v>
      </c>
      <c r="S385" s="239"/>
      <c r="T385" s="231">
        <f t="shared" si="129"/>
        <v>109766</v>
      </c>
      <c r="U385" s="231">
        <f t="shared" si="126"/>
        <v>38403</v>
      </c>
      <c r="V385" s="232">
        <f t="shared" si="130"/>
        <v>0.48163246023122247</v>
      </c>
      <c r="W385" s="233">
        <f t="shared" si="134"/>
        <v>0.71851905188947873</v>
      </c>
      <c r="X385" s="234" t="str">
        <f t="shared" si="135"/>
        <v>TX-No</v>
      </c>
      <c r="Y385" s="235" t="str">
        <f t="shared" si="136"/>
        <v>TX-Rep</v>
      </c>
      <c r="Z385" s="236" t="str">
        <f>B385&amp;"-"&amp;IF(V385&gt;Instructions!$H$14,Instructions!$I$14,IF(V385&gt;Instructions!$H$15,Instructions!$I$15,IF(V385&gt;Instructions!$H$16,Instructions!$I$16,IF(V385&gt;Instructions!$H$17,Instructions!$I$17,Instructions!$I$18))))</f>
        <v>TX-No contest</v>
      </c>
      <c r="AA385" s="237">
        <f t="shared" si="137"/>
        <v>38403</v>
      </c>
      <c r="AB385" s="237">
        <f t="shared" si="138"/>
        <v>0</v>
      </c>
      <c r="AC385" s="238">
        <f t="shared" si="139"/>
        <v>4598</v>
      </c>
      <c r="AD385" s="389">
        <f t="shared" si="131"/>
        <v>43001</v>
      </c>
    </row>
    <row r="386" spans="1:30">
      <c r="A386" s="225" t="s">
        <v>108</v>
      </c>
      <c r="B386" s="226" t="s">
        <v>42</v>
      </c>
      <c r="C386" s="426" t="s">
        <v>700</v>
      </c>
      <c r="D386"/>
      <c r="E386"/>
      <c r="F386"/>
      <c r="G386"/>
      <c r="H386"/>
      <c r="I386" t="str">
        <f t="shared" si="127"/>
        <v>TX-Yes</v>
      </c>
      <c r="J386" t="str">
        <f t="shared" si="128"/>
        <v>TX-Yes</v>
      </c>
      <c r="K386" t="str">
        <f t="shared" si="133"/>
        <v/>
      </c>
      <c r="L386" t="str">
        <f t="shared" si="132"/>
        <v/>
      </c>
      <c r="M386">
        <v>1994</v>
      </c>
      <c r="N386" s="242">
        <v>13</v>
      </c>
      <c r="O386" s="415">
        <v>0</v>
      </c>
      <c r="P386" s="416">
        <v>113201</v>
      </c>
      <c r="Q386" s="228">
        <f t="shared" si="125"/>
        <v>16842</v>
      </c>
      <c r="R386" s="423">
        <v>130043</v>
      </c>
      <c r="S386" s="239"/>
      <c r="T386" s="231">
        <f t="shared" si="129"/>
        <v>113201</v>
      </c>
      <c r="U386" s="231">
        <f t="shared" si="126"/>
        <v>16842</v>
      </c>
      <c r="V386" s="232">
        <f t="shared" si="130"/>
        <v>1</v>
      </c>
      <c r="W386" s="233">
        <f t="shared" si="134"/>
        <v>0.87048899210261221</v>
      </c>
      <c r="X386" s="234" t="str">
        <f t="shared" si="135"/>
        <v>TX-Yes</v>
      </c>
      <c r="Y386" s="235" t="str">
        <f t="shared" si="136"/>
        <v>TX-Rep</v>
      </c>
      <c r="Z386" s="236" t="str">
        <f>B386&amp;"-"&amp;IF(V386&gt;Instructions!$H$14,Instructions!$I$14,IF(V386&gt;Instructions!$H$15,Instructions!$I$15,IF(V386&gt;Instructions!$H$16,Instructions!$I$16,IF(V386&gt;Instructions!$H$17,Instructions!$I$17,Instructions!$I$18))))</f>
        <v>TX-No contest</v>
      </c>
      <c r="AA386" s="237">
        <f t="shared" si="137"/>
        <v>0</v>
      </c>
      <c r="AB386" s="237">
        <f t="shared" si="138"/>
        <v>0</v>
      </c>
      <c r="AC386" s="238">
        <f t="shared" si="139"/>
        <v>16842</v>
      </c>
      <c r="AD386" s="389">
        <f t="shared" si="131"/>
        <v>16842</v>
      </c>
    </row>
    <row r="387" spans="1:30">
      <c r="A387" s="225" t="s">
        <v>108</v>
      </c>
      <c r="B387" s="226" t="s">
        <v>42</v>
      </c>
      <c r="C387" s="426" t="s">
        <v>701</v>
      </c>
      <c r="D387"/>
      <c r="E387"/>
      <c r="F387"/>
      <c r="G387"/>
      <c r="H387"/>
      <c r="I387" t="str">
        <f t="shared" si="127"/>
        <v>TX-Yes</v>
      </c>
      <c r="J387" t="str">
        <f t="shared" si="128"/>
        <v>TX-Yes</v>
      </c>
      <c r="K387" t="str">
        <f t="shared" si="133"/>
        <v/>
      </c>
      <c r="L387" t="str">
        <f t="shared" si="132"/>
        <v/>
      </c>
      <c r="M387">
        <v>1996</v>
      </c>
      <c r="N387" s="242">
        <v>14</v>
      </c>
      <c r="O387" s="415">
        <v>44345</v>
      </c>
      <c r="P387" s="416">
        <v>140441</v>
      </c>
      <c r="Q387" s="228">
        <f t="shared" si="125"/>
        <v>0</v>
      </c>
      <c r="R387" s="423">
        <v>184786</v>
      </c>
      <c r="S387" s="239"/>
      <c r="T387" s="231">
        <f t="shared" si="129"/>
        <v>140441</v>
      </c>
      <c r="U387" s="231">
        <f t="shared" si="126"/>
        <v>44345</v>
      </c>
      <c r="V387" s="232">
        <f t="shared" si="130"/>
        <v>0.52003939692400936</v>
      </c>
      <c r="W387" s="233">
        <f t="shared" si="134"/>
        <v>0.76001969846200468</v>
      </c>
      <c r="X387" s="234" t="str">
        <f t="shared" si="135"/>
        <v>TX-No</v>
      </c>
      <c r="Y387" s="235" t="str">
        <f t="shared" si="136"/>
        <v>TX-Rep</v>
      </c>
      <c r="Z387" s="236" t="str">
        <f>B387&amp;"-"&amp;IF(V387&gt;Instructions!$H$14,Instructions!$I$14,IF(V387&gt;Instructions!$H$15,Instructions!$I$15,IF(V387&gt;Instructions!$H$16,Instructions!$I$16,IF(V387&gt;Instructions!$H$17,Instructions!$I$17,Instructions!$I$18))))</f>
        <v>TX-No contest</v>
      </c>
      <c r="AA387" s="237">
        <f t="shared" si="137"/>
        <v>44345</v>
      </c>
      <c r="AB387" s="237">
        <f t="shared" si="138"/>
        <v>0</v>
      </c>
      <c r="AC387" s="238">
        <f t="shared" si="139"/>
        <v>0</v>
      </c>
      <c r="AD387" s="389">
        <f t="shared" si="131"/>
        <v>44345</v>
      </c>
    </row>
    <row r="388" spans="1:30">
      <c r="A388" s="225" t="s">
        <v>108</v>
      </c>
      <c r="B388" s="226" t="s">
        <v>42</v>
      </c>
      <c r="C388" t="s">
        <v>702</v>
      </c>
      <c r="D388"/>
      <c r="E388"/>
      <c r="F388" s="399" t="s">
        <v>800</v>
      </c>
      <c r="G388"/>
      <c r="H388"/>
      <c r="I388" t="str">
        <f t="shared" si="127"/>
        <v>TX-Yes</v>
      </c>
      <c r="J388" t="str">
        <f t="shared" si="128"/>
        <v>TX-Yes</v>
      </c>
      <c r="K388" t="str">
        <f t="shared" si="133"/>
        <v/>
      </c>
      <c r="L388" t="str">
        <f t="shared" si="132"/>
        <v/>
      </c>
      <c r="M388">
        <v>1996</v>
      </c>
      <c r="N388" s="242">
        <v>15</v>
      </c>
      <c r="O388" s="415">
        <v>53373</v>
      </c>
      <c r="P388" s="416">
        <v>39893</v>
      </c>
      <c r="Q388" s="228">
        <f t="shared" si="125"/>
        <v>2568</v>
      </c>
      <c r="R388" s="423">
        <v>95834</v>
      </c>
      <c r="S388" s="239"/>
      <c r="T388" s="231">
        <f t="shared" si="129"/>
        <v>53373</v>
      </c>
      <c r="U388" s="231">
        <f t="shared" si="126"/>
        <v>39893</v>
      </c>
      <c r="V388" s="232">
        <f t="shared" si="130"/>
        <v>0.14453284154997534</v>
      </c>
      <c r="W388" s="233">
        <f t="shared" si="134"/>
        <v>0.5569317778658931</v>
      </c>
      <c r="X388" s="234" t="str">
        <f t="shared" si="135"/>
        <v>TX-No</v>
      </c>
      <c r="Y388" s="235" t="str">
        <f t="shared" si="136"/>
        <v>TX-Dem</v>
      </c>
      <c r="Z388" s="236" t="str">
        <f>B388&amp;"-"&amp;IF(V388&gt;Instructions!$H$14,Instructions!$I$14,IF(V388&gt;Instructions!$H$15,Instructions!$I$15,IF(V388&gt;Instructions!$H$16,Instructions!$I$16,IF(V388&gt;Instructions!$H$17,Instructions!$I$17,Instructions!$I$18))))</f>
        <v>TX-Opportunity</v>
      </c>
      <c r="AA388" s="237">
        <f t="shared" si="137"/>
        <v>0</v>
      </c>
      <c r="AB388" s="237">
        <f t="shared" si="138"/>
        <v>39893</v>
      </c>
      <c r="AC388" s="238">
        <f t="shared" si="139"/>
        <v>2568</v>
      </c>
      <c r="AD388" s="389">
        <f t="shared" si="131"/>
        <v>42461</v>
      </c>
    </row>
    <row r="389" spans="1:30">
      <c r="A389" s="225" t="s">
        <v>108</v>
      </c>
      <c r="B389" s="226" t="s">
        <v>42</v>
      </c>
      <c r="C389" s="426" t="s">
        <v>703</v>
      </c>
      <c r="D389"/>
      <c r="E389"/>
      <c r="F389" s="399" t="s">
        <v>800</v>
      </c>
      <c r="G389"/>
      <c r="H389"/>
      <c r="I389" t="str">
        <f t="shared" si="127"/>
        <v>TX-Yes</v>
      </c>
      <c r="J389" t="str">
        <f t="shared" si="128"/>
        <v>TX-Yes</v>
      </c>
      <c r="K389" t="str">
        <f t="shared" si="133"/>
        <v/>
      </c>
      <c r="L389" t="str">
        <f t="shared" si="132"/>
        <v/>
      </c>
      <c r="M389">
        <v>1996</v>
      </c>
      <c r="N389" s="242">
        <v>16</v>
      </c>
      <c r="O389" s="415">
        <v>49242</v>
      </c>
      <c r="P389" s="416">
        <v>30983</v>
      </c>
      <c r="Q389" s="228">
        <f t="shared" si="125"/>
        <v>4637</v>
      </c>
      <c r="R389" s="423">
        <v>84862</v>
      </c>
      <c r="S389" s="239"/>
      <c r="T389" s="231">
        <f t="shared" si="129"/>
        <v>49242</v>
      </c>
      <c r="U389" s="231">
        <f t="shared" si="126"/>
        <v>30983</v>
      </c>
      <c r="V389" s="232">
        <f t="shared" si="130"/>
        <v>0.22759738236210658</v>
      </c>
      <c r="W389" s="245">
        <f t="shared" si="134"/>
        <v>0.58025971577384461</v>
      </c>
      <c r="X389" s="246" t="str">
        <f t="shared" si="135"/>
        <v>TX-No</v>
      </c>
      <c r="Y389" s="235" t="str">
        <f t="shared" si="136"/>
        <v>TX-Dem</v>
      </c>
      <c r="Z389" s="236" t="str">
        <f>B389&amp;"-"&amp;IF(V389&gt;Instructions!$H$14,Instructions!$I$14,IF(V389&gt;Instructions!$H$15,Instructions!$I$15,IF(V389&gt;Instructions!$H$16,Instructions!$I$16,IF(V389&gt;Instructions!$H$17,Instructions!$I$17,Instructions!$I$18))))</f>
        <v>TX-Landslide</v>
      </c>
      <c r="AA389" s="237">
        <f t="shared" si="137"/>
        <v>0</v>
      </c>
      <c r="AB389" s="237">
        <f t="shared" si="138"/>
        <v>30983</v>
      </c>
      <c r="AC389" s="238">
        <f t="shared" si="139"/>
        <v>4637</v>
      </c>
      <c r="AD389" s="389">
        <f t="shared" si="131"/>
        <v>35620</v>
      </c>
    </row>
    <row r="390" spans="1:30">
      <c r="A390" s="225" t="s">
        <v>108</v>
      </c>
      <c r="B390" s="226" t="s">
        <v>42</v>
      </c>
      <c r="C390" t="s">
        <v>704</v>
      </c>
      <c r="D390"/>
      <c r="E390"/>
      <c r="F390" s="399" t="s">
        <v>800</v>
      </c>
      <c r="G390"/>
      <c r="H390"/>
      <c r="I390" t="str">
        <f t="shared" si="127"/>
        <v>TX-Yes</v>
      </c>
      <c r="J390" t="str">
        <f t="shared" si="128"/>
        <v>TX-No</v>
      </c>
      <c r="K390">
        <f t="shared" ref="K390:K441" si="140">IF(M390=2010, 1, "")</f>
        <v>1</v>
      </c>
      <c r="L390" t="str">
        <f>B390&amp;"-"&amp;IF(M390=2010, 1, "")</f>
        <v>TX-1</v>
      </c>
      <c r="M390">
        <v>2010</v>
      </c>
      <c r="N390" s="242">
        <v>17</v>
      </c>
      <c r="O390" s="415">
        <v>62926</v>
      </c>
      <c r="P390" s="416">
        <v>106275</v>
      </c>
      <c r="Q390" s="228">
        <f t="shared" si="125"/>
        <v>2787</v>
      </c>
      <c r="R390" s="423">
        <v>171988</v>
      </c>
      <c r="S390" s="239"/>
      <c r="T390" s="231">
        <f t="shared" si="129"/>
        <v>106275</v>
      </c>
      <c r="U390" s="231">
        <f t="shared" si="126"/>
        <v>62926</v>
      </c>
      <c r="V390" s="232">
        <f t="shared" si="130"/>
        <v>0.25619824941932967</v>
      </c>
      <c r="W390" s="233">
        <f t="shared" si="134"/>
        <v>0.61792101774542407</v>
      </c>
      <c r="X390" s="234" t="str">
        <f t="shared" si="135"/>
        <v>TX-No</v>
      </c>
      <c r="Y390" s="235" t="str">
        <f t="shared" si="136"/>
        <v>TX-Rep</v>
      </c>
      <c r="Z390" s="236" t="str">
        <f>B390&amp;"-"&amp;IF(V390&gt;Instructions!$H$14,Instructions!$I$14,IF(V390&gt;Instructions!$H$15,Instructions!$I$15,IF(V390&gt;Instructions!$H$16,Instructions!$I$16,IF(V390&gt;Instructions!$H$17,Instructions!$I$17,Instructions!$I$18))))</f>
        <v>TX-Landslide</v>
      </c>
      <c r="AA390" s="237">
        <f t="shared" si="137"/>
        <v>62926</v>
      </c>
      <c r="AB390" s="237">
        <f t="shared" si="138"/>
        <v>0</v>
      </c>
      <c r="AC390" s="238">
        <f t="shared" si="139"/>
        <v>2787</v>
      </c>
      <c r="AD390" s="389">
        <f t="shared" si="131"/>
        <v>65713</v>
      </c>
    </row>
    <row r="391" spans="1:30">
      <c r="A391" s="225" t="s">
        <v>108</v>
      </c>
      <c r="B391" s="226" t="s">
        <v>42</v>
      </c>
      <c r="C391" s="426" t="s">
        <v>705</v>
      </c>
      <c r="D391" s="399" t="s">
        <v>800</v>
      </c>
      <c r="E391" s="399" t="s">
        <v>800</v>
      </c>
      <c r="F391"/>
      <c r="G391"/>
      <c r="H391"/>
      <c r="I391" t="str">
        <f t="shared" si="127"/>
        <v>TX-Yes</v>
      </c>
      <c r="J391" t="str">
        <f t="shared" si="128"/>
        <v>TX-Yes</v>
      </c>
      <c r="K391" t="str">
        <f t="shared" si="140"/>
        <v/>
      </c>
      <c r="L391" t="str">
        <f t="shared" si="132"/>
        <v/>
      </c>
      <c r="M391">
        <v>1994</v>
      </c>
      <c r="N391" s="242">
        <v>18</v>
      </c>
      <c r="O391" s="415">
        <v>84972</v>
      </c>
      <c r="P391" s="416">
        <v>33024</v>
      </c>
      <c r="Q391" s="228">
        <f t="shared" ref="Q391:Q441" si="141">R391-P391-O391</f>
        <v>3140</v>
      </c>
      <c r="R391" s="423">
        <v>121136</v>
      </c>
      <c r="S391" s="239"/>
      <c r="T391" s="231">
        <f t="shared" si="129"/>
        <v>84972</v>
      </c>
      <c r="U391" s="231">
        <f t="shared" ref="U391:U441" si="142">IF(Q391=MAX(O391:Q391),MAX(O391:P391),IF(P391&gt;O391,MAX(O391,Q391),MAX(P391,Q391)))</f>
        <v>33024</v>
      </c>
      <c r="V391" s="232">
        <f t="shared" si="130"/>
        <v>0.44025221193938779</v>
      </c>
      <c r="W391" s="233">
        <f t="shared" si="134"/>
        <v>0.70145951657641004</v>
      </c>
      <c r="X391" s="234" t="str">
        <f t="shared" si="135"/>
        <v>TX-No</v>
      </c>
      <c r="Y391" s="235" t="str">
        <f t="shared" si="136"/>
        <v>TX-Dem</v>
      </c>
      <c r="Z391" s="236" t="str">
        <f>B391&amp;"-"&amp;IF(V391&gt;Instructions!$H$14,Instructions!$I$14,IF(V391&gt;Instructions!$H$15,Instructions!$I$15,IF(V391&gt;Instructions!$H$16,Instructions!$I$16,IF(V391&gt;Instructions!$H$17,Instructions!$I$17,Instructions!$I$18))))</f>
        <v>TX-No contest</v>
      </c>
      <c r="AA391" s="237">
        <f t="shared" si="137"/>
        <v>0</v>
      </c>
      <c r="AB391" s="237">
        <f t="shared" si="138"/>
        <v>33024</v>
      </c>
      <c r="AC391" s="238">
        <f t="shared" si="139"/>
        <v>3140</v>
      </c>
      <c r="AD391" s="389">
        <f t="shared" si="131"/>
        <v>36164</v>
      </c>
    </row>
    <row r="392" spans="1:30">
      <c r="A392" s="225" t="s">
        <v>108</v>
      </c>
      <c r="B392" s="226" t="s">
        <v>42</v>
      </c>
      <c r="C392" s="426" t="s">
        <v>706</v>
      </c>
      <c r="D392"/>
      <c r="E392"/>
      <c r="F392"/>
      <c r="G392"/>
      <c r="H392"/>
      <c r="I392" t="str">
        <f t="shared" ref="I392:I441" si="143">B392&amp;"-"&amp;IF(K392=1, "Yes", IF(K392="", "Yes", IF(K392=0, "No")))</f>
        <v>TX-Yes</v>
      </c>
      <c r="J392" t="str">
        <f t="shared" ref="J392:J441" si="144">B392&amp;"-"&amp;IF(K392=1, "No", IF(L392=1, "No", IF(K392="", "Yes", IF(K392=0, "No"))))</f>
        <v>TX-Yes</v>
      </c>
      <c r="K392" t="str">
        <f>IF(M392=2010, 1, "")</f>
        <v/>
      </c>
      <c r="L392" t="str">
        <f t="shared" si="132"/>
        <v/>
      </c>
      <c r="M392">
        <v>2003</v>
      </c>
      <c r="N392" s="242">
        <v>19</v>
      </c>
      <c r="O392" s="415">
        <v>26082</v>
      </c>
      <c r="P392" s="416">
        <v>105818</v>
      </c>
      <c r="Q392" s="228">
        <f t="shared" si="141"/>
        <v>4331</v>
      </c>
      <c r="R392" s="423">
        <v>136231</v>
      </c>
      <c r="S392" s="239"/>
      <c r="T392" s="231">
        <f t="shared" ref="T392:T441" si="145">MAX(O392:Q392)</f>
        <v>105818</v>
      </c>
      <c r="U392" s="231">
        <f t="shared" si="142"/>
        <v>26082</v>
      </c>
      <c r="V392" s="232">
        <f t="shared" ref="V392:V441" si="146">ABS(O392-P392)/(O392+P392)</f>
        <v>0.60451857467778625</v>
      </c>
      <c r="W392" s="233">
        <f t="shared" si="134"/>
        <v>0.77675418957506004</v>
      </c>
      <c r="X392" s="234" t="str">
        <f t="shared" si="135"/>
        <v>TX-No</v>
      </c>
      <c r="Y392" s="235" t="str">
        <f t="shared" si="136"/>
        <v>TX-Rep</v>
      </c>
      <c r="Z392" s="236" t="str">
        <f>B392&amp;"-"&amp;IF(V392&gt;Instructions!$H$14,Instructions!$I$14,IF(V392&gt;Instructions!$H$15,Instructions!$I$15,IF(V392&gt;Instructions!$H$16,Instructions!$I$16,IF(V392&gt;Instructions!$H$17,Instructions!$I$17,Instructions!$I$18))))</f>
        <v>TX-No contest</v>
      </c>
      <c r="AA392" s="237">
        <f t="shared" si="137"/>
        <v>26082</v>
      </c>
      <c r="AB392" s="237">
        <f t="shared" si="138"/>
        <v>0</v>
      </c>
      <c r="AC392" s="238">
        <f t="shared" si="139"/>
        <v>4331</v>
      </c>
      <c r="AD392" s="389">
        <f t="shared" ref="AD392:AD441" si="147">SUM(AA392:AC392)</f>
        <v>30413</v>
      </c>
    </row>
    <row r="393" spans="1:30">
      <c r="A393" s="225" t="s">
        <v>108</v>
      </c>
      <c r="B393" s="226" t="s">
        <v>42</v>
      </c>
      <c r="C393" s="426" t="s">
        <v>707</v>
      </c>
      <c r="D393"/>
      <c r="E393"/>
      <c r="F393" s="399" t="s">
        <v>800</v>
      </c>
      <c r="G393"/>
      <c r="H393"/>
      <c r="I393" t="str">
        <f t="shared" si="143"/>
        <v>TX-Yes</v>
      </c>
      <c r="J393" t="str">
        <f t="shared" si="144"/>
        <v>TX-Yes</v>
      </c>
      <c r="K393" t="str">
        <f t="shared" si="140"/>
        <v/>
      </c>
      <c r="L393" t="str">
        <f>IF(M393=2010, 1, "")</f>
        <v/>
      </c>
      <c r="M393">
        <v>1998</v>
      </c>
      <c r="N393" s="242">
        <v>20</v>
      </c>
      <c r="O393" s="415">
        <v>58551</v>
      </c>
      <c r="P393" s="416">
        <v>31725</v>
      </c>
      <c r="Q393" s="228">
        <f t="shared" si="141"/>
        <v>1779</v>
      </c>
      <c r="R393" s="423">
        <v>92055</v>
      </c>
      <c r="S393" s="239"/>
      <c r="T393" s="231">
        <f t="shared" si="145"/>
        <v>58551</v>
      </c>
      <c r="U393" s="231">
        <f t="shared" si="142"/>
        <v>31725</v>
      </c>
      <c r="V393" s="232">
        <f t="shared" si="146"/>
        <v>0.29715539013691344</v>
      </c>
      <c r="W393" s="245">
        <f t="shared" si="134"/>
        <v>0.6360436695453805</v>
      </c>
      <c r="X393" s="246" t="str">
        <f t="shared" si="135"/>
        <v>TX-No</v>
      </c>
      <c r="Y393" s="235" t="str">
        <f t="shared" si="136"/>
        <v>TX-Dem</v>
      </c>
      <c r="Z393" s="236" t="str">
        <f>B393&amp;"-"&amp;IF(V393&gt;Instructions!$H$14,Instructions!$I$14,IF(V393&gt;Instructions!$H$15,Instructions!$I$15,IF(V393&gt;Instructions!$H$16,Instructions!$I$16,IF(V393&gt;Instructions!$H$17,Instructions!$I$17,Instructions!$I$18))))</f>
        <v>TX-Landslide</v>
      </c>
      <c r="AA393" s="237">
        <f t="shared" si="137"/>
        <v>0</v>
      </c>
      <c r="AB393" s="237">
        <f t="shared" si="138"/>
        <v>31725</v>
      </c>
      <c r="AC393" s="238">
        <f t="shared" si="139"/>
        <v>1779</v>
      </c>
      <c r="AD393" s="389">
        <f t="shared" si="147"/>
        <v>33504</v>
      </c>
    </row>
    <row r="394" spans="1:30">
      <c r="A394" s="225" t="s">
        <v>108</v>
      </c>
      <c r="B394" s="226" t="s">
        <v>42</v>
      </c>
      <c r="C394" s="426" t="s">
        <v>708</v>
      </c>
      <c r="D394"/>
      <c r="E394"/>
      <c r="F394"/>
      <c r="G394"/>
      <c r="H394"/>
      <c r="I394" t="str">
        <f t="shared" si="143"/>
        <v>TX-Yes</v>
      </c>
      <c r="J394" t="str">
        <f t="shared" si="144"/>
        <v>TX-Yes</v>
      </c>
      <c r="K394" t="str">
        <f t="shared" si="140"/>
        <v/>
      </c>
      <c r="L394" t="str">
        <f t="shared" si="132"/>
        <v/>
      </c>
      <c r="M394">
        <v>1986</v>
      </c>
      <c r="N394" s="242">
        <v>21</v>
      </c>
      <c r="O394" s="415">
        <v>65834</v>
      </c>
      <c r="P394" s="416">
        <v>162763</v>
      </c>
      <c r="Q394" s="228">
        <f t="shared" si="141"/>
        <v>7687</v>
      </c>
      <c r="R394" s="423">
        <v>236284</v>
      </c>
      <c r="S394" s="239"/>
      <c r="T394" s="231">
        <f t="shared" si="145"/>
        <v>162763</v>
      </c>
      <c r="U394" s="231">
        <f t="shared" si="142"/>
        <v>65834</v>
      </c>
      <c r="V394" s="232">
        <f t="shared" si="146"/>
        <v>0.42401693810504948</v>
      </c>
      <c r="W394" s="233">
        <f t="shared" si="134"/>
        <v>0.68884478001049587</v>
      </c>
      <c r="X394" s="234" t="str">
        <f t="shared" si="135"/>
        <v>TX-No</v>
      </c>
      <c r="Y394" s="235" t="str">
        <f t="shared" si="136"/>
        <v>TX-Rep</v>
      </c>
      <c r="Z394" s="236" t="str">
        <f>B394&amp;"-"&amp;IF(V394&gt;Instructions!$H$14,Instructions!$I$14,IF(V394&gt;Instructions!$H$15,Instructions!$I$15,IF(V394&gt;Instructions!$H$16,Instructions!$I$16,IF(V394&gt;Instructions!$H$17,Instructions!$I$17,Instructions!$I$18))))</f>
        <v>TX-No contest</v>
      </c>
      <c r="AA394" s="237">
        <f t="shared" si="137"/>
        <v>65834</v>
      </c>
      <c r="AB394" s="237">
        <f t="shared" si="138"/>
        <v>0</v>
      </c>
      <c r="AC394" s="238">
        <f t="shared" si="139"/>
        <v>7687</v>
      </c>
      <c r="AD394" s="389">
        <f t="shared" si="147"/>
        <v>73521</v>
      </c>
    </row>
    <row r="395" spans="1:30">
      <c r="A395" s="225" t="s">
        <v>108</v>
      </c>
      <c r="B395" s="226" t="s">
        <v>42</v>
      </c>
      <c r="C395" s="426" t="s">
        <v>709</v>
      </c>
      <c r="D395"/>
      <c r="E395"/>
      <c r="F395"/>
      <c r="G395"/>
      <c r="H395"/>
      <c r="I395" t="str">
        <f t="shared" si="143"/>
        <v>TX-Yes</v>
      </c>
      <c r="J395" t="str">
        <f t="shared" si="144"/>
        <v>TX-Yes</v>
      </c>
      <c r="K395" t="str">
        <f t="shared" si="140"/>
        <v/>
      </c>
      <c r="L395" t="str">
        <f t="shared" ref="L395:L441" si="148">IF(M395=2010, 1, "")</f>
        <v/>
      </c>
      <c r="M395">
        <v>2008</v>
      </c>
      <c r="N395" s="242">
        <v>22</v>
      </c>
      <c r="O395" s="415">
        <v>62011</v>
      </c>
      <c r="P395" s="416">
        <v>140391</v>
      </c>
      <c r="Q395" s="228">
        <f t="shared" si="141"/>
        <v>5598</v>
      </c>
      <c r="R395" s="423">
        <v>208000</v>
      </c>
      <c r="S395" s="239"/>
      <c r="T395" s="231">
        <f t="shared" si="145"/>
        <v>140391</v>
      </c>
      <c r="U395" s="231">
        <f t="shared" si="142"/>
        <v>62011</v>
      </c>
      <c r="V395" s="232">
        <f t="shared" si="146"/>
        <v>0.38724913785436904</v>
      </c>
      <c r="W395" s="233">
        <f t="shared" si="134"/>
        <v>0.67495673076923079</v>
      </c>
      <c r="X395" s="234" t="str">
        <f t="shared" si="135"/>
        <v>TX-No</v>
      </c>
      <c r="Y395" s="235" t="str">
        <f t="shared" si="136"/>
        <v>TX-Rep</v>
      </c>
      <c r="Z395" s="236" t="str">
        <f>B395&amp;"-"&amp;IF(V395&gt;Instructions!$H$14,Instructions!$I$14,IF(V395&gt;Instructions!$H$15,Instructions!$I$15,IF(V395&gt;Instructions!$H$16,Instructions!$I$16,IF(V395&gt;Instructions!$H$17,Instructions!$I$17,Instructions!$I$18))))</f>
        <v>TX-Landslide</v>
      </c>
      <c r="AA395" s="237">
        <f t="shared" si="137"/>
        <v>62011</v>
      </c>
      <c r="AB395" s="237">
        <f t="shared" si="138"/>
        <v>0</v>
      </c>
      <c r="AC395" s="238">
        <f t="shared" si="139"/>
        <v>5598</v>
      </c>
      <c r="AD395" s="389">
        <f t="shared" si="147"/>
        <v>67609</v>
      </c>
    </row>
    <row r="396" spans="1:30">
      <c r="A396" s="225" t="s">
        <v>108</v>
      </c>
      <c r="B396" s="226" t="s">
        <v>42</v>
      </c>
      <c r="C396" t="s">
        <v>710</v>
      </c>
      <c r="D396"/>
      <c r="E396"/>
      <c r="F396" s="399" t="s">
        <v>800</v>
      </c>
      <c r="G396"/>
      <c r="H396"/>
      <c r="I396" t="str">
        <f t="shared" si="143"/>
        <v>TX-Yes</v>
      </c>
      <c r="J396" t="str">
        <f t="shared" si="144"/>
        <v>TX-No</v>
      </c>
      <c r="K396">
        <f t="shared" si="140"/>
        <v>1</v>
      </c>
      <c r="L396" t="str">
        <f>B396&amp;"-"&amp;IF(M396=2010, 1, "")</f>
        <v>TX-1</v>
      </c>
      <c r="M396">
        <v>2010</v>
      </c>
      <c r="N396" s="242">
        <v>23</v>
      </c>
      <c r="O396" s="415">
        <v>67212</v>
      </c>
      <c r="P396" s="416">
        <v>74671</v>
      </c>
      <c r="Q396" s="228">
        <f t="shared" si="141"/>
        <v>9330</v>
      </c>
      <c r="R396" s="423">
        <v>151213</v>
      </c>
      <c r="S396" s="239"/>
      <c r="T396" s="231">
        <f t="shared" si="145"/>
        <v>74671</v>
      </c>
      <c r="U396" s="231">
        <f t="shared" si="142"/>
        <v>67212</v>
      </c>
      <c r="V396" s="232">
        <f t="shared" si="146"/>
        <v>5.2571484955914377E-2</v>
      </c>
      <c r="W396" s="233">
        <f t="shared" si="134"/>
        <v>0.4938133626077123</v>
      </c>
      <c r="X396" s="234" t="str">
        <f t="shared" si="135"/>
        <v>TX-No</v>
      </c>
      <c r="Y396" s="235" t="str">
        <f t="shared" si="136"/>
        <v>TX-Rep</v>
      </c>
      <c r="Z396" s="236" t="str">
        <f>B396&amp;"-"&amp;IF(V396&gt;Instructions!$H$14,Instructions!$I$14,IF(V396&gt;Instructions!$H$15,Instructions!$I$15,IF(V396&gt;Instructions!$H$16,Instructions!$I$16,IF(V396&gt;Instructions!$H$17,Instructions!$I$17,Instructions!$I$18))))</f>
        <v>TX-Competitive</v>
      </c>
      <c r="AA396" s="237">
        <f t="shared" si="137"/>
        <v>67212</v>
      </c>
      <c r="AB396" s="237">
        <f t="shared" si="138"/>
        <v>0</v>
      </c>
      <c r="AC396" s="238">
        <f t="shared" si="139"/>
        <v>9330</v>
      </c>
      <c r="AD396" s="389">
        <f t="shared" si="147"/>
        <v>76542</v>
      </c>
    </row>
    <row r="397" spans="1:30">
      <c r="A397" s="225" t="s">
        <v>108</v>
      </c>
      <c r="B397" s="226" t="s">
        <v>42</v>
      </c>
      <c r="C397" t="s">
        <v>711</v>
      </c>
      <c r="D397"/>
      <c r="E397"/>
      <c r="F397"/>
      <c r="G397"/>
      <c r="H397"/>
      <c r="I397" t="str">
        <f t="shared" si="143"/>
        <v>TX-Yes</v>
      </c>
      <c r="J397" t="str">
        <f t="shared" si="144"/>
        <v>TX-Yes</v>
      </c>
      <c r="K397" t="str">
        <f t="shared" si="140"/>
        <v/>
      </c>
      <c r="L397" t="str">
        <f t="shared" si="148"/>
        <v/>
      </c>
      <c r="M397">
        <v>2004</v>
      </c>
      <c r="N397" s="242">
        <v>24</v>
      </c>
      <c r="O397" s="415">
        <v>0</v>
      </c>
      <c r="P397" s="416">
        <v>100078</v>
      </c>
      <c r="Q397" s="228">
        <f t="shared" si="141"/>
        <v>22609</v>
      </c>
      <c r="R397" s="423">
        <v>122687</v>
      </c>
      <c r="S397" s="239"/>
      <c r="T397" s="231">
        <f t="shared" si="145"/>
        <v>100078</v>
      </c>
      <c r="U397" s="231">
        <f t="shared" si="142"/>
        <v>22609</v>
      </c>
      <c r="V397" s="232">
        <f t="shared" si="146"/>
        <v>1</v>
      </c>
      <c r="W397" s="233">
        <f t="shared" si="134"/>
        <v>0.81571804673681814</v>
      </c>
      <c r="X397" s="234" t="str">
        <f t="shared" si="135"/>
        <v>TX-Yes</v>
      </c>
      <c r="Y397" s="235" t="str">
        <f t="shared" si="136"/>
        <v>TX-Rep</v>
      </c>
      <c r="Z397" s="236" t="str">
        <f>B397&amp;"-"&amp;IF(V397&gt;Instructions!$H$14,Instructions!$I$14,IF(V397&gt;Instructions!$H$15,Instructions!$I$15,IF(V397&gt;Instructions!$H$16,Instructions!$I$16,IF(V397&gt;Instructions!$H$17,Instructions!$I$17,Instructions!$I$18))))</f>
        <v>TX-No contest</v>
      </c>
      <c r="AA397" s="237">
        <f t="shared" si="137"/>
        <v>0</v>
      </c>
      <c r="AB397" s="237">
        <f t="shared" si="138"/>
        <v>0</v>
      </c>
      <c r="AC397" s="238">
        <f t="shared" si="139"/>
        <v>22609</v>
      </c>
      <c r="AD397" s="389">
        <f t="shared" si="147"/>
        <v>22609</v>
      </c>
    </row>
    <row r="398" spans="1:30">
      <c r="A398" s="225" t="s">
        <v>108</v>
      </c>
      <c r="B398" s="226" t="s">
        <v>42</v>
      </c>
      <c r="C398" t="s">
        <v>712</v>
      </c>
      <c r="D398"/>
      <c r="E398"/>
      <c r="F398"/>
      <c r="G398"/>
      <c r="H398"/>
      <c r="I398" t="str">
        <f t="shared" si="143"/>
        <v>TX-Yes</v>
      </c>
      <c r="J398" t="str">
        <f t="shared" si="144"/>
        <v>TX-Yes</v>
      </c>
      <c r="K398" t="str">
        <f t="shared" si="140"/>
        <v/>
      </c>
      <c r="L398" t="str">
        <f t="shared" si="148"/>
        <v/>
      </c>
      <c r="M398">
        <v>1994</v>
      </c>
      <c r="N398" s="242">
        <v>25</v>
      </c>
      <c r="O398" s="415">
        <v>99853</v>
      </c>
      <c r="P398" s="416">
        <v>84780</v>
      </c>
      <c r="Q398" s="228">
        <f t="shared" si="141"/>
        <v>4424</v>
      </c>
      <c r="R398" s="423">
        <v>189057</v>
      </c>
      <c r="S398" s="239"/>
      <c r="T398" s="231">
        <f t="shared" si="145"/>
        <v>99853</v>
      </c>
      <c r="U398" s="231">
        <f t="shared" si="142"/>
        <v>84780</v>
      </c>
      <c r="V398" s="232">
        <f t="shared" si="146"/>
        <v>8.1637627076416461E-2</v>
      </c>
      <c r="W398" s="233">
        <f t="shared" si="134"/>
        <v>0.52816346392886804</v>
      </c>
      <c r="X398" s="234" t="str">
        <f t="shared" si="135"/>
        <v>TX-No</v>
      </c>
      <c r="Y398" s="235" t="str">
        <f t="shared" si="136"/>
        <v>TX-Dem</v>
      </c>
      <c r="Z398" s="236" t="str">
        <f>B398&amp;"-"&amp;IF(V398&gt;Instructions!$H$14,Instructions!$I$14,IF(V398&gt;Instructions!$H$15,Instructions!$I$15,IF(V398&gt;Instructions!$H$16,Instructions!$I$16,IF(V398&gt;Instructions!$H$17,Instructions!$I$17,Instructions!$I$18))))</f>
        <v>TX-Competitive</v>
      </c>
      <c r="AA398" s="237">
        <f t="shared" si="137"/>
        <v>0</v>
      </c>
      <c r="AB398" s="237">
        <f t="shared" si="138"/>
        <v>84780</v>
      </c>
      <c r="AC398" s="238">
        <f t="shared" si="139"/>
        <v>4424</v>
      </c>
      <c r="AD398" s="389">
        <f t="shared" si="147"/>
        <v>89204</v>
      </c>
    </row>
    <row r="399" spans="1:30">
      <c r="A399" s="225" t="s">
        <v>108</v>
      </c>
      <c r="B399" s="226" t="s">
        <v>42</v>
      </c>
      <c r="C399" s="426" t="s">
        <v>713</v>
      </c>
      <c r="D399"/>
      <c r="E399"/>
      <c r="F399"/>
      <c r="G399"/>
      <c r="H399"/>
      <c r="I399" t="str">
        <f t="shared" si="143"/>
        <v>TX-Yes</v>
      </c>
      <c r="J399" t="str">
        <f t="shared" si="144"/>
        <v>TX-Yes</v>
      </c>
      <c r="K399" t="str">
        <f t="shared" si="140"/>
        <v/>
      </c>
      <c r="L399" t="str">
        <f t="shared" si="148"/>
        <v/>
      </c>
      <c r="M399">
        <v>2002</v>
      </c>
      <c r="N399" s="242">
        <v>26</v>
      </c>
      <c r="O399" s="415">
        <v>55182</v>
      </c>
      <c r="P399" s="416">
        <v>120683</v>
      </c>
      <c r="Q399" s="228">
        <f t="shared" si="141"/>
        <v>4049</v>
      </c>
      <c r="R399" s="423">
        <v>179914</v>
      </c>
      <c r="S399" s="239"/>
      <c r="T399" s="231">
        <f t="shared" si="145"/>
        <v>120683</v>
      </c>
      <c r="U399" s="231">
        <f t="shared" si="142"/>
        <v>55182</v>
      </c>
      <c r="V399" s="232">
        <f t="shared" si="146"/>
        <v>0.37245045915901404</v>
      </c>
      <c r="W399" s="233">
        <f t="shared" si="134"/>
        <v>0.67078159565125561</v>
      </c>
      <c r="X399" s="234" t="str">
        <f t="shared" si="135"/>
        <v>TX-No</v>
      </c>
      <c r="Y399" s="235" t="str">
        <f t="shared" si="136"/>
        <v>TX-Rep</v>
      </c>
      <c r="Z399" s="236" t="str">
        <f>B399&amp;"-"&amp;IF(V399&gt;Instructions!$H$14,Instructions!$I$14,IF(V399&gt;Instructions!$H$15,Instructions!$I$15,IF(V399&gt;Instructions!$H$16,Instructions!$I$16,IF(V399&gt;Instructions!$H$17,Instructions!$I$17,Instructions!$I$18))))</f>
        <v>TX-Landslide</v>
      </c>
      <c r="AA399" s="237">
        <f t="shared" si="137"/>
        <v>55182</v>
      </c>
      <c r="AB399" s="237">
        <f t="shared" si="138"/>
        <v>0</v>
      </c>
      <c r="AC399" s="238">
        <f t="shared" si="139"/>
        <v>4049</v>
      </c>
      <c r="AD399" s="389">
        <f t="shared" si="147"/>
        <v>59231</v>
      </c>
    </row>
    <row r="400" spans="1:30">
      <c r="A400" s="225" t="s">
        <v>108</v>
      </c>
      <c r="B400" s="226" t="s">
        <v>42</v>
      </c>
      <c r="C400" t="s">
        <v>714</v>
      </c>
      <c r="D400"/>
      <c r="E400"/>
      <c r="F400"/>
      <c r="G400"/>
      <c r="H400"/>
      <c r="I400" t="str">
        <f t="shared" si="143"/>
        <v>TX-Yes</v>
      </c>
      <c r="J400" t="str">
        <f t="shared" si="144"/>
        <v>TX-No</v>
      </c>
      <c r="K400">
        <f t="shared" si="140"/>
        <v>1</v>
      </c>
      <c r="L400" t="str">
        <f>B400&amp;"-"&amp;IF(M400=2010, 1, "")</f>
        <v>TX-1</v>
      </c>
      <c r="M400">
        <v>2010</v>
      </c>
      <c r="N400" s="242">
        <v>27</v>
      </c>
      <c r="O400" s="415">
        <v>50155</v>
      </c>
      <c r="P400" s="416">
        <v>50954</v>
      </c>
      <c r="Q400" s="228">
        <f t="shared" si="141"/>
        <v>5371</v>
      </c>
      <c r="R400" s="423">
        <v>106480</v>
      </c>
      <c r="S400" s="239"/>
      <c r="T400" s="231">
        <f t="shared" si="145"/>
        <v>50954</v>
      </c>
      <c r="U400" s="231">
        <f t="shared" si="142"/>
        <v>50155</v>
      </c>
      <c r="V400" s="232">
        <f t="shared" si="146"/>
        <v>7.9023627965858628E-3</v>
      </c>
      <c r="W400" s="233">
        <f t="shared" si="134"/>
        <v>0.47853117956423741</v>
      </c>
      <c r="X400" s="234" t="str">
        <f t="shared" si="135"/>
        <v>TX-No</v>
      </c>
      <c r="Y400" s="235" t="str">
        <f t="shared" si="136"/>
        <v>TX-Rep</v>
      </c>
      <c r="Z400" s="236" t="str">
        <f>B400&amp;"-"&amp;IF(V400&gt;Instructions!$H$14,Instructions!$I$14,IF(V400&gt;Instructions!$H$15,Instructions!$I$15,IF(V400&gt;Instructions!$H$16,Instructions!$I$16,IF(V400&gt;Instructions!$H$17,Instructions!$I$17,Instructions!$I$18))))</f>
        <v>TX-Tight</v>
      </c>
      <c r="AA400" s="237">
        <f t="shared" si="137"/>
        <v>50155</v>
      </c>
      <c r="AB400" s="237">
        <f t="shared" si="138"/>
        <v>0</v>
      </c>
      <c r="AC400" s="238">
        <f t="shared" si="139"/>
        <v>5371</v>
      </c>
      <c r="AD400" s="389">
        <f t="shared" si="147"/>
        <v>55526</v>
      </c>
    </row>
    <row r="401" spans="1:31">
      <c r="A401" s="225" t="s">
        <v>108</v>
      </c>
      <c r="B401" s="226" t="s">
        <v>42</v>
      </c>
      <c r="C401" t="s">
        <v>715</v>
      </c>
      <c r="D401"/>
      <c r="E401"/>
      <c r="F401" s="399" t="s">
        <v>800</v>
      </c>
      <c r="G401"/>
      <c r="H401"/>
      <c r="I401" t="str">
        <f t="shared" si="143"/>
        <v>TX-Yes</v>
      </c>
      <c r="J401" t="str">
        <f t="shared" si="144"/>
        <v>TX-Yes</v>
      </c>
      <c r="K401" t="str">
        <f t="shared" si="140"/>
        <v/>
      </c>
      <c r="L401" t="str">
        <f t="shared" si="148"/>
        <v/>
      </c>
      <c r="M401">
        <v>2004</v>
      </c>
      <c r="N401" s="242">
        <v>28</v>
      </c>
      <c r="O401" s="415">
        <v>62055</v>
      </c>
      <c r="P401" s="416">
        <v>46417</v>
      </c>
      <c r="Q401" s="228">
        <f t="shared" si="141"/>
        <v>1880</v>
      </c>
      <c r="R401" s="423">
        <v>110352</v>
      </c>
      <c r="S401" s="239"/>
      <c r="T401" s="231">
        <f t="shared" si="145"/>
        <v>62055</v>
      </c>
      <c r="U401" s="231">
        <f t="shared" si="142"/>
        <v>46417</v>
      </c>
      <c r="V401" s="232">
        <f t="shared" si="146"/>
        <v>0.14416623644811563</v>
      </c>
      <c r="W401" s="233">
        <f t="shared" si="134"/>
        <v>0.56233688560243589</v>
      </c>
      <c r="X401" s="234" t="str">
        <f t="shared" si="135"/>
        <v>TX-No</v>
      </c>
      <c r="Y401" s="235" t="str">
        <f t="shared" si="136"/>
        <v>TX-Dem</v>
      </c>
      <c r="Z401" s="236" t="str">
        <f>B401&amp;"-"&amp;IF(V401&gt;Instructions!$H$14,Instructions!$I$14,IF(V401&gt;Instructions!$H$15,Instructions!$I$15,IF(V401&gt;Instructions!$H$16,Instructions!$I$16,IF(V401&gt;Instructions!$H$17,Instructions!$I$17,Instructions!$I$18))))</f>
        <v>TX-Opportunity</v>
      </c>
      <c r="AA401" s="237">
        <f t="shared" si="137"/>
        <v>0</v>
      </c>
      <c r="AB401" s="237">
        <f t="shared" si="138"/>
        <v>46417</v>
      </c>
      <c r="AC401" s="238">
        <f t="shared" si="139"/>
        <v>1880</v>
      </c>
      <c r="AD401" s="389">
        <f t="shared" si="147"/>
        <v>48297</v>
      </c>
    </row>
    <row r="402" spans="1:31">
      <c r="A402" s="225" t="s">
        <v>108</v>
      </c>
      <c r="B402" s="226" t="s">
        <v>42</v>
      </c>
      <c r="C402" s="426" t="s">
        <v>716</v>
      </c>
      <c r="D402"/>
      <c r="E402"/>
      <c r="F402"/>
      <c r="G402"/>
      <c r="H402"/>
      <c r="I402" t="str">
        <f t="shared" si="143"/>
        <v>TX-Yes</v>
      </c>
      <c r="J402" t="str">
        <f t="shared" si="144"/>
        <v>TX-Yes</v>
      </c>
      <c r="K402" t="str">
        <f t="shared" si="140"/>
        <v/>
      </c>
      <c r="L402" t="str">
        <f t="shared" si="148"/>
        <v/>
      </c>
      <c r="M402">
        <v>1992</v>
      </c>
      <c r="N402" s="242">
        <v>29</v>
      </c>
      <c r="O402" s="415">
        <v>43185</v>
      </c>
      <c r="P402" s="416">
        <v>22786</v>
      </c>
      <c r="Q402" s="228">
        <f t="shared" si="141"/>
        <v>864</v>
      </c>
      <c r="R402" s="423">
        <v>66835</v>
      </c>
      <c r="S402" s="239"/>
      <c r="T402" s="231">
        <f t="shared" si="145"/>
        <v>43185</v>
      </c>
      <c r="U402" s="231">
        <f t="shared" si="142"/>
        <v>22786</v>
      </c>
      <c r="V402" s="232">
        <f t="shared" si="146"/>
        <v>0.30921162328902091</v>
      </c>
      <c r="W402" s="233">
        <f t="shared" si="134"/>
        <v>0.64614348769357377</v>
      </c>
      <c r="X402" s="234" t="str">
        <f t="shared" si="135"/>
        <v>TX-No</v>
      </c>
      <c r="Y402" s="235" t="str">
        <f t="shared" si="136"/>
        <v>TX-Dem</v>
      </c>
      <c r="Z402" s="236" t="str">
        <f>B402&amp;"-"&amp;IF(V402&gt;Instructions!$H$14,Instructions!$I$14,IF(V402&gt;Instructions!$H$15,Instructions!$I$15,IF(V402&gt;Instructions!$H$16,Instructions!$I$16,IF(V402&gt;Instructions!$H$17,Instructions!$I$17,Instructions!$I$18))))</f>
        <v>TX-Landslide</v>
      </c>
      <c r="AA402" s="237">
        <f t="shared" si="137"/>
        <v>0</v>
      </c>
      <c r="AB402" s="237">
        <f t="shared" si="138"/>
        <v>22786</v>
      </c>
      <c r="AC402" s="238">
        <f t="shared" si="139"/>
        <v>864</v>
      </c>
      <c r="AD402" s="389">
        <f t="shared" si="147"/>
        <v>23650</v>
      </c>
    </row>
    <row r="403" spans="1:31">
      <c r="A403" s="225" t="s">
        <v>108</v>
      </c>
      <c r="B403" s="226" t="s">
        <v>42</v>
      </c>
      <c r="C403" s="426" t="s">
        <v>717</v>
      </c>
      <c r="D403" s="399" t="s">
        <v>800</v>
      </c>
      <c r="E403" s="399" t="s">
        <v>800</v>
      </c>
      <c r="F403"/>
      <c r="G403"/>
      <c r="H403"/>
      <c r="I403" t="str">
        <f t="shared" si="143"/>
        <v>TX-Yes</v>
      </c>
      <c r="J403" t="str">
        <f t="shared" si="144"/>
        <v>TX-Yes</v>
      </c>
      <c r="K403" t="str">
        <f t="shared" si="140"/>
        <v/>
      </c>
      <c r="L403" t="str">
        <f t="shared" si="148"/>
        <v/>
      </c>
      <c r="M403">
        <v>1992</v>
      </c>
      <c r="N403" s="242">
        <v>30</v>
      </c>
      <c r="O403" s="415">
        <v>86195</v>
      </c>
      <c r="P403" s="416">
        <v>24599</v>
      </c>
      <c r="Q403" s="228">
        <f t="shared" si="141"/>
        <v>2977</v>
      </c>
      <c r="R403" s="423">
        <v>113771</v>
      </c>
      <c r="S403" s="239"/>
      <c r="T403" s="231">
        <f t="shared" si="145"/>
        <v>86195</v>
      </c>
      <c r="U403" s="231">
        <f t="shared" si="142"/>
        <v>24599</v>
      </c>
      <c r="V403" s="232">
        <f t="shared" si="146"/>
        <v>0.55595068324999553</v>
      </c>
      <c r="W403" s="233">
        <f t="shared" si="134"/>
        <v>0.75761837375078012</v>
      </c>
      <c r="X403" s="234" t="str">
        <f t="shared" si="135"/>
        <v>TX-No</v>
      </c>
      <c r="Y403" s="235" t="str">
        <f t="shared" si="136"/>
        <v>TX-Dem</v>
      </c>
      <c r="Z403" s="236" t="str">
        <f>B403&amp;"-"&amp;IF(V403&gt;Instructions!$H$14,Instructions!$I$14,IF(V403&gt;Instructions!$H$15,Instructions!$I$15,IF(V403&gt;Instructions!$H$16,Instructions!$I$16,IF(V403&gt;Instructions!$H$17,Instructions!$I$17,Instructions!$I$18))))</f>
        <v>TX-No contest</v>
      </c>
      <c r="AA403" s="237">
        <f t="shared" si="137"/>
        <v>0</v>
      </c>
      <c r="AB403" s="237">
        <f t="shared" si="138"/>
        <v>24599</v>
      </c>
      <c r="AC403" s="238">
        <f t="shared" si="139"/>
        <v>2977</v>
      </c>
      <c r="AD403" s="389">
        <f t="shared" si="147"/>
        <v>27576</v>
      </c>
    </row>
    <row r="404" spans="1:31">
      <c r="A404" s="225" t="s">
        <v>108</v>
      </c>
      <c r="B404" s="226" t="s">
        <v>42</v>
      </c>
      <c r="C404" s="426" t="s">
        <v>718</v>
      </c>
      <c r="D404"/>
      <c r="E404"/>
      <c r="F404"/>
      <c r="G404"/>
      <c r="H404"/>
      <c r="I404" t="str">
        <f t="shared" si="143"/>
        <v>TX-Yes</v>
      </c>
      <c r="J404" t="str">
        <f t="shared" si="144"/>
        <v>TX-Yes</v>
      </c>
      <c r="K404" t="str">
        <f t="shared" si="140"/>
        <v/>
      </c>
      <c r="L404" t="str">
        <f t="shared" si="148"/>
        <v/>
      </c>
      <c r="M404">
        <v>2002</v>
      </c>
      <c r="N404" s="242">
        <v>31</v>
      </c>
      <c r="O404" s="415">
        <v>0</v>
      </c>
      <c r="P404" s="416">
        <v>126384</v>
      </c>
      <c r="Q404" s="228">
        <f t="shared" si="141"/>
        <v>26735</v>
      </c>
      <c r="R404" s="423">
        <v>153119</v>
      </c>
      <c r="S404" s="239"/>
      <c r="T404" s="231">
        <f t="shared" si="145"/>
        <v>126384</v>
      </c>
      <c r="U404" s="231">
        <f t="shared" si="142"/>
        <v>26735</v>
      </c>
      <c r="V404" s="232">
        <f t="shared" si="146"/>
        <v>1</v>
      </c>
      <c r="W404" s="233">
        <f t="shared" si="134"/>
        <v>0.8253972400551205</v>
      </c>
      <c r="X404" s="234" t="str">
        <f t="shared" si="135"/>
        <v>TX-Yes</v>
      </c>
      <c r="Y404" s="235" t="str">
        <f t="shared" si="136"/>
        <v>TX-Rep</v>
      </c>
      <c r="Z404" s="236" t="str">
        <f>B404&amp;"-"&amp;IF(V404&gt;Instructions!$H$14,Instructions!$I$14,IF(V404&gt;Instructions!$H$15,Instructions!$I$15,IF(V404&gt;Instructions!$H$16,Instructions!$I$16,IF(V404&gt;Instructions!$H$17,Instructions!$I$17,Instructions!$I$18))))</f>
        <v>TX-No contest</v>
      </c>
      <c r="AA404" s="237">
        <f t="shared" si="137"/>
        <v>0</v>
      </c>
      <c r="AB404" s="237">
        <f t="shared" si="138"/>
        <v>0</v>
      </c>
      <c r="AC404" s="238">
        <f t="shared" si="139"/>
        <v>26735</v>
      </c>
      <c r="AD404" s="389">
        <f t="shared" si="147"/>
        <v>26735</v>
      </c>
    </row>
    <row r="405" spans="1:31">
      <c r="A405" s="225" t="s">
        <v>108</v>
      </c>
      <c r="B405" s="226" t="s">
        <v>42</v>
      </c>
      <c r="C405" t="s">
        <v>719</v>
      </c>
      <c r="D405"/>
      <c r="E405"/>
      <c r="F405"/>
      <c r="G405"/>
      <c r="H405"/>
      <c r="I405" t="str">
        <f t="shared" si="143"/>
        <v>TX-Yes</v>
      </c>
      <c r="J405" t="str">
        <f t="shared" si="144"/>
        <v>TX-Yes</v>
      </c>
      <c r="K405" t="str">
        <f t="shared" si="140"/>
        <v/>
      </c>
      <c r="L405" t="str">
        <f t="shared" si="148"/>
        <v/>
      </c>
      <c r="M405">
        <v>1996</v>
      </c>
      <c r="N405" s="242">
        <v>32</v>
      </c>
      <c r="O405" s="415">
        <v>44134</v>
      </c>
      <c r="P405" s="416">
        <v>79181</v>
      </c>
      <c r="Q405" s="228">
        <f t="shared" si="141"/>
        <v>3159</v>
      </c>
      <c r="R405" s="423">
        <v>126474</v>
      </c>
      <c r="S405" s="239"/>
      <c r="T405" s="231">
        <f t="shared" si="145"/>
        <v>79181</v>
      </c>
      <c r="U405" s="231">
        <f t="shared" si="142"/>
        <v>44134</v>
      </c>
      <c r="V405" s="232">
        <f t="shared" si="146"/>
        <v>0.28420711186798037</v>
      </c>
      <c r="W405" s="233">
        <f t="shared" si="134"/>
        <v>0.62606543637427459</v>
      </c>
      <c r="X405" s="234" t="str">
        <f t="shared" si="135"/>
        <v>TX-No</v>
      </c>
      <c r="Y405" s="235" t="str">
        <f t="shared" si="136"/>
        <v>TX-Rep</v>
      </c>
      <c r="Z405" s="236" t="str">
        <f>B405&amp;"-"&amp;IF(V405&gt;Instructions!$H$14,Instructions!$I$14,IF(V405&gt;Instructions!$H$15,Instructions!$I$15,IF(V405&gt;Instructions!$H$16,Instructions!$I$16,IF(V405&gt;Instructions!$H$17,Instructions!$I$17,Instructions!$I$18))))</f>
        <v>TX-Landslide</v>
      </c>
      <c r="AA405" s="237">
        <f t="shared" si="137"/>
        <v>44134</v>
      </c>
      <c r="AB405" s="237">
        <f t="shared" si="138"/>
        <v>0</v>
      </c>
      <c r="AC405" s="238">
        <f t="shared" si="139"/>
        <v>3159</v>
      </c>
      <c r="AD405" s="389">
        <f t="shared" si="147"/>
        <v>47293</v>
      </c>
      <c r="AE405" s="389">
        <f>SUM(AD374:AD405)</f>
        <v>1407394</v>
      </c>
    </row>
    <row r="406" spans="1:31">
      <c r="A406" s="225" t="s">
        <v>109</v>
      </c>
      <c r="B406" s="226" t="s">
        <v>43</v>
      </c>
      <c r="C406" s="426" t="s">
        <v>720</v>
      </c>
      <c r="D406"/>
      <c r="E406"/>
      <c r="F406"/>
      <c r="G406"/>
      <c r="H406"/>
      <c r="I406" t="str">
        <f t="shared" si="143"/>
        <v>UT-Yes</v>
      </c>
      <c r="J406" t="str">
        <f t="shared" si="144"/>
        <v>UT-Yes</v>
      </c>
      <c r="K406" t="str">
        <f t="shared" si="140"/>
        <v/>
      </c>
      <c r="L406" t="str">
        <f t="shared" si="148"/>
        <v/>
      </c>
      <c r="M406">
        <v>2002</v>
      </c>
      <c r="N406" s="242">
        <v>1</v>
      </c>
      <c r="O406" s="415">
        <v>44274</v>
      </c>
      <c r="P406" s="416">
        <v>129531</v>
      </c>
      <c r="Q406" s="228">
        <f t="shared" si="141"/>
        <v>12663</v>
      </c>
      <c r="R406" s="423">
        <v>186468</v>
      </c>
      <c r="S406" s="239"/>
      <c r="T406" s="231">
        <f t="shared" si="145"/>
        <v>129531</v>
      </c>
      <c r="U406" s="231">
        <f t="shared" si="142"/>
        <v>44274</v>
      </c>
      <c r="V406" s="232">
        <f t="shared" si="146"/>
        <v>0.49053249331146975</v>
      </c>
      <c r="W406" s="233">
        <f t="shared" si="134"/>
        <v>0.69465538322929399</v>
      </c>
      <c r="X406" s="234" t="str">
        <f t="shared" si="135"/>
        <v>UT-No</v>
      </c>
      <c r="Y406" s="235" t="str">
        <f t="shared" si="136"/>
        <v>UT-Rep</v>
      </c>
      <c r="Z406" s="236" t="str">
        <f>B406&amp;"-"&amp;IF(V406&gt;Instructions!$H$14,Instructions!$I$14,IF(V406&gt;Instructions!$H$15,Instructions!$I$15,IF(V406&gt;Instructions!$H$16,Instructions!$I$16,IF(V406&gt;Instructions!$H$17,Instructions!$I$17,Instructions!$I$18))))</f>
        <v>UT-No contest</v>
      </c>
      <c r="AA406" s="237">
        <f t="shared" si="137"/>
        <v>44274</v>
      </c>
      <c r="AB406" s="237">
        <f t="shared" si="138"/>
        <v>0</v>
      </c>
      <c r="AC406" s="238">
        <f t="shared" si="139"/>
        <v>12663</v>
      </c>
      <c r="AD406" s="389">
        <f t="shared" si="147"/>
        <v>56937</v>
      </c>
    </row>
    <row r="407" spans="1:31">
      <c r="A407" s="225" t="s">
        <v>109</v>
      </c>
      <c r="B407" s="226" t="s">
        <v>43</v>
      </c>
      <c r="C407" t="s">
        <v>721</v>
      </c>
      <c r="D407"/>
      <c r="E407"/>
      <c r="F407"/>
      <c r="G407"/>
      <c r="H407"/>
      <c r="I407" t="str">
        <f t="shared" si="143"/>
        <v>UT-Yes</v>
      </c>
      <c r="J407" t="str">
        <f t="shared" si="144"/>
        <v>UT-Yes</v>
      </c>
      <c r="K407" t="str">
        <f t="shared" si="140"/>
        <v/>
      </c>
      <c r="L407" t="str">
        <f t="shared" si="148"/>
        <v/>
      </c>
      <c r="M407">
        <v>2000</v>
      </c>
      <c r="N407" s="242">
        <v>2</v>
      </c>
      <c r="O407" s="415">
        <v>116519</v>
      </c>
      <c r="P407" s="416">
        <v>105670</v>
      </c>
      <c r="Q407" s="228">
        <f t="shared" si="141"/>
        <v>7814</v>
      </c>
      <c r="R407" s="423">
        <v>230003</v>
      </c>
      <c r="S407" s="239"/>
      <c r="T407" s="231">
        <f t="shared" si="145"/>
        <v>116519</v>
      </c>
      <c r="U407" s="231">
        <f t="shared" si="142"/>
        <v>105670</v>
      </c>
      <c r="V407" s="232">
        <f t="shared" si="146"/>
        <v>4.8827799756063529E-2</v>
      </c>
      <c r="W407" s="233">
        <f t="shared" si="134"/>
        <v>0.50659774002947788</v>
      </c>
      <c r="X407" s="234" t="str">
        <f t="shared" si="135"/>
        <v>UT-No</v>
      </c>
      <c r="Y407" s="235" t="str">
        <f t="shared" si="136"/>
        <v>UT-Dem</v>
      </c>
      <c r="Z407" s="236" t="str">
        <f>B407&amp;"-"&amp;IF(V407&gt;Instructions!$H$14,Instructions!$I$14,IF(V407&gt;Instructions!$H$15,Instructions!$I$15,IF(V407&gt;Instructions!$H$16,Instructions!$I$16,IF(V407&gt;Instructions!$H$17,Instructions!$I$17,Instructions!$I$18))))</f>
        <v>UT-Tight</v>
      </c>
      <c r="AA407" s="237">
        <f t="shared" si="137"/>
        <v>0</v>
      </c>
      <c r="AB407" s="237">
        <f t="shared" si="138"/>
        <v>105670</v>
      </c>
      <c r="AC407" s="238">
        <f t="shared" si="139"/>
        <v>7814</v>
      </c>
      <c r="AD407" s="389">
        <f t="shared" si="147"/>
        <v>113484</v>
      </c>
    </row>
    <row r="408" spans="1:31">
      <c r="A408" s="225" t="s">
        <v>109</v>
      </c>
      <c r="B408" s="226" t="s">
        <v>43</v>
      </c>
      <c r="C408" t="s">
        <v>722</v>
      </c>
      <c r="D408"/>
      <c r="E408"/>
      <c r="F408"/>
      <c r="G408"/>
      <c r="H408"/>
      <c r="I408" t="str">
        <f t="shared" si="143"/>
        <v>UT-Yes</v>
      </c>
      <c r="J408" t="str">
        <f t="shared" si="144"/>
        <v>UT-Yes</v>
      </c>
      <c r="K408" t="str">
        <f t="shared" si="140"/>
        <v/>
      </c>
      <c r="L408" t="str">
        <f t="shared" si="148"/>
        <v/>
      </c>
      <c r="M408">
        <v>2008</v>
      </c>
      <c r="N408" s="242">
        <v>3</v>
      </c>
      <c r="O408" s="415">
        <v>40049</v>
      </c>
      <c r="P408" s="416">
        <v>126915</v>
      </c>
      <c r="Q408" s="228">
        <f t="shared" si="141"/>
        <v>8108</v>
      </c>
      <c r="R408" s="423">
        <v>175072</v>
      </c>
      <c r="S408" s="239"/>
      <c r="T408" s="231">
        <f t="shared" si="145"/>
        <v>126915</v>
      </c>
      <c r="U408" s="231">
        <f t="shared" si="142"/>
        <v>40049</v>
      </c>
      <c r="V408" s="232">
        <f t="shared" si="146"/>
        <v>0.52026784216956945</v>
      </c>
      <c r="W408" s="233">
        <f t="shared" si="134"/>
        <v>0.72493031438493882</v>
      </c>
      <c r="X408" s="234" t="str">
        <f t="shared" si="135"/>
        <v>UT-No</v>
      </c>
      <c r="Y408" s="235" t="str">
        <f t="shared" si="136"/>
        <v>UT-Rep</v>
      </c>
      <c r="Z408" s="236" t="str">
        <f>B408&amp;"-"&amp;IF(V408&gt;Instructions!$H$14,Instructions!$I$14,IF(V408&gt;Instructions!$H$15,Instructions!$I$15,IF(V408&gt;Instructions!$H$16,Instructions!$I$16,IF(V408&gt;Instructions!$H$17,Instructions!$I$17,Instructions!$I$18))))</f>
        <v>UT-No contest</v>
      </c>
      <c r="AA408" s="237">
        <f t="shared" si="137"/>
        <v>40049</v>
      </c>
      <c r="AB408" s="237">
        <f t="shared" si="138"/>
        <v>0</v>
      </c>
      <c r="AC408" s="238">
        <f t="shared" si="139"/>
        <v>8108</v>
      </c>
      <c r="AD408" s="389">
        <f t="shared" si="147"/>
        <v>48157</v>
      </c>
      <c r="AE408" s="389">
        <f>SUM(AD406:AD408)</f>
        <v>218578</v>
      </c>
    </row>
    <row r="409" spans="1:31" s="80" customFormat="1">
      <c r="A409" s="241" t="s">
        <v>110</v>
      </c>
      <c r="B409" s="242" t="s">
        <v>44</v>
      </c>
      <c r="C409" t="s">
        <v>734</v>
      </c>
      <c r="D409"/>
      <c r="E409"/>
      <c r="F409"/>
      <c r="G409"/>
      <c r="H409"/>
      <c r="I409" t="str">
        <f t="shared" si="143"/>
        <v>VT-Yes</v>
      </c>
      <c r="J409" t="str">
        <f t="shared" si="144"/>
        <v>VT-Yes</v>
      </c>
      <c r="K409" t="str">
        <f t="shared" si="140"/>
        <v/>
      </c>
      <c r="L409" t="str">
        <f t="shared" si="148"/>
        <v/>
      </c>
      <c r="M409">
        <v>2006</v>
      </c>
      <c r="N409" s="242">
        <v>1</v>
      </c>
      <c r="O409" s="415">
        <v>154006</v>
      </c>
      <c r="P409" s="416">
        <v>76403</v>
      </c>
      <c r="Q409" s="228">
        <f t="shared" si="141"/>
        <v>8112</v>
      </c>
      <c r="R409" s="423">
        <v>238521</v>
      </c>
      <c r="S409" s="239"/>
      <c r="T409" s="244">
        <f t="shared" si="145"/>
        <v>154006</v>
      </c>
      <c r="U409" s="244">
        <f t="shared" si="142"/>
        <v>76403</v>
      </c>
      <c r="V409" s="232">
        <f t="shared" si="146"/>
        <v>0.336805419927173</v>
      </c>
      <c r="W409" s="245">
        <f t="shared" si="134"/>
        <v>0.64567061181195784</v>
      </c>
      <c r="X409" s="234" t="str">
        <f t="shared" si="135"/>
        <v>VT-No</v>
      </c>
      <c r="Y409" s="247" t="str">
        <f t="shared" si="136"/>
        <v>VT-Dem</v>
      </c>
      <c r="Z409" s="236" t="str">
        <f>B409&amp;"-"&amp;IF(V409&gt;Instructions!$H$14,Instructions!$I$14,IF(V409&gt;Instructions!$H$15,Instructions!$I$15,IF(V409&gt;Instructions!$H$16,Instructions!$I$16,IF(V409&gt;Instructions!$H$17,Instructions!$I$17,Instructions!$I$18))))</f>
        <v>VT-Landslide</v>
      </c>
      <c r="AA409" s="248">
        <f t="shared" si="137"/>
        <v>0</v>
      </c>
      <c r="AB409" s="248">
        <f t="shared" si="138"/>
        <v>76403</v>
      </c>
      <c r="AC409" s="249">
        <v>3279</v>
      </c>
      <c r="AD409" s="389">
        <f t="shared" si="147"/>
        <v>79682</v>
      </c>
      <c r="AE409" s="389">
        <f>SUM(AD409)</f>
        <v>79682</v>
      </c>
    </row>
    <row r="410" spans="1:31" s="80" customFormat="1">
      <c r="A410" s="225" t="s">
        <v>111</v>
      </c>
      <c r="B410" s="226" t="s">
        <v>45</v>
      </c>
      <c r="C410" t="s">
        <v>723</v>
      </c>
      <c r="D410"/>
      <c r="E410"/>
      <c r="F410"/>
      <c r="G410"/>
      <c r="H410"/>
      <c r="I410" t="str">
        <f t="shared" si="143"/>
        <v>VA-Yes</v>
      </c>
      <c r="J410" t="str">
        <f t="shared" si="144"/>
        <v>VA-Yes</v>
      </c>
      <c r="K410" t="str">
        <f t="shared" ref="K410" si="149">IF(M410=2010, 1, "")</f>
        <v/>
      </c>
      <c r="L410" t="str">
        <f t="shared" ref="L410" si="150">IF(M410=2010, 1, "")</f>
        <v/>
      </c>
      <c r="M410">
        <v>2007</v>
      </c>
      <c r="N410" s="242">
        <v>1</v>
      </c>
      <c r="O410" s="415">
        <v>73824</v>
      </c>
      <c r="P410" s="416">
        <v>135564</v>
      </c>
      <c r="Q410" s="243">
        <f t="shared" ref="Q410:Q420" si="151">R410-P410-O410</f>
        <v>2848</v>
      </c>
      <c r="R410" s="423">
        <v>212236</v>
      </c>
      <c r="S410" s="239"/>
      <c r="T410" s="231">
        <f t="shared" si="145"/>
        <v>135564</v>
      </c>
      <c r="U410" s="231">
        <f t="shared" si="142"/>
        <v>73824</v>
      </c>
      <c r="V410" s="232">
        <f t="shared" si="146"/>
        <v>0.29485930425812368</v>
      </c>
      <c r="W410" s="233">
        <f t="shared" si="134"/>
        <v>0.63874177802069398</v>
      </c>
      <c r="X410" s="234" t="str">
        <f t="shared" si="135"/>
        <v>VA-No</v>
      </c>
      <c r="Y410" s="235" t="str">
        <f t="shared" si="136"/>
        <v>VA-Rep</v>
      </c>
      <c r="Z410" s="236" t="str">
        <f>B410&amp;"-"&amp;IF(V410&gt;Instructions!$H$14,Instructions!$I$14,IF(V410&gt;Instructions!$H$15,Instructions!$I$15,IF(V410&gt;Instructions!$H$16,Instructions!$I$16,IF(V410&gt;Instructions!$H$17,Instructions!$I$17,Instructions!$I$18))))</f>
        <v>VA-Landslide</v>
      </c>
      <c r="AA410" s="237">
        <f t="shared" si="137"/>
        <v>73824</v>
      </c>
      <c r="AB410" s="237">
        <f t="shared" si="138"/>
        <v>0</v>
      </c>
      <c r="AC410" s="238">
        <f t="shared" ref="AC410:AC441" si="152">IF(T410=Q410,0,Q410)</f>
        <v>2848</v>
      </c>
      <c r="AD410" s="389">
        <f t="shared" si="147"/>
        <v>76672</v>
      </c>
    </row>
    <row r="411" spans="1:31" s="80" customFormat="1">
      <c r="A411" s="225" t="s">
        <v>111</v>
      </c>
      <c r="B411" s="226" t="s">
        <v>45</v>
      </c>
      <c r="C411" t="s">
        <v>724</v>
      </c>
      <c r="D411"/>
      <c r="E411"/>
      <c r="F411"/>
      <c r="G411"/>
      <c r="H411"/>
      <c r="I411" t="str">
        <f t="shared" si="143"/>
        <v>VA-Yes</v>
      </c>
      <c r="J411" t="str">
        <f t="shared" si="144"/>
        <v>VA-No</v>
      </c>
      <c r="K411">
        <f>IF(M411=2010, 1, "")</f>
        <v>1</v>
      </c>
      <c r="L411" t="str">
        <f>B411&amp;"-"&amp;IF(M411=2010, 1, "")</f>
        <v>VA-1</v>
      </c>
      <c r="M411">
        <v>2010</v>
      </c>
      <c r="N411" s="242">
        <v>2</v>
      </c>
      <c r="O411" s="415">
        <v>70591</v>
      </c>
      <c r="P411" s="416">
        <v>88340</v>
      </c>
      <c r="Q411" s="228">
        <f t="shared" si="151"/>
        <v>7358</v>
      </c>
      <c r="R411" s="423">
        <v>166289</v>
      </c>
      <c r="S411" s="239"/>
      <c r="T411" s="231">
        <f t="shared" si="145"/>
        <v>88340</v>
      </c>
      <c r="U411" s="231">
        <f t="shared" si="142"/>
        <v>70591</v>
      </c>
      <c r="V411" s="232">
        <f t="shared" si="146"/>
        <v>0.11167739459262195</v>
      </c>
      <c r="W411" s="233">
        <f t="shared" si="134"/>
        <v>0.53124379844728153</v>
      </c>
      <c r="X411" s="234" t="str">
        <f t="shared" si="135"/>
        <v>VA-No</v>
      </c>
      <c r="Y411" s="235" t="str">
        <f t="shared" si="136"/>
        <v>VA-Rep</v>
      </c>
      <c r="Z411" s="236" t="str">
        <f>B411&amp;"-"&amp;IF(V411&gt;Instructions!$H$14,Instructions!$I$14,IF(V411&gt;Instructions!$H$15,Instructions!$I$15,IF(V411&gt;Instructions!$H$16,Instructions!$I$16,IF(V411&gt;Instructions!$H$17,Instructions!$I$17,Instructions!$I$18))))</f>
        <v>VA-Opportunity</v>
      </c>
      <c r="AA411" s="237">
        <f t="shared" si="137"/>
        <v>70591</v>
      </c>
      <c r="AB411" s="237">
        <f t="shared" si="138"/>
        <v>0</v>
      </c>
      <c r="AC411" s="238">
        <f t="shared" si="152"/>
        <v>7358</v>
      </c>
      <c r="AD411" s="389">
        <f t="shared" si="147"/>
        <v>77949</v>
      </c>
    </row>
    <row r="412" spans="1:31" s="80" customFormat="1">
      <c r="A412" s="225" t="s">
        <v>111</v>
      </c>
      <c r="B412" s="226" t="s">
        <v>45</v>
      </c>
      <c r="C412" s="426" t="s">
        <v>725</v>
      </c>
      <c r="D412"/>
      <c r="E412" s="399" t="s">
        <v>801</v>
      </c>
      <c r="F412"/>
      <c r="G412" s="399" t="s">
        <v>801</v>
      </c>
      <c r="H412"/>
      <c r="I412" t="str">
        <f t="shared" si="143"/>
        <v>VA-Yes</v>
      </c>
      <c r="J412" t="str">
        <f t="shared" si="144"/>
        <v>VA-Yes</v>
      </c>
      <c r="K412" t="str">
        <f t="shared" ref="K412:K420" si="153">IF(M412=2010, 1, "")</f>
        <v/>
      </c>
      <c r="L412" t="str">
        <f t="shared" ref="L412:L413" si="154">IF(M412=2010, 1, "")</f>
        <v/>
      </c>
      <c r="M412">
        <v>1992</v>
      </c>
      <c r="N412" s="242">
        <v>3</v>
      </c>
      <c r="O412" s="415">
        <v>114754</v>
      </c>
      <c r="P412" s="416">
        <v>44553</v>
      </c>
      <c r="Q412" s="228">
        <f t="shared" si="151"/>
        <v>4593</v>
      </c>
      <c r="R412" s="423">
        <v>163900</v>
      </c>
      <c r="S412" s="239"/>
      <c r="T412" s="231">
        <f t="shared" si="145"/>
        <v>114754</v>
      </c>
      <c r="U412" s="231">
        <f t="shared" si="142"/>
        <v>44553</v>
      </c>
      <c r="V412" s="232">
        <f t="shared" si="146"/>
        <v>0.44066487976046248</v>
      </c>
      <c r="W412" s="233">
        <f t="shared" si="134"/>
        <v>0.70014643075045757</v>
      </c>
      <c r="X412" s="234" t="str">
        <f t="shared" si="135"/>
        <v>VA-No</v>
      </c>
      <c r="Y412" s="235" t="str">
        <f t="shared" si="136"/>
        <v>VA-Dem</v>
      </c>
      <c r="Z412" s="236" t="str">
        <f>B412&amp;"-"&amp;IF(V412&gt;Instructions!$H$14,Instructions!$I$14,IF(V412&gt;Instructions!$H$15,Instructions!$I$15,IF(V412&gt;Instructions!$H$16,Instructions!$I$16,IF(V412&gt;Instructions!$H$17,Instructions!$I$17,Instructions!$I$18))))</f>
        <v>VA-No contest</v>
      </c>
      <c r="AA412" s="237">
        <f t="shared" si="137"/>
        <v>0</v>
      </c>
      <c r="AB412" s="237">
        <f t="shared" si="138"/>
        <v>44553</v>
      </c>
      <c r="AC412" s="238">
        <f t="shared" si="152"/>
        <v>4593</v>
      </c>
      <c r="AD412" s="389">
        <f t="shared" si="147"/>
        <v>49146</v>
      </c>
    </row>
    <row r="413" spans="1:31">
      <c r="A413" s="225" t="s">
        <v>111</v>
      </c>
      <c r="B413" s="226" t="s">
        <v>45</v>
      </c>
      <c r="C413" t="s">
        <v>726</v>
      </c>
      <c r="D413"/>
      <c r="E413"/>
      <c r="F413"/>
      <c r="G413"/>
      <c r="H413"/>
      <c r="I413" t="str">
        <f t="shared" si="143"/>
        <v>VA-Yes</v>
      </c>
      <c r="J413" t="str">
        <f t="shared" si="144"/>
        <v>VA-Yes</v>
      </c>
      <c r="K413" t="str">
        <f t="shared" si="153"/>
        <v/>
      </c>
      <c r="L413" t="str">
        <f t="shared" si="154"/>
        <v/>
      </c>
      <c r="M413">
        <v>2001</v>
      </c>
      <c r="N413" s="242">
        <v>4</v>
      </c>
      <c r="O413" s="415">
        <v>74298</v>
      </c>
      <c r="P413" s="416">
        <v>123659</v>
      </c>
      <c r="Q413" s="228">
        <f t="shared" si="151"/>
        <v>432</v>
      </c>
      <c r="R413" s="423">
        <v>198389</v>
      </c>
      <c r="S413" s="239"/>
      <c r="T413" s="231">
        <f t="shared" si="145"/>
        <v>123659</v>
      </c>
      <c r="U413" s="231">
        <f t="shared" si="142"/>
        <v>74298</v>
      </c>
      <c r="V413" s="232">
        <f t="shared" si="146"/>
        <v>0.2493521320286729</v>
      </c>
      <c r="W413" s="233">
        <f t="shared" si="134"/>
        <v>0.62331580884020787</v>
      </c>
      <c r="X413" s="234" t="str">
        <f t="shared" si="135"/>
        <v>VA-No</v>
      </c>
      <c r="Y413" s="235" t="str">
        <f t="shared" si="136"/>
        <v>VA-Rep</v>
      </c>
      <c r="Z413" s="236" t="str">
        <f>B413&amp;"-"&amp;IF(V413&gt;Instructions!$H$14,Instructions!$I$14,IF(V413&gt;Instructions!$H$15,Instructions!$I$15,IF(V413&gt;Instructions!$H$16,Instructions!$I$16,IF(V413&gt;Instructions!$H$17,Instructions!$I$17,Instructions!$I$18))))</f>
        <v>VA-Landslide</v>
      </c>
      <c r="AA413" s="237">
        <f t="shared" si="137"/>
        <v>74298</v>
      </c>
      <c r="AB413" s="237">
        <f t="shared" si="138"/>
        <v>0</v>
      </c>
      <c r="AC413" s="238">
        <f t="shared" si="152"/>
        <v>432</v>
      </c>
      <c r="AD413" s="389">
        <f t="shared" si="147"/>
        <v>74730</v>
      </c>
    </row>
    <row r="414" spans="1:31">
      <c r="A414" s="225" t="s">
        <v>111</v>
      </c>
      <c r="B414" s="226" t="s">
        <v>45</v>
      </c>
      <c r="C414" t="s">
        <v>727</v>
      </c>
      <c r="D414"/>
      <c r="E414"/>
      <c r="F414"/>
      <c r="G414"/>
      <c r="H414"/>
      <c r="I414" t="str">
        <f t="shared" si="143"/>
        <v>VA-Yes</v>
      </c>
      <c r="J414" t="str">
        <f t="shared" si="144"/>
        <v>VA-No</v>
      </c>
      <c r="K414">
        <f t="shared" si="153"/>
        <v>1</v>
      </c>
      <c r="L414" t="str">
        <f>B414&amp;"-"&amp;IF(M414=2010, 1, "")</f>
        <v>VA-1</v>
      </c>
      <c r="M414">
        <v>2010</v>
      </c>
      <c r="N414" s="242">
        <v>5</v>
      </c>
      <c r="O414" s="415">
        <v>110562</v>
      </c>
      <c r="P414" s="416">
        <v>119560</v>
      </c>
      <c r="Q414" s="228">
        <f t="shared" si="151"/>
        <v>5177</v>
      </c>
      <c r="R414" s="423">
        <v>235299</v>
      </c>
      <c r="S414" s="239"/>
      <c r="T414" s="231">
        <f t="shared" si="145"/>
        <v>119560</v>
      </c>
      <c r="U414" s="231">
        <f t="shared" si="142"/>
        <v>110562</v>
      </c>
      <c r="V414" s="232">
        <f t="shared" si="146"/>
        <v>3.9100998600742218E-2</v>
      </c>
      <c r="W414" s="233">
        <f t="shared" si="134"/>
        <v>0.50811945652127721</v>
      </c>
      <c r="X414" s="234" t="str">
        <f t="shared" si="135"/>
        <v>VA-No</v>
      </c>
      <c r="Y414" s="235" t="str">
        <f t="shared" si="136"/>
        <v>VA-Rep</v>
      </c>
      <c r="Z414" s="236" t="str">
        <f>B414&amp;"-"&amp;IF(V414&gt;Instructions!$H$14,Instructions!$I$14,IF(V414&gt;Instructions!$H$15,Instructions!$I$15,IF(V414&gt;Instructions!$H$16,Instructions!$I$16,IF(V414&gt;Instructions!$H$17,Instructions!$I$17,Instructions!$I$18))))</f>
        <v>VA-Tight</v>
      </c>
      <c r="AA414" s="237">
        <f t="shared" si="137"/>
        <v>110562</v>
      </c>
      <c r="AB414" s="237">
        <f t="shared" si="138"/>
        <v>0</v>
      </c>
      <c r="AC414" s="238">
        <f t="shared" si="152"/>
        <v>5177</v>
      </c>
      <c r="AD414" s="389">
        <f t="shared" si="147"/>
        <v>115739</v>
      </c>
    </row>
    <row r="415" spans="1:31">
      <c r="A415" s="225" t="s">
        <v>111</v>
      </c>
      <c r="B415" s="226" t="s">
        <v>45</v>
      </c>
      <c r="C415" s="426" t="s">
        <v>728</v>
      </c>
      <c r="D415"/>
      <c r="E415"/>
      <c r="F415"/>
      <c r="G415"/>
      <c r="H415"/>
      <c r="I415" t="str">
        <f t="shared" si="143"/>
        <v>VA-Yes</v>
      </c>
      <c r="J415" t="str">
        <f t="shared" si="144"/>
        <v>VA-Yes</v>
      </c>
      <c r="K415" t="str">
        <f t="shared" si="153"/>
        <v/>
      </c>
      <c r="L415" t="str">
        <f t="shared" ref="L415:L417" si="155">IF(M415=2010, 1, "")</f>
        <v/>
      </c>
      <c r="M415">
        <v>1992</v>
      </c>
      <c r="N415" s="242">
        <v>6</v>
      </c>
      <c r="O415" s="415">
        <v>0</v>
      </c>
      <c r="P415" s="416">
        <v>127487</v>
      </c>
      <c r="Q415" s="228">
        <f t="shared" si="151"/>
        <v>39667</v>
      </c>
      <c r="R415" s="423">
        <v>167154</v>
      </c>
      <c r="S415" s="239"/>
      <c r="T415" s="231">
        <f t="shared" si="145"/>
        <v>127487</v>
      </c>
      <c r="U415" s="231">
        <f t="shared" si="142"/>
        <v>39667</v>
      </c>
      <c r="V415" s="232">
        <f t="shared" si="146"/>
        <v>1</v>
      </c>
      <c r="W415" s="233">
        <f t="shared" si="134"/>
        <v>0.76269188891680728</v>
      </c>
      <c r="X415" s="234" t="str">
        <f t="shared" si="135"/>
        <v>VA-Yes</v>
      </c>
      <c r="Y415" s="235" t="str">
        <f t="shared" si="136"/>
        <v>VA-Rep</v>
      </c>
      <c r="Z415" s="236" t="str">
        <f>B415&amp;"-"&amp;IF(V415&gt;Instructions!$H$14,Instructions!$I$14,IF(V415&gt;Instructions!$H$15,Instructions!$I$15,IF(V415&gt;Instructions!$H$16,Instructions!$I$16,IF(V415&gt;Instructions!$H$17,Instructions!$I$17,Instructions!$I$18))))</f>
        <v>VA-No contest</v>
      </c>
      <c r="AA415" s="237">
        <f t="shared" si="137"/>
        <v>0</v>
      </c>
      <c r="AB415" s="237">
        <f t="shared" si="138"/>
        <v>0</v>
      </c>
      <c r="AC415" s="238">
        <f t="shared" si="152"/>
        <v>39667</v>
      </c>
      <c r="AD415" s="389">
        <f t="shared" si="147"/>
        <v>39667</v>
      </c>
    </row>
    <row r="416" spans="1:31">
      <c r="A416" s="225" t="s">
        <v>111</v>
      </c>
      <c r="B416" s="226" t="s">
        <v>45</v>
      </c>
      <c r="C416" s="426" t="s">
        <v>729</v>
      </c>
      <c r="D416"/>
      <c r="E416"/>
      <c r="F416"/>
      <c r="G416"/>
      <c r="H416"/>
      <c r="I416" t="str">
        <f t="shared" si="143"/>
        <v>VA-Yes</v>
      </c>
      <c r="J416" t="str">
        <f t="shared" si="144"/>
        <v>VA-Yes</v>
      </c>
      <c r="K416" t="str">
        <f t="shared" si="153"/>
        <v/>
      </c>
      <c r="L416" t="str">
        <f t="shared" si="155"/>
        <v/>
      </c>
      <c r="M416">
        <v>2000</v>
      </c>
      <c r="N416" s="242">
        <v>7</v>
      </c>
      <c r="O416" s="415">
        <v>79616</v>
      </c>
      <c r="P416" s="416">
        <v>138209</v>
      </c>
      <c r="Q416" s="228">
        <f t="shared" si="151"/>
        <v>15577</v>
      </c>
      <c r="R416" s="423">
        <v>233402</v>
      </c>
      <c r="S416" s="239"/>
      <c r="T416" s="231">
        <f t="shared" si="145"/>
        <v>138209</v>
      </c>
      <c r="U416" s="231">
        <f t="shared" si="142"/>
        <v>79616</v>
      </c>
      <c r="V416" s="232">
        <f t="shared" si="146"/>
        <v>0.26899116263055206</v>
      </c>
      <c r="W416" s="233">
        <f t="shared" si="134"/>
        <v>0.59215002442138454</v>
      </c>
      <c r="X416" s="234" t="str">
        <f t="shared" si="135"/>
        <v>VA-No</v>
      </c>
      <c r="Y416" s="235" t="str">
        <f t="shared" si="136"/>
        <v>VA-Rep</v>
      </c>
      <c r="Z416" s="236" t="str">
        <f>B416&amp;"-"&amp;IF(V416&gt;Instructions!$H$14,Instructions!$I$14,IF(V416&gt;Instructions!$H$15,Instructions!$I$15,IF(V416&gt;Instructions!$H$16,Instructions!$I$16,IF(V416&gt;Instructions!$H$17,Instructions!$I$17,Instructions!$I$18))))</f>
        <v>VA-Landslide</v>
      </c>
      <c r="AA416" s="237">
        <f t="shared" si="137"/>
        <v>79616</v>
      </c>
      <c r="AB416" s="237">
        <f t="shared" si="138"/>
        <v>0</v>
      </c>
      <c r="AC416" s="238">
        <f t="shared" si="152"/>
        <v>15577</v>
      </c>
      <c r="AD416" s="389">
        <f t="shared" si="147"/>
        <v>95193</v>
      </c>
    </row>
    <row r="417" spans="1:31">
      <c r="A417" s="225" t="s">
        <v>111</v>
      </c>
      <c r="B417" s="226" t="s">
        <v>45</v>
      </c>
      <c r="C417" s="426" t="s">
        <v>730</v>
      </c>
      <c r="D417"/>
      <c r="E417"/>
      <c r="F417"/>
      <c r="G417"/>
      <c r="H417"/>
      <c r="I417" t="str">
        <f t="shared" si="143"/>
        <v>VA-Yes</v>
      </c>
      <c r="J417" t="str">
        <f t="shared" si="144"/>
        <v>VA-Yes</v>
      </c>
      <c r="K417" t="str">
        <f t="shared" si="153"/>
        <v/>
      </c>
      <c r="L417" t="str">
        <f t="shared" si="155"/>
        <v/>
      </c>
      <c r="M417">
        <v>1990</v>
      </c>
      <c r="N417" s="242">
        <v>8</v>
      </c>
      <c r="O417" s="415">
        <v>116404</v>
      </c>
      <c r="P417" s="416">
        <v>71145</v>
      </c>
      <c r="Q417" s="228">
        <f t="shared" si="151"/>
        <v>3199</v>
      </c>
      <c r="R417" s="423">
        <v>190748</v>
      </c>
      <c r="S417" s="239"/>
      <c r="T417" s="231">
        <f t="shared" si="145"/>
        <v>116404</v>
      </c>
      <c r="U417" s="231">
        <f t="shared" si="142"/>
        <v>71145</v>
      </c>
      <c r="V417" s="232">
        <f t="shared" si="146"/>
        <v>0.24131826882574686</v>
      </c>
      <c r="W417" s="233">
        <f t="shared" si="134"/>
        <v>0.61025017300312456</v>
      </c>
      <c r="X417" s="234" t="str">
        <f t="shared" si="135"/>
        <v>VA-No</v>
      </c>
      <c r="Y417" s="235" t="str">
        <f t="shared" si="136"/>
        <v>VA-Dem</v>
      </c>
      <c r="Z417" s="236" t="str">
        <f>B417&amp;"-"&amp;IF(V417&gt;Instructions!$H$14,Instructions!$I$14,IF(V417&gt;Instructions!$H$15,Instructions!$I$15,IF(V417&gt;Instructions!$H$16,Instructions!$I$16,IF(V417&gt;Instructions!$H$17,Instructions!$I$17,Instructions!$I$18))))</f>
        <v>VA-Landslide</v>
      </c>
      <c r="AA417" s="237">
        <f t="shared" si="137"/>
        <v>0</v>
      </c>
      <c r="AB417" s="237">
        <f t="shared" si="138"/>
        <v>71145</v>
      </c>
      <c r="AC417" s="238">
        <f t="shared" si="152"/>
        <v>3199</v>
      </c>
      <c r="AD417" s="389">
        <f t="shared" si="147"/>
        <v>74344</v>
      </c>
    </row>
    <row r="418" spans="1:31">
      <c r="A418" s="225" t="s">
        <v>111</v>
      </c>
      <c r="B418" s="226" t="s">
        <v>45</v>
      </c>
      <c r="C418" t="s">
        <v>731</v>
      </c>
      <c r="D418"/>
      <c r="E418"/>
      <c r="F418"/>
      <c r="G418"/>
      <c r="H418"/>
      <c r="I418" t="str">
        <f t="shared" si="143"/>
        <v>VA-Yes</v>
      </c>
      <c r="J418" t="str">
        <f t="shared" si="144"/>
        <v>VA-No</v>
      </c>
      <c r="K418">
        <f t="shared" si="153"/>
        <v>1</v>
      </c>
      <c r="L418" t="str">
        <f>B418&amp;"-"&amp;IF(M418=2010, 1, "")</f>
        <v>VA-1</v>
      </c>
      <c r="M418">
        <v>2010</v>
      </c>
      <c r="N418" s="242">
        <v>9</v>
      </c>
      <c r="O418" s="415">
        <v>86743</v>
      </c>
      <c r="P418" s="416">
        <v>95726</v>
      </c>
      <c r="Q418" s="228">
        <f t="shared" si="151"/>
        <v>4448</v>
      </c>
      <c r="R418" s="423">
        <v>186917</v>
      </c>
      <c r="S418" s="239"/>
      <c r="T418" s="231">
        <f t="shared" si="145"/>
        <v>95726</v>
      </c>
      <c r="U418" s="231">
        <f t="shared" si="142"/>
        <v>86743</v>
      </c>
      <c r="V418" s="232">
        <f t="shared" si="146"/>
        <v>4.9230280211981212E-2</v>
      </c>
      <c r="W418" s="233">
        <f t="shared" si="134"/>
        <v>0.51213105282023574</v>
      </c>
      <c r="X418" s="234" t="str">
        <f t="shared" si="135"/>
        <v>VA-No</v>
      </c>
      <c r="Y418" s="235" t="str">
        <f t="shared" si="136"/>
        <v>VA-Rep</v>
      </c>
      <c r="Z418" s="236" t="str">
        <f>B418&amp;"-"&amp;IF(V418&gt;Instructions!$H$14,Instructions!$I$14,IF(V418&gt;Instructions!$H$15,Instructions!$I$15,IF(V418&gt;Instructions!$H$16,Instructions!$I$16,IF(V418&gt;Instructions!$H$17,Instructions!$I$17,Instructions!$I$18))))</f>
        <v>VA-Tight</v>
      </c>
      <c r="AA418" s="237">
        <f t="shared" si="137"/>
        <v>86743</v>
      </c>
      <c r="AB418" s="237">
        <f t="shared" si="138"/>
        <v>0</v>
      </c>
      <c r="AC418" s="238">
        <f t="shared" si="152"/>
        <v>4448</v>
      </c>
      <c r="AD418" s="389">
        <f t="shared" si="147"/>
        <v>91191</v>
      </c>
    </row>
    <row r="419" spans="1:31">
      <c r="A419" s="225" t="s">
        <v>111</v>
      </c>
      <c r="B419" s="226" t="s">
        <v>45</v>
      </c>
      <c r="C419" t="s">
        <v>732</v>
      </c>
      <c r="D419"/>
      <c r="E419"/>
      <c r="F419"/>
      <c r="G419"/>
      <c r="H419"/>
      <c r="I419" t="str">
        <f t="shared" si="143"/>
        <v>VA-Yes</v>
      </c>
      <c r="J419" t="str">
        <f t="shared" si="144"/>
        <v>VA-Yes</v>
      </c>
      <c r="K419" t="str">
        <f t="shared" si="153"/>
        <v/>
      </c>
      <c r="L419" t="str">
        <f t="shared" ref="L419:L420" si="156">IF(M419=2010, 1, "")</f>
        <v/>
      </c>
      <c r="M419">
        <v>1980</v>
      </c>
      <c r="N419" s="242">
        <v>10</v>
      </c>
      <c r="O419" s="415">
        <v>72604</v>
      </c>
      <c r="P419" s="416">
        <v>131116</v>
      </c>
      <c r="Q419" s="228">
        <f t="shared" si="151"/>
        <v>4836</v>
      </c>
      <c r="R419" s="423">
        <v>208556</v>
      </c>
      <c r="S419" s="239"/>
      <c r="T419" s="231">
        <f t="shared" si="145"/>
        <v>131116</v>
      </c>
      <c r="U419" s="231">
        <f t="shared" si="142"/>
        <v>72604</v>
      </c>
      <c r="V419" s="232">
        <f t="shared" si="146"/>
        <v>0.28721774985273907</v>
      </c>
      <c r="W419" s="233">
        <f t="shared" si="134"/>
        <v>0.62868486161990067</v>
      </c>
      <c r="X419" s="234" t="str">
        <f t="shared" si="135"/>
        <v>VA-No</v>
      </c>
      <c r="Y419" s="235" t="str">
        <f t="shared" si="136"/>
        <v>VA-Rep</v>
      </c>
      <c r="Z419" s="236" t="str">
        <f>B419&amp;"-"&amp;IF(V419&gt;Instructions!$H$14,Instructions!$I$14,IF(V419&gt;Instructions!$H$15,Instructions!$I$15,IF(V419&gt;Instructions!$H$16,Instructions!$I$16,IF(V419&gt;Instructions!$H$17,Instructions!$I$17,Instructions!$I$18))))</f>
        <v>VA-Landslide</v>
      </c>
      <c r="AA419" s="237">
        <f t="shared" si="137"/>
        <v>72604</v>
      </c>
      <c r="AB419" s="237">
        <f t="shared" si="138"/>
        <v>0</v>
      </c>
      <c r="AC419" s="238">
        <f t="shared" si="152"/>
        <v>4836</v>
      </c>
      <c r="AD419" s="389">
        <f t="shared" si="147"/>
        <v>77440</v>
      </c>
    </row>
    <row r="420" spans="1:31">
      <c r="A420" s="225" t="s">
        <v>111</v>
      </c>
      <c r="B420" s="226" t="s">
        <v>45</v>
      </c>
      <c r="C420" t="s">
        <v>733</v>
      </c>
      <c r="D420"/>
      <c r="E420"/>
      <c r="F420"/>
      <c r="G420"/>
      <c r="H420"/>
      <c r="I420" t="str">
        <f t="shared" si="143"/>
        <v>VA-Yes</v>
      </c>
      <c r="J420" t="str">
        <f t="shared" si="144"/>
        <v>VA-Yes</v>
      </c>
      <c r="K420" t="str">
        <f t="shared" si="153"/>
        <v/>
      </c>
      <c r="L420" t="str">
        <f t="shared" si="156"/>
        <v/>
      </c>
      <c r="M420">
        <v>2008</v>
      </c>
      <c r="N420" s="242">
        <v>11</v>
      </c>
      <c r="O420" s="415">
        <v>111720</v>
      </c>
      <c r="P420" s="416">
        <v>110739</v>
      </c>
      <c r="Q420" s="228">
        <f t="shared" si="151"/>
        <v>4492</v>
      </c>
      <c r="R420" s="423">
        <v>226951</v>
      </c>
      <c r="S420" s="239"/>
      <c r="T420" s="231">
        <f t="shared" si="145"/>
        <v>111720</v>
      </c>
      <c r="U420" s="231">
        <f t="shared" si="142"/>
        <v>110739</v>
      </c>
      <c r="V420" s="232">
        <f t="shared" si="146"/>
        <v>4.4098013566544842E-3</v>
      </c>
      <c r="W420" s="233">
        <f t="shared" si="134"/>
        <v>0.49226485012183246</v>
      </c>
      <c r="X420" s="234" t="str">
        <f t="shared" si="135"/>
        <v>VA-No</v>
      </c>
      <c r="Y420" s="235" t="str">
        <f t="shared" si="136"/>
        <v>VA-Dem</v>
      </c>
      <c r="Z420" s="236" t="str">
        <f>B420&amp;"-"&amp;IF(V420&gt;Instructions!$H$14,Instructions!$I$14,IF(V420&gt;Instructions!$H$15,Instructions!$I$15,IF(V420&gt;Instructions!$H$16,Instructions!$I$16,IF(V420&gt;Instructions!$H$17,Instructions!$I$17,Instructions!$I$18))))</f>
        <v>VA-Tight</v>
      </c>
      <c r="AA420" s="237">
        <f t="shared" si="137"/>
        <v>0</v>
      </c>
      <c r="AB420" s="237">
        <f t="shared" si="138"/>
        <v>110739</v>
      </c>
      <c r="AC420" s="238">
        <f t="shared" si="152"/>
        <v>4492</v>
      </c>
      <c r="AD420" s="389">
        <f t="shared" si="147"/>
        <v>115231</v>
      </c>
      <c r="AE420" s="389">
        <f>SUM(AD410:AD420)</f>
        <v>887302</v>
      </c>
    </row>
    <row r="421" spans="1:31">
      <c r="A421" s="225" t="s">
        <v>112</v>
      </c>
      <c r="B421" s="226" t="s">
        <v>46</v>
      </c>
      <c r="C421" t="s">
        <v>735</v>
      </c>
      <c r="D421"/>
      <c r="E421"/>
      <c r="F421"/>
      <c r="G421"/>
      <c r="H421"/>
      <c r="I421" t="str">
        <f t="shared" si="143"/>
        <v>WA-Yes</v>
      </c>
      <c r="J421" t="str">
        <f t="shared" si="144"/>
        <v>WA-Yes</v>
      </c>
      <c r="K421" t="str">
        <f t="shared" si="140"/>
        <v/>
      </c>
      <c r="L421" t="str">
        <f t="shared" si="148"/>
        <v/>
      </c>
      <c r="M421">
        <v>1998</v>
      </c>
      <c r="N421" s="242">
        <v>1</v>
      </c>
      <c r="O421" s="415">
        <v>172642</v>
      </c>
      <c r="P421" s="416">
        <v>126737</v>
      </c>
      <c r="Q421" s="228">
        <f t="shared" si="141"/>
        <v>0</v>
      </c>
      <c r="R421" s="423">
        <v>299379</v>
      </c>
      <c r="S421" s="239"/>
      <c r="T421" s="231">
        <f t="shared" si="145"/>
        <v>172642</v>
      </c>
      <c r="U421" s="231">
        <f t="shared" si="142"/>
        <v>126737</v>
      </c>
      <c r="V421" s="232">
        <f t="shared" si="146"/>
        <v>0.15333406818781545</v>
      </c>
      <c r="W421" s="233">
        <f t="shared" si="134"/>
        <v>0.57666703409390774</v>
      </c>
      <c r="X421" s="234" t="str">
        <f t="shared" si="135"/>
        <v>WA-No</v>
      </c>
      <c r="Y421" s="235" t="str">
        <f t="shared" si="136"/>
        <v>WA-Dem</v>
      </c>
      <c r="Z421" s="236" t="str">
        <f>B421&amp;"-"&amp;IF(V421&gt;Instructions!$H$14,Instructions!$I$14,IF(V421&gt;Instructions!$H$15,Instructions!$I$15,IF(V421&gt;Instructions!$H$16,Instructions!$I$16,IF(V421&gt;Instructions!$H$17,Instructions!$I$17,Instructions!$I$18))))</f>
        <v>WA-Opportunity</v>
      </c>
      <c r="AA421" s="237">
        <f t="shared" si="137"/>
        <v>0</v>
      </c>
      <c r="AB421" s="237">
        <f t="shared" si="138"/>
        <v>126737</v>
      </c>
      <c r="AC421" s="238">
        <f t="shared" si="152"/>
        <v>0</v>
      </c>
      <c r="AD421" s="389">
        <f t="shared" si="147"/>
        <v>126737</v>
      </c>
    </row>
    <row r="422" spans="1:31">
      <c r="A422" s="225" t="s">
        <v>112</v>
      </c>
      <c r="B422" s="226" t="s">
        <v>46</v>
      </c>
      <c r="C422" t="s">
        <v>736</v>
      </c>
      <c r="D422"/>
      <c r="E422"/>
      <c r="F422"/>
      <c r="G422"/>
      <c r="H422"/>
      <c r="I422" t="str">
        <f t="shared" si="143"/>
        <v>WA-Yes</v>
      </c>
      <c r="J422" t="str">
        <f t="shared" si="144"/>
        <v>WA-Yes</v>
      </c>
      <c r="K422" t="str">
        <f t="shared" si="140"/>
        <v/>
      </c>
      <c r="L422" t="str">
        <f t="shared" si="148"/>
        <v/>
      </c>
      <c r="M422">
        <v>2000</v>
      </c>
      <c r="N422" s="242">
        <v>2</v>
      </c>
      <c r="O422" s="415">
        <v>155241</v>
      </c>
      <c r="P422" s="416">
        <v>148722</v>
      </c>
      <c r="Q422" s="228">
        <f t="shared" si="141"/>
        <v>0</v>
      </c>
      <c r="R422" s="423">
        <v>303963</v>
      </c>
      <c r="S422" s="239"/>
      <c r="T422" s="231">
        <f t="shared" si="145"/>
        <v>155241</v>
      </c>
      <c r="U422" s="231">
        <f t="shared" si="142"/>
        <v>148722</v>
      </c>
      <c r="V422" s="232">
        <f t="shared" si="146"/>
        <v>2.144668923520297E-2</v>
      </c>
      <c r="W422" s="233">
        <f t="shared" si="134"/>
        <v>0.51072334461760149</v>
      </c>
      <c r="X422" s="234" t="str">
        <f t="shared" si="135"/>
        <v>WA-No</v>
      </c>
      <c r="Y422" s="235" t="str">
        <f t="shared" si="136"/>
        <v>WA-Dem</v>
      </c>
      <c r="Z422" s="236" t="str">
        <f>B422&amp;"-"&amp;IF(V422&gt;Instructions!$H$14,Instructions!$I$14,IF(V422&gt;Instructions!$H$15,Instructions!$I$15,IF(V422&gt;Instructions!$H$16,Instructions!$I$16,IF(V422&gt;Instructions!$H$17,Instructions!$I$17,Instructions!$I$18))))</f>
        <v>WA-Tight</v>
      </c>
      <c r="AA422" s="237">
        <f t="shared" si="137"/>
        <v>0</v>
      </c>
      <c r="AB422" s="237">
        <f t="shared" si="138"/>
        <v>148722</v>
      </c>
      <c r="AC422" s="238">
        <f t="shared" si="152"/>
        <v>0</v>
      </c>
      <c r="AD422" s="389">
        <f t="shared" si="147"/>
        <v>148722</v>
      </c>
    </row>
    <row r="423" spans="1:31">
      <c r="A423" s="225" t="s">
        <v>112</v>
      </c>
      <c r="B423" s="226" t="s">
        <v>46</v>
      </c>
      <c r="C423" t="s">
        <v>767</v>
      </c>
      <c r="D423" s="399" t="s">
        <v>802</v>
      </c>
      <c r="E423"/>
      <c r="F423" s="399" t="s">
        <v>802</v>
      </c>
      <c r="G423"/>
      <c r="H423"/>
      <c r="I423" t="str">
        <f t="shared" si="143"/>
        <v>WA-No</v>
      </c>
      <c r="J423" t="str">
        <f t="shared" si="144"/>
        <v>WA-No</v>
      </c>
      <c r="K423">
        <v>0</v>
      </c>
      <c r="L423" t="str">
        <f>B423&amp;"-"&amp;IF(M423=2010, 1, "")</f>
        <v>WA-1</v>
      </c>
      <c r="M423">
        <v>2010</v>
      </c>
      <c r="N423" s="242">
        <v>3</v>
      </c>
      <c r="O423" s="415">
        <v>135654</v>
      </c>
      <c r="P423" s="416">
        <v>152799</v>
      </c>
      <c r="Q423" s="228">
        <f t="shared" si="141"/>
        <v>0</v>
      </c>
      <c r="R423" s="423">
        <v>288453</v>
      </c>
      <c r="S423" s="239"/>
      <c r="T423" s="231">
        <f t="shared" si="145"/>
        <v>152799</v>
      </c>
      <c r="U423" s="231">
        <f t="shared" si="142"/>
        <v>135654</v>
      </c>
      <c r="V423" s="232">
        <f t="shared" si="146"/>
        <v>5.9437759357676985E-2</v>
      </c>
      <c r="W423" s="233">
        <f t="shared" si="134"/>
        <v>0.52971887967883846</v>
      </c>
      <c r="X423" s="234" t="str">
        <f t="shared" si="135"/>
        <v>WA-No</v>
      </c>
      <c r="Y423" s="235" t="str">
        <f t="shared" si="136"/>
        <v>WA-Rep</v>
      </c>
      <c r="Z423" s="236" t="str">
        <f>B423&amp;"-"&amp;IF(V423&gt;Instructions!$H$14,Instructions!$I$14,IF(V423&gt;Instructions!$H$15,Instructions!$I$15,IF(V423&gt;Instructions!$H$16,Instructions!$I$16,IF(V423&gt;Instructions!$H$17,Instructions!$I$17,Instructions!$I$18))))</f>
        <v>WA-Competitive</v>
      </c>
      <c r="AA423" s="237">
        <f t="shared" si="137"/>
        <v>135654</v>
      </c>
      <c r="AB423" s="237">
        <f t="shared" si="138"/>
        <v>0</v>
      </c>
      <c r="AC423" s="238">
        <f t="shared" si="152"/>
        <v>0</v>
      </c>
      <c r="AD423" s="389">
        <f t="shared" si="147"/>
        <v>135654</v>
      </c>
    </row>
    <row r="424" spans="1:31">
      <c r="A424" s="225" t="s">
        <v>112</v>
      </c>
      <c r="B424" s="226" t="s">
        <v>46</v>
      </c>
      <c r="C424" t="s">
        <v>737</v>
      </c>
      <c r="D424"/>
      <c r="E424"/>
      <c r="F424"/>
      <c r="G424"/>
      <c r="H424"/>
      <c r="I424" t="str">
        <f t="shared" si="143"/>
        <v>WA-Yes</v>
      </c>
      <c r="J424" t="str">
        <f t="shared" si="144"/>
        <v>WA-Yes</v>
      </c>
      <c r="K424" t="str">
        <f t="shared" si="140"/>
        <v/>
      </c>
      <c r="L424" t="str">
        <f t="shared" si="148"/>
        <v/>
      </c>
      <c r="M424">
        <v>1994</v>
      </c>
      <c r="N424" s="242">
        <v>4</v>
      </c>
      <c r="O424" s="415">
        <v>74973</v>
      </c>
      <c r="P424" s="416">
        <v>156726</v>
      </c>
      <c r="Q424" s="228">
        <f t="shared" si="141"/>
        <v>0</v>
      </c>
      <c r="R424" s="423">
        <v>231699</v>
      </c>
      <c r="S424" s="239"/>
      <c r="T424" s="231">
        <f t="shared" si="145"/>
        <v>156726</v>
      </c>
      <c r="U424" s="231">
        <f t="shared" si="142"/>
        <v>74973</v>
      </c>
      <c r="V424" s="232">
        <f t="shared" si="146"/>
        <v>0.35284140199137676</v>
      </c>
      <c r="W424" s="233">
        <f t="shared" si="134"/>
        <v>0.67642070099568841</v>
      </c>
      <c r="X424" s="234" t="str">
        <f t="shared" si="135"/>
        <v>WA-No</v>
      </c>
      <c r="Y424" s="235" t="str">
        <f t="shared" si="136"/>
        <v>WA-Rep</v>
      </c>
      <c r="Z424" s="236" t="str">
        <f>B424&amp;"-"&amp;IF(V424&gt;Instructions!$H$14,Instructions!$I$14,IF(V424&gt;Instructions!$H$15,Instructions!$I$15,IF(V424&gt;Instructions!$H$16,Instructions!$I$16,IF(V424&gt;Instructions!$H$17,Instructions!$I$17,Instructions!$I$18))))</f>
        <v>WA-Landslide</v>
      </c>
      <c r="AA424" s="237">
        <f t="shared" si="137"/>
        <v>74973</v>
      </c>
      <c r="AB424" s="237">
        <f t="shared" si="138"/>
        <v>0</v>
      </c>
      <c r="AC424" s="238">
        <f t="shared" si="152"/>
        <v>0</v>
      </c>
      <c r="AD424" s="389">
        <f t="shared" si="147"/>
        <v>74973</v>
      </c>
    </row>
    <row r="425" spans="1:31">
      <c r="A425" s="225" t="s">
        <v>112</v>
      </c>
      <c r="B425" s="226" t="s">
        <v>46</v>
      </c>
      <c r="C425" t="s">
        <v>738</v>
      </c>
      <c r="D425" s="399" t="s">
        <v>802</v>
      </c>
      <c r="E425"/>
      <c r="F425"/>
      <c r="G425"/>
      <c r="H425"/>
      <c r="I425" t="str">
        <f t="shared" si="143"/>
        <v>WA-Yes</v>
      </c>
      <c r="J425" t="str">
        <f t="shared" si="144"/>
        <v>WA-Yes</v>
      </c>
      <c r="K425" t="str">
        <f t="shared" si="140"/>
        <v/>
      </c>
      <c r="L425" t="str">
        <f t="shared" si="148"/>
        <v/>
      </c>
      <c r="M425">
        <v>2004</v>
      </c>
      <c r="N425" s="242">
        <v>5</v>
      </c>
      <c r="O425" s="415">
        <v>101146</v>
      </c>
      <c r="P425" s="416">
        <v>177235</v>
      </c>
      <c r="Q425" s="228">
        <f t="shared" si="141"/>
        <v>0</v>
      </c>
      <c r="R425" s="423">
        <v>278381</v>
      </c>
      <c r="S425" s="239"/>
      <c r="T425" s="231">
        <f t="shared" si="145"/>
        <v>177235</v>
      </c>
      <c r="U425" s="231">
        <f t="shared" si="142"/>
        <v>101146</v>
      </c>
      <c r="V425" s="232">
        <f t="shared" si="146"/>
        <v>0.27332684342681435</v>
      </c>
      <c r="W425" s="233">
        <f t="shared" si="134"/>
        <v>0.63666342171340717</v>
      </c>
      <c r="X425" s="234" t="str">
        <f t="shared" si="135"/>
        <v>WA-No</v>
      </c>
      <c r="Y425" s="235" t="str">
        <f t="shared" si="136"/>
        <v>WA-Rep</v>
      </c>
      <c r="Z425" s="236" t="str">
        <f>B425&amp;"-"&amp;IF(V425&gt;Instructions!$H$14,Instructions!$I$14,IF(V425&gt;Instructions!$H$15,Instructions!$I$15,IF(V425&gt;Instructions!$H$16,Instructions!$I$16,IF(V425&gt;Instructions!$H$17,Instructions!$I$17,Instructions!$I$18))))</f>
        <v>WA-Landslide</v>
      </c>
      <c r="AA425" s="237">
        <f t="shared" si="137"/>
        <v>101146</v>
      </c>
      <c r="AB425" s="237">
        <f t="shared" si="138"/>
        <v>0</v>
      </c>
      <c r="AC425" s="238">
        <f t="shared" si="152"/>
        <v>0</v>
      </c>
      <c r="AD425" s="389">
        <f t="shared" si="147"/>
        <v>101146</v>
      </c>
    </row>
    <row r="426" spans="1:31">
      <c r="A426" s="225" t="s">
        <v>112</v>
      </c>
      <c r="B426" s="226" t="s">
        <v>46</v>
      </c>
      <c r="C426" t="s">
        <v>739</v>
      </c>
      <c r="D426"/>
      <c r="E426"/>
      <c r="F426"/>
      <c r="G426"/>
      <c r="H426"/>
      <c r="I426" t="str">
        <f t="shared" si="143"/>
        <v>WA-Yes</v>
      </c>
      <c r="J426" t="str">
        <f t="shared" si="144"/>
        <v>WA-Yes</v>
      </c>
      <c r="K426" t="str">
        <f t="shared" si="140"/>
        <v/>
      </c>
      <c r="L426" t="str">
        <f t="shared" si="148"/>
        <v/>
      </c>
      <c r="M426">
        <v>1976</v>
      </c>
      <c r="N426" s="242">
        <v>6</v>
      </c>
      <c r="O426" s="415">
        <v>151873</v>
      </c>
      <c r="P426" s="416">
        <v>109800</v>
      </c>
      <c r="Q426" s="228">
        <f t="shared" si="141"/>
        <v>0</v>
      </c>
      <c r="R426" s="423">
        <v>261673</v>
      </c>
      <c r="S426" s="239"/>
      <c r="T426" s="231">
        <f t="shared" si="145"/>
        <v>151873</v>
      </c>
      <c r="U426" s="231">
        <f t="shared" si="142"/>
        <v>109800</v>
      </c>
      <c r="V426" s="232">
        <f t="shared" si="146"/>
        <v>0.16078464342901255</v>
      </c>
      <c r="W426" s="233">
        <f t="shared" si="134"/>
        <v>0.58039232171450628</v>
      </c>
      <c r="X426" s="234" t="str">
        <f t="shared" si="135"/>
        <v>WA-No</v>
      </c>
      <c r="Y426" s="235" t="str">
        <f t="shared" si="136"/>
        <v>WA-Dem</v>
      </c>
      <c r="Z426" s="236" t="str">
        <f>B426&amp;"-"&amp;IF(V426&gt;Instructions!$H$14,Instructions!$I$14,IF(V426&gt;Instructions!$H$15,Instructions!$I$15,IF(V426&gt;Instructions!$H$16,Instructions!$I$16,IF(V426&gt;Instructions!$H$17,Instructions!$I$17,Instructions!$I$18))))</f>
        <v>WA-Opportunity</v>
      </c>
      <c r="AA426" s="237">
        <f t="shared" si="137"/>
        <v>0</v>
      </c>
      <c r="AB426" s="237">
        <f t="shared" si="138"/>
        <v>109800</v>
      </c>
      <c r="AC426" s="238">
        <f t="shared" si="152"/>
        <v>0</v>
      </c>
      <c r="AD426" s="389">
        <f t="shared" si="147"/>
        <v>109800</v>
      </c>
    </row>
    <row r="427" spans="1:31">
      <c r="A427" s="225" t="s">
        <v>112</v>
      </c>
      <c r="B427" s="226" t="s">
        <v>46</v>
      </c>
      <c r="C427" s="426" t="s">
        <v>740</v>
      </c>
      <c r="D427"/>
      <c r="E427"/>
      <c r="F427"/>
      <c r="G427"/>
      <c r="H427"/>
      <c r="I427" t="str">
        <f t="shared" si="143"/>
        <v>WA-Yes</v>
      </c>
      <c r="J427" t="str">
        <f t="shared" si="144"/>
        <v>WA-Yes</v>
      </c>
      <c r="K427" t="str">
        <f t="shared" si="140"/>
        <v/>
      </c>
      <c r="L427" t="str">
        <f t="shared" si="148"/>
        <v/>
      </c>
      <c r="M427">
        <v>1988</v>
      </c>
      <c r="N427" s="242">
        <v>7</v>
      </c>
      <c r="O427" s="415">
        <v>232649</v>
      </c>
      <c r="P427" s="416">
        <v>0</v>
      </c>
      <c r="Q427" s="228">
        <f t="shared" si="141"/>
        <v>47741</v>
      </c>
      <c r="R427" s="423">
        <v>280390</v>
      </c>
      <c r="S427" s="239"/>
      <c r="T427" s="231">
        <f t="shared" si="145"/>
        <v>232649</v>
      </c>
      <c r="U427" s="231">
        <f t="shared" si="142"/>
        <v>47741</v>
      </c>
      <c r="V427" s="232">
        <f t="shared" si="146"/>
        <v>1</v>
      </c>
      <c r="W427" s="233">
        <f t="shared" si="134"/>
        <v>0.82973358536324404</v>
      </c>
      <c r="X427" s="234" t="str">
        <f t="shared" si="135"/>
        <v>WA-Yes</v>
      </c>
      <c r="Y427" s="235" t="str">
        <f t="shared" si="136"/>
        <v>WA-Dem</v>
      </c>
      <c r="Z427" s="236" t="str">
        <f>B427&amp;"-"&amp;IF(V427&gt;Instructions!$H$14,Instructions!$I$14,IF(V427&gt;Instructions!$H$15,Instructions!$I$15,IF(V427&gt;Instructions!$H$16,Instructions!$I$16,IF(V427&gt;Instructions!$H$17,Instructions!$I$17,Instructions!$I$18))))</f>
        <v>WA-No contest</v>
      </c>
      <c r="AA427" s="237">
        <f t="shared" si="137"/>
        <v>0</v>
      </c>
      <c r="AB427" s="237">
        <f t="shared" si="138"/>
        <v>0</v>
      </c>
      <c r="AC427" s="238">
        <f t="shared" si="152"/>
        <v>47741</v>
      </c>
      <c r="AD427" s="389">
        <f t="shared" si="147"/>
        <v>47741</v>
      </c>
    </row>
    <row r="428" spans="1:31">
      <c r="A428" s="225" t="s">
        <v>112</v>
      </c>
      <c r="B428" s="226" t="s">
        <v>46</v>
      </c>
      <c r="C428" t="s">
        <v>741</v>
      </c>
      <c r="D428"/>
      <c r="E428"/>
      <c r="F428"/>
      <c r="G428"/>
      <c r="H428"/>
      <c r="I428" t="str">
        <f t="shared" si="143"/>
        <v>WA-Yes</v>
      </c>
      <c r="J428" t="str">
        <f t="shared" si="144"/>
        <v>WA-Yes</v>
      </c>
      <c r="K428" t="str">
        <f t="shared" si="140"/>
        <v/>
      </c>
      <c r="L428" t="str">
        <f t="shared" si="148"/>
        <v/>
      </c>
      <c r="M428">
        <v>2004</v>
      </c>
      <c r="N428" s="242">
        <v>8</v>
      </c>
      <c r="O428" s="415">
        <v>148581</v>
      </c>
      <c r="P428" s="416">
        <v>161296</v>
      </c>
      <c r="Q428" s="228">
        <f t="shared" si="141"/>
        <v>0</v>
      </c>
      <c r="R428" s="423">
        <v>309877</v>
      </c>
      <c r="S428" s="239"/>
      <c r="T428" s="231">
        <f t="shared" si="145"/>
        <v>161296</v>
      </c>
      <c r="U428" s="231">
        <f t="shared" si="142"/>
        <v>148581</v>
      </c>
      <c r="V428" s="232">
        <f t="shared" si="146"/>
        <v>4.1032409633499745E-2</v>
      </c>
      <c r="W428" s="233">
        <f t="shared" si="134"/>
        <v>0.52051620481674987</v>
      </c>
      <c r="X428" s="234" t="str">
        <f t="shared" si="135"/>
        <v>WA-No</v>
      </c>
      <c r="Y428" s="235" t="str">
        <f t="shared" si="136"/>
        <v>WA-Rep</v>
      </c>
      <c r="Z428" s="236" t="str">
        <f>B428&amp;"-"&amp;IF(V428&gt;Instructions!$H$14,Instructions!$I$14,IF(V428&gt;Instructions!$H$15,Instructions!$I$15,IF(V428&gt;Instructions!$H$16,Instructions!$I$16,IF(V428&gt;Instructions!$H$17,Instructions!$I$17,Instructions!$I$18))))</f>
        <v>WA-Tight</v>
      </c>
      <c r="AA428" s="237">
        <f t="shared" si="137"/>
        <v>148581</v>
      </c>
      <c r="AB428" s="237">
        <f t="shared" si="138"/>
        <v>0</v>
      </c>
      <c r="AC428" s="238">
        <f t="shared" si="152"/>
        <v>0</v>
      </c>
      <c r="AD428" s="389">
        <f t="shared" si="147"/>
        <v>148581</v>
      </c>
    </row>
    <row r="429" spans="1:31">
      <c r="A429" s="225" t="s">
        <v>112</v>
      </c>
      <c r="B429" s="226" t="s">
        <v>46</v>
      </c>
      <c r="C429" t="s">
        <v>742</v>
      </c>
      <c r="D429"/>
      <c r="E429"/>
      <c r="F429"/>
      <c r="G429"/>
      <c r="H429"/>
      <c r="I429" t="str">
        <f t="shared" si="143"/>
        <v>WA-Yes</v>
      </c>
      <c r="J429" t="str">
        <f t="shared" si="144"/>
        <v>WA-Yes</v>
      </c>
      <c r="K429" t="str">
        <f t="shared" si="140"/>
        <v/>
      </c>
      <c r="L429" t="str">
        <f t="shared" si="148"/>
        <v/>
      </c>
      <c r="M429">
        <v>1996</v>
      </c>
      <c r="N429" s="242">
        <v>9</v>
      </c>
      <c r="O429" s="415">
        <v>123743</v>
      </c>
      <c r="P429" s="416">
        <v>101851</v>
      </c>
      <c r="Q429" s="228">
        <f t="shared" si="141"/>
        <v>0</v>
      </c>
      <c r="R429" s="423">
        <v>225594</v>
      </c>
      <c r="S429" s="239"/>
      <c r="T429" s="231">
        <f t="shared" si="145"/>
        <v>123743</v>
      </c>
      <c r="U429" s="231">
        <f t="shared" si="142"/>
        <v>101851</v>
      </c>
      <c r="V429" s="232">
        <f t="shared" si="146"/>
        <v>9.7041587985496072E-2</v>
      </c>
      <c r="W429" s="233">
        <f t="shared" si="134"/>
        <v>0.548520793992748</v>
      </c>
      <c r="X429" s="234" t="str">
        <f t="shared" si="135"/>
        <v>WA-No</v>
      </c>
      <c r="Y429" s="235" t="str">
        <f t="shared" si="136"/>
        <v>WA-Dem</v>
      </c>
      <c r="Z429" s="236" t="str">
        <f>B429&amp;"-"&amp;IF(V429&gt;Instructions!$H$14,Instructions!$I$14,IF(V429&gt;Instructions!$H$15,Instructions!$I$15,IF(V429&gt;Instructions!$H$16,Instructions!$I$16,IF(V429&gt;Instructions!$H$17,Instructions!$I$17,Instructions!$I$18))))</f>
        <v>WA-Competitive</v>
      </c>
      <c r="AA429" s="237">
        <f t="shared" si="137"/>
        <v>0</v>
      </c>
      <c r="AB429" s="237">
        <f t="shared" si="138"/>
        <v>101851</v>
      </c>
      <c r="AC429" s="238">
        <f t="shared" si="152"/>
        <v>0</v>
      </c>
      <c r="AD429" s="389">
        <f t="shared" si="147"/>
        <v>101851</v>
      </c>
      <c r="AE429" s="389">
        <f>SUM(AD421:AD429)</f>
        <v>995205</v>
      </c>
    </row>
    <row r="430" spans="1:31">
      <c r="A430" s="225" t="s">
        <v>113</v>
      </c>
      <c r="B430" s="226" t="s">
        <v>47</v>
      </c>
      <c r="C430" t="s">
        <v>751</v>
      </c>
      <c r="D430"/>
      <c r="E430"/>
      <c r="F430"/>
      <c r="G430"/>
      <c r="H430"/>
      <c r="I430" t="str">
        <f t="shared" si="143"/>
        <v>WV-No</v>
      </c>
      <c r="J430" t="str">
        <f t="shared" si="144"/>
        <v>WV-No</v>
      </c>
      <c r="K430">
        <v>0</v>
      </c>
      <c r="L430" t="str">
        <f>B430&amp;"-"&amp;IF(M430=2010, 1, "")</f>
        <v>WV-1</v>
      </c>
      <c r="M430">
        <v>2010</v>
      </c>
      <c r="N430" s="242">
        <v>1</v>
      </c>
      <c r="O430" s="415">
        <v>89220</v>
      </c>
      <c r="P430" s="416">
        <v>90660</v>
      </c>
      <c r="Q430" s="228">
        <f t="shared" si="141"/>
        <v>0</v>
      </c>
      <c r="R430" s="423">
        <v>179880</v>
      </c>
      <c r="S430" s="239"/>
      <c r="T430" s="231">
        <f t="shared" si="145"/>
        <v>90660</v>
      </c>
      <c r="U430" s="231">
        <f t="shared" si="142"/>
        <v>89220</v>
      </c>
      <c r="V430" s="232">
        <f t="shared" si="146"/>
        <v>8.0053368912608412E-3</v>
      </c>
      <c r="W430" s="233">
        <f t="shared" si="134"/>
        <v>0.50400266844563046</v>
      </c>
      <c r="X430" s="234" t="str">
        <f t="shared" si="135"/>
        <v>WV-No</v>
      </c>
      <c r="Y430" s="235" t="str">
        <f t="shared" si="136"/>
        <v>WV-Rep</v>
      </c>
      <c r="Z430" s="236" t="str">
        <f>B430&amp;"-"&amp;IF(V430&gt;Instructions!$H$14,Instructions!$I$14,IF(V430&gt;Instructions!$H$15,Instructions!$I$15,IF(V430&gt;Instructions!$H$16,Instructions!$I$16,IF(V430&gt;Instructions!$H$17,Instructions!$I$17,Instructions!$I$18))))</f>
        <v>WV-Tight</v>
      </c>
      <c r="AA430" s="237">
        <f t="shared" si="137"/>
        <v>89220</v>
      </c>
      <c r="AB430" s="237">
        <f t="shared" si="138"/>
        <v>0</v>
      </c>
      <c r="AC430" s="238">
        <f t="shared" si="152"/>
        <v>0</v>
      </c>
      <c r="AD430" s="389">
        <f t="shared" si="147"/>
        <v>89220</v>
      </c>
    </row>
    <row r="431" spans="1:31">
      <c r="A431" s="225" t="s">
        <v>113</v>
      </c>
      <c r="B431" s="226" t="s">
        <v>47</v>
      </c>
      <c r="C431" t="s">
        <v>752</v>
      </c>
      <c r="D431" s="399" t="s">
        <v>803</v>
      </c>
      <c r="E431"/>
      <c r="F431"/>
      <c r="G431"/>
      <c r="H431"/>
      <c r="I431" t="str">
        <f t="shared" si="143"/>
        <v>WV-Yes</v>
      </c>
      <c r="J431" t="str">
        <f t="shared" si="144"/>
        <v>WV-Yes</v>
      </c>
      <c r="K431" t="str">
        <f t="shared" ref="K431:K432" si="157">IF(M431=2010, 1, "")</f>
        <v/>
      </c>
      <c r="L431" t="str">
        <f t="shared" si="148"/>
        <v/>
      </c>
      <c r="M431">
        <v>2000</v>
      </c>
      <c r="N431" s="242">
        <v>2</v>
      </c>
      <c r="O431" s="415">
        <v>55001</v>
      </c>
      <c r="P431" s="416">
        <v>126814</v>
      </c>
      <c r="Q431" s="228">
        <f t="shared" si="141"/>
        <v>3431</v>
      </c>
      <c r="R431" s="423">
        <v>185246</v>
      </c>
      <c r="S431" s="239"/>
      <c r="T431" s="231">
        <f t="shared" si="145"/>
        <v>126814</v>
      </c>
      <c r="U431" s="231">
        <f t="shared" si="142"/>
        <v>55001</v>
      </c>
      <c r="V431" s="232">
        <f t="shared" si="146"/>
        <v>0.39497841212221213</v>
      </c>
      <c r="W431" s="233">
        <f t="shared" si="134"/>
        <v>0.68457078695356444</v>
      </c>
      <c r="X431" s="234" t="str">
        <f t="shared" si="135"/>
        <v>WV-No</v>
      </c>
      <c r="Y431" s="235" t="str">
        <f t="shared" si="136"/>
        <v>WV-Rep</v>
      </c>
      <c r="Z431" s="236" t="str">
        <f>B431&amp;"-"&amp;IF(V431&gt;Instructions!$H$14,Instructions!$I$14,IF(V431&gt;Instructions!$H$15,Instructions!$I$15,IF(V431&gt;Instructions!$H$16,Instructions!$I$16,IF(V431&gt;Instructions!$H$17,Instructions!$I$17,Instructions!$I$18))))</f>
        <v>WV-Landslide</v>
      </c>
      <c r="AA431" s="237">
        <f t="shared" si="137"/>
        <v>55001</v>
      </c>
      <c r="AB431" s="237">
        <f t="shared" si="138"/>
        <v>0</v>
      </c>
      <c r="AC431" s="238">
        <f t="shared" si="152"/>
        <v>3431</v>
      </c>
      <c r="AD431" s="389">
        <f t="shared" si="147"/>
        <v>58432</v>
      </c>
    </row>
    <row r="432" spans="1:31">
      <c r="A432" s="225" t="s">
        <v>113</v>
      </c>
      <c r="B432" s="226" t="s">
        <v>47</v>
      </c>
      <c r="C432" t="s">
        <v>753</v>
      </c>
      <c r="D432"/>
      <c r="E432"/>
      <c r="F432"/>
      <c r="G432"/>
      <c r="H432"/>
      <c r="I432" t="str">
        <f t="shared" si="143"/>
        <v>WV-Yes</v>
      </c>
      <c r="J432" t="str">
        <f t="shared" si="144"/>
        <v>WV-Yes</v>
      </c>
      <c r="K432" t="str">
        <f t="shared" si="157"/>
        <v/>
      </c>
      <c r="L432" t="str">
        <f t="shared" si="148"/>
        <v/>
      </c>
      <c r="M432">
        <v>1976</v>
      </c>
      <c r="N432" s="242">
        <v>3</v>
      </c>
      <c r="O432" s="415">
        <v>83636</v>
      </c>
      <c r="P432" s="416">
        <v>65611</v>
      </c>
      <c r="Q432" s="228">
        <f t="shared" si="141"/>
        <v>0</v>
      </c>
      <c r="R432" s="423">
        <v>149247</v>
      </c>
      <c r="S432" s="239"/>
      <c r="T432" s="231">
        <f t="shared" si="145"/>
        <v>83636</v>
      </c>
      <c r="U432" s="231">
        <f t="shared" si="142"/>
        <v>65611</v>
      </c>
      <c r="V432" s="232">
        <f t="shared" si="146"/>
        <v>0.12077294685990338</v>
      </c>
      <c r="W432" s="233">
        <f t="shared" si="134"/>
        <v>0.56038647342995174</v>
      </c>
      <c r="X432" s="234" t="str">
        <f t="shared" si="135"/>
        <v>WV-No</v>
      </c>
      <c r="Y432" s="235" t="str">
        <f t="shared" si="136"/>
        <v>WV-Dem</v>
      </c>
      <c r="Z432" s="236" t="str">
        <f>B432&amp;"-"&amp;IF(V432&gt;Instructions!$H$14,Instructions!$I$14,IF(V432&gt;Instructions!$H$15,Instructions!$I$15,IF(V432&gt;Instructions!$H$16,Instructions!$I$16,IF(V432&gt;Instructions!$H$17,Instructions!$I$17,Instructions!$I$18))))</f>
        <v>WV-Opportunity</v>
      </c>
      <c r="AA432" s="237">
        <f t="shared" si="137"/>
        <v>0</v>
      </c>
      <c r="AB432" s="237">
        <f t="shared" si="138"/>
        <v>65611</v>
      </c>
      <c r="AC432" s="238">
        <f t="shared" si="152"/>
        <v>0</v>
      </c>
      <c r="AD432" s="389">
        <f t="shared" si="147"/>
        <v>65611</v>
      </c>
      <c r="AE432" s="389">
        <f>SUM(AD430:AD432)</f>
        <v>213263</v>
      </c>
    </row>
    <row r="433" spans="1:31">
      <c r="A433" s="225" t="s">
        <v>114</v>
      </c>
      <c r="B433" s="226" t="s">
        <v>48</v>
      </c>
      <c r="C433" s="426" t="s">
        <v>743</v>
      </c>
      <c r="D433"/>
      <c r="E433"/>
      <c r="F433"/>
      <c r="G433"/>
      <c r="H433"/>
      <c r="I433" t="str">
        <f t="shared" si="143"/>
        <v>WI-Yes</v>
      </c>
      <c r="J433" t="str">
        <f t="shared" si="144"/>
        <v>WI-Yes</v>
      </c>
      <c r="K433" t="str">
        <f t="shared" ref="K433:K438" si="158">IF(M433=2010, 1, "")</f>
        <v/>
      </c>
      <c r="L433" t="str">
        <f t="shared" ref="L433:L438" si="159">IF(M433=2010, 1, "")</f>
        <v/>
      </c>
      <c r="M433">
        <v>1998</v>
      </c>
      <c r="N433" s="242">
        <v>1</v>
      </c>
      <c r="O433" s="415">
        <v>79355</v>
      </c>
      <c r="P433" s="416">
        <v>179810</v>
      </c>
      <c r="Q433" s="228">
        <f t="shared" ref="Q433:Q440" si="160">R433-P433-O433</f>
        <v>4445</v>
      </c>
      <c r="R433" s="423">
        <v>263610</v>
      </c>
      <c r="S433" s="239"/>
      <c r="T433" s="231">
        <f t="shared" si="145"/>
        <v>179810</v>
      </c>
      <c r="U433" s="231">
        <f t="shared" si="142"/>
        <v>79355</v>
      </c>
      <c r="V433" s="232">
        <f t="shared" si="146"/>
        <v>0.38761020971195959</v>
      </c>
      <c r="W433" s="233">
        <f t="shared" si="134"/>
        <v>0.68210614164864758</v>
      </c>
      <c r="X433" s="234" t="str">
        <f t="shared" si="135"/>
        <v>WI-No</v>
      </c>
      <c r="Y433" s="235" t="str">
        <f t="shared" si="136"/>
        <v>WI-Rep</v>
      </c>
      <c r="Z433" s="236" t="str">
        <f>B433&amp;"-"&amp;IF(V433&gt;Instructions!$H$14,Instructions!$I$14,IF(V433&gt;Instructions!$H$15,Instructions!$I$15,IF(V433&gt;Instructions!$H$16,Instructions!$I$16,IF(V433&gt;Instructions!$H$17,Instructions!$I$17,Instructions!$I$18))))</f>
        <v>WI-Landslide</v>
      </c>
      <c r="AA433" s="237">
        <f t="shared" si="137"/>
        <v>79355</v>
      </c>
      <c r="AB433" s="237">
        <f t="shared" si="138"/>
        <v>0</v>
      </c>
      <c r="AC433" s="238">
        <f t="shared" si="152"/>
        <v>4445</v>
      </c>
      <c r="AD433" s="389">
        <f t="shared" si="147"/>
        <v>83800</v>
      </c>
    </row>
    <row r="434" spans="1:31">
      <c r="A434" s="225" t="s">
        <v>114</v>
      </c>
      <c r="B434" s="226" t="s">
        <v>48</v>
      </c>
      <c r="C434" s="426" t="s">
        <v>744</v>
      </c>
      <c r="D434" s="399" t="s">
        <v>804</v>
      </c>
      <c r="E434"/>
      <c r="F434"/>
      <c r="G434"/>
      <c r="H434"/>
      <c r="I434" t="str">
        <f t="shared" si="143"/>
        <v>WI-Yes</v>
      </c>
      <c r="J434" t="str">
        <f t="shared" si="144"/>
        <v>WI-Yes</v>
      </c>
      <c r="K434" t="str">
        <f t="shared" si="158"/>
        <v/>
      </c>
      <c r="L434" t="str">
        <f t="shared" si="159"/>
        <v/>
      </c>
      <c r="M434">
        <v>1998</v>
      </c>
      <c r="N434" s="242">
        <v>2</v>
      </c>
      <c r="O434" s="415">
        <v>191121</v>
      </c>
      <c r="P434" s="416">
        <v>118088</v>
      </c>
      <c r="Q434" s="228">
        <f t="shared" si="160"/>
        <v>118285</v>
      </c>
      <c r="R434" s="423">
        <v>427494</v>
      </c>
      <c r="S434" s="239"/>
      <c r="T434" s="231">
        <f t="shared" si="145"/>
        <v>191121</v>
      </c>
      <c r="U434" s="231">
        <f t="shared" si="142"/>
        <v>118285</v>
      </c>
      <c r="V434" s="232">
        <f t="shared" si="146"/>
        <v>0.23619299567606375</v>
      </c>
      <c r="W434" s="233">
        <f t="shared" si="134"/>
        <v>0.44707294137461578</v>
      </c>
      <c r="X434" s="234" t="str">
        <f t="shared" si="135"/>
        <v>WI-No</v>
      </c>
      <c r="Y434" s="235" t="str">
        <f t="shared" si="136"/>
        <v>WI-Dem</v>
      </c>
      <c r="Z434" s="236" t="str">
        <f>B434&amp;"-"&amp;IF(V434&gt;Instructions!$H$14,Instructions!$I$14,IF(V434&gt;Instructions!$H$15,Instructions!$I$15,IF(V434&gt;Instructions!$H$16,Instructions!$I$16,IF(V434&gt;Instructions!$H$17,Instructions!$I$17,Instructions!$I$18))))</f>
        <v>WI-Landslide</v>
      </c>
      <c r="AA434" s="237">
        <f t="shared" si="137"/>
        <v>0</v>
      </c>
      <c r="AB434" s="237">
        <f t="shared" si="138"/>
        <v>118088</v>
      </c>
      <c r="AC434" s="238">
        <f t="shared" si="152"/>
        <v>118285</v>
      </c>
      <c r="AD434" s="389">
        <f t="shared" si="147"/>
        <v>236373</v>
      </c>
    </row>
    <row r="435" spans="1:31">
      <c r="A435" s="225" t="s">
        <v>114</v>
      </c>
      <c r="B435" s="226" t="s">
        <v>48</v>
      </c>
      <c r="C435" t="s">
        <v>745</v>
      </c>
      <c r="D435"/>
      <c r="E435"/>
      <c r="F435"/>
      <c r="G435"/>
      <c r="H435"/>
      <c r="I435" t="str">
        <f t="shared" si="143"/>
        <v>WI-Yes</v>
      </c>
      <c r="J435" t="str">
        <f t="shared" si="144"/>
        <v>WI-Yes</v>
      </c>
      <c r="K435" t="str">
        <f t="shared" si="158"/>
        <v/>
      </c>
      <c r="L435" t="str">
        <f t="shared" si="159"/>
        <v/>
      </c>
      <c r="M435">
        <v>1996</v>
      </c>
      <c r="N435" s="242">
        <v>3</v>
      </c>
      <c r="O435" s="415">
        <v>126371</v>
      </c>
      <c r="P435" s="416">
        <v>116825</v>
      </c>
      <c r="Q435" s="228">
        <f t="shared" si="160"/>
        <v>8121</v>
      </c>
      <c r="R435" s="423">
        <v>251317</v>
      </c>
      <c r="S435" s="239"/>
      <c r="T435" s="231">
        <f t="shared" si="145"/>
        <v>126371</v>
      </c>
      <c r="U435" s="231">
        <f t="shared" si="142"/>
        <v>116825</v>
      </c>
      <c r="V435" s="232">
        <f t="shared" si="146"/>
        <v>3.9252290333722593E-2</v>
      </c>
      <c r="W435" s="233">
        <f t="shared" si="134"/>
        <v>0.50283506487822149</v>
      </c>
      <c r="X435" s="234" t="str">
        <f t="shared" si="135"/>
        <v>WI-No</v>
      </c>
      <c r="Y435" s="235" t="str">
        <f t="shared" si="136"/>
        <v>WI-Dem</v>
      </c>
      <c r="Z435" s="236" t="str">
        <f>B435&amp;"-"&amp;IF(V435&gt;Instructions!$H$14,Instructions!$I$14,IF(V435&gt;Instructions!$H$15,Instructions!$I$15,IF(V435&gt;Instructions!$H$16,Instructions!$I$16,IF(V435&gt;Instructions!$H$17,Instructions!$I$17,Instructions!$I$18))))</f>
        <v>WI-Tight</v>
      </c>
      <c r="AA435" s="237">
        <f t="shared" si="137"/>
        <v>0</v>
      </c>
      <c r="AB435" s="237">
        <f t="shared" si="138"/>
        <v>116825</v>
      </c>
      <c r="AC435" s="238">
        <f t="shared" si="152"/>
        <v>8121</v>
      </c>
      <c r="AD435" s="389">
        <f t="shared" si="147"/>
        <v>124946</v>
      </c>
    </row>
    <row r="436" spans="1:31">
      <c r="A436" s="225" t="s">
        <v>114</v>
      </c>
      <c r="B436" s="226" t="s">
        <v>48</v>
      </c>
      <c r="C436" s="426" t="s">
        <v>746</v>
      </c>
      <c r="D436" s="399" t="s">
        <v>804</v>
      </c>
      <c r="E436" s="399" t="s">
        <v>804</v>
      </c>
      <c r="F436"/>
      <c r="G436"/>
      <c r="H436"/>
      <c r="I436" t="str">
        <f t="shared" si="143"/>
        <v>WI-Yes</v>
      </c>
      <c r="J436" t="str">
        <f t="shared" si="144"/>
        <v>WI-Yes</v>
      </c>
      <c r="K436" t="str">
        <f t="shared" si="158"/>
        <v/>
      </c>
      <c r="L436" t="str">
        <f>IF(M436=2010, 1, "")</f>
        <v/>
      </c>
      <c r="M436">
        <v>2004</v>
      </c>
      <c r="N436" s="242">
        <v>4</v>
      </c>
      <c r="O436" s="415">
        <v>143549</v>
      </c>
      <c r="P436" s="416">
        <v>61535</v>
      </c>
      <c r="Q436" s="228">
        <f t="shared" si="160"/>
        <v>3001</v>
      </c>
      <c r="R436" s="423">
        <v>208085</v>
      </c>
      <c r="S436" s="239"/>
      <c r="T436" s="231">
        <f t="shared" si="145"/>
        <v>143549</v>
      </c>
      <c r="U436" s="231">
        <f t="shared" si="142"/>
        <v>61535</v>
      </c>
      <c r="V436" s="232">
        <f t="shared" si="146"/>
        <v>0.39990442940453669</v>
      </c>
      <c r="W436" s="233">
        <f t="shared" si="134"/>
        <v>0.68985751015210128</v>
      </c>
      <c r="X436" s="234" t="str">
        <f t="shared" si="135"/>
        <v>WI-No</v>
      </c>
      <c r="Y436" s="235" t="str">
        <f t="shared" si="136"/>
        <v>WI-Dem</v>
      </c>
      <c r="Z436" s="236" t="str">
        <f>B436&amp;"-"&amp;IF(V436&gt;Instructions!$H$14,Instructions!$I$14,IF(V436&gt;Instructions!$H$15,Instructions!$I$15,IF(V436&gt;Instructions!$H$16,Instructions!$I$16,IF(V436&gt;Instructions!$H$17,Instructions!$I$17,Instructions!$I$18))))</f>
        <v>WI-Landslide</v>
      </c>
      <c r="AA436" s="237">
        <f t="shared" si="137"/>
        <v>0</v>
      </c>
      <c r="AB436" s="237">
        <f t="shared" si="138"/>
        <v>61535</v>
      </c>
      <c r="AC436" s="238">
        <f t="shared" si="152"/>
        <v>3001</v>
      </c>
      <c r="AD436" s="389">
        <f t="shared" si="147"/>
        <v>64536</v>
      </c>
    </row>
    <row r="437" spans="1:31">
      <c r="A437" s="225" t="s">
        <v>114</v>
      </c>
      <c r="B437" s="226" t="s">
        <v>48</v>
      </c>
      <c r="C437" s="426" t="s">
        <v>747</v>
      </c>
      <c r="D437"/>
      <c r="E437"/>
      <c r="F437"/>
      <c r="G437"/>
      <c r="H437"/>
      <c r="I437" t="str">
        <f t="shared" si="143"/>
        <v>WI-Yes</v>
      </c>
      <c r="J437" t="str">
        <f t="shared" si="144"/>
        <v>WI-Yes</v>
      </c>
      <c r="K437" t="str">
        <f t="shared" si="158"/>
        <v/>
      </c>
      <c r="L437" t="str">
        <f t="shared" si="159"/>
        <v/>
      </c>
      <c r="M437">
        <v>1978</v>
      </c>
      <c r="N437" s="242">
        <v>5</v>
      </c>
      <c r="O437" s="415">
        <v>90625</v>
      </c>
      <c r="P437" s="416">
        <v>229634</v>
      </c>
      <c r="Q437" s="228">
        <f t="shared" si="160"/>
        <v>10982</v>
      </c>
      <c r="R437" s="423">
        <v>331241</v>
      </c>
      <c r="S437" s="239"/>
      <c r="T437" s="231">
        <f t="shared" si="145"/>
        <v>229634</v>
      </c>
      <c r="U437" s="231">
        <f t="shared" si="142"/>
        <v>90625</v>
      </c>
      <c r="V437" s="232">
        <f t="shared" si="146"/>
        <v>0.43405181431279061</v>
      </c>
      <c r="W437" s="233">
        <f t="shared" si="134"/>
        <v>0.69325355254935228</v>
      </c>
      <c r="X437" s="234" t="str">
        <f t="shared" si="135"/>
        <v>WI-No</v>
      </c>
      <c r="Y437" s="235" t="str">
        <f t="shared" si="136"/>
        <v>WI-Rep</v>
      </c>
      <c r="Z437" s="236" t="str">
        <f>B437&amp;"-"&amp;IF(V437&gt;Instructions!$H$14,Instructions!$I$14,IF(V437&gt;Instructions!$H$15,Instructions!$I$15,IF(V437&gt;Instructions!$H$16,Instructions!$I$16,IF(V437&gt;Instructions!$H$17,Instructions!$I$17,Instructions!$I$18))))</f>
        <v>WI-No contest</v>
      </c>
      <c r="AA437" s="237">
        <f t="shared" si="137"/>
        <v>90625</v>
      </c>
      <c r="AB437" s="237">
        <f t="shared" si="138"/>
        <v>0</v>
      </c>
      <c r="AC437" s="238">
        <f t="shared" si="152"/>
        <v>10982</v>
      </c>
      <c r="AD437" s="389">
        <f t="shared" si="147"/>
        <v>101607</v>
      </c>
    </row>
    <row r="438" spans="1:31">
      <c r="A438" s="225" t="s">
        <v>114</v>
      </c>
      <c r="B438" s="226" t="s">
        <v>48</v>
      </c>
      <c r="C438" s="426" t="s">
        <v>748</v>
      </c>
      <c r="D438"/>
      <c r="E438"/>
      <c r="F438"/>
      <c r="G438"/>
      <c r="H438"/>
      <c r="I438" t="str">
        <f t="shared" si="143"/>
        <v>WI-Yes</v>
      </c>
      <c r="J438" t="str">
        <f t="shared" si="144"/>
        <v>WI-Yes</v>
      </c>
      <c r="K438" t="str">
        <f t="shared" si="158"/>
        <v/>
      </c>
      <c r="L438" t="str">
        <f t="shared" si="159"/>
        <v/>
      </c>
      <c r="M438">
        <v>1979</v>
      </c>
      <c r="N438" s="242">
        <v>6</v>
      </c>
      <c r="O438" s="415">
        <v>75916</v>
      </c>
      <c r="P438" s="416">
        <v>183260</v>
      </c>
      <c r="Q438" s="228">
        <f t="shared" si="160"/>
        <v>170</v>
      </c>
      <c r="R438" s="423">
        <v>259346</v>
      </c>
      <c r="S438" s="239"/>
      <c r="T438" s="231">
        <f t="shared" si="145"/>
        <v>183260</v>
      </c>
      <c r="U438" s="231">
        <f t="shared" si="142"/>
        <v>75916</v>
      </c>
      <c r="V438" s="232">
        <f t="shared" si="146"/>
        <v>0.41417415192764762</v>
      </c>
      <c r="W438" s="233">
        <f t="shared" si="134"/>
        <v>0.70662358393805957</v>
      </c>
      <c r="X438" s="234" t="str">
        <f t="shared" si="135"/>
        <v>WI-No</v>
      </c>
      <c r="Y438" s="235" t="str">
        <f t="shared" si="136"/>
        <v>WI-Rep</v>
      </c>
      <c r="Z438" s="236" t="str">
        <f>B438&amp;"-"&amp;IF(V438&gt;Instructions!$H$14,Instructions!$I$14,IF(V438&gt;Instructions!$H$15,Instructions!$I$15,IF(V438&gt;Instructions!$H$16,Instructions!$I$16,IF(V438&gt;Instructions!$H$17,Instructions!$I$17,Instructions!$I$18))))</f>
        <v>WI-No contest</v>
      </c>
      <c r="AA438" s="237">
        <f t="shared" si="137"/>
        <v>75916</v>
      </c>
      <c r="AB438" s="237">
        <f t="shared" si="138"/>
        <v>0</v>
      </c>
      <c r="AC438" s="238">
        <f t="shared" si="152"/>
        <v>170</v>
      </c>
      <c r="AD438" s="389">
        <f t="shared" si="147"/>
        <v>76086</v>
      </c>
    </row>
    <row r="439" spans="1:31">
      <c r="A439" s="225" t="s">
        <v>114</v>
      </c>
      <c r="B439" s="226" t="s">
        <v>48</v>
      </c>
      <c r="C439" t="s">
        <v>749</v>
      </c>
      <c r="D439"/>
      <c r="E439"/>
      <c r="F439"/>
      <c r="G439"/>
      <c r="H439"/>
      <c r="I439" t="str">
        <f t="shared" si="143"/>
        <v>WI-No</v>
      </c>
      <c r="J439" t="str">
        <f t="shared" si="144"/>
        <v>WI-No</v>
      </c>
      <c r="K439">
        <v>0</v>
      </c>
      <c r="L439" t="str">
        <f>B439&amp;"-"&amp;IF(M439=2010, 1, "")</f>
        <v>WI-1</v>
      </c>
      <c r="M439">
        <v>2010</v>
      </c>
      <c r="N439" s="242">
        <v>7</v>
      </c>
      <c r="O439" s="415">
        <v>113003</v>
      </c>
      <c r="P439" s="416">
        <v>132541</v>
      </c>
      <c r="Q439" s="228">
        <f t="shared" si="160"/>
        <v>8819</v>
      </c>
      <c r="R439" s="423">
        <v>254363</v>
      </c>
      <c r="S439" s="239"/>
      <c r="T439" s="231">
        <f t="shared" si="145"/>
        <v>132541</v>
      </c>
      <c r="U439" s="231">
        <f t="shared" si="142"/>
        <v>113003</v>
      </c>
      <c r="V439" s="232">
        <f t="shared" si="146"/>
        <v>7.9570260319942659E-2</v>
      </c>
      <c r="W439" s="233">
        <f t="shared" si="134"/>
        <v>0.52107028144816658</v>
      </c>
      <c r="X439" s="234" t="str">
        <f t="shared" si="135"/>
        <v>WI-No</v>
      </c>
      <c r="Y439" s="235" t="str">
        <f t="shared" si="136"/>
        <v>WI-Rep</v>
      </c>
      <c r="Z439" s="236" t="str">
        <f>B439&amp;"-"&amp;IF(V439&gt;Instructions!$H$14,Instructions!$I$14,IF(V439&gt;Instructions!$H$15,Instructions!$I$15,IF(V439&gt;Instructions!$H$16,Instructions!$I$16,IF(V439&gt;Instructions!$H$17,Instructions!$I$17,Instructions!$I$18))))</f>
        <v>WI-Competitive</v>
      </c>
      <c r="AA439" s="237">
        <f t="shared" si="137"/>
        <v>113003</v>
      </c>
      <c r="AB439" s="237">
        <f t="shared" si="138"/>
        <v>0</v>
      </c>
      <c r="AC439" s="238">
        <f t="shared" si="152"/>
        <v>8819</v>
      </c>
      <c r="AD439" s="389">
        <f t="shared" si="147"/>
        <v>121822</v>
      </c>
    </row>
    <row r="440" spans="1:31">
      <c r="A440" s="225" t="s">
        <v>114</v>
      </c>
      <c r="B440" s="226" t="s">
        <v>48</v>
      </c>
      <c r="C440" t="s">
        <v>750</v>
      </c>
      <c r="D440"/>
      <c r="E440"/>
      <c r="F440"/>
      <c r="G440"/>
      <c r="H440"/>
      <c r="I440" t="str">
        <f t="shared" si="143"/>
        <v>WI-Yes</v>
      </c>
      <c r="J440" t="str">
        <f t="shared" si="144"/>
        <v>WI-No</v>
      </c>
      <c r="K440">
        <f t="shared" ref="K440" si="161">IF(M440=2010, 1, "")</f>
        <v>1</v>
      </c>
      <c r="L440" t="str">
        <f>B440&amp;"-"&amp;IF(M440=2010, 1, "")</f>
        <v>WI-1</v>
      </c>
      <c r="M440">
        <v>2010</v>
      </c>
      <c r="N440" s="242">
        <v>8</v>
      </c>
      <c r="O440" s="415">
        <v>118641</v>
      </c>
      <c r="P440" s="416">
        <v>143993</v>
      </c>
      <c r="Q440" s="228">
        <f t="shared" si="160"/>
        <v>294</v>
      </c>
      <c r="R440" s="423">
        <v>262928</v>
      </c>
      <c r="S440" s="239"/>
      <c r="T440" s="231">
        <f t="shared" si="145"/>
        <v>143993</v>
      </c>
      <c r="U440" s="231">
        <f t="shared" si="142"/>
        <v>118641</v>
      </c>
      <c r="V440" s="232">
        <f t="shared" si="146"/>
        <v>9.6529771469040571E-2</v>
      </c>
      <c r="W440" s="233">
        <f t="shared" si="134"/>
        <v>0.54765182863749773</v>
      </c>
      <c r="X440" s="234" t="str">
        <f t="shared" si="135"/>
        <v>WI-No</v>
      </c>
      <c r="Y440" s="235" t="str">
        <f t="shared" si="136"/>
        <v>WI-Rep</v>
      </c>
      <c r="Z440" s="236" t="str">
        <f>B440&amp;"-"&amp;IF(V440&gt;Instructions!$H$14,Instructions!$I$14,IF(V440&gt;Instructions!$H$15,Instructions!$I$15,IF(V440&gt;Instructions!$H$16,Instructions!$I$16,IF(V440&gt;Instructions!$H$17,Instructions!$I$17,Instructions!$I$18))))</f>
        <v>WI-Competitive</v>
      </c>
      <c r="AA440" s="237">
        <f t="shared" si="137"/>
        <v>118641</v>
      </c>
      <c r="AB440" s="237">
        <f t="shared" si="138"/>
        <v>0</v>
      </c>
      <c r="AC440" s="238">
        <f t="shared" si="152"/>
        <v>294</v>
      </c>
      <c r="AD440" s="389">
        <f t="shared" si="147"/>
        <v>118935</v>
      </c>
      <c r="AE440" s="389">
        <f>SUM(AD433:AD440)</f>
        <v>928105</v>
      </c>
    </row>
    <row r="441" spans="1:31" ht="16" thickBot="1">
      <c r="A441" s="250" t="s">
        <v>115</v>
      </c>
      <c r="B441" s="226" t="s">
        <v>49</v>
      </c>
      <c r="C441" t="s">
        <v>754</v>
      </c>
      <c r="D441" s="399" t="s">
        <v>805</v>
      </c>
      <c r="E441"/>
      <c r="F441"/>
      <c r="G441"/>
      <c r="H441"/>
      <c r="I441" t="str">
        <f t="shared" si="143"/>
        <v>WY-Yes</v>
      </c>
      <c r="J441" t="str">
        <f t="shared" si="144"/>
        <v>WY-Yes</v>
      </c>
      <c r="K441" t="str">
        <f t="shared" si="140"/>
        <v/>
      </c>
      <c r="L441" t="str">
        <f t="shared" si="148"/>
        <v/>
      </c>
      <c r="M441">
        <v>2008</v>
      </c>
      <c r="N441" s="406">
        <v>1</v>
      </c>
      <c r="O441" s="415">
        <v>45768</v>
      </c>
      <c r="P441" s="416">
        <v>131661</v>
      </c>
      <c r="Q441" s="228">
        <f t="shared" si="141"/>
        <v>13393</v>
      </c>
      <c r="R441" s="423">
        <v>190822</v>
      </c>
      <c r="S441" s="239"/>
      <c r="T441" s="231">
        <f t="shared" si="145"/>
        <v>131661</v>
      </c>
      <c r="U441" s="231">
        <f t="shared" si="142"/>
        <v>45768</v>
      </c>
      <c r="V441" s="232">
        <f t="shared" si="146"/>
        <v>0.48409786449791187</v>
      </c>
      <c r="W441" s="233">
        <f t="shared" si="134"/>
        <v>0.68996761379715132</v>
      </c>
      <c r="X441" s="234" t="str">
        <f t="shared" si="135"/>
        <v>WY-No</v>
      </c>
      <c r="Y441" s="235" t="str">
        <f t="shared" si="136"/>
        <v>WY-Rep</v>
      </c>
      <c r="Z441" s="236" t="str">
        <f>B441&amp;"-"&amp;IF(V441&gt;Instructions!$H$14,Instructions!$I$14,IF(V441&gt;Instructions!$H$15,Instructions!$I$15,IF(V441&gt;Instructions!$H$16,Instructions!$I$16,IF(V441&gt;Instructions!$H$17,Instructions!$I$17,Instructions!$I$18))))</f>
        <v>WY-No contest</v>
      </c>
      <c r="AA441" s="237">
        <f t="shared" si="137"/>
        <v>45768</v>
      </c>
      <c r="AB441" s="237">
        <f t="shared" si="138"/>
        <v>0</v>
      </c>
      <c r="AC441" s="238">
        <f t="shared" si="152"/>
        <v>13393</v>
      </c>
      <c r="AD441" s="389">
        <f t="shared" si="147"/>
        <v>59161</v>
      </c>
      <c r="AE441" s="389">
        <f>SUM(AD441)</f>
        <v>59161</v>
      </c>
    </row>
    <row r="442" spans="1:31" ht="16" thickBot="1">
      <c r="A442" s="251" t="s">
        <v>50</v>
      </c>
      <c r="B442" s="252"/>
      <c r="C442" s="368"/>
      <c r="D442" s="368"/>
      <c r="E442" s="368"/>
      <c r="F442" s="368"/>
      <c r="G442" s="368"/>
      <c r="H442" s="368"/>
      <c r="I442" s="368"/>
      <c r="J442" s="368"/>
      <c r="K442" s="368"/>
      <c r="L442" s="369"/>
      <c r="M442" s="369"/>
      <c r="N442" s="407"/>
      <c r="O442" s="408">
        <f t="shared" ref="O442:U442" si="162">SUM(O7:O441)</f>
        <v>38961402</v>
      </c>
      <c r="P442" s="409">
        <f t="shared" si="162"/>
        <v>44937067</v>
      </c>
      <c r="Q442" s="253">
        <f t="shared" si="162"/>
        <v>3109852</v>
      </c>
      <c r="R442" s="254">
        <f t="shared" si="162"/>
        <v>87008321</v>
      </c>
      <c r="S442" s="255">
        <f t="shared" si="162"/>
        <v>1277938</v>
      </c>
      <c r="T442" s="382">
        <f t="shared" si="162"/>
        <v>54601379</v>
      </c>
      <c r="U442" s="383">
        <f t="shared" si="162"/>
        <v>30017422</v>
      </c>
      <c r="V442" s="384">
        <f>AVERAGE(V7:V441)</f>
        <v>0.33004979823462394</v>
      </c>
      <c r="W442" s="385">
        <f t="shared" si="134"/>
        <v>0.627542037042641</v>
      </c>
      <c r="X442" s="256">
        <f>COUNTIF(X7:X441,"**-Yes")</f>
        <v>27</v>
      </c>
      <c r="Y442" s="257"/>
      <c r="Z442" s="258"/>
      <c r="AA442" s="259">
        <f>SUM(AA7:AA441)</f>
        <v>16732275</v>
      </c>
      <c r="AB442" s="260">
        <f>SUM(AB7:AB441)</f>
        <v>12564815</v>
      </c>
      <c r="AC442" s="261">
        <f>SUM(AC7:AC441)</f>
        <v>3105019</v>
      </c>
      <c r="AD442" s="390">
        <f>SUM(AD7:AD441)</f>
        <v>32402109</v>
      </c>
      <c r="AE442" s="392">
        <f>SUM(AE7:AE441)</f>
        <v>32402109</v>
      </c>
    </row>
    <row r="443" spans="1:31">
      <c r="A443" s="262"/>
      <c r="B443" s="263"/>
      <c r="C443"/>
      <c r="D443"/>
      <c r="E443"/>
      <c r="F443"/>
      <c r="G443"/>
      <c r="H443"/>
      <c r="I443"/>
      <c r="J443"/>
      <c r="K443"/>
      <c r="L443"/>
      <c r="M443"/>
      <c r="N443" s="264"/>
      <c r="O443" s="265"/>
      <c r="P443" s="265"/>
      <c r="Q443" s="265"/>
      <c r="R443" s="265"/>
      <c r="S443" s="266"/>
      <c r="T443" s="265"/>
      <c r="U443" s="265"/>
      <c r="V443" s="267"/>
      <c r="W443" s="268"/>
      <c r="X443" s="269"/>
      <c r="Y443" s="262"/>
      <c r="Z443" s="262"/>
      <c r="AA443" s="270"/>
      <c r="AB443" s="270"/>
      <c r="AC443" s="270"/>
      <c r="AD443" s="6"/>
    </row>
    <row r="444" spans="1:31">
      <c r="A444" s="262"/>
      <c r="B444" s="263"/>
      <c r="C444"/>
      <c r="D444"/>
      <c r="E444"/>
      <c r="F444"/>
      <c r="G444"/>
      <c r="H444"/>
      <c r="I444"/>
      <c r="J444"/>
      <c r="K444"/>
      <c r="L444"/>
      <c r="M444"/>
      <c r="N444" s="264"/>
      <c r="O444" s="265"/>
      <c r="P444" s="265"/>
      <c r="Q444" s="265"/>
      <c r="R444" s="265"/>
      <c r="S444" s="266"/>
      <c r="T444" s="265"/>
      <c r="U444" s="265"/>
      <c r="V444" s="267"/>
      <c r="W444" s="268"/>
      <c r="X444" s="269"/>
      <c r="Y444" s="262"/>
      <c r="Z444" s="262"/>
      <c r="AA444" s="270"/>
      <c r="AB444" s="270"/>
      <c r="AC444" s="270"/>
      <c r="AD444" s="6"/>
    </row>
    <row r="445" spans="1:31">
      <c r="A445" s="204"/>
      <c r="B445" s="271"/>
      <c r="C445"/>
      <c r="D445"/>
      <c r="E445"/>
      <c r="F445"/>
      <c r="G445"/>
      <c r="H445"/>
      <c r="I445"/>
      <c r="J445"/>
      <c r="K445"/>
      <c r="L445"/>
      <c r="M445"/>
      <c r="N445" s="202"/>
      <c r="O445" s="272"/>
      <c r="P445" s="272">
        <f>SUMIF(O7:O441,"&gt;E12:E446",P7:P441)</f>
        <v>0</v>
      </c>
      <c r="Q445" s="272"/>
      <c r="R445" s="272"/>
      <c r="S445" s="272"/>
      <c r="T445" s="202"/>
      <c r="U445" s="273"/>
      <c r="V445" s="202"/>
      <c r="W445" s="203"/>
      <c r="X445" s="312"/>
      <c r="Y445" s="278"/>
      <c r="Z445" s="204"/>
      <c r="AA445" s="204"/>
      <c r="AB445" s="204"/>
      <c r="AC445" s="204"/>
      <c r="AD445" s="6"/>
    </row>
    <row r="446" spans="1:31">
      <c r="A446" s="204"/>
      <c r="B446" s="271"/>
      <c r="C446"/>
      <c r="D446"/>
      <c r="E446"/>
      <c r="F446"/>
      <c r="G446"/>
      <c r="H446"/>
      <c r="I446"/>
      <c r="J446"/>
      <c r="K446"/>
      <c r="L446"/>
      <c r="M446"/>
      <c r="N446" s="202"/>
      <c r="O446" s="274" t="s">
        <v>755</v>
      </c>
      <c r="P446" s="272"/>
      <c r="Q446" s="272"/>
      <c r="R446" s="272"/>
      <c r="S446" s="272"/>
      <c r="T446" s="202"/>
      <c r="U446" s="202"/>
      <c r="V446" s="202"/>
      <c r="W446" s="203"/>
      <c r="X446" s="204"/>
      <c r="Y446" s="204"/>
      <c r="Z446" s="204"/>
      <c r="AA446" s="204"/>
      <c r="AB446" s="204"/>
      <c r="AC446" s="204"/>
      <c r="AD446" s="6"/>
    </row>
    <row r="447" spans="1:31">
      <c r="A447" s="204"/>
      <c r="B447" s="271"/>
      <c r="C447"/>
      <c r="D447"/>
      <c r="E447"/>
      <c r="F447"/>
      <c r="G447"/>
      <c r="H447"/>
      <c r="I447"/>
      <c r="J447"/>
      <c r="K447"/>
      <c r="L447"/>
      <c r="M447"/>
      <c r="N447" s="202"/>
      <c r="O447" s="274" t="s">
        <v>756</v>
      </c>
      <c r="P447" s="272"/>
      <c r="Q447" s="272"/>
      <c r="R447" s="272"/>
      <c r="S447" s="272"/>
      <c r="T447" s="202"/>
      <c r="U447" s="202"/>
      <c r="V447" s="202"/>
      <c r="W447" s="203"/>
      <c r="X447" s="204"/>
      <c r="Y447" s="204"/>
      <c r="Z447" s="204"/>
      <c r="AA447" s="204"/>
      <c r="AB447" s="204"/>
      <c r="AC447" s="204"/>
      <c r="AD447" s="6"/>
    </row>
    <row r="448" spans="1:31">
      <c r="A448" s="204"/>
      <c r="B448" s="271"/>
      <c r="C448"/>
      <c r="D448"/>
      <c r="E448"/>
      <c r="F448"/>
      <c r="G448"/>
      <c r="H448"/>
      <c r="I448"/>
      <c r="J448"/>
      <c r="K448"/>
      <c r="L448"/>
      <c r="M448"/>
      <c r="N448" s="202"/>
      <c r="O448" s="274" t="s">
        <v>318</v>
      </c>
      <c r="P448" s="272"/>
      <c r="Q448" s="272"/>
      <c r="R448" s="272"/>
      <c r="S448" s="272"/>
      <c r="T448" s="202"/>
      <c r="U448" s="202"/>
      <c r="V448" s="202"/>
      <c r="W448" s="203"/>
      <c r="X448" s="204"/>
      <c r="Y448" s="204"/>
      <c r="Z448" s="204"/>
      <c r="AA448" s="204"/>
      <c r="AB448" s="204"/>
      <c r="AC448" s="204"/>
      <c r="AD448" s="6"/>
    </row>
    <row r="449" spans="1:30">
      <c r="A449" s="204"/>
      <c r="B449" s="271"/>
      <c r="C449"/>
      <c r="D449"/>
      <c r="E449"/>
      <c r="F449"/>
      <c r="G449"/>
      <c r="H449"/>
      <c r="I449"/>
      <c r="J449"/>
      <c r="K449"/>
      <c r="L449"/>
      <c r="M449"/>
      <c r="N449" s="202"/>
      <c r="O449" s="274"/>
      <c r="P449" s="272"/>
      <c r="Q449" s="272"/>
      <c r="R449" s="272"/>
      <c r="S449" s="272"/>
      <c r="T449" s="202"/>
      <c r="U449" s="202"/>
      <c r="V449" s="202"/>
      <c r="W449" s="203"/>
      <c r="X449" s="204"/>
      <c r="Y449" s="204"/>
      <c r="Z449" s="204"/>
      <c r="AA449" s="204"/>
      <c r="AB449" s="204"/>
      <c r="AC449" s="204"/>
      <c r="AD449" s="6"/>
    </row>
    <row r="450" spans="1:30">
      <c r="A450" s="204"/>
      <c r="B450" s="271"/>
      <c r="C450"/>
      <c r="D450"/>
      <c r="E450"/>
      <c r="F450"/>
      <c r="G450"/>
      <c r="H450"/>
      <c r="I450"/>
      <c r="J450"/>
      <c r="K450"/>
      <c r="L450"/>
      <c r="M450"/>
      <c r="N450" s="202"/>
      <c r="O450" s="274"/>
      <c r="P450" s="272"/>
      <c r="Q450" s="272"/>
      <c r="R450" s="272"/>
      <c r="S450" s="272"/>
      <c r="T450" s="202"/>
      <c r="U450" s="202"/>
      <c r="V450" s="202"/>
      <c r="W450" s="203"/>
      <c r="X450" s="204"/>
      <c r="Y450" s="204"/>
      <c r="Z450" s="204"/>
      <c r="AA450" s="204"/>
      <c r="AB450" s="204"/>
      <c r="AC450" s="204"/>
      <c r="AD450" s="6"/>
    </row>
    <row r="451" spans="1:30" s="14" customFormat="1" ht="13">
      <c r="A451" s="204"/>
      <c r="B451" s="271"/>
      <c r="C451"/>
      <c r="D451"/>
      <c r="E451"/>
      <c r="F451"/>
      <c r="G451"/>
      <c r="H451"/>
      <c r="I451"/>
      <c r="J451"/>
      <c r="K451"/>
      <c r="L451"/>
      <c r="M451"/>
      <c r="N451" s="202"/>
      <c r="O451" s="278"/>
      <c r="P451" s="275"/>
      <c r="Q451" s="275"/>
      <c r="R451" s="275"/>
      <c r="S451" s="275"/>
      <c r="T451" s="276"/>
      <c r="U451" s="276"/>
      <c r="V451" s="276"/>
      <c r="W451" s="277"/>
      <c r="X451" s="278"/>
      <c r="Y451" s="279"/>
      <c r="Z451" s="204"/>
      <c r="AA451" s="204"/>
      <c r="AB451" s="204"/>
      <c r="AC451" s="204"/>
    </row>
    <row r="452" spans="1:30" s="14" customFormat="1" ht="13">
      <c r="A452" s="204"/>
      <c r="B452" s="271"/>
      <c r="C452"/>
      <c r="D452"/>
      <c r="E452"/>
      <c r="F452"/>
      <c r="G452"/>
      <c r="H452"/>
      <c r="I452"/>
      <c r="J452"/>
      <c r="K452"/>
      <c r="L452"/>
      <c r="M452"/>
      <c r="N452" s="202"/>
      <c r="O452" s="274"/>
      <c r="P452" s="275"/>
      <c r="Q452" s="275"/>
      <c r="R452" s="275"/>
      <c r="S452" s="275"/>
      <c r="T452" s="276"/>
      <c r="U452" s="276"/>
      <c r="V452" s="276"/>
      <c r="W452" s="277"/>
      <c r="X452" s="278"/>
      <c r="Y452" s="279"/>
      <c r="Z452" s="204"/>
      <c r="AA452" s="204"/>
      <c r="AB452" s="204"/>
      <c r="AC452" s="204"/>
    </row>
    <row r="453" spans="1:30" s="14" customFormat="1" ht="13">
      <c r="A453" s="204"/>
      <c r="B453" s="271"/>
      <c r="C453"/>
      <c r="D453"/>
      <c r="E453"/>
      <c r="F453"/>
      <c r="G453"/>
      <c r="H453"/>
      <c r="I453"/>
      <c r="J453"/>
      <c r="K453"/>
      <c r="L453"/>
      <c r="M453"/>
      <c r="N453" s="202"/>
      <c r="O453" s="274"/>
      <c r="P453" s="272"/>
      <c r="Q453" s="272"/>
      <c r="R453" s="272"/>
      <c r="S453" s="272"/>
      <c r="T453" s="202"/>
      <c r="U453" s="202"/>
      <c r="V453" s="202"/>
      <c r="W453" s="203"/>
      <c r="X453" s="204"/>
      <c r="Y453" s="279"/>
      <c r="Z453" s="204"/>
      <c r="AA453" s="204"/>
      <c r="AB453" s="204"/>
      <c r="AC453" s="204"/>
    </row>
    <row r="454" spans="1:30" s="14" customFormat="1" ht="13">
      <c r="A454" s="204"/>
      <c r="B454" s="271"/>
      <c r="C454"/>
      <c r="D454"/>
      <c r="E454"/>
      <c r="F454"/>
      <c r="G454"/>
      <c r="H454"/>
      <c r="I454"/>
      <c r="J454"/>
      <c r="K454"/>
      <c r="L454"/>
      <c r="M454"/>
      <c r="N454" s="202"/>
      <c r="O454" s="274"/>
      <c r="P454" s="272"/>
      <c r="Q454" s="272"/>
      <c r="R454" s="272"/>
      <c r="S454" s="272"/>
      <c r="T454" s="202"/>
      <c r="U454" s="202"/>
      <c r="V454" s="202"/>
      <c r="W454" s="203"/>
      <c r="X454" s="204"/>
      <c r="Y454" s="279"/>
      <c r="Z454" s="204"/>
      <c r="AA454" s="204"/>
      <c r="AB454" s="204"/>
      <c r="AC454" s="204"/>
    </row>
    <row r="455" spans="1:30">
      <c r="A455" s="204"/>
      <c r="B455" s="271"/>
      <c r="C455"/>
      <c r="D455"/>
      <c r="E455"/>
      <c r="F455"/>
      <c r="G455"/>
      <c r="H455"/>
      <c r="I455"/>
      <c r="J455"/>
      <c r="K455"/>
      <c r="L455"/>
      <c r="M455"/>
      <c r="N455" s="280"/>
      <c r="O455" s="13"/>
      <c r="AA455" s="204"/>
      <c r="AB455" s="204"/>
      <c r="AC455" s="204"/>
      <c r="AD455" s="8"/>
    </row>
    <row r="456" spans="1:30">
      <c r="A456" s="204"/>
      <c r="B456" s="271"/>
      <c r="C456"/>
      <c r="D456"/>
      <c r="E456"/>
      <c r="F456"/>
      <c r="G456"/>
      <c r="H456"/>
      <c r="I456"/>
      <c r="J456"/>
      <c r="K456"/>
      <c r="L456"/>
      <c r="M456"/>
      <c r="N456" s="280"/>
      <c r="AA456" s="204"/>
      <c r="AB456" s="204"/>
      <c r="AC456" s="204"/>
    </row>
    <row r="457" spans="1:30">
      <c r="A457" s="204"/>
      <c r="B457" s="271"/>
      <c r="C457"/>
      <c r="D457"/>
      <c r="E457"/>
      <c r="F457"/>
      <c r="G457"/>
      <c r="H457"/>
      <c r="I457"/>
      <c r="J457"/>
      <c r="K457"/>
      <c r="L457"/>
      <c r="M457"/>
      <c r="N457" s="280"/>
      <c r="AA457" s="204"/>
      <c r="AB457" s="204"/>
      <c r="AC457" s="204"/>
    </row>
    <row r="458" spans="1:30">
      <c r="B458" s="12"/>
      <c r="C458"/>
      <c r="D458"/>
      <c r="E458"/>
      <c r="F458"/>
      <c r="G458"/>
      <c r="H458"/>
      <c r="I458"/>
      <c r="J458"/>
      <c r="K458"/>
      <c r="L458"/>
      <c r="M458"/>
      <c r="N458" s="10"/>
      <c r="S458" s="2"/>
      <c r="V458" s="4"/>
      <c r="W458" s="7"/>
    </row>
    <row r="459" spans="1:30">
      <c r="A459" s="8"/>
      <c r="C459"/>
      <c r="D459"/>
      <c r="E459"/>
      <c r="F459"/>
      <c r="G459"/>
      <c r="H459"/>
      <c r="I459"/>
      <c r="J459"/>
      <c r="K459"/>
      <c r="L459"/>
      <c r="M459"/>
      <c r="N459" s="10"/>
    </row>
    <row r="460" spans="1:30">
      <c r="C460"/>
      <c r="D460"/>
      <c r="E460"/>
      <c r="F460"/>
      <c r="G460"/>
      <c r="H460"/>
      <c r="I460"/>
      <c r="J460"/>
      <c r="K460"/>
      <c r="L460"/>
      <c r="M460"/>
      <c r="N460" s="10"/>
    </row>
    <row r="461" spans="1:30">
      <c r="C461"/>
      <c r="D461"/>
      <c r="E461"/>
      <c r="F461"/>
      <c r="G461"/>
      <c r="H461"/>
      <c r="I461"/>
      <c r="J461"/>
      <c r="K461"/>
      <c r="L461"/>
      <c r="M461"/>
    </row>
    <row r="462" spans="1:30" s="8" customFormat="1">
      <c r="A462" s="7"/>
      <c r="B462" s="11"/>
      <c r="C462"/>
      <c r="D462"/>
      <c r="E462"/>
      <c r="F462"/>
      <c r="G462"/>
      <c r="H462"/>
      <c r="I462"/>
      <c r="J462"/>
      <c r="K462"/>
      <c r="L462"/>
      <c r="M462"/>
      <c r="N462" s="2"/>
      <c r="O462" s="3"/>
      <c r="P462" s="3"/>
      <c r="Q462" s="3"/>
      <c r="R462" s="3"/>
      <c r="S462" s="3"/>
      <c r="T462" s="2"/>
      <c r="U462" s="2"/>
      <c r="V462" s="2"/>
      <c r="W462" s="4"/>
      <c r="X462" s="7"/>
      <c r="Y462" s="7"/>
      <c r="Z462" s="7"/>
      <c r="AA462" s="7"/>
      <c r="AB462" s="7"/>
      <c r="AC462" s="7"/>
    </row>
    <row r="463" spans="1:30">
      <c r="C463"/>
      <c r="D463"/>
      <c r="E463"/>
      <c r="F463"/>
      <c r="G463"/>
      <c r="H463"/>
      <c r="I463"/>
      <c r="J463"/>
      <c r="K463"/>
      <c r="L463"/>
      <c r="M463"/>
    </row>
    <row r="464" spans="1:30">
      <c r="C464"/>
      <c r="D464"/>
      <c r="E464"/>
      <c r="F464"/>
      <c r="G464"/>
      <c r="H464"/>
      <c r="I464"/>
      <c r="J464"/>
      <c r="K464"/>
      <c r="L464"/>
      <c r="M464"/>
    </row>
    <row r="465" spans="3:13">
      <c r="C465"/>
      <c r="D465"/>
      <c r="E465"/>
      <c r="F465"/>
      <c r="G465"/>
      <c r="H465"/>
      <c r="I465"/>
      <c r="J465"/>
      <c r="K465"/>
      <c r="L465"/>
      <c r="M465"/>
    </row>
    <row r="466" spans="3:13">
      <c r="C466"/>
      <c r="D466"/>
      <c r="E466"/>
      <c r="F466"/>
      <c r="G466"/>
      <c r="H466"/>
      <c r="I466"/>
      <c r="J466"/>
      <c r="K466"/>
      <c r="L466"/>
      <c r="M466"/>
    </row>
    <row r="467" spans="3:13">
      <c r="C467"/>
      <c r="D467"/>
      <c r="E467"/>
      <c r="F467"/>
      <c r="G467"/>
      <c r="H467"/>
      <c r="I467"/>
      <c r="J467"/>
      <c r="K467"/>
      <c r="L467"/>
      <c r="M467"/>
    </row>
    <row r="468" spans="3:13">
      <c r="C468"/>
      <c r="D468"/>
      <c r="E468"/>
      <c r="F468"/>
      <c r="G468"/>
      <c r="H468"/>
      <c r="I468"/>
      <c r="J468"/>
      <c r="K468"/>
      <c r="L468"/>
      <c r="M468"/>
    </row>
    <row r="469" spans="3:13">
      <c r="C469"/>
      <c r="D469"/>
      <c r="E469"/>
      <c r="F469"/>
      <c r="G469"/>
      <c r="H469"/>
      <c r="I469"/>
      <c r="J469"/>
      <c r="K469"/>
      <c r="L469"/>
      <c r="M469"/>
    </row>
    <row r="470" spans="3:13">
      <c r="C470"/>
      <c r="D470"/>
      <c r="E470"/>
      <c r="F470"/>
      <c r="G470"/>
      <c r="H470"/>
      <c r="I470"/>
      <c r="J470"/>
      <c r="K470"/>
      <c r="L470"/>
      <c r="M470"/>
    </row>
    <row r="471" spans="3:13">
      <c r="C471"/>
      <c r="D471"/>
      <c r="E471"/>
      <c r="F471"/>
      <c r="G471"/>
      <c r="H471"/>
      <c r="I471"/>
      <c r="J471"/>
      <c r="K471"/>
      <c r="L471"/>
      <c r="M471"/>
    </row>
    <row r="472" spans="3:13">
      <c r="C472"/>
      <c r="D472"/>
      <c r="E472"/>
      <c r="F472"/>
      <c r="G472"/>
      <c r="H472"/>
      <c r="I472"/>
      <c r="J472"/>
      <c r="K472"/>
      <c r="L472"/>
      <c r="M472"/>
    </row>
    <row r="473" spans="3:13">
      <c r="C473"/>
      <c r="D473"/>
      <c r="E473"/>
      <c r="F473"/>
      <c r="G473"/>
      <c r="H473"/>
      <c r="I473"/>
      <c r="J473"/>
      <c r="K473"/>
      <c r="L473"/>
      <c r="M473"/>
    </row>
    <row r="474" spans="3:13">
      <c r="C474"/>
      <c r="D474"/>
      <c r="E474"/>
      <c r="F474"/>
      <c r="G474"/>
      <c r="H474"/>
      <c r="I474"/>
      <c r="J474"/>
      <c r="K474"/>
      <c r="L474"/>
      <c r="M474"/>
    </row>
    <row r="475" spans="3:13">
      <c r="C475"/>
      <c r="D475"/>
      <c r="E475"/>
      <c r="F475"/>
      <c r="G475"/>
      <c r="H475"/>
      <c r="I475"/>
      <c r="J475"/>
      <c r="K475"/>
      <c r="L475"/>
      <c r="M475"/>
    </row>
    <row r="476" spans="3:13">
      <c r="C476"/>
      <c r="D476"/>
      <c r="E476"/>
      <c r="F476"/>
      <c r="G476"/>
      <c r="H476"/>
      <c r="I476"/>
      <c r="J476"/>
      <c r="K476"/>
      <c r="L476"/>
      <c r="M476"/>
    </row>
    <row r="477" spans="3:13">
      <c r="C477"/>
      <c r="D477"/>
      <c r="E477"/>
      <c r="F477"/>
      <c r="G477"/>
      <c r="H477"/>
      <c r="I477"/>
      <c r="J477"/>
      <c r="K477"/>
      <c r="L477"/>
      <c r="M477"/>
    </row>
    <row r="478" spans="3:13">
      <c r="C478"/>
      <c r="D478"/>
      <c r="E478"/>
      <c r="F478"/>
      <c r="G478"/>
      <c r="H478"/>
      <c r="I478"/>
      <c r="J478"/>
      <c r="K478"/>
      <c r="L478"/>
      <c r="M478"/>
    </row>
    <row r="479" spans="3:13">
      <c r="C479"/>
      <c r="D479"/>
      <c r="E479"/>
      <c r="F479"/>
      <c r="G479"/>
      <c r="H479"/>
      <c r="I479"/>
      <c r="J479"/>
      <c r="K479"/>
      <c r="L479"/>
      <c r="M479"/>
    </row>
    <row r="480" spans="3:13">
      <c r="C480"/>
      <c r="D480"/>
      <c r="E480"/>
      <c r="F480"/>
      <c r="G480"/>
      <c r="H480"/>
      <c r="I480"/>
      <c r="J480"/>
      <c r="K480"/>
      <c r="L480"/>
      <c r="M480"/>
    </row>
    <row r="481" spans="3:13">
      <c r="C481"/>
      <c r="D481"/>
      <c r="E481"/>
      <c r="F481"/>
      <c r="G481"/>
      <c r="H481"/>
      <c r="I481"/>
      <c r="J481"/>
      <c r="K481"/>
      <c r="L481"/>
      <c r="M481"/>
    </row>
    <row r="482" spans="3:13">
      <c r="C482"/>
      <c r="D482"/>
      <c r="E482"/>
      <c r="F482"/>
      <c r="G482"/>
      <c r="H482"/>
      <c r="I482"/>
      <c r="J482"/>
      <c r="K482"/>
      <c r="L482"/>
      <c r="M482"/>
    </row>
    <row r="483" spans="3:13">
      <c r="C483"/>
      <c r="D483"/>
      <c r="E483"/>
      <c r="F483"/>
      <c r="G483"/>
      <c r="H483"/>
      <c r="I483"/>
      <c r="J483"/>
      <c r="K483"/>
      <c r="L483"/>
      <c r="M483"/>
    </row>
    <row r="484" spans="3:13">
      <c r="C484"/>
      <c r="D484"/>
      <c r="E484"/>
      <c r="F484"/>
      <c r="G484"/>
      <c r="H484"/>
      <c r="I484"/>
      <c r="J484"/>
      <c r="K484"/>
      <c r="L484"/>
      <c r="M484"/>
    </row>
    <row r="485" spans="3:13">
      <c r="C485"/>
      <c r="D485"/>
      <c r="E485"/>
      <c r="F485"/>
      <c r="G485"/>
      <c r="H485"/>
      <c r="I485"/>
      <c r="J485"/>
      <c r="K485"/>
      <c r="L485"/>
      <c r="M485"/>
    </row>
    <row r="486" spans="3:13">
      <c r="C486"/>
      <c r="D486"/>
      <c r="E486"/>
      <c r="F486"/>
      <c r="G486"/>
      <c r="H486"/>
      <c r="I486"/>
      <c r="J486"/>
      <c r="K486"/>
      <c r="L486"/>
      <c r="M486"/>
    </row>
    <row r="487" spans="3:13">
      <c r="C487"/>
      <c r="D487"/>
      <c r="E487"/>
      <c r="F487"/>
      <c r="G487"/>
      <c r="H487"/>
      <c r="I487"/>
      <c r="J487"/>
      <c r="K487"/>
      <c r="L487"/>
      <c r="M487"/>
    </row>
    <row r="488" spans="3:13">
      <c r="C488"/>
      <c r="D488"/>
      <c r="E488"/>
      <c r="F488"/>
      <c r="G488"/>
      <c r="H488"/>
      <c r="I488"/>
      <c r="J488"/>
      <c r="K488"/>
      <c r="L488"/>
      <c r="M488"/>
    </row>
    <row r="489" spans="3:13">
      <c r="C489"/>
      <c r="D489"/>
      <c r="E489"/>
      <c r="F489"/>
      <c r="G489"/>
      <c r="H489"/>
      <c r="I489"/>
      <c r="J489"/>
      <c r="K489"/>
      <c r="L489"/>
      <c r="M489"/>
    </row>
    <row r="490" spans="3:13">
      <c r="C490"/>
      <c r="D490"/>
      <c r="E490"/>
      <c r="F490"/>
      <c r="G490"/>
      <c r="H490"/>
      <c r="I490"/>
      <c r="J490"/>
      <c r="K490"/>
      <c r="L490"/>
      <c r="M490"/>
    </row>
    <row r="491" spans="3:13">
      <c r="C491"/>
      <c r="D491"/>
      <c r="E491"/>
      <c r="F491"/>
      <c r="G491"/>
      <c r="H491"/>
      <c r="I491"/>
      <c r="J491"/>
      <c r="K491"/>
      <c r="L491"/>
      <c r="M491"/>
    </row>
    <row r="492" spans="3:13">
      <c r="C492"/>
      <c r="D492"/>
      <c r="E492"/>
      <c r="F492"/>
      <c r="G492"/>
      <c r="H492"/>
      <c r="I492"/>
      <c r="J492"/>
      <c r="K492"/>
      <c r="L492"/>
      <c r="M492"/>
    </row>
    <row r="493" spans="3:13">
      <c r="C493"/>
      <c r="D493"/>
      <c r="E493"/>
      <c r="F493"/>
      <c r="G493"/>
      <c r="H493"/>
      <c r="I493"/>
      <c r="J493"/>
      <c r="K493"/>
      <c r="L493"/>
      <c r="M493"/>
    </row>
    <row r="494" spans="3:13">
      <c r="C494"/>
      <c r="D494"/>
      <c r="E494"/>
      <c r="F494"/>
      <c r="G494"/>
      <c r="H494"/>
      <c r="I494"/>
      <c r="J494"/>
      <c r="K494"/>
      <c r="L494"/>
      <c r="M494"/>
    </row>
    <row r="495" spans="3:13">
      <c r="C495"/>
      <c r="D495"/>
      <c r="E495"/>
      <c r="F495"/>
      <c r="G495"/>
      <c r="H495"/>
      <c r="I495"/>
      <c r="J495"/>
      <c r="K495"/>
      <c r="L495"/>
      <c r="M495"/>
    </row>
    <row r="496" spans="3:13">
      <c r="C496"/>
      <c r="D496"/>
      <c r="E496"/>
      <c r="F496"/>
      <c r="G496"/>
      <c r="H496"/>
      <c r="I496"/>
      <c r="J496"/>
      <c r="K496"/>
      <c r="L496"/>
      <c r="M496"/>
    </row>
    <row r="497" spans="3:13">
      <c r="C497"/>
      <c r="D497"/>
      <c r="E497"/>
      <c r="F497"/>
      <c r="G497"/>
      <c r="H497"/>
      <c r="I497"/>
      <c r="J497"/>
      <c r="K497"/>
      <c r="L497"/>
      <c r="M497"/>
    </row>
    <row r="498" spans="3:13">
      <c r="C498"/>
      <c r="D498"/>
      <c r="E498"/>
      <c r="F498"/>
      <c r="G498"/>
      <c r="H498"/>
      <c r="I498"/>
      <c r="J498"/>
      <c r="K498"/>
      <c r="L498"/>
      <c r="M498"/>
    </row>
    <row r="499" spans="3:13">
      <c r="C499"/>
      <c r="D499"/>
      <c r="E499"/>
      <c r="F499"/>
      <c r="G499"/>
      <c r="H499"/>
      <c r="I499"/>
      <c r="J499"/>
      <c r="K499"/>
      <c r="L499"/>
      <c r="M499"/>
    </row>
    <row r="500" spans="3:13">
      <c r="C500"/>
      <c r="D500"/>
      <c r="E500"/>
      <c r="F500"/>
      <c r="G500"/>
      <c r="H500"/>
      <c r="I500"/>
      <c r="J500"/>
      <c r="K500"/>
      <c r="L500"/>
      <c r="M500"/>
    </row>
    <row r="501" spans="3:13">
      <c r="C501"/>
      <c r="D501"/>
      <c r="E501"/>
      <c r="F501"/>
      <c r="G501"/>
      <c r="H501"/>
      <c r="I501"/>
      <c r="J501"/>
      <c r="K501"/>
      <c r="L501"/>
      <c r="M501"/>
    </row>
    <row r="502" spans="3:13">
      <c r="C502"/>
      <c r="D502"/>
      <c r="E502"/>
      <c r="F502"/>
      <c r="G502"/>
      <c r="H502"/>
      <c r="I502"/>
      <c r="J502"/>
      <c r="K502"/>
      <c r="L502"/>
      <c r="M502"/>
    </row>
    <row r="503" spans="3:13">
      <c r="C503"/>
      <c r="D503"/>
      <c r="E503"/>
      <c r="F503"/>
      <c r="G503"/>
      <c r="H503"/>
      <c r="I503"/>
      <c r="J503"/>
      <c r="K503"/>
      <c r="L503"/>
      <c r="M503"/>
    </row>
    <row r="504" spans="3:13">
      <c r="C504"/>
      <c r="D504"/>
      <c r="E504"/>
      <c r="F504"/>
      <c r="G504"/>
      <c r="H504"/>
      <c r="I504"/>
      <c r="J504"/>
      <c r="K504"/>
      <c r="L504"/>
      <c r="M504"/>
    </row>
    <row r="505" spans="3:13">
      <c r="C505"/>
      <c r="D505"/>
      <c r="E505"/>
      <c r="F505"/>
      <c r="G505"/>
      <c r="H505"/>
      <c r="I505"/>
      <c r="J505"/>
      <c r="K505"/>
      <c r="L505"/>
      <c r="M505"/>
    </row>
    <row r="506" spans="3:13">
      <c r="C506"/>
      <c r="D506"/>
      <c r="E506"/>
      <c r="F506"/>
      <c r="G506"/>
      <c r="H506"/>
      <c r="I506"/>
      <c r="J506"/>
      <c r="K506"/>
      <c r="L506"/>
      <c r="M506"/>
    </row>
    <row r="507" spans="3:13">
      <c r="C507"/>
      <c r="D507"/>
      <c r="E507"/>
      <c r="F507"/>
      <c r="G507"/>
      <c r="H507"/>
      <c r="I507"/>
      <c r="J507"/>
      <c r="K507"/>
      <c r="L507"/>
      <c r="M507"/>
    </row>
    <row r="508" spans="3:13">
      <c r="C508"/>
      <c r="D508"/>
      <c r="E508"/>
      <c r="F508"/>
      <c r="G508"/>
      <c r="H508"/>
      <c r="I508"/>
      <c r="J508"/>
      <c r="K508"/>
      <c r="L508"/>
      <c r="M508"/>
    </row>
    <row r="509" spans="3:13">
      <c r="C509"/>
      <c r="D509"/>
      <c r="E509"/>
      <c r="F509"/>
      <c r="G509"/>
      <c r="H509"/>
      <c r="I509"/>
      <c r="J509"/>
      <c r="K509"/>
      <c r="L509"/>
      <c r="M509"/>
    </row>
    <row r="510" spans="3:13">
      <c r="C510"/>
      <c r="D510"/>
      <c r="E510"/>
      <c r="F510"/>
      <c r="G510"/>
      <c r="H510"/>
      <c r="I510"/>
      <c r="J510"/>
      <c r="K510"/>
      <c r="L510"/>
      <c r="M510"/>
    </row>
    <row r="511" spans="3:13">
      <c r="C511"/>
      <c r="D511"/>
      <c r="E511"/>
      <c r="F511"/>
      <c r="G511"/>
      <c r="H511"/>
      <c r="I511"/>
      <c r="J511"/>
      <c r="K511"/>
      <c r="L511"/>
      <c r="M511"/>
    </row>
    <row r="512" spans="3:13">
      <c r="C512"/>
      <c r="D512"/>
      <c r="E512"/>
      <c r="F512"/>
      <c r="G512"/>
      <c r="H512"/>
      <c r="I512"/>
      <c r="J512"/>
      <c r="K512"/>
      <c r="L512"/>
      <c r="M512"/>
    </row>
    <row r="513" spans="3:13">
      <c r="C513"/>
      <c r="D513"/>
      <c r="E513"/>
      <c r="F513"/>
      <c r="G513"/>
      <c r="H513"/>
      <c r="I513"/>
      <c r="J513"/>
      <c r="K513"/>
      <c r="L513"/>
      <c r="M513"/>
    </row>
    <row r="514" spans="3:13">
      <c r="C514"/>
      <c r="D514"/>
      <c r="E514"/>
      <c r="F514"/>
      <c r="G514"/>
      <c r="H514"/>
      <c r="I514"/>
      <c r="J514"/>
      <c r="K514"/>
      <c r="L514"/>
      <c r="M514"/>
    </row>
    <row r="515" spans="3:13">
      <c r="C515"/>
      <c r="D515"/>
      <c r="E515"/>
      <c r="F515"/>
      <c r="G515"/>
      <c r="H515"/>
      <c r="I515"/>
      <c r="J515"/>
      <c r="K515"/>
      <c r="L515"/>
      <c r="M515"/>
    </row>
    <row r="516" spans="3:13">
      <c r="C516"/>
      <c r="D516"/>
      <c r="E516"/>
      <c r="F516"/>
      <c r="G516"/>
      <c r="H516"/>
      <c r="I516"/>
      <c r="J516"/>
      <c r="K516"/>
      <c r="L516"/>
      <c r="M516"/>
    </row>
    <row r="517" spans="3:13">
      <c r="C517"/>
      <c r="D517"/>
      <c r="E517"/>
      <c r="F517"/>
      <c r="G517"/>
      <c r="H517"/>
      <c r="I517"/>
      <c r="J517"/>
      <c r="K517"/>
      <c r="L517"/>
      <c r="M517"/>
    </row>
    <row r="518" spans="3:13">
      <c r="C518"/>
      <c r="D518"/>
      <c r="E518"/>
      <c r="F518"/>
      <c r="G518"/>
      <c r="H518"/>
      <c r="I518"/>
      <c r="J518"/>
      <c r="K518"/>
      <c r="L518"/>
      <c r="M518"/>
    </row>
    <row r="519" spans="3:13">
      <c r="C519"/>
      <c r="D519"/>
      <c r="E519"/>
      <c r="F519"/>
      <c r="G519"/>
      <c r="H519"/>
      <c r="I519"/>
      <c r="J519"/>
      <c r="K519"/>
      <c r="L519"/>
      <c r="M519"/>
    </row>
    <row r="520" spans="3:13">
      <c r="C520"/>
      <c r="D520"/>
      <c r="E520"/>
      <c r="F520"/>
      <c r="G520"/>
      <c r="H520"/>
      <c r="I520"/>
      <c r="J520"/>
      <c r="K520"/>
      <c r="L520"/>
      <c r="M520"/>
    </row>
    <row r="521" spans="3:13">
      <c r="C521"/>
      <c r="D521"/>
      <c r="E521"/>
      <c r="F521"/>
      <c r="G521"/>
      <c r="H521"/>
      <c r="I521"/>
      <c r="J521"/>
      <c r="K521"/>
      <c r="L521"/>
      <c r="M521"/>
    </row>
    <row r="522" spans="3:13">
      <c r="C522"/>
      <c r="D522"/>
      <c r="E522"/>
      <c r="F522"/>
      <c r="G522"/>
      <c r="H522"/>
      <c r="I522"/>
      <c r="J522"/>
      <c r="K522"/>
      <c r="L522"/>
      <c r="M522"/>
    </row>
    <row r="523" spans="3:13">
      <c r="C523"/>
      <c r="D523"/>
      <c r="E523"/>
      <c r="F523"/>
      <c r="G523"/>
      <c r="H523"/>
      <c r="I523"/>
      <c r="J523"/>
      <c r="K523"/>
      <c r="L523"/>
      <c r="M523"/>
    </row>
    <row r="524" spans="3:13">
      <c r="C524"/>
      <c r="D524"/>
      <c r="E524"/>
      <c r="F524"/>
      <c r="G524"/>
      <c r="H524"/>
      <c r="I524"/>
      <c r="J524"/>
      <c r="K524"/>
      <c r="L524"/>
      <c r="M524"/>
    </row>
    <row r="525" spans="3:13">
      <c r="C525"/>
      <c r="D525"/>
      <c r="E525"/>
      <c r="F525"/>
      <c r="G525"/>
      <c r="H525"/>
      <c r="I525"/>
      <c r="J525"/>
      <c r="K525"/>
      <c r="L525"/>
      <c r="M525"/>
    </row>
    <row r="526" spans="3:13">
      <c r="C526"/>
      <c r="D526"/>
      <c r="E526"/>
      <c r="F526"/>
      <c r="G526"/>
      <c r="H526"/>
      <c r="I526"/>
      <c r="J526"/>
      <c r="K526"/>
      <c r="L526"/>
      <c r="M526"/>
    </row>
    <row r="527" spans="3:13">
      <c r="C527"/>
      <c r="D527"/>
      <c r="E527"/>
      <c r="F527"/>
      <c r="G527"/>
      <c r="H527"/>
      <c r="I527"/>
      <c r="J527"/>
      <c r="K527"/>
      <c r="L527"/>
      <c r="M527"/>
    </row>
    <row r="528" spans="3:13">
      <c r="C528"/>
      <c r="D528"/>
      <c r="E528"/>
      <c r="F528"/>
      <c r="G528"/>
      <c r="H528"/>
      <c r="I528"/>
      <c r="J528"/>
      <c r="K528"/>
      <c r="L528"/>
      <c r="M528"/>
    </row>
    <row r="529" spans="3:13">
      <c r="C529"/>
      <c r="D529"/>
      <c r="E529"/>
      <c r="F529"/>
      <c r="G529"/>
      <c r="H529"/>
      <c r="I529"/>
      <c r="J529"/>
      <c r="K529"/>
      <c r="L529"/>
      <c r="M529"/>
    </row>
    <row r="530" spans="3:13">
      <c r="C530"/>
      <c r="D530"/>
      <c r="E530"/>
      <c r="F530"/>
      <c r="G530"/>
      <c r="H530"/>
      <c r="I530"/>
      <c r="J530"/>
      <c r="K530"/>
      <c r="L530"/>
      <c r="M530"/>
    </row>
    <row r="531" spans="3:13">
      <c r="C531"/>
      <c r="D531"/>
      <c r="E531"/>
      <c r="F531"/>
      <c r="G531"/>
      <c r="H531"/>
      <c r="I531"/>
      <c r="J531"/>
      <c r="K531"/>
      <c r="L531"/>
      <c r="M531"/>
    </row>
    <row r="532" spans="3:13">
      <c r="C532"/>
      <c r="D532"/>
      <c r="E532"/>
      <c r="F532"/>
      <c r="G532"/>
      <c r="H532"/>
      <c r="I532"/>
      <c r="J532"/>
      <c r="K532"/>
      <c r="L532"/>
      <c r="M532"/>
    </row>
    <row r="533" spans="3:13">
      <c r="C533"/>
      <c r="D533"/>
      <c r="E533"/>
      <c r="F533"/>
      <c r="G533"/>
      <c r="H533"/>
      <c r="I533"/>
      <c r="J533"/>
      <c r="K533"/>
      <c r="L533"/>
      <c r="M533"/>
    </row>
    <row r="534" spans="3:13">
      <c r="C534"/>
      <c r="D534"/>
      <c r="E534"/>
      <c r="F534"/>
      <c r="G534"/>
      <c r="H534"/>
      <c r="I534"/>
      <c r="J534"/>
      <c r="K534"/>
      <c r="L534"/>
      <c r="M534"/>
    </row>
    <row r="535" spans="3:13">
      <c r="C535"/>
      <c r="D535"/>
      <c r="E535"/>
      <c r="F535"/>
      <c r="G535"/>
      <c r="H535"/>
      <c r="I535"/>
      <c r="J535"/>
      <c r="K535"/>
      <c r="L535"/>
      <c r="M535"/>
    </row>
    <row r="536" spans="3:13">
      <c r="C536"/>
      <c r="D536"/>
      <c r="E536"/>
      <c r="F536"/>
      <c r="G536"/>
      <c r="H536"/>
      <c r="I536"/>
      <c r="J536"/>
      <c r="K536"/>
      <c r="L536"/>
      <c r="M536"/>
    </row>
    <row r="537" spans="3:13">
      <c r="C537"/>
      <c r="D537"/>
      <c r="E537"/>
      <c r="F537"/>
      <c r="G537"/>
      <c r="H537"/>
      <c r="I537"/>
      <c r="J537"/>
      <c r="K537"/>
      <c r="L537"/>
      <c r="M537"/>
    </row>
    <row r="538" spans="3:13">
      <c r="C538"/>
      <c r="D538"/>
      <c r="E538"/>
      <c r="F538"/>
      <c r="G538"/>
      <c r="H538"/>
      <c r="I538"/>
      <c r="J538"/>
      <c r="K538"/>
      <c r="L538"/>
      <c r="M538"/>
    </row>
    <row r="539" spans="3:13">
      <c r="C539"/>
      <c r="D539"/>
      <c r="E539"/>
      <c r="F539"/>
      <c r="G539"/>
      <c r="H539"/>
      <c r="I539"/>
      <c r="J539"/>
      <c r="K539"/>
      <c r="L539"/>
      <c r="M539"/>
    </row>
    <row r="540" spans="3:13">
      <c r="C540"/>
      <c r="D540"/>
      <c r="E540"/>
      <c r="F540"/>
      <c r="G540"/>
      <c r="H540"/>
      <c r="I540"/>
      <c r="J540"/>
      <c r="K540"/>
      <c r="L540"/>
      <c r="M540"/>
    </row>
    <row r="541" spans="3:13">
      <c r="C541"/>
      <c r="D541"/>
      <c r="E541"/>
      <c r="F541"/>
      <c r="G541"/>
      <c r="H541"/>
      <c r="I541"/>
      <c r="J541"/>
      <c r="K541"/>
      <c r="L541"/>
      <c r="M541"/>
    </row>
    <row r="542" spans="3:13">
      <c r="C542"/>
      <c r="D542"/>
      <c r="E542"/>
      <c r="F542"/>
      <c r="G542"/>
      <c r="H542"/>
      <c r="I542"/>
      <c r="J542"/>
      <c r="K542"/>
      <c r="L542"/>
      <c r="M542"/>
    </row>
    <row r="543" spans="3:13">
      <c r="C543"/>
      <c r="D543"/>
      <c r="E543"/>
      <c r="F543"/>
      <c r="G543"/>
      <c r="H543"/>
      <c r="I543"/>
      <c r="J543"/>
      <c r="K543"/>
      <c r="L543"/>
      <c r="M543"/>
    </row>
    <row r="544" spans="3:13">
      <c r="C544"/>
      <c r="D544"/>
      <c r="E544"/>
      <c r="F544"/>
      <c r="G544"/>
      <c r="H544"/>
      <c r="I544"/>
      <c r="J544"/>
      <c r="K544"/>
      <c r="L544"/>
      <c r="M544"/>
    </row>
    <row r="545" spans="3:13">
      <c r="C545"/>
      <c r="D545"/>
      <c r="E545"/>
      <c r="F545"/>
      <c r="G545"/>
      <c r="H545"/>
      <c r="I545"/>
      <c r="J545"/>
      <c r="K545"/>
      <c r="L545"/>
      <c r="M545"/>
    </row>
    <row r="546" spans="3:13">
      <c r="C546"/>
      <c r="D546"/>
      <c r="E546"/>
      <c r="F546"/>
      <c r="G546"/>
      <c r="H546"/>
      <c r="I546"/>
      <c r="J546"/>
      <c r="K546"/>
      <c r="L546"/>
      <c r="M546"/>
    </row>
    <row r="547" spans="3:13">
      <c r="C547"/>
      <c r="D547"/>
      <c r="E547"/>
      <c r="F547"/>
      <c r="G547"/>
      <c r="H547"/>
      <c r="I547"/>
      <c r="J547"/>
      <c r="K547"/>
      <c r="L547"/>
      <c r="M547"/>
    </row>
    <row r="548" spans="3:13">
      <c r="C548"/>
      <c r="D548"/>
      <c r="E548"/>
      <c r="F548"/>
      <c r="G548"/>
      <c r="H548"/>
      <c r="I548"/>
      <c r="J548"/>
      <c r="K548"/>
      <c r="L548"/>
      <c r="M548"/>
    </row>
    <row r="549" spans="3:13">
      <c r="C549"/>
      <c r="D549"/>
      <c r="E549"/>
      <c r="F549"/>
      <c r="G549"/>
      <c r="H549"/>
      <c r="I549"/>
      <c r="J549"/>
      <c r="K549"/>
      <c r="L549"/>
      <c r="M549"/>
    </row>
    <row r="550" spans="3:13">
      <c r="C550"/>
      <c r="D550"/>
      <c r="E550"/>
      <c r="F550"/>
      <c r="G550"/>
      <c r="H550"/>
      <c r="I550"/>
      <c r="J550"/>
      <c r="K550"/>
      <c r="L550"/>
      <c r="M550"/>
    </row>
    <row r="551" spans="3:13">
      <c r="C551"/>
      <c r="D551"/>
      <c r="E551"/>
      <c r="F551"/>
      <c r="G551"/>
      <c r="H551"/>
      <c r="I551"/>
      <c r="J551"/>
      <c r="K551"/>
      <c r="L551"/>
      <c r="M551"/>
    </row>
    <row r="552" spans="3:13">
      <c r="C552"/>
      <c r="D552"/>
      <c r="E552"/>
      <c r="F552"/>
      <c r="G552"/>
      <c r="H552"/>
      <c r="I552"/>
      <c r="J552"/>
      <c r="K552"/>
      <c r="L552"/>
      <c r="M552"/>
    </row>
    <row r="553" spans="3:13">
      <c r="C553"/>
      <c r="D553"/>
      <c r="E553"/>
      <c r="F553"/>
      <c r="G553"/>
      <c r="H553"/>
      <c r="I553"/>
      <c r="J553"/>
      <c r="K553"/>
      <c r="L553"/>
      <c r="M553"/>
    </row>
    <row r="554" spans="3:13">
      <c r="C554"/>
      <c r="D554"/>
      <c r="E554"/>
      <c r="F554"/>
      <c r="G554"/>
      <c r="H554"/>
      <c r="I554"/>
      <c r="J554"/>
      <c r="K554"/>
      <c r="L554"/>
      <c r="M554"/>
    </row>
    <row r="555" spans="3:13">
      <c r="C555"/>
      <c r="D555"/>
      <c r="E555"/>
      <c r="F555"/>
      <c r="G555"/>
      <c r="H555"/>
      <c r="I555"/>
      <c r="J555"/>
      <c r="K555"/>
      <c r="L555"/>
      <c r="M555"/>
    </row>
    <row r="556" spans="3:13">
      <c r="C556"/>
      <c r="D556"/>
      <c r="E556"/>
      <c r="F556"/>
      <c r="G556"/>
      <c r="H556"/>
      <c r="I556"/>
      <c r="J556"/>
      <c r="K556"/>
      <c r="L556"/>
      <c r="M556"/>
    </row>
    <row r="557" spans="3:13">
      <c r="C557"/>
      <c r="D557"/>
      <c r="E557"/>
      <c r="F557"/>
      <c r="G557"/>
      <c r="H557"/>
      <c r="I557"/>
      <c r="J557"/>
      <c r="K557"/>
      <c r="L557"/>
      <c r="M557"/>
    </row>
    <row r="558" spans="3:13">
      <c r="C558"/>
      <c r="D558"/>
      <c r="E558"/>
      <c r="F558"/>
      <c r="G558"/>
      <c r="H558"/>
      <c r="I558"/>
      <c r="J558"/>
      <c r="K558"/>
      <c r="L558"/>
      <c r="M558"/>
    </row>
    <row r="559" spans="3:13">
      <c r="C559"/>
      <c r="D559"/>
      <c r="E559"/>
      <c r="F559"/>
      <c r="G559"/>
      <c r="H559"/>
      <c r="I559"/>
      <c r="J559"/>
      <c r="K559"/>
      <c r="L559"/>
      <c r="M559"/>
    </row>
    <row r="560" spans="3:13">
      <c r="C560"/>
      <c r="D560"/>
      <c r="E560"/>
      <c r="F560"/>
      <c r="G560"/>
      <c r="H560"/>
      <c r="I560"/>
      <c r="J560"/>
      <c r="K560"/>
      <c r="L560"/>
      <c r="M560"/>
    </row>
    <row r="561" spans="3:13">
      <c r="C561"/>
      <c r="D561"/>
      <c r="E561"/>
      <c r="F561"/>
      <c r="G561"/>
      <c r="H561"/>
      <c r="I561"/>
      <c r="J561"/>
      <c r="K561"/>
      <c r="L561"/>
      <c r="M561"/>
    </row>
    <row r="562" spans="3:13">
      <c r="C562"/>
      <c r="D562"/>
      <c r="E562"/>
      <c r="F562"/>
      <c r="G562"/>
      <c r="H562"/>
      <c r="I562"/>
      <c r="J562"/>
      <c r="K562"/>
      <c r="L562"/>
      <c r="M562"/>
    </row>
    <row r="563" spans="3:13">
      <c r="C563"/>
      <c r="D563"/>
      <c r="E563"/>
      <c r="F563"/>
      <c r="G563"/>
      <c r="H563"/>
      <c r="I563"/>
      <c r="J563"/>
      <c r="K563"/>
      <c r="L563"/>
      <c r="M563"/>
    </row>
    <row r="564" spans="3:13">
      <c r="C564"/>
      <c r="D564"/>
      <c r="E564"/>
      <c r="F564"/>
      <c r="G564"/>
      <c r="H564"/>
      <c r="I564"/>
      <c r="J564"/>
      <c r="K564"/>
      <c r="L564"/>
      <c r="M564"/>
    </row>
    <row r="565" spans="3:13">
      <c r="C565"/>
      <c r="D565"/>
      <c r="E565"/>
      <c r="F565"/>
      <c r="G565"/>
      <c r="H565"/>
      <c r="I565"/>
      <c r="J565"/>
      <c r="K565"/>
      <c r="L565"/>
      <c r="M565"/>
    </row>
    <row r="566" spans="3:13">
      <c r="C566"/>
      <c r="D566"/>
      <c r="E566"/>
      <c r="F566"/>
      <c r="G566"/>
      <c r="H566"/>
      <c r="I566"/>
      <c r="J566"/>
      <c r="K566"/>
      <c r="L566"/>
      <c r="M566"/>
    </row>
    <row r="567" spans="3:13">
      <c r="C567"/>
      <c r="D567"/>
      <c r="E567"/>
      <c r="F567"/>
      <c r="G567"/>
      <c r="H567"/>
      <c r="I567"/>
      <c r="J567"/>
      <c r="K567"/>
      <c r="L567"/>
      <c r="M567"/>
    </row>
    <row r="568" spans="3:13">
      <c r="C568"/>
      <c r="D568"/>
      <c r="E568"/>
      <c r="F568"/>
      <c r="G568"/>
      <c r="H568"/>
      <c r="I568"/>
      <c r="J568"/>
      <c r="K568"/>
      <c r="L568"/>
      <c r="M568"/>
    </row>
    <row r="569" spans="3:13">
      <c r="C569"/>
      <c r="D569"/>
      <c r="E569"/>
      <c r="F569"/>
      <c r="G569"/>
      <c r="H569"/>
      <c r="I569"/>
      <c r="J569"/>
      <c r="K569"/>
      <c r="L569"/>
      <c r="M569"/>
    </row>
    <row r="570" spans="3:13">
      <c r="C570"/>
      <c r="D570"/>
      <c r="E570"/>
      <c r="F570"/>
      <c r="G570"/>
      <c r="H570"/>
      <c r="I570"/>
      <c r="J570"/>
      <c r="K570"/>
      <c r="L570"/>
      <c r="M570"/>
    </row>
    <row r="571" spans="3:13">
      <c r="C571"/>
      <c r="D571"/>
      <c r="E571"/>
      <c r="F571"/>
      <c r="G571"/>
      <c r="H571"/>
      <c r="I571"/>
      <c r="J571"/>
      <c r="K571"/>
      <c r="L571"/>
      <c r="M571"/>
    </row>
    <row r="572" spans="3:13">
      <c r="C572"/>
      <c r="D572"/>
      <c r="E572"/>
      <c r="F572"/>
      <c r="G572"/>
      <c r="H572"/>
      <c r="I572"/>
      <c r="J572"/>
      <c r="K572"/>
      <c r="L572"/>
      <c r="M572"/>
    </row>
    <row r="573" spans="3:13">
      <c r="C573"/>
      <c r="D573"/>
      <c r="E573"/>
      <c r="F573"/>
      <c r="G573"/>
      <c r="H573"/>
      <c r="I573"/>
      <c r="J573"/>
      <c r="K573"/>
      <c r="L573"/>
      <c r="M573"/>
    </row>
    <row r="574" spans="3:13">
      <c r="C574"/>
      <c r="D574"/>
      <c r="E574"/>
      <c r="F574"/>
      <c r="G574"/>
      <c r="H574"/>
      <c r="I574"/>
      <c r="J574"/>
      <c r="K574"/>
      <c r="L574"/>
      <c r="M574"/>
    </row>
    <row r="575" spans="3:13">
      <c r="C575"/>
      <c r="D575"/>
      <c r="E575"/>
      <c r="F575"/>
      <c r="G575"/>
      <c r="H575"/>
      <c r="I575"/>
      <c r="J575"/>
      <c r="K575"/>
      <c r="L575"/>
      <c r="M575"/>
    </row>
    <row r="576" spans="3:13">
      <c r="C576"/>
      <c r="D576"/>
      <c r="E576"/>
      <c r="F576"/>
      <c r="G576"/>
      <c r="H576"/>
      <c r="I576"/>
      <c r="J576"/>
      <c r="K576"/>
      <c r="L576"/>
      <c r="M576"/>
    </row>
    <row r="577" spans="3:13">
      <c r="C577"/>
      <c r="D577"/>
      <c r="E577"/>
      <c r="F577"/>
      <c r="G577"/>
      <c r="H577"/>
      <c r="I577"/>
      <c r="J577"/>
      <c r="K577"/>
      <c r="L577"/>
      <c r="M577"/>
    </row>
    <row r="578" spans="3:13">
      <c r="C578"/>
      <c r="D578"/>
      <c r="E578"/>
      <c r="F578"/>
      <c r="G578"/>
      <c r="H578"/>
      <c r="I578"/>
      <c r="J578"/>
      <c r="K578"/>
      <c r="L578"/>
      <c r="M578"/>
    </row>
    <row r="579" spans="3:13">
      <c r="C579"/>
      <c r="D579"/>
      <c r="E579"/>
      <c r="F579"/>
      <c r="G579"/>
      <c r="H579"/>
      <c r="I579"/>
      <c r="J579"/>
      <c r="K579"/>
      <c r="L579"/>
      <c r="M579"/>
    </row>
    <row r="580" spans="3:13">
      <c r="C580"/>
      <c r="D580"/>
      <c r="E580"/>
      <c r="F580"/>
      <c r="G580"/>
      <c r="H580"/>
      <c r="I580"/>
      <c r="J580"/>
      <c r="K580"/>
      <c r="L580"/>
      <c r="M580"/>
    </row>
    <row r="581" spans="3:13">
      <c r="C581"/>
      <c r="D581"/>
      <c r="E581"/>
      <c r="F581"/>
      <c r="G581"/>
      <c r="H581"/>
      <c r="I581"/>
      <c r="J581"/>
      <c r="K581"/>
      <c r="L581"/>
      <c r="M581"/>
    </row>
    <row r="582" spans="3:13">
      <c r="C582"/>
      <c r="D582"/>
      <c r="E582"/>
      <c r="F582"/>
      <c r="G582"/>
      <c r="H582"/>
      <c r="I582"/>
      <c r="J582"/>
      <c r="K582"/>
      <c r="L582"/>
      <c r="M582"/>
    </row>
    <row r="583" spans="3:13">
      <c r="C583"/>
      <c r="D583"/>
      <c r="E583"/>
      <c r="F583"/>
      <c r="G583"/>
      <c r="H583"/>
      <c r="I583"/>
      <c r="J583"/>
      <c r="K583"/>
      <c r="L583"/>
      <c r="M583"/>
    </row>
    <row r="584" spans="3:13">
      <c r="C584"/>
      <c r="D584"/>
      <c r="E584"/>
      <c r="F584"/>
      <c r="G584"/>
      <c r="H584"/>
      <c r="I584"/>
      <c r="J584"/>
      <c r="K584"/>
      <c r="L584"/>
      <c r="M584"/>
    </row>
    <row r="585" spans="3:13">
      <c r="C585"/>
      <c r="D585"/>
      <c r="E585"/>
      <c r="F585"/>
      <c r="G585"/>
      <c r="H585"/>
      <c r="I585"/>
      <c r="J585"/>
      <c r="K585"/>
      <c r="L585"/>
      <c r="M585"/>
    </row>
    <row r="586" spans="3:13">
      <c r="C586"/>
      <c r="D586"/>
      <c r="E586"/>
      <c r="F586"/>
      <c r="G586"/>
      <c r="H586"/>
      <c r="I586"/>
      <c r="J586"/>
      <c r="K586"/>
      <c r="L586"/>
      <c r="M586"/>
    </row>
    <row r="587" spans="3:13">
      <c r="C587"/>
      <c r="D587"/>
      <c r="E587"/>
      <c r="F587"/>
      <c r="G587"/>
      <c r="H587"/>
      <c r="I587"/>
      <c r="J587"/>
      <c r="K587"/>
      <c r="L587"/>
      <c r="M587"/>
    </row>
    <row r="588" spans="3:13">
      <c r="C588"/>
      <c r="D588"/>
      <c r="E588"/>
      <c r="F588"/>
      <c r="G588"/>
      <c r="H588"/>
      <c r="I588"/>
      <c r="J588"/>
      <c r="K588"/>
      <c r="L588"/>
      <c r="M588"/>
    </row>
    <row r="589" spans="3:13">
      <c r="C589"/>
      <c r="D589"/>
      <c r="E589"/>
      <c r="F589"/>
      <c r="G589"/>
      <c r="H589"/>
      <c r="I589"/>
      <c r="J589"/>
      <c r="K589"/>
      <c r="L589"/>
      <c r="M589"/>
    </row>
    <row r="590" spans="3:13">
      <c r="C590"/>
      <c r="D590"/>
      <c r="E590"/>
      <c r="F590"/>
      <c r="G590"/>
      <c r="H590"/>
      <c r="I590"/>
      <c r="J590"/>
      <c r="K590"/>
      <c r="L590"/>
      <c r="M590"/>
    </row>
    <row r="591" spans="3:13">
      <c r="C591"/>
      <c r="D591"/>
      <c r="E591"/>
      <c r="F591"/>
      <c r="G591"/>
      <c r="H591"/>
      <c r="I591"/>
      <c r="J591"/>
      <c r="K591"/>
      <c r="L591"/>
      <c r="M591"/>
    </row>
    <row r="592" spans="3:13">
      <c r="C592"/>
      <c r="D592"/>
      <c r="E592"/>
      <c r="F592"/>
      <c r="G592"/>
      <c r="H592"/>
      <c r="I592"/>
      <c r="J592"/>
      <c r="K592"/>
      <c r="L592"/>
      <c r="M592"/>
    </row>
    <row r="593" spans="3:13">
      <c r="C593"/>
      <c r="D593"/>
      <c r="E593"/>
      <c r="F593"/>
      <c r="G593"/>
      <c r="H593"/>
      <c r="I593"/>
      <c r="J593"/>
      <c r="K593"/>
      <c r="L593"/>
      <c r="M593"/>
    </row>
    <row r="594" spans="3:13">
      <c r="C594"/>
      <c r="D594"/>
      <c r="E594"/>
      <c r="F594"/>
      <c r="G594"/>
      <c r="H594"/>
      <c r="I594"/>
      <c r="J594"/>
      <c r="K594"/>
      <c r="L594"/>
      <c r="M594"/>
    </row>
    <row r="595" spans="3:13">
      <c r="C595"/>
      <c r="D595"/>
      <c r="E595"/>
      <c r="F595"/>
      <c r="G595"/>
      <c r="H595"/>
      <c r="I595"/>
      <c r="J595"/>
      <c r="K595"/>
      <c r="L595"/>
      <c r="M595"/>
    </row>
    <row r="596" spans="3:13">
      <c r="C596"/>
      <c r="D596"/>
      <c r="E596"/>
      <c r="F596"/>
      <c r="G596"/>
      <c r="H596"/>
      <c r="I596"/>
      <c r="J596"/>
      <c r="K596"/>
      <c r="L596"/>
      <c r="M596"/>
    </row>
    <row r="597" spans="3:13">
      <c r="C597"/>
      <c r="D597"/>
      <c r="E597"/>
      <c r="F597"/>
      <c r="G597"/>
      <c r="H597"/>
      <c r="I597"/>
      <c r="J597"/>
      <c r="K597"/>
      <c r="L597"/>
      <c r="M597"/>
    </row>
    <row r="598" spans="3:13">
      <c r="C598"/>
      <c r="D598"/>
      <c r="E598"/>
      <c r="F598"/>
      <c r="G598"/>
      <c r="H598"/>
      <c r="I598"/>
      <c r="J598"/>
      <c r="K598"/>
      <c r="L598"/>
      <c r="M598"/>
    </row>
    <row r="599" spans="3:13">
      <c r="C599"/>
      <c r="D599"/>
      <c r="E599"/>
      <c r="F599"/>
      <c r="G599"/>
      <c r="H599"/>
      <c r="I599"/>
      <c r="J599"/>
      <c r="K599"/>
      <c r="L599"/>
      <c r="M599"/>
    </row>
    <row r="600" spans="3:13">
      <c r="C600"/>
      <c r="D600"/>
      <c r="E600"/>
      <c r="F600"/>
      <c r="G600"/>
      <c r="H600"/>
      <c r="I600"/>
      <c r="J600"/>
      <c r="K600"/>
      <c r="L600"/>
      <c r="M600"/>
    </row>
    <row r="601" spans="3:13">
      <c r="C601"/>
      <c r="D601"/>
      <c r="E601"/>
      <c r="F601"/>
      <c r="G601"/>
      <c r="H601"/>
      <c r="I601"/>
      <c r="J601"/>
      <c r="K601"/>
      <c r="L601"/>
      <c r="M601"/>
    </row>
    <row r="602" spans="3:13">
      <c r="C602"/>
      <c r="D602"/>
      <c r="E602"/>
      <c r="F602"/>
      <c r="G602"/>
      <c r="H602"/>
      <c r="I602"/>
      <c r="J602"/>
      <c r="K602"/>
      <c r="L602"/>
      <c r="M602"/>
    </row>
    <row r="603" spans="3:13">
      <c r="C603"/>
      <c r="D603"/>
      <c r="E603"/>
      <c r="F603"/>
      <c r="G603"/>
      <c r="H603"/>
      <c r="I603"/>
      <c r="J603"/>
      <c r="K603"/>
      <c r="L603"/>
      <c r="M603"/>
    </row>
    <row r="604" spans="3:13">
      <c r="C604"/>
      <c r="D604"/>
      <c r="E604"/>
      <c r="F604"/>
      <c r="G604"/>
      <c r="H604"/>
      <c r="I604"/>
      <c r="J604"/>
      <c r="K604"/>
      <c r="L604"/>
      <c r="M604"/>
    </row>
    <row r="605" spans="3:13">
      <c r="C605"/>
      <c r="D605"/>
      <c r="E605"/>
      <c r="F605"/>
      <c r="G605"/>
      <c r="H605"/>
      <c r="I605"/>
      <c r="J605"/>
      <c r="K605"/>
      <c r="L605"/>
      <c r="M605"/>
    </row>
    <row r="606" spans="3:13">
      <c r="C606"/>
      <c r="D606"/>
      <c r="E606"/>
      <c r="F606"/>
      <c r="G606"/>
      <c r="H606"/>
      <c r="I606"/>
      <c r="J606"/>
      <c r="K606"/>
      <c r="L606"/>
      <c r="M606"/>
    </row>
    <row r="607" spans="3:13">
      <c r="C607"/>
      <c r="D607"/>
      <c r="E607"/>
      <c r="F607"/>
      <c r="G607"/>
      <c r="H607"/>
      <c r="I607"/>
      <c r="J607"/>
      <c r="K607"/>
      <c r="L607"/>
      <c r="M607"/>
    </row>
    <row r="608" spans="3:13">
      <c r="C608"/>
      <c r="D608"/>
      <c r="E608"/>
      <c r="F608"/>
      <c r="G608"/>
      <c r="H608"/>
      <c r="I608"/>
      <c r="J608"/>
      <c r="K608"/>
      <c r="L608"/>
      <c r="M608"/>
    </row>
    <row r="609" spans="3:13">
      <c r="C609"/>
      <c r="D609"/>
      <c r="E609"/>
      <c r="F609"/>
      <c r="G609"/>
      <c r="H609"/>
      <c r="I609"/>
      <c r="J609"/>
      <c r="K609"/>
      <c r="L609"/>
      <c r="M609"/>
    </row>
    <row r="610" spans="3:13">
      <c r="C610"/>
      <c r="D610"/>
      <c r="E610"/>
      <c r="F610"/>
      <c r="G610"/>
      <c r="H610"/>
      <c r="I610"/>
      <c r="J610"/>
      <c r="K610"/>
      <c r="L610"/>
      <c r="M610"/>
    </row>
    <row r="611" spans="3:13">
      <c r="C611"/>
      <c r="D611"/>
      <c r="E611"/>
      <c r="F611"/>
      <c r="G611"/>
      <c r="H611"/>
      <c r="I611"/>
      <c r="J611"/>
      <c r="K611"/>
      <c r="L611"/>
      <c r="M611"/>
    </row>
    <row r="612" spans="3:13">
      <c r="C612"/>
      <c r="D612"/>
      <c r="E612"/>
      <c r="F612"/>
      <c r="G612"/>
      <c r="H612"/>
      <c r="I612"/>
      <c r="J612"/>
      <c r="K612"/>
      <c r="L612"/>
      <c r="M612"/>
    </row>
    <row r="613" spans="3:13">
      <c r="C613"/>
      <c r="D613"/>
      <c r="E613"/>
      <c r="F613"/>
      <c r="G613"/>
      <c r="H613"/>
      <c r="I613"/>
      <c r="J613"/>
      <c r="K613"/>
      <c r="L613"/>
      <c r="M613"/>
    </row>
    <row r="614" spans="3:13">
      <c r="C614"/>
      <c r="D614"/>
      <c r="E614"/>
      <c r="F614"/>
      <c r="G614"/>
      <c r="H614"/>
      <c r="I614"/>
      <c r="J614"/>
      <c r="K614"/>
      <c r="L614"/>
      <c r="M614"/>
    </row>
    <row r="615" spans="3:13">
      <c r="C615"/>
      <c r="D615"/>
      <c r="E615"/>
      <c r="F615"/>
      <c r="G615"/>
      <c r="H615"/>
      <c r="I615"/>
      <c r="J615"/>
      <c r="K615"/>
      <c r="L615"/>
      <c r="M615"/>
    </row>
    <row r="616" spans="3:13">
      <c r="C616"/>
      <c r="D616"/>
      <c r="E616"/>
      <c r="F616"/>
      <c r="G616"/>
      <c r="H616"/>
      <c r="I616"/>
      <c r="J616"/>
      <c r="K616"/>
      <c r="L616"/>
      <c r="M616"/>
    </row>
    <row r="617" spans="3:13">
      <c r="C617"/>
      <c r="D617"/>
      <c r="E617"/>
      <c r="F617"/>
      <c r="G617"/>
      <c r="H617"/>
      <c r="I617"/>
      <c r="J617"/>
      <c r="K617"/>
      <c r="L617"/>
      <c r="M617"/>
    </row>
    <row r="618" spans="3:13">
      <c r="C618"/>
      <c r="D618"/>
      <c r="E618"/>
      <c r="F618"/>
      <c r="G618"/>
      <c r="H618"/>
      <c r="I618"/>
      <c r="J618"/>
      <c r="K618"/>
      <c r="L618"/>
      <c r="M618"/>
    </row>
    <row r="619" spans="3:13">
      <c r="C619"/>
      <c r="D619"/>
      <c r="E619"/>
      <c r="F619"/>
      <c r="G619"/>
      <c r="H619"/>
      <c r="I619"/>
      <c r="J619"/>
      <c r="K619"/>
      <c r="L619"/>
      <c r="M619"/>
    </row>
    <row r="620" spans="3:13">
      <c r="C620"/>
      <c r="D620"/>
      <c r="E620"/>
      <c r="F620"/>
      <c r="G620"/>
      <c r="H620"/>
      <c r="I620"/>
      <c r="J620"/>
      <c r="K620"/>
      <c r="L620"/>
      <c r="M620"/>
    </row>
    <row r="621" spans="3:13">
      <c r="C621"/>
      <c r="D621"/>
      <c r="E621"/>
      <c r="F621"/>
      <c r="G621"/>
      <c r="H621"/>
      <c r="I621"/>
      <c r="J621"/>
      <c r="K621"/>
      <c r="L621"/>
      <c r="M621"/>
    </row>
    <row r="622" spans="3:13">
      <c r="C622"/>
      <c r="D622"/>
      <c r="E622"/>
      <c r="F622"/>
      <c r="G622"/>
      <c r="H622"/>
      <c r="I622"/>
      <c r="J622"/>
      <c r="K622"/>
      <c r="L622"/>
      <c r="M622"/>
    </row>
    <row r="623" spans="3:13">
      <c r="C623"/>
      <c r="D623"/>
      <c r="E623"/>
      <c r="F623"/>
      <c r="G623"/>
      <c r="H623"/>
      <c r="I623"/>
      <c r="J623"/>
      <c r="K623"/>
      <c r="L623"/>
      <c r="M623"/>
    </row>
    <row r="624" spans="3:13">
      <c r="C624"/>
      <c r="D624"/>
      <c r="E624"/>
      <c r="F624"/>
      <c r="G624"/>
      <c r="H624"/>
      <c r="I624"/>
      <c r="J624"/>
      <c r="K624"/>
      <c r="L624"/>
      <c r="M624"/>
    </row>
    <row r="625" spans="3:13">
      <c r="C625"/>
      <c r="D625"/>
      <c r="E625"/>
      <c r="F625"/>
      <c r="G625"/>
      <c r="H625"/>
      <c r="I625"/>
      <c r="J625"/>
      <c r="K625"/>
      <c r="L625"/>
      <c r="M625"/>
    </row>
    <row r="626" spans="3:13">
      <c r="C626"/>
      <c r="D626"/>
      <c r="E626"/>
      <c r="F626"/>
      <c r="G626"/>
      <c r="H626"/>
      <c r="I626"/>
      <c r="J626"/>
      <c r="K626"/>
      <c r="L626"/>
      <c r="M626"/>
    </row>
    <row r="627" spans="3:13">
      <c r="C627"/>
      <c r="D627"/>
      <c r="E627"/>
      <c r="F627"/>
      <c r="G627"/>
      <c r="H627"/>
      <c r="I627"/>
      <c r="J627"/>
      <c r="K627"/>
      <c r="L627"/>
      <c r="M627"/>
    </row>
    <row r="628" spans="3:13">
      <c r="C628"/>
      <c r="D628"/>
      <c r="E628"/>
      <c r="F628"/>
      <c r="G628"/>
      <c r="H628"/>
      <c r="I628"/>
      <c r="J628"/>
      <c r="K628"/>
      <c r="L628"/>
      <c r="M628"/>
    </row>
    <row r="629" spans="3:13">
      <c r="C629"/>
      <c r="D629"/>
      <c r="E629"/>
      <c r="F629"/>
      <c r="G629"/>
      <c r="H629"/>
      <c r="I629"/>
      <c r="J629"/>
      <c r="K629"/>
      <c r="L629"/>
      <c r="M629"/>
    </row>
    <row r="630" spans="3:13">
      <c r="C630"/>
      <c r="D630"/>
      <c r="E630"/>
      <c r="F630"/>
      <c r="G630"/>
      <c r="H630"/>
      <c r="I630"/>
      <c r="J630"/>
      <c r="K630"/>
      <c r="L630"/>
      <c r="M630"/>
    </row>
    <row r="631" spans="3:13">
      <c r="C631"/>
      <c r="D631"/>
      <c r="E631"/>
      <c r="F631"/>
      <c r="G631"/>
      <c r="H631"/>
      <c r="I631"/>
      <c r="J631"/>
      <c r="K631"/>
      <c r="L631"/>
      <c r="M631"/>
    </row>
    <row r="632" spans="3:13">
      <c r="C632"/>
      <c r="D632"/>
      <c r="E632"/>
      <c r="F632"/>
      <c r="G632"/>
      <c r="H632"/>
      <c r="I632"/>
      <c r="J632"/>
      <c r="K632"/>
      <c r="L632"/>
      <c r="M632"/>
    </row>
    <row r="633" spans="3:13">
      <c r="C633"/>
      <c r="D633"/>
      <c r="E633"/>
      <c r="F633"/>
      <c r="G633"/>
      <c r="H633"/>
      <c r="I633"/>
      <c r="J633"/>
      <c r="K633"/>
      <c r="L633"/>
      <c r="M633"/>
    </row>
    <row r="634" spans="3:13">
      <c r="C634"/>
      <c r="D634"/>
      <c r="E634"/>
      <c r="F634"/>
      <c r="G634"/>
      <c r="H634"/>
      <c r="I634"/>
      <c r="J634"/>
      <c r="K634"/>
      <c r="L634"/>
      <c r="M634"/>
    </row>
    <row r="635" spans="3:13">
      <c r="C635"/>
      <c r="D635"/>
      <c r="E635"/>
      <c r="F635"/>
      <c r="G635"/>
      <c r="H635"/>
      <c r="I635"/>
      <c r="J635"/>
      <c r="K635"/>
      <c r="L635"/>
      <c r="M635"/>
    </row>
    <row r="636" spans="3:13">
      <c r="C636"/>
      <c r="D636"/>
      <c r="E636"/>
      <c r="F636"/>
      <c r="G636"/>
      <c r="H636"/>
      <c r="I636"/>
      <c r="J636"/>
      <c r="K636"/>
      <c r="L636"/>
      <c r="M636"/>
    </row>
    <row r="637" spans="3:13">
      <c r="C637"/>
      <c r="D637"/>
      <c r="E637"/>
      <c r="F637"/>
      <c r="G637"/>
      <c r="H637"/>
      <c r="I637"/>
      <c r="J637"/>
      <c r="K637"/>
      <c r="L637"/>
      <c r="M637"/>
    </row>
    <row r="638" spans="3:13">
      <c r="C638"/>
      <c r="D638"/>
      <c r="E638"/>
      <c r="F638"/>
      <c r="G638"/>
      <c r="H638"/>
      <c r="I638"/>
      <c r="J638"/>
      <c r="K638"/>
      <c r="L638"/>
      <c r="M638"/>
    </row>
    <row r="639" spans="3:13">
      <c r="C639"/>
      <c r="D639"/>
      <c r="E639"/>
      <c r="F639"/>
      <c r="G639"/>
      <c r="H639"/>
      <c r="I639"/>
      <c r="J639"/>
      <c r="K639"/>
      <c r="L639"/>
      <c r="M639"/>
    </row>
    <row r="640" spans="3:13">
      <c r="C640"/>
      <c r="D640"/>
      <c r="E640"/>
      <c r="F640"/>
      <c r="G640"/>
      <c r="H640"/>
      <c r="I640"/>
      <c r="J640"/>
      <c r="K640"/>
      <c r="L640"/>
      <c r="M640"/>
    </row>
    <row r="641" spans="3:13">
      <c r="C641"/>
      <c r="D641"/>
      <c r="E641"/>
      <c r="F641"/>
      <c r="G641"/>
      <c r="H641"/>
      <c r="I641"/>
      <c r="J641"/>
      <c r="K641"/>
      <c r="L641"/>
      <c r="M641"/>
    </row>
    <row r="642" spans="3:13">
      <c r="C642"/>
      <c r="D642"/>
      <c r="E642"/>
      <c r="F642"/>
      <c r="G642"/>
      <c r="H642"/>
      <c r="I642"/>
      <c r="J642"/>
      <c r="K642"/>
      <c r="L642"/>
      <c r="M642"/>
    </row>
    <row r="643" spans="3:13">
      <c r="C643"/>
      <c r="D643"/>
      <c r="E643"/>
      <c r="F643"/>
      <c r="G643"/>
      <c r="H643"/>
      <c r="I643"/>
      <c r="J643"/>
      <c r="K643"/>
      <c r="L643"/>
      <c r="M643"/>
    </row>
    <row r="644" spans="3:13">
      <c r="C644"/>
      <c r="D644"/>
      <c r="E644"/>
      <c r="F644"/>
      <c r="G644"/>
      <c r="H644"/>
      <c r="I644"/>
      <c r="J644"/>
      <c r="K644"/>
      <c r="L644"/>
      <c r="M644"/>
    </row>
    <row r="645" spans="3:13">
      <c r="C645"/>
      <c r="D645"/>
      <c r="E645"/>
      <c r="F645"/>
      <c r="G645"/>
      <c r="H645"/>
      <c r="I645"/>
      <c r="J645"/>
      <c r="K645"/>
      <c r="L645"/>
      <c r="M645"/>
    </row>
    <row r="646" spans="3:13">
      <c r="C646"/>
      <c r="D646"/>
      <c r="E646"/>
      <c r="F646"/>
      <c r="G646"/>
      <c r="H646"/>
      <c r="I646"/>
      <c r="J646"/>
      <c r="K646"/>
      <c r="L646"/>
      <c r="M646"/>
    </row>
    <row r="647" spans="3:13">
      <c r="C647"/>
      <c r="D647"/>
      <c r="E647"/>
      <c r="F647"/>
      <c r="G647"/>
      <c r="H647"/>
      <c r="I647"/>
      <c r="J647"/>
      <c r="K647"/>
      <c r="L647"/>
      <c r="M647"/>
    </row>
    <row r="648" spans="3:13">
      <c r="C648"/>
      <c r="D648"/>
      <c r="E648"/>
      <c r="F648"/>
      <c r="G648"/>
      <c r="H648"/>
      <c r="I648"/>
      <c r="J648"/>
      <c r="K648"/>
      <c r="L648"/>
      <c r="M648"/>
    </row>
    <row r="649" spans="3:13">
      <c r="C649"/>
      <c r="D649"/>
      <c r="E649"/>
      <c r="F649"/>
      <c r="G649"/>
      <c r="H649"/>
      <c r="I649"/>
      <c r="J649"/>
      <c r="K649"/>
      <c r="L649"/>
      <c r="M649"/>
    </row>
    <row r="650" spans="3:13">
      <c r="C650"/>
      <c r="D650"/>
      <c r="E650"/>
      <c r="F650"/>
      <c r="G650"/>
      <c r="H650"/>
      <c r="I650"/>
      <c r="J650"/>
      <c r="K650"/>
      <c r="L650"/>
      <c r="M650"/>
    </row>
    <row r="651" spans="3:13">
      <c r="C651"/>
      <c r="D651"/>
      <c r="E651"/>
      <c r="F651"/>
      <c r="G651"/>
      <c r="H651"/>
      <c r="I651"/>
      <c r="J651"/>
      <c r="K651"/>
      <c r="L651"/>
      <c r="M651"/>
    </row>
    <row r="652" spans="3:13">
      <c r="C652"/>
      <c r="D652"/>
      <c r="E652"/>
      <c r="F652"/>
      <c r="G652"/>
      <c r="H652"/>
      <c r="I652"/>
      <c r="J652"/>
      <c r="K652"/>
      <c r="L652"/>
      <c r="M652"/>
    </row>
    <row r="653" spans="3:13">
      <c r="C653"/>
      <c r="D653"/>
      <c r="E653"/>
      <c r="F653"/>
      <c r="G653"/>
      <c r="H653"/>
      <c r="I653"/>
      <c r="J653"/>
      <c r="K653"/>
      <c r="L653"/>
      <c r="M653"/>
    </row>
    <row r="654" spans="3:13">
      <c r="C654"/>
      <c r="D654"/>
      <c r="E654"/>
      <c r="F654"/>
      <c r="G654"/>
      <c r="H654"/>
      <c r="I654"/>
      <c r="J654"/>
      <c r="K654"/>
      <c r="L654"/>
      <c r="M654"/>
    </row>
    <row r="655" spans="3:13">
      <c r="C655"/>
      <c r="D655"/>
      <c r="E655"/>
      <c r="F655"/>
      <c r="G655"/>
      <c r="H655"/>
      <c r="I655"/>
      <c r="J655"/>
      <c r="K655"/>
      <c r="L655"/>
      <c r="M655"/>
    </row>
    <row r="656" spans="3:13">
      <c r="C656"/>
      <c r="D656"/>
      <c r="E656"/>
      <c r="F656"/>
      <c r="G656"/>
      <c r="H656"/>
      <c r="I656"/>
      <c r="J656"/>
      <c r="K656"/>
      <c r="L656"/>
      <c r="M656"/>
    </row>
    <row r="657" spans="3:13">
      <c r="C657"/>
      <c r="D657"/>
      <c r="E657"/>
      <c r="F657"/>
      <c r="G657"/>
      <c r="H657"/>
      <c r="I657"/>
      <c r="J657"/>
      <c r="K657"/>
      <c r="L657"/>
      <c r="M657"/>
    </row>
    <row r="658" spans="3:13">
      <c r="C658"/>
      <c r="D658"/>
      <c r="E658"/>
      <c r="F658"/>
      <c r="G658"/>
      <c r="H658"/>
      <c r="I658"/>
      <c r="J658"/>
      <c r="K658"/>
      <c r="L658"/>
      <c r="M658"/>
    </row>
    <row r="659" spans="3:13">
      <c r="C659"/>
      <c r="D659"/>
      <c r="E659"/>
      <c r="F659"/>
      <c r="G659"/>
      <c r="H659"/>
      <c r="I659"/>
      <c r="J659"/>
      <c r="K659"/>
      <c r="L659"/>
      <c r="M659"/>
    </row>
    <row r="660" spans="3:13">
      <c r="C660"/>
      <c r="D660"/>
      <c r="E660"/>
      <c r="F660"/>
      <c r="G660"/>
      <c r="H660"/>
      <c r="I660"/>
      <c r="J660"/>
      <c r="K660"/>
      <c r="L660"/>
      <c r="M660"/>
    </row>
    <row r="661" spans="3:13">
      <c r="C661"/>
      <c r="D661"/>
      <c r="E661"/>
      <c r="F661"/>
      <c r="G661"/>
      <c r="H661"/>
      <c r="I661"/>
      <c r="J661"/>
      <c r="K661"/>
      <c r="L661"/>
      <c r="M661"/>
    </row>
    <row r="662" spans="3:13">
      <c r="C662"/>
      <c r="D662"/>
      <c r="E662"/>
      <c r="F662"/>
      <c r="G662"/>
      <c r="H662"/>
      <c r="I662"/>
      <c r="J662"/>
      <c r="K662"/>
      <c r="L662"/>
      <c r="M662"/>
    </row>
    <row r="663" spans="3:13">
      <c r="C663"/>
      <c r="D663"/>
      <c r="E663"/>
      <c r="F663"/>
      <c r="G663"/>
      <c r="H663"/>
      <c r="I663"/>
      <c r="J663"/>
      <c r="K663"/>
      <c r="L663"/>
      <c r="M663"/>
    </row>
    <row r="664" spans="3:13">
      <c r="C664"/>
      <c r="D664"/>
      <c r="E664"/>
      <c r="F664"/>
      <c r="G664"/>
      <c r="H664"/>
      <c r="I664"/>
      <c r="J664"/>
      <c r="K664"/>
      <c r="L664"/>
      <c r="M664"/>
    </row>
    <row r="665" spans="3:13">
      <c r="C665"/>
      <c r="D665"/>
      <c r="E665"/>
      <c r="F665"/>
      <c r="G665"/>
      <c r="H665"/>
      <c r="I665"/>
      <c r="J665"/>
      <c r="K665"/>
      <c r="L665"/>
      <c r="M665"/>
    </row>
    <row r="666" spans="3:13">
      <c r="C666"/>
      <c r="D666"/>
      <c r="E666"/>
      <c r="F666"/>
      <c r="G666"/>
      <c r="H666"/>
      <c r="I666"/>
      <c r="J666"/>
      <c r="K666"/>
      <c r="L666"/>
      <c r="M666"/>
    </row>
    <row r="667" spans="3:13">
      <c r="C667"/>
      <c r="D667"/>
      <c r="E667"/>
      <c r="F667"/>
      <c r="G667"/>
      <c r="H667"/>
      <c r="I667"/>
      <c r="J667"/>
      <c r="K667"/>
      <c r="L667"/>
      <c r="M667"/>
    </row>
    <row r="668" spans="3:13">
      <c r="C668"/>
      <c r="D668"/>
      <c r="E668"/>
      <c r="F668"/>
      <c r="G668"/>
      <c r="H668"/>
      <c r="I668"/>
      <c r="J668"/>
      <c r="K668"/>
      <c r="L668"/>
      <c r="M668"/>
    </row>
    <row r="669" spans="3:13">
      <c r="C669"/>
      <c r="D669"/>
      <c r="E669"/>
      <c r="F669"/>
      <c r="G669"/>
      <c r="H669"/>
      <c r="I669"/>
      <c r="J669"/>
      <c r="K669"/>
      <c r="L669"/>
      <c r="M669"/>
    </row>
    <row r="670" spans="3:13">
      <c r="C670"/>
      <c r="D670"/>
      <c r="E670"/>
      <c r="F670"/>
      <c r="G670"/>
      <c r="H670"/>
      <c r="I670"/>
      <c r="J670"/>
      <c r="K670"/>
      <c r="L670"/>
      <c r="M670"/>
    </row>
    <row r="671" spans="3:13">
      <c r="C671"/>
      <c r="D671"/>
      <c r="E671"/>
      <c r="F671"/>
      <c r="G671"/>
      <c r="H671"/>
      <c r="I671"/>
      <c r="J671"/>
      <c r="K671"/>
      <c r="L671"/>
      <c r="M671"/>
    </row>
    <row r="672" spans="3:13">
      <c r="C672"/>
      <c r="D672"/>
      <c r="E672"/>
      <c r="F672"/>
      <c r="G672"/>
      <c r="H672"/>
      <c r="I672"/>
      <c r="J672"/>
      <c r="K672"/>
      <c r="L672"/>
      <c r="M672"/>
    </row>
    <row r="673" spans="3:13">
      <c r="C673"/>
      <c r="D673"/>
      <c r="E673"/>
      <c r="F673"/>
      <c r="G673"/>
      <c r="H673"/>
      <c r="I673"/>
      <c r="J673"/>
      <c r="K673"/>
      <c r="L673"/>
      <c r="M673"/>
    </row>
    <row r="674" spans="3:13">
      <c r="C674"/>
      <c r="D674"/>
      <c r="E674"/>
      <c r="F674"/>
      <c r="G674"/>
      <c r="H674"/>
      <c r="I674"/>
      <c r="J674"/>
      <c r="K674"/>
      <c r="L674"/>
      <c r="M674"/>
    </row>
    <row r="675" spans="3:13">
      <c r="C675"/>
      <c r="D675"/>
      <c r="E675"/>
      <c r="F675"/>
      <c r="G675"/>
      <c r="H675"/>
      <c r="I675"/>
      <c r="J675"/>
      <c r="K675"/>
      <c r="L675"/>
      <c r="M675"/>
    </row>
    <row r="676" spans="3:13">
      <c r="C676"/>
      <c r="D676"/>
      <c r="E676"/>
      <c r="F676"/>
      <c r="G676"/>
      <c r="H676"/>
      <c r="I676"/>
      <c r="J676"/>
      <c r="K676"/>
      <c r="L676"/>
      <c r="M676"/>
    </row>
    <row r="677" spans="3:13">
      <c r="C677"/>
      <c r="D677"/>
      <c r="E677"/>
      <c r="F677"/>
      <c r="G677"/>
      <c r="H677"/>
      <c r="I677"/>
      <c r="J677"/>
      <c r="K677"/>
      <c r="L677"/>
      <c r="M677"/>
    </row>
    <row r="678" spans="3:13">
      <c r="C678"/>
      <c r="D678"/>
      <c r="E678"/>
      <c r="F678"/>
      <c r="G678"/>
      <c r="H678"/>
      <c r="I678"/>
      <c r="J678"/>
      <c r="K678"/>
      <c r="L678"/>
      <c r="M678"/>
    </row>
    <row r="679" spans="3:13">
      <c r="C679"/>
      <c r="D679"/>
      <c r="E679"/>
      <c r="F679"/>
      <c r="G679"/>
      <c r="H679"/>
      <c r="I679"/>
      <c r="J679"/>
      <c r="K679"/>
      <c r="L679"/>
      <c r="M679"/>
    </row>
    <row r="680" spans="3:13">
      <c r="C680"/>
      <c r="D680"/>
      <c r="E680"/>
      <c r="F680"/>
      <c r="G680"/>
      <c r="H680"/>
      <c r="I680"/>
      <c r="J680"/>
      <c r="K680"/>
      <c r="L680"/>
      <c r="M680"/>
    </row>
    <row r="681" spans="3:13">
      <c r="C681"/>
      <c r="D681"/>
      <c r="E681"/>
      <c r="F681"/>
      <c r="G681"/>
      <c r="H681"/>
      <c r="I681"/>
      <c r="J681"/>
      <c r="K681"/>
      <c r="L681"/>
      <c r="M681"/>
    </row>
    <row r="682" spans="3:13">
      <c r="C682"/>
      <c r="D682"/>
      <c r="E682"/>
      <c r="F682"/>
      <c r="G682"/>
      <c r="H682"/>
      <c r="I682"/>
      <c r="J682"/>
      <c r="K682"/>
      <c r="L682"/>
      <c r="M682"/>
    </row>
    <row r="683" spans="3:13">
      <c r="C683"/>
      <c r="D683"/>
      <c r="E683"/>
      <c r="F683"/>
      <c r="G683"/>
      <c r="H683"/>
      <c r="I683"/>
      <c r="J683"/>
      <c r="K683"/>
      <c r="L683"/>
      <c r="M683"/>
    </row>
    <row r="684" spans="3:13">
      <c r="C684"/>
      <c r="D684"/>
      <c r="E684"/>
      <c r="F684"/>
      <c r="G684"/>
      <c r="H684"/>
      <c r="I684"/>
      <c r="J684"/>
      <c r="K684"/>
      <c r="L684"/>
      <c r="M684"/>
    </row>
    <row r="685" spans="3:13">
      <c r="C685"/>
      <c r="D685"/>
      <c r="E685"/>
      <c r="F685"/>
      <c r="G685"/>
      <c r="H685"/>
      <c r="I685"/>
      <c r="J685"/>
      <c r="K685"/>
      <c r="L685"/>
      <c r="M685"/>
    </row>
    <row r="686" spans="3:13">
      <c r="C686"/>
      <c r="D686"/>
      <c r="E686"/>
      <c r="F686"/>
      <c r="G686"/>
      <c r="H686"/>
      <c r="I686"/>
      <c r="J686"/>
      <c r="K686"/>
      <c r="L686"/>
      <c r="M686"/>
    </row>
    <row r="687" spans="3:13">
      <c r="C687"/>
      <c r="D687"/>
      <c r="E687"/>
      <c r="F687"/>
      <c r="G687"/>
      <c r="H687"/>
      <c r="I687"/>
      <c r="J687"/>
      <c r="K687"/>
      <c r="L687"/>
      <c r="M687"/>
    </row>
    <row r="688" spans="3:13">
      <c r="C688"/>
      <c r="D688"/>
      <c r="E688"/>
      <c r="F688"/>
      <c r="G688"/>
      <c r="H688"/>
      <c r="I688"/>
      <c r="J688"/>
      <c r="K688"/>
      <c r="L688"/>
      <c r="M688"/>
    </row>
    <row r="689" spans="3:13">
      <c r="C689"/>
      <c r="D689"/>
      <c r="E689"/>
      <c r="F689"/>
      <c r="G689"/>
      <c r="H689"/>
      <c r="I689"/>
      <c r="J689"/>
      <c r="K689"/>
      <c r="L689"/>
      <c r="M689"/>
    </row>
    <row r="690" spans="3:13">
      <c r="C690"/>
      <c r="D690"/>
      <c r="E690"/>
      <c r="F690"/>
      <c r="G690"/>
      <c r="H690"/>
      <c r="I690"/>
      <c r="J690"/>
      <c r="K690"/>
      <c r="L690"/>
      <c r="M690"/>
    </row>
    <row r="691" spans="3:13">
      <c r="C691"/>
      <c r="D691"/>
      <c r="E691"/>
      <c r="F691"/>
      <c r="G691"/>
      <c r="H691"/>
      <c r="I691"/>
      <c r="J691"/>
      <c r="K691"/>
      <c r="L691"/>
      <c r="M691"/>
    </row>
    <row r="692" spans="3:13">
      <c r="C692"/>
      <c r="D692"/>
      <c r="E692"/>
      <c r="F692"/>
      <c r="G692"/>
      <c r="H692"/>
      <c r="I692"/>
      <c r="J692"/>
      <c r="K692"/>
      <c r="L692"/>
      <c r="M692"/>
    </row>
    <row r="693" spans="3:13">
      <c r="C693"/>
      <c r="D693"/>
      <c r="E693"/>
      <c r="F693"/>
      <c r="G693"/>
      <c r="H693"/>
      <c r="I693"/>
      <c r="J693"/>
      <c r="K693"/>
      <c r="L693"/>
      <c r="M693"/>
    </row>
    <row r="694" spans="3:13">
      <c r="C694"/>
      <c r="D694"/>
      <c r="E694"/>
      <c r="F694"/>
      <c r="G694"/>
      <c r="H694"/>
      <c r="I694"/>
      <c r="J694"/>
      <c r="K694"/>
      <c r="L694"/>
      <c r="M694"/>
    </row>
    <row r="695" spans="3:13">
      <c r="C695"/>
      <c r="D695"/>
      <c r="E695"/>
      <c r="F695"/>
      <c r="G695"/>
      <c r="H695"/>
      <c r="I695"/>
      <c r="J695"/>
      <c r="K695"/>
      <c r="L695"/>
      <c r="M695"/>
    </row>
    <row r="696" spans="3:13">
      <c r="C696"/>
      <c r="D696"/>
      <c r="E696"/>
      <c r="F696"/>
      <c r="G696"/>
      <c r="H696"/>
      <c r="I696"/>
      <c r="J696"/>
      <c r="K696"/>
      <c r="L696"/>
      <c r="M696"/>
    </row>
    <row r="697" spans="3:13">
      <c r="C697"/>
      <c r="D697"/>
      <c r="E697"/>
      <c r="F697"/>
      <c r="G697"/>
      <c r="H697"/>
      <c r="I697"/>
      <c r="J697"/>
      <c r="K697"/>
      <c r="L697"/>
      <c r="M697"/>
    </row>
    <row r="698" spans="3:13">
      <c r="C698"/>
      <c r="D698"/>
      <c r="E698"/>
      <c r="F698"/>
      <c r="G698"/>
      <c r="H698"/>
      <c r="I698"/>
      <c r="J698"/>
      <c r="K698"/>
      <c r="L698"/>
      <c r="M698"/>
    </row>
    <row r="699" spans="3:13">
      <c r="C699"/>
      <c r="D699"/>
      <c r="E699"/>
      <c r="F699"/>
      <c r="G699"/>
      <c r="H699"/>
      <c r="I699"/>
      <c r="J699"/>
      <c r="K699"/>
      <c r="L699"/>
      <c r="M699"/>
    </row>
    <row r="700" spans="3:13">
      <c r="C700"/>
      <c r="D700"/>
      <c r="E700"/>
      <c r="F700"/>
      <c r="G700"/>
      <c r="H700"/>
      <c r="I700"/>
      <c r="J700"/>
      <c r="K700"/>
      <c r="L700"/>
      <c r="M700"/>
    </row>
    <row r="701" spans="3:13">
      <c r="C701"/>
      <c r="D701"/>
      <c r="E701"/>
      <c r="F701"/>
      <c r="G701"/>
      <c r="H701"/>
      <c r="I701"/>
      <c r="J701"/>
      <c r="K701"/>
      <c r="L701"/>
      <c r="M701"/>
    </row>
    <row r="702" spans="3:13">
      <c r="C702"/>
      <c r="D702"/>
      <c r="E702"/>
      <c r="F702"/>
      <c r="G702"/>
      <c r="H702"/>
      <c r="I702"/>
      <c r="J702"/>
      <c r="K702"/>
      <c r="L702"/>
      <c r="M702"/>
    </row>
    <row r="703" spans="3:13">
      <c r="C703"/>
      <c r="D703"/>
      <c r="E703"/>
      <c r="F703"/>
      <c r="G703"/>
      <c r="H703"/>
      <c r="I703"/>
      <c r="J703"/>
      <c r="K703"/>
      <c r="L703"/>
      <c r="M703"/>
    </row>
    <row r="704" spans="3:13">
      <c r="C704"/>
      <c r="D704"/>
      <c r="E704"/>
      <c r="F704"/>
      <c r="G704"/>
      <c r="H704"/>
      <c r="I704"/>
      <c r="J704"/>
      <c r="K704"/>
      <c r="L704"/>
      <c r="M704"/>
    </row>
    <row r="705" spans="3:13">
      <c r="C705"/>
      <c r="D705"/>
      <c r="E705"/>
      <c r="F705"/>
      <c r="G705"/>
      <c r="H705"/>
      <c r="I705"/>
      <c r="J705"/>
      <c r="K705"/>
      <c r="L705"/>
      <c r="M705"/>
    </row>
    <row r="706" spans="3:13">
      <c r="C706"/>
      <c r="D706"/>
      <c r="E706"/>
      <c r="F706"/>
      <c r="G706"/>
      <c r="H706"/>
      <c r="I706"/>
      <c r="J706"/>
      <c r="K706"/>
      <c r="L706"/>
      <c r="M706"/>
    </row>
    <row r="707" spans="3:13">
      <c r="C707"/>
      <c r="D707"/>
      <c r="E707"/>
      <c r="F707"/>
      <c r="G707"/>
      <c r="H707"/>
      <c r="I707"/>
      <c r="J707"/>
      <c r="K707"/>
      <c r="L707"/>
      <c r="M707"/>
    </row>
    <row r="708" spans="3:13">
      <c r="C708"/>
      <c r="D708"/>
      <c r="E708"/>
      <c r="F708"/>
      <c r="G708"/>
      <c r="H708"/>
      <c r="I708"/>
      <c r="J708"/>
      <c r="K708"/>
      <c r="L708"/>
      <c r="M708"/>
    </row>
    <row r="709" spans="3:13">
      <c r="C709"/>
      <c r="D709"/>
      <c r="E709"/>
      <c r="F709"/>
      <c r="G709"/>
      <c r="H709"/>
      <c r="I709"/>
      <c r="J709"/>
      <c r="K709"/>
      <c r="L709"/>
      <c r="M709"/>
    </row>
    <row r="710" spans="3:13">
      <c r="C710"/>
      <c r="D710"/>
      <c r="E710"/>
      <c r="F710"/>
      <c r="G710"/>
      <c r="H710"/>
      <c r="I710"/>
      <c r="J710"/>
      <c r="K710"/>
      <c r="L710"/>
      <c r="M710"/>
    </row>
    <row r="711" spans="3:13">
      <c r="C711"/>
      <c r="D711"/>
      <c r="E711"/>
      <c r="F711"/>
      <c r="G711"/>
      <c r="H711"/>
      <c r="I711"/>
      <c r="J711"/>
      <c r="K711"/>
      <c r="L711"/>
      <c r="M711"/>
    </row>
    <row r="712" spans="3:13">
      <c r="C712"/>
      <c r="D712"/>
      <c r="E712"/>
      <c r="F712"/>
      <c r="G712"/>
      <c r="H712"/>
      <c r="I712"/>
      <c r="J712"/>
      <c r="K712"/>
      <c r="L712"/>
      <c r="M712"/>
    </row>
    <row r="713" spans="3:13">
      <c r="C713"/>
      <c r="D713"/>
      <c r="E713"/>
      <c r="F713"/>
      <c r="G713"/>
      <c r="H713"/>
      <c r="I713"/>
      <c r="J713"/>
      <c r="K713"/>
      <c r="L713"/>
      <c r="M713"/>
    </row>
    <row r="714" spans="3:13">
      <c r="C714"/>
      <c r="D714"/>
      <c r="E714"/>
      <c r="F714"/>
      <c r="G714"/>
      <c r="H714"/>
      <c r="I714"/>
      <c r="J714"/>
      <c r="K714"/>
      <c r="L714"/>
      <c r="M714"/>
    </row>
    <row r="715" spans="3:13">
      <c r="C715"/>
      <c r="D715"/>
      <c r="E715"/>
      <c r="F715"/>
      <c r="G715"/>
      <c r="H715"/>
      <c r="I715"/>
      <c r="J715"/>
      <c r="K715"/>
      <c r="L715"/>
      <c r="M715"/>
    </row>
    <row r="716" spans="3:13">
      <c r="C716"/>
      <c r="D716"/>
      <c r="E716"/>
      <c r="F716"/>
      <c r="G716"/>
      <c r="H716"/>
      <c r="I716"/>
      <c r="J716"/>
      <c r="K716"/>
      <c r="L716"/>
      <c r="M716"/>
    </row>
    <row r="717" spans="3:13">
      <c r="C717"/>
      <c r="D717"/>
      <c r="E717"/>
      <c r="F717"/>
      <c r="G717"/>
      <c r="H717"/>
      <c r="I717"/>
      <c r="J717"/>
      <c r="K717"/>
      <c r="L717"/>
      <c r="M717"/>
    </row>
    <row r="718" spans="3:13">
      <c r="C718"/>
      <c r="D718"/>
      <c r="E718"/>
      <c r="F718"/>
      <c r="G718"/>
      <c r="H718"/>
      <c r="I718"/>
      <c r="J718"/>
      <c r="K718"/>
      <c r="L718"/>
      <c r="M718"/>
    </row>
    <row r="719" spans="3:13">
      <c r="C719"/>
      <c r="D719"/>
      <c r="E719"/>
      <c r="F719"/>
      <c r="G719"/>
      <c r="H719"/>
      <c r="I719"/>
      <c r="J719"/>
      <c r="K719"/>
      <c r="L719"/>
      <c r="M719"/>
    </row>
    <row r="720" spans="3:13">
      <c r="C720"/>
      <c r="D720"/>
      <c r="E720"/>
      <c r="F720"/>
      <c r="G720"/>
      <c r="H720"/>
      <c r="I720"/>
      <c r="J720"/>
      <c r="K720"/>
      <c r="L720"/>
      <c r="M720"/>
    </row>
    <row r="721" spans="3:13">
      <c r="C721"/>
      <c r="D721"/>
      <c r="E721"/>
      <c r="F721"/>
      <c r="G721"/>
      <c r="H721"/>
      <c r="I721"/>
      <c r="J721"/>
      <c r="K721"/>
      <c r="L721"/>
      <c r="M721"/>
    </row>
    <row r="722" spans="3:13">
      <c r="C722"/>
      <c r="D722"/>
      <c r="E722"/>
      <c r="F722"/>
      <c r="G722"/>
      <c r="H722"/>
      <c r="I722"/>
      <c r="J722"/>
      <c r="K722"/>
      <c r="L722"/>
      <c r="M722"/>
    </row>
    <row r="723" spans="3:13">
      <c r="C723"/>
      <c r="D723"/>
      <c r="E723"/>
      <c r="F723"/>
      <c r="G723"/>
      <c r="H723"/>
      <c r="I723"/>
      <c r="J723"/>
      <c r="K723"/>
      <c r="L723"/>
      <c r="M723"/>
    </row>
    <row r="724" spans="3:13">
      <c r="C724"/>
      <c r="D724"/>
      <c r="E724"/>
      <c r="F724"/>
      <c r="G724"/>
      <c r="H724"/>
      <c r="I724"/>
      <c r="J724"/>
      <c r="K724"/>
      <c r="L724"/>
      <c r="M724"/>
    </row>
    <row r="725" spans="3:13">
      <c r="C725"/>
      <c r="D725"/>
      <c r="E725"/>
      <c r="F725"/>
      <c r="G725"/>
      <c r="H725"/>
      <c r="I725"/>
      <c r="J725"/>
      <c r="K725"/>
      <c r="L725"/>
      <c r="M725"/>
    </row>
    <row r="726" spans="3:13">
      <c r="C726"/>
      <c r="D726"/>
      <c r="E726"/>
      <c r="F726"/>
      <c r="G726"/>
      <c r="H726"/>
      <c r="I726"/>
      <c r="J726"/>
      <c r="K726"/>
      <c r="L726"/>
      <c r="M726"/>
    </row>
    <row r="727" spans="3:13">
      <c r="C727"/>
      <c r="D727"/>
      <c r="E727"/>
      <c r="F727"/>
      <c r="G727"/>
      <c r="H727"/>
      <c r="I727"/>
      <c r="J727"/>
      <c r="K727"/>
      <c r="L727"/>
      <c r="M727"/>
    </row>
    <row r="728" spans="3:13">
      <c r="C728"/>
      <c r="D728"/>
      <c r="E728"/>
      <c r="F728"/>
      <c r="G728"/>
      <c r="H728"/>
      <c r="I728"/>
      <c r="J728"/>
      <c r="K728"/>
      <c r="L728"/>
      <c r="M728"/>
    </row>
    <row r="729" spans="3:13">
      <c r="C729"/>
      <c r="D729"/>
      <c r="E729"/>
      <c r="F729"/>
      <c r="G729"/>
      <c r="H729"/>
      <c r="I729"/>
      <c r="J729"/>
      <c r="K729"/>
      <c r="L729"/>
      <c r="M729"/>
    </row>
    <row r="730" spans="3:13">
      <c r="C730"/>
      <c r="D730"/>
      <c r="E730"/>
      <c r="F730"/>
      <c r="G730"/>
      <c r="H730"/>
      <c r="I730"/>
      <c r="J730"/>
      <c r="K730"/>
      <c r="L730"/>
      <c r="M730"/>
    </row>
    <row r="731" spans="3:13">
      <c r="C731"/>
      <c r="D731"/>
      <c r="E731"/>
      <c r="F731"/>
      <c r="G731"/>
      <c r="H731"/>
      <c r="I731"/>
      <c r="J731"/>
      <c r="K731"/>
      <c r="L731"/>
      <c r="M731"/>
    </row>
    <row r="732" spans="3:13">
      <c r="C732"/>
      <c r="D732"/>
      <c r="E732"/>
      <c r="F732"/>
      <c r="G732"/>
      <c r="H732"/>
      <c r="I732"/>
      <c r="J732"/>
      <c r="K732"/>
      <c r="L732"/>
      <c r="M732"/>
    </row>
    <row r="733" spans="3:13">
      <c r="C733"/>
      <c r="D733"/>
      <c r="E733"/>
      <c r="F733"/>
      <c r="G733"/>
      <c r="H733"/>
      <c r="I733"/>
      <c r="J733"/>
      <c r="K733"/>
      <c r="L733"/>
      <c r="M733"/>
    </row>
    <row r="734" spans="3:13">
      <c r="C734"/>
      <c r="D734"/>
      <c r="E734"/>
      <c r="F734"/>
      <c r="G734"/>
      <c r="H734"/>
      <c r="I734"/>
      <c r="J734"/>
      <c r="K734"/>
      <c r="L734"/>
      <c r="M734"/>
    </row>
    <row r="735" spans="3:13">
      <c r="C735"/>
      <c r="D735"/>
      <c r="E735"/>
      <c r="F735"/>
      <c r="G735"/>
      <c r="H735"/>
      <c r="I735"/>
      <c r="J735"/>
      <c r="K735"/>
      <c r="L735"/>
      <c r="M735"/>
    </row>
    <row r="736" spans="3:13">
      <c r="C736"/>
      <c r="D736"/>
      <c r="E736"/>
      <c r="F736"/>
      <c r="G736"/>
      <c r="H736"/>
      <c r="I736"/>
      <c r="J736"/>
      <c r="K736"/>
      <c r="L736"/>
      <c r="M736"/>
    </row>
    <row r="737" spans="3:13">
      <c r="C737"/>
      <c r="D737"/>
      <c r="E737"/>
      <c r="F737"/>
      <c r="G737"/>
      <c r="H737"/>
      <c r="I737"/>
      <c r="J737"/>
      <c r="K737"/>
      <c r="L737"/>
      <c r="M737"/>
    </row>
    <row r="738" spans="3:13">
      <c r="C738"/>
      <c r="D738"/>
      <c r="E738"/>
      <c r="F738"/>
      <c r="G738"/>
      <c r="H738"/>
      <c r="I738"/>
      <c r="J738"/>
      <c r="K738"/>
      <c r="L738"/>
      <c r="M738"/>
    </row>
    <row r="739" spans="3:13">
      <c r="C739"/>
      <c r="D739"/>
      <c r="E739"/>
      <c r="F739"/>
      <c r="G739"/>
      <c r="H739"/>
      <c r="I739"/>
      <c r="J739"/>
      <c r="K739"/>
      <c r="L739"/>
      <c r="M739"/>
    </row>
    <row r="740" spans="3:13">
      <c r="C740"/>
      <c r="D740"/>
      <c r="E740"/>
      <c r="F740"/>
      <c r="G740"/>
      <c r="H740"/>
      <c r="I740"/>
      <c r="J740"/>
      <c r="K740"/>
      <c r="L740"/>
      <c r="M740"/>
    </row>
    <row r="741" spans="3:13">
      <c r="C741"/>
      <c r="D741"/>
      <c r="E741"/>
      <c r="F741"/>
      <c r="G741"/>
      <c r="H741"/>
      <c r="I741"/>
      <c r="J741"/>
      <c r="K741"/>
      <c r="L741"/>
      <c r="M741"/>
    </row>
    <row r="742" spans="3:13">
      <c r="C742"/>
      <c r="D742"/>
      <c r="E742"/>
      <c r="F742"/>
      <c r="G742"/>
      <c r="H742"/>
      <c r="I742"/>
      <c r="J742"/>
      <c r="K742"/>
      <c r="L742"/>
      <c r="M742"/>
    </row>
    <row r="743" spans="3:13">
      <c r="C743"/>
      <c r="D743"/>
      <c r="E743"/>
      <c r="F743"/>
      <c r="G743"/>
      <c r="H743"/>
      <c r="I743"/>
      <c r="J743"/>
      <c r="K743"/>
      <c r="L743"/>
      <c r="M743"/>
    </row>
    <row r="744" spans="3:13">
      <c r="C744"/>
      <c r="D744"/>
      <c r="E744"/>
      <c r="F744"/>
      <c r="G744"/>
      <c r="H744"/>
      <c r="I744"/>
      <c r="J744"/>
      <c r="K744"/>
      <c r="L744"/>
      <c r="M744"/>
    </row>
    <row r="745" spans="3:13">
      <c r="C745"/>
      <c r="D745"/>
      <c r="E745"/>
      <c r="F745"/>
      <c r="G745"/>
      <c r="H745"/>
      <c r="I745"/>
      <c r="J745"/>
      <c r="K745"/>
      <c r="L745"/>
      <c r="M745"/>
    </row>
    <row r="746" spans="3:13">
      <c r="C746"/>
      <c r="D746"/>
      <c r="E746"/>
      <c r="F746"/>
      <c r="G746"/>
      <c r="H746"/>
      <c r="I746"/>
      <c r="J746"/>
      <c r="K746"/>
      <c r="L746"/>
      <c r="M746"/>
    </row>
    <row r="747" spans="3:13">
      <c r="C747"/>
      <c r="D747"/>
      <c r="E747"/>
      <c r="F747"/>
      <c r="G747"/>
      <c r="H747"/>
      <c r="I747"/>
      <c r="J747"/>
      <c r="K747"/>
      <c r="L747"/>
      <c r="M747"/>
    </row>
    <row r="748" spans="3:13">
      <c r="C748"/>
      <c r="D748"/>
      <c r="E748"/>
      <c r="F748"/>
      <c r="G748"/>
      <c r="H748"/>
      <c r="I748"/>
      <c r="J748"/>
      <c r="K748"/>
      <c r="L748"/>
      <c r="M748"/>
    </row>
    <row r="749" spans="3:13">
      <c r="C749"/>
      <c r="D749"/>
      <c r="E749"/>
      <c r="F749"/>
      <c r="G749"/>
      <c r="H749"/>
      <c r="I749"/>
      <c r="J749"/>
      <c r="K749"/>
      <c r="L749"/>
      <c r="M749"/>
    </row>
    <row r="750" spans="3:13">
      <c r="C750"/>
      <c r="D750"/>
      <c r="E750"/>
      <c r="F750"/>
      <c r="G750"/>
      <c r="H750"/>
      <c r="I750"/>
      <c r="J750"/>
      <c r="K750"/>
      <c r="L750"/>
      <c r="M750"/>
    </row>
    <row r="751" spans="3:13">
      <c r="C751"/>
      <c r="D751"/>
      <c r="E751"/>
      <c r="F751"/>
      <c r="G751"/>
      <c r="H751"/>
      <c r="I751"/>
      <c r="J751"/>
      <c r="K751"/>
      <c r="L751"/>
      <c r="M751"/>
    </row>
    <row r="752" spans="3:13">
      <c r="C752"/>
      <c r="D752"/>
      <c r="E752"/>
      <c r="F752"/>
      <c r="G752"/>
      <c r="H752"/>
      <c r="I752"/>
      <c r="J752"/>
      <c r="K752"/>
      <c r="L752"/>
      <c r="M752"/>
    </row>
    <row r="753" spans="3:13">
      <c r="C753"/>
      <c r="D753"/>
      <c r="E753"/>
      <c r="F753"/>
      <c r="G753"/>
      <c r="H753"/>
      <c r="I753"/>
      <c r="J753"/>
      <c r="K753"/>
      <c r="L753"/>
      <c r="M753"/>
    </row>
    <row r="754" spans="3:13">
      <c r="C754"/>
      <c r="D754"/>
      <c r="E754"/>
      <c r="F754"/>
      <c r="G754"/>
      <c r="H754"/>
      <c r="I754"/>
      <c r="J754"/>
      <c r="K754"/>
      <c r="L754"/>
      <c r="M754"/>
    </row>
    <row r="755" spans="3:13">
      <c r="C755"/>
      <c r="D755"/>
      <c r="E755"/>
      <c r="F755"/>
      <c r="G755"/>
      <c r="H755"/>
      <c r="I755"/>
      <c r="J755"/>
      <c r="K755"/>
      <c r="L755"/>
      <c r="M755"/>
    </row>
    <row r="756" spans="3:13">
      <c r="C756"/>
      <c r="D756"/>
      <c r="E756"/>
      <c r="F756"/>
      <c r="G756"/>
      <c r="H756"/>
      <c r="I756"/>
      <c r="J756"/>
      <c r="K756"/>
      <c r="L756"/>
      <c r="M756"/>
    </row>
    <row r="757" spans="3:13">
      <c r="C757"/>
      <c r="D757"/>
      <c r="E757"/>
      <c r="F757"/>
      <c r="G757"/>
      <c r="H757"/>
      <c r="I757"/>
      <c r="J757"/>
      <c r="K757"/>
      <c r="L757"/>
      <c r="M757"/>
    </row>
    <row r="758" spans="3:13">
      <c r="C758"/>
      <c r="D758"/>
      <c r="E758"/>
      <c r="F758"/>
      <c r="G758"/>
      <c r="H758"/>
      <c r="I758"/>
      <c r="J758"/>
      <c r="K758"/>
      <c r="L758"/>
      <c r="M758"/>
    </row>
    <row r="759" spans="3:13">
      <c r="C759"/>
      <c r="D759"/>
      <c r="E759"/>
      <c r="F759"/>
      <c r="G759"/>
      <c r="H759"/>
      <c r="I759"/>
      <c r="J759"/>
      <c r="K759"/>
      <c r="L759"/>
      <c r="M759"/>
    </row>
    <row r="760" spans="3:13">
      <c r="C760"/>
      <c r="D760"/>
      <c r="E760"/>
      <c r="F760"/>
      <c r="G760"/>
      <c r="H760"/>
      <c r="I760"/>
      <c r="J760"/>
      <c r="K760"/>
      <c r="L760"/>
      <c r="M760"/>
    </row>
    <row r="761" spans="3:13">
      <c r="C761"/>
      <c r="D761"/>
      <c r="E761"/>
      <c r="F761"/>
      <c r="G761"/>
      <c r="H761"/>
      <c r="I761"/>
      <c r="J761"/>
      <c r="K761"/>
      <c r="L761"/>
      <c r="M761"/>
    </row>
    <row r="762" spans="3:13">
      <c r="C762"/>
      <c r="D762"/>
      <c r="E762"/>
      <c r="F762"/>
      <c r="G762"/>
      <c r="H762"/>
      <c r="I762"/>
      <c r="J762"/>
      <c r="K762"/>
      <c r="L762"/>
      <c r="M762"/>
    </row>
    <row r="763" spans="3:13">
      <c r="C763"/>
      <c r="D763"/>
      <c r="E763"/>
      <c r="F763"/>
      <c r="G763"/>
      <c r="H763"/>
      <c r="I763"/>
      <c r="J763"/>
      <c r="K763"/>
      <c r="L763"/>
      <c r="M763"/>
    </row>
    <row r="764" spans="3:13">
      <c r="C764"/>
      <c r="D764"/>
      <c r="E764"/>
      <c r="F764"/>
      <c r="G764"/>
      <c r="H764"/>
      <c r="I764"/>
      <c r="J764"/>
      <c r="K764"/>
      <c r="L764"/>
      <c r="M764"/>
    </row>
    <row r="765" spans="3:13">
      <c r="C765"/>
      <c r="D765"/>
      <c r="E765"/>
      <c r="F765"/>
      <c r="G765"/>
      <c r="H765"/>
      <c r="I765"/>
      <c r="J765"/>
      <c r="K765"/>
      <c r="L765"/>
      <c r="M765"/>
    </row>
    <row r="766" spans="3:13">
      <c r="C766"/>
      <c r="D766"/>
      <c r="E766"/>
      <c r="F766"/>
      <c r="G766"/>
      <c r="H766"/>
      <c r="I766"/>
      <c r="J766"/>
      <c r="K766"/>
      <c r="L766"/>
      <c r="M766"/>
    </row>
    <row r="767" spans="3:13">
      <c r="C767"/>
      <c r="D767"/>
      <c r="E767"/>
      <c r="F767"/>
      <c r="G767"/>
      <c r="H767"/>
      <c r="I767"/>
      <c r="J767"/>
      <c r="K767"/>
      <c r="L767"/>
      <c r="M767"/>
    </row>
    <row r="768" spans="3:13">
      <c r="C768"/>
      <c r="D768"/>
      <c r="E768"/>
      <c r="F768"/>
      <c r="G768"/>
      <c r="H768"/>
      <c r="I768"/>
      <c r="J768"/>
      <c r="K768"/>
      <c r="L768"/>
      <c r="M768"/>
    </row>
    <row r="769" spans="3:13">
      <c r="C769"/>
      <c r="D769"/>
      <c r="E769"/>
      <c r="F769"/>
      <c r="G769"/>
      <c r="H769"/>
      <c r="I769"/>
      <c r="J769"/>
      <c r="K769"/>
      <c r="L769"/>
      <c r="M769"/>
    </row>
    <row r="770" spans="3:13">
      <c r="C770"/>
      <c r="D770"/>
      <c r="E770"/>
      <c r="F770"/>
      <c r="G770"/>
      <c r="H770"/>
      <c r="I770"/>
      <c r="J770"/>
      <c r="K770"/>
      <c r="L770"/>
      <c r="M770"/>
    </row>
    <row r="771" spans="3:13">
      <c r="C771"/>
      <c r="D771"/>
      <c r="E771"/>
      <c r="F771"/>
      <c r="G771"/>
      <c r="H771"/>
      <c r="I771"/>
      <c r="J771"/>
      <c r="K771"/>
      <c r="L771"/>
      <c r="M771"/>
    </row>
    <row r="772" spans="3:13">
      <c r="C772"/>
      <c r="D772"/>
      <c r="E772"/>
      <c r="F772"/>
      <c r="G772"/>
      <c r="H772"/>
      <c r="I772"/>
      <c r="J772"/>
      <c r="K772"/>
      <c r="L772"/>
      <c r="M772"/>
    </row>
    <row r="773" spans="3:13">
      <c r="C773"/>
      <c r="D773"/>
      <c r="E773"/>
      <c r="F773"/>
      <c r="G773"/>
      <c r="H773"/>
      <c r="I773"/>
      <c r="J773"/>
      <c r="K773"/>
      <c r="L773"/>
      <c r="M773"/>
    </row>
    <row r="774" spans="3:13">
      <c r="C774"/>
      <c r="D774"/>
      <c r="E774"/>
      <c r="F774"/>
      <c r="G774"/>
      <c r="H774"/>
      <c r="I774"/>
      <c r="J774"/>
      <c r="K774"/>
      <c r="L774"/>
      <c r="M774"/>
    </row>
    <row r="775" spans="3:13">
      <c r="C775"/>
      <c r="D775"/>
      <c r="E775"/>
      <c r="F775"/>
      <c r="G775"/>
      <c r="H775"/>
      <c r="I775"/>
      <c r="J775"/>
      <c r="K775"/>
      <c r="L775"/>
      <c r="M775"/>
    </row>
    <row r="776" spans="3:13">
      <c r="C776"/>
      <c r="D776"/>
      <c r="E776"/>
      <c r="F776"/>
      <c r="G776"/>
      <c r="H776"/>
      <c r="I776"/>
      <c r="J776"/>
      <c r="K776"/>
      <c r="L776"/>
      <c r="M776"/>
    </row>
    <row r="777" spans="3:13">
      <c r="C777"/>
      <c r="D777"/>
      <c r="E777"/>
      <c r="F777"/>
      <c r="G777"/>
      <c r="H777"/>
      <c r="I777"/>
      <c r="J777"/>
      <c r="K777"/>
      <c r="L777"/>
      <c r="M777"/>
    </row>
    <row r="778" spans="3:13">
      <c r="C778"/>
      <c r="D778"/>
      <c r="E778"/>
      <c r="F778"/>
      <c r="G778"/>
      <c r="H778"/>
      <c r="I778"/>
      <c r="J778"/>
      <c r="K778"/>
      <c r="L778"/>
      <c r="M778"/>
    </row>
    <row r="779" spans="3:13">
      <c r="C779"/>
      <c r="D779"/>
      <c r="E779"/>
      <c r="F779"/>
      <c r="G779"/>
      <c r="H779"/>
      <c r="I779"/>
      <c r="J779"/>
      <c r="K779"/>
      <c r="L779"/>
      <c r="M779"/>
    </row>
    <row r="780" spans="3:13">
      <c r="C780"/>
      <c r="D780"/>
      <c r="E780"/>
      <c r="F780"/>
      <c r="G780"/>
      <c r="H780"/>
      <c r="I780"/>
      <c r="J780"/>
      <c r="K780"/>
      <c r="L780"/>
      <c r="M780"/>
    </row>
    <row r="781" spans="3:13">
      <c r="C781"/>
      <c r="D781"/>
      <c r="E781"/>
      <c r="F781"/>
      <c r="G781"/>
      <c r="H781"/>
      <c r="I781"/>
      <c r="J781"/>
      <c r="K781"/>
      <c r="L781"/>
      <c r="M781"/>
    </row>
    <row r="782" spans="3:13">
      <c r="C782"/>
      <c r="D782"/>
      <c r="E782"/>
      <c r="F782"/>
      <c r="G782"/>
      <c r="H782"/>
      <c r="I782"/>
      <c r="J782"/>
      <c r="K782"/>
      <c r="L782"/>
      <c r="M782"/>
    </row>
    <row r="783" spans="3:13">
      <c r="C783"/>
      <c r="D783"/>
      <c r="E783"/>
      <c r="F783"/>
      <c r="G783"/>
      <c r="H783"/>
      <c r="I783"/>
      <c r="J783"/>
      <c r="K783"/>
      <c r="L783"/>
      <c r="M783"/>
    </row>
    <row r="784" spans="3:13">
      <c r="C784"/>
      <c r="D784"/>
      <c r="E784"/>
      <c r="F784"/>
      <c r="G784"/>
      <c r="H784"/>
      <c r="I784"/>
      <c r="J784"/>
      <c r="K784"/>
      <c r="L784"/>
      <c r="M784"/>
    </row>
    <row r="785" spans="3:13">
      <c r="C785"/>
      <c r="D785"/>
      <c r="E785"/>
      <c r="F785"/>
      <c r="G785"/>
      <c r="H785"/>
      <c r="I785"/>
      <c r="J785"/>
      <c r="K785"/>
      <c r="L785"/>
      <c r="M785"/>
    </row>
    <row r="786" spans="3:13">
      <c r="C786"/>
      <c r="D786"/>
      <c r="E786"/>
      <c r="F786"/>
      <c r="G786"/>
      <c r="H786"/>
      <c r="I786"/>
      <c r="J786"/>
      <c r="K786"/>
      <c r="L786"/>
      <c r="M786"/>
    </row>
    <row r="787" spans="3:13">
      <c r="C787"/>
      <c r="D787"/>
      <c r="E787"/>
      <c r="F787"/>
      <c r="G787"/>
      <c r="H787"/>
      <c r="I787"/>
      <c r="J787"/>
      <c r="K787"/>
      <c r="L787"/>
      <c r="M787"/>
    </row>
    <row r="788" spans="3:13">
      <c r="C788"/>
      <c r="D788"/>
      <c r="E788"/>
      <c r="F788"/>
      <c r="G788"/>
      <c r="H788"/>
      <c r="I788"/>
      <c r="J788"/>
      <c r="K788"/>
      <c r="L788"/>
      <c r="M788"/>
    </row>
    <row r="789" spans="3:13">
      <c r="C789"/>
      <c r="D789"/>
      <c r="E789"/>
      <c r="F789"/>
      <c r="G789"/>
      <c r="H789"/>
      <c r="I789"/>
      <c r="J789"/>
      <c r="K789"/>
      <c r="L789"/>
      <c r="M789"/>
    </row>
    <row r="790" spans="3:13">
      <c r="C790"/>
      <c r="D790"/>
      <c r="E790"/>
      <c r="F790"/>
      <c r="G790"/>
      <c r="H790"/>
      <c r="I790"/>
      <c r="J790"/>
      <c r="K790"/>
      <c r="L790"/>
      <c r="M790"/>
    </row>
    <row r="791" spans="3:13">
      <c r="C791"/>
      <c r="D791"/>
      <c r="E791"/>
      <c r="F791"/>
      <c r="G791"/>
      <c r="H791"/>
      <c r="I791"/>
      <c r="J791"/>
      <c r="K791"/>
      <c r="L791"/>
      <c r="M791"/>
    </row>
    <row r="792" spans="3:13">
      <c r="C792"/>
      <c r="D792"/>
      <c r="E792"/>
      <c r="F792"/>
      <c r="G792"/>
      <c r="H792"/>
      <c r="I792"/>
      <c r="J792"/>
      <c r="K792"/>
      <c r="L792"/>
      <c r="M792"/>
    </row>
    <row r="793" spans="3:13">
      <c r="C793"/>
      <c r="D793"/>
      <c r="E793"/>
      <c r="F793"/>
      <c r="G793"/>
      <c r="H793"/>
      <c r="I793"/>
      <c r="J793"/>
      <c r="K793"/>
      <c r="L793"/>
      <c r="M793"/>
    </row>
    <row r="794" spans="3:13">
      <c r="C794"/>
      <c r="D794"/>
      <c r="E794"/>
      <c r="F794"/>
      <c r="G794"/>
      <c r="H794"/>
      <c r="I794"/>
      <c r="J794"/>
      <c r="K794"/>
      <c r="L794"/>
      <c r="M794"/>
    </row>
    <row r="795" spans="3:13">
      <c r="C795"/>
      <c r="D795"/>
      <c r="E795"/>
      <c r="F795"/>
      <c r="G795"/>
      <c r="H795"/>
      <c r="I795"/>
      <c r="J795"/>
      <c r="K795"/>
      <c r="L795"/>
      <c r="M795"/>
    </row>
    <row r="796" spans="3:13">
      <c r="C796"/>
      <c r="D796"/>
      <c r="E796"/>
      <c r="F796"/>
      <c r="G796"/>
      <c r="H796"/>
      <c r="I796"/>
      <c r="J796"/>
      <c r="K796"/>
      <c r="L796"/>
      <c r="M796"/>
    </row>
    <row r="797" spans="3:13">
      <c r="C797"/>
      <c r="D797"/>
      <c r="E797"/>
      <c r="F797"/>
      <c r="G797"/>
      <c r="H797"/>
      <c r="I797"/>
      <c r="J797"/>
      <c r="K797"/>
      <c r="L797"/>
      <c r="M797"/>
    </row>
    <row r="798" spans="3:13">
      <c r="C798"/>
      <c r="D798"/>
      <c r="E798"/>
      <c r="F798"/>
      <c r="G798"/>
      <c r="H798"/>
      <c r="I798"/>
      <c r="J798"/>
      <c r="K798"/>
      <c r="L798"/>
      <c r="M798"/>
    </row>
    <row r="799" spans="3:13">
      <c r="C799"/>
      <c r="D799"/>
      <c r="E799"/>
      <c r="F799"/>
      <c r="G799"/>
      <c r="H799"/>
      <c r="I799"/>
      <c r="J799"/>
      <c r="K799"/>
      <c r="L799"/>
      <c r="M799"/>
    </row>
    <row r="800" spans="3:13">
      <c r="C800"/>
      <c r="D800"/>
      <c r="E800"/>
      <c r="F800"/>
      <c r="G800"/>
      <c r="H800"/>
      <c r="I800"/>
      <c r="J800"/>
      <c r="K800"/>
      <c r="L800"/>
      <c r="M800"/>
    </row>
    <row r="801" spans="3:13">
      <c r="C801"/>
      <c r="D801"/>
      <c r="E801"/>
      <c r="F801"/>
      <c r="G801"/>
      <c r="H801"/>
      <c r="I801"/>
      <c r="J801"/>
      <c r="K801"/>
      <c r="L801"/>
      <c r="M801"/>
    </row>
    <row r="802" spans="3:13">
      <c r="C802"/>
      <c r="D802"/>
      <c r="E802"/>
      <c r="F802"/>
      <c r="G802"/>
      <c r="H802"/>
      <c r="I802"/>
      <c r="J802"/>
      <c r="K802"/>
      <c r="L802"/>
      <c r="M802"/>
    </row>
    <row r="803" spans="3:13">
      <c r="C803"/>
      <c r="D803"/>
      <c r="E803"/>
      <c r="F803"/>
      <c r="G803"/>
      <c r="H803"/>
      <c r="I803"/>
      <c r="J803"/>
      <c r="K803"/>
      <c r="L803"/>
      <c r="M803"/>
    </row>
    <row r="804" spans="3:13">
      <c r="C804"/>
      <c r="D804"/>
      <c r="E804"/>
      <c r="F804"/>
      <c r="G804"/>
      <c r="H804"/>
      <c r="I804"/>
      <c r="J804"/>
      <c r="K804"/>
      <c r="L804"/>
      <c r="M804"/>
    </row>
    <row r="805" spans="3:13">
      <c r="C805"/>
      <c r="D805"/>
      <c r="E805"/>
      <c r="F805"/>
      <c r="G805"/>
      <c r="H805"/>
      <c r="I805"/>
      <c r="J805"/>
      <c r="K805"/>
      <c r="L805"/>
      <c r="M805"/>
    </row>
    <row r="806" spans="3:13">
      <c r="C806"/>
      <c r="D806"/>
      <c r="E806"/>
      <c r="F806"/>
      <c r="G806"/>
      <c r="H806"/>
      <c r="I806"/>
      <c r="J806"/>
      <c r="K806"/>
      <c r="L806"/>
      <c r="M806"/>
    </row>
    <row r="807" spans="3:13">
      <c r="C807"/>
      <c r="D807"/>
      <c r="E807"/>
      <c r="F807"/>
      <c r="G807"/>
      <c r="H807"/>
      <c r="I807"/>
      <c r="J807"/>
      <c r="K807"/>
      <c r="L807"/>
      <c r="M807"/>
    </row>
    <row r="808" spans="3:13">
      <c r="C808"/>
      <c r="D808"/>
      <c r="E808"/>
      <c r="F808"/>
      <c r="G808"/>
      <c r="H808"/>
      <c r="I808"/>
      <c r="J808"/>
      <c r="K808"/>
      <c r="L808"/>
      <c r="M808"/>
    </row>
    <row r="809" spans="3:13">
      <c r="C809"/>
      <c r="D809"/>
      <c r="E809"/>
      <c r="F809"/>
      <c r="G809"/>
      <c r="H809"/>
      <c r="I809"/>
      <c r="J809"/>
      <c r="K809"/>
      <c r="L809"/>
      <c r="M809"/>
    </row>
    <row r="810" spans="3:13">
      <c r="C810"/>
      <c r="D810"/>
      <c r="E810"/>
      <c r="F810"/>
      <c r="G810"/>
      <c r="H810"/>
      <c r="I810"/>
      <c r="J810"/>
      <c r="K810"/>
      <c r="L810"/>
      <c r="M810"/>
    </row>
    <row r="811" spans="3:13">
      <c r="C811"/>
      <c r="D811"/>
      <c r="E811"/>
      <c r="F811"/>
      <c r="G811"/>
      <c r="H811"/>
      <c r="I811"/>
      <c r="J811"/>
      <c r="K811"/>
      <c r="L811"/>
      <c r="M811"/>
    </row>
    <row r="812" spans="3:13">
      <c r="C812"/>
      <c r="D812"/>
      <c r="E812"/>
      <c r="F812"/>
      <c r="G812"/>
      <c r="H812"/>
      <c r="I812"/>
      <c r="J812"/>
      <c r="K812"/>
      <c r="L812"/>
      <c r="M812"/>
    </row>
    <row r="813" spans="3:13">
      <c r="C813"/>
      <c r="D813"/>
      <c r="E813"/>
      <c r="F813"/>
      <c r="G813"/>
      <c r="H813"/>
      <c r="I813"/>
      <c r="J813"/>
      <c r="K813"/>
      <c r="L813"/>
      <c r="M813"/>
    </row>
    <row r="814" spans="3:13">
      <c r="C814"/>
      <c r="D814"/>
      <c r="E814"/>
      <c r="F814"/>
      <c r="G814"/>
      <c r="H814"/>
      <c r="I814"/>
      <c r="J814"/>
      <c r="K814"/>
      <c r="L814"/>
      <c r="M814"/>
    </row>
    <row r="815" spans="3:13">
      <c r="C815"/>
      <c r="D815"/>
      <c r="E815"/>
      <c r="F815"/>
      <c r="G815"/>
      <c r="H815"/>
      <c r="I815"/>
      <c r="J815"/>
      <c r="K815"/>
      <c r="L815"/>
      <c r="M815"/>
    </row>
    <row r="816" spans="3:13">
      <c r="C816"/>
      <c r="D816"/>
      <c r="E816"/>
      <c r="F816"/>
      <c r="G816"/>
      <c r="H816"/>
      <c r="I816"/>
      <c r="J816"/>
      <c r="K816"/>
      <c r="L816"/>
      <c r="M816"/>
    </row>
    <row r="817" spans="12:13">
      <c r="L817"/>
      <c r="M817"/>
    </row>
    <row r="818" spans="12:13">
      <c r="L818"/>
      <c r="M818"/>
    </row>
    <row r="819" spans="12:13">
      <c r="L819"/>
      <c r="M819"/>
    </row>
    <row r="820" spans="12:13">
      <c r="L820"/>
      <c r="M820"/>
    </row>
    <row r="821" spans="12:13">
      <c r="L821"/>
      <c r="M821"/>
    </row>
    <row r="822" spans="12:13">
      <c r="L822"/>
      <c r="M822"/>
    </row>
    <row r="823" spans="12:13">
      <c r="L823"/>
      <c r="M823"/>
    </row>
    <row r="824" spans="12:13">
      <c r="L824"/>
      <c r="M824"/>
    </row>
    <row r="825" spans="12:13">
      <c r="L825"/>
      <c r="M825"/>
    </row>
    <row r="826" spans="12:13">
      <c r="L826"/>
      <c r="M826"/>
    </row>
    <row r="827" spans="12:13">
      <c r="L827"/>
      <c r="M827"/>
    </row>
    <row r="828" spans="12:13">
      <c r="L828"/>
      <c r="M828"/>
    </row>
    <row r="829" spans="12:13">
      <c r="L829"/>
      <c r="M829"/>
    </row>
    <row r="830" spans="12:13">
      <c r="L830"/>
      <c r="M830"/>
    </row>
    <row r="831" spans="12:13">
      <c r="L831"/>
      <c r="M831"/>
    </row>
    <row r="832" spans="12:13">
      <c r="L832"/>
      <c r="M832"/>
    </row>
    <row r="833" spans="12:13">
      <c r="L833"/>
      <c r="M833"/>
    </row>
    <row r="834" spans="12:13">
      <c r="L834"/>
      <c r="M834"/>
    </row>
    <row r="835" spans="12:13">
      <c r="L835"/>
      <c r="M835"/>
    </row>
    <row r="836" spans="12:13">
      <c r="L836"/>
      <c r="M836"/>
    </row>
    <row r="837" spans="12:13">
      <c r="L837"/>
      <c r="M837"/>
    </row>
    <row r="838" spans="12:13">
      <c r="L838"/>
      <c r="M838"/>
    </row>
    <row r="839" spans="12:13">
      <c r="L839"/>
      <c r="M839"/>
    </row>
    <row r="840" spans="12:13">
      <c r="L840"/>
      <c r="M840"/>
    </row>
    <row r="841" spans="12:13">
      <c r="L841"/>
      <c r="M841"/>
    </row>
    <row r="842" spans="12:13">
      <c r="L842"/>
      <c r="M842"/>
    </row>
    <row r="843" spans="12:13">
      <c r="L843"/>
      <c r="M843"/>
    </row>
    <row r="844" spans="12:13">
      <c r="L844"/>
      <c r="M844"/>
    </row>
    <row r="845" spans="12:13">
      <c r="L845"/>
      <c r="M845"/>
    </row>
    <row r="846" spans="12:13">
      <c r="L846"/>
      <c r="M846"/>
    </row>
    <row r="847" spans="12:13">
      <c r="L847"/>
      <c r="M847"/>
    </row>
    <row r="848" spans="12:13">
      <c r="L848"/>
      <c r="M848"/>
    </row>
    <row r="849" spans="12:13">
      <c r="L849"/>
      <c r="M849"/>
    </row>
    <row r="850" spans="12:13">
      <c r="L850"/>
      <c r="M850"/>
    </row>
    <row r="851" spans="12:13">
      <c r="L851"/>
      <c r="M851"/>
    </row>
    <row r="852" spans="12:13">
      <c r="L852"/>
      <c r="M852"/>
    </row>
    <row r="853" spans="12:13">
      <c r="L853"/>
      <c r="M853"/>
    </row>
    <row r="854" spans="12:13">
      <c r="L854"/>
      <c r="M854"/>
    </row>
    <row r="855" spans="12:13">
      <c r="L855"/>
      <c r="M855"/>
    </row>
    <row r="856" spans="12:13">
      <c r="L856"/>
      <c r="M856"/>
    </row>
    <row r="857" spans="12:13">
      <c r="L857"/>
      <c r="M857"/>
    </row>
    <row r="858" spans="12:13">
      <c r="L858"/>
      <c r="M858"/>
    </row>
    <row r="859" spans="12:13">
      <c r="L859"/>
      <c r="M859"/>
    </row>
    <row r="860" spans="12:13">
      <c r="L860"/>
      <c r="M860"/>
    </row>
    <row r="861" spans="12:13">
      <c r="L861"/>
      <c r="M861"/>
    </row>
    <row r="862" spans="12:13">
      <c r="L862"/>
      <c r="M862"/>
    </row>
    <row r="863" spans="12:13">
      <c r="L863"/>
      <c r="M863"/>
    </row>
  </sheetData>
  <phoneticPr fontId="0" type="noConversion"/>
  <pageMargins left="0.5" right="0.5" top="0.5" bottom="0.5" header="0.5" footer="0.5"/>
  <pageSetup scale="50" fitToWidth="3" fitToHeight="5" orientation="portrait"/>
  <headerFooter alignWithMargins="0">
    <oddHeader>&amp;L&amp;"Times New Roman,Regular"&amp;12&amp;D&amp;C&amp;"Times New Roman,Bold"&amp;12Dubious Democracy 2003 District Data&amp;R&amp;"Times New Roman,Regular"&amp;12&amp;P of 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2"/>
  <sheetViews>
    <sheetView workbookViewId="0">
      <pane xSplit="2" ySplit="6" topLeftCell="T37" activePane="bottomRight" state="frozen"/>
      <selection pane="topRight" activeCell="B1" sqref="B1"/>
      <selection pane="bottomLeft" activeCell="A2" sqref="A2"/>
      <selection pane="bottomRight" activeCell="AA54" sqref="AA54"/>
    </sheetView>
  </sheetViews>
  <sheetFormatPr baseColWidth="10" defaultColWidth="8.83203125" defaultRowHeight="15" x14ac:dyDescent="0"/>
  <cols>
    <col min="1" max="1" width="16.5" style="7" bestFit="1" customWidth="1"/>
    <col min="2" max="2" width="6.83203125" style="7" customWidth="1"/>
    <col min="3" max="3" width="14" style="7" bestFit="1" customWidth="1"/>
    <col min="4" max="4" width="14.6640625" style="7" customWidth="1"/>
    <col min="5" max="5" width="8.83203125" style="7" customWidth="1"/>
    <col min="6" max="6" width="7.6640625" style="7" bestFit="1" customWidth="1"/>
    <col min="7" max="7" width="6.5" style="7" bestFit="1" customWidth="1"/>
    <col min="8" max="8" width="6.5" style="7" customWidth="1"/>
    <col min="9" max="9" width="8" style="7" bestFit="1" customWidth="1"/>
    <col min="10" max="10" width="9" style="7" customWidth="1"/>
    <col min="11" max="11" width="10.1640625" style="7" customWidth="1"/>
    <col min="12" max="12" width="16.5" style="7" bestFit="1" customWidth="1"/>
    <col min="13" max="13" width="7.6640625" style="7" customWidth="1"/>
    <col min="14" max="14" width="9.33203125" style="7" customWidth="1"/>
    <col min="15" max="15" width="8.5" style="7" bestFit="1" customWidth="1"/>
    <col min="16" max="16" width="11.33203125" style="7" customWidth="1"/>
    <col min="17" max="17" width="9.5" style="7" bestFit="1" customWidth="1"/>
    <col min="18" max="18" width="8.5" style="7" bestFit="1" customWidth="1"/>
    <col min="19" max="19" width="7.5" style="7" bestFit="1" customWidth="1"/>
    <col min="20" max="20" width="6" style="5" customWidth="1"/>
    <col min="21" max="22" width="12.5" style="5" customWidth="1"/>
    <col min="23" max="23" width="10.33203125" style="5" customWidth="1"/>
    <col min="24" max="24" width="11.33203125" style="5" customWidth="1"/>
    <col min="25" max="25" width="12.33203125" style="5" customWidth="1"/>
    <col min="26" max="26" width="8.33203125" style="7" bestFit="1" customWidth="1"/>
    <col min="27" max="27" width="9.1640625" style="7" customWidth="1"/>
    <col min="28" max="28" width="7.1640625" style="7" customWidth="1"/>
    <col min="29" max="29" width="7.5" style="7" customWidth="1"/>
    <col min="30" max="31" width="16.83203125" style="7" customWidth="1"/>
    <col min="32" max="32" width="16.1640625" style="7" customWidth="1"/>
    <col min="33" max="34" width="7.5" style="7" customWidth="1"/>
    <col min="35" max="35" width="7.6640625" style="7" customWidth="1"/>
    <col min="36" max="36" width="7.83203125" style="7" customWidth="1"/>
    <col min="37" max="37" width="8.33203125" style="7" customWidth="1"/>
    <col min="38" max="38" width="7" style="7" customWidth="1"/>
    <col min="39" max="39" width="6.83203125" style="7" customWidth="1"/>
    <col min="40" max="40" width="6.5" style="7" customWidth="1"/>
    <col min="41" max="41" width="7.33203125" style="7" customWidth="1"/>
    <col min="42" max="42" width="8.83203125" style="7" bestFit="1" customWidth="1"/>
    <col min="43" max="43" width="11.5" style="7" customWidth="1"/>
    <col min="44" max="44" width="13.5" style="7" customWidth="1"/>
    <col min="45" max="45" width="11.33203125" style="7" bestFit="1" customWidth="1"/>
    <col min="46" max="46" width="12.1640625" style="7" customWidth="1"/>
    <col min="47" max="47" width="10.1640625" style="7" bestFit="1" customWidth="1"/>
    <col min="48" max="49" width="7.33203125" style="7" bestFit="1" customWidth="1"/>
    <col min="50" max="50" width="7.6640625" style="7" bestFit="1" customWidth="1"/>
    <col min="51" max="52" width="7.83203125" style="7" bestFit="1" customWidth="1"/>
    <col min="53" max="53" width="7.83203125" style="7" customWidth="1"/>
    <col min="54" max="55" width="8.1640625" style="7" bestFit="1" customWidth="1"/>
    <col min="56" max="56" width="8.1640625" style="7" customWidth="1"/>
    <col min="57" max="57" width="9.5" style="7" bestFit="1" customWidth="1"/>
    <col min="58" max="58" width="8.83203125" style="7" bestFit="1" customWidth="1"/>
    <col min="59" max="59" width="8.83203125" style="7" customWidth="1"/>
    <col min="60" max="63" width="11.33203125" style="7" bestFit="1" customWidth="1"/>
    <col min="64" max="64" width="10.1640625" style="7" bestFit="1" customWidth="1"/>
    <col min="65" max="65" width="10.1640625" style="7" customWidth="1"/>
    <col min="66" max="66" width="9" style="7" customWidth="1"/>
    <col min="67" max="67" width="8.5" style="7" customWidth="1"/>
    <col min="68" max="68" width="9" style="7" customWidth="1"/>
    <col min="71" max="16384" width="8.83203125" style="7"/>
  </cols>
  <sheetData>
    <row r="1" spans="1:71">
      <c r="A1" s="8" t="s">
        <v>206</v>
      </c>
      <c r="E1" s="27" t="s">
        <v>195</v>
      </c>
      <c r="X1" s="195"/>
    </row>
    <row r="2" spans="1:71">
      <c r="B2" s="8"/>
      <c r="F2" s="7" t="s">
        <v>196</v>
      </c>
      <c r="AP2" s="7" t="s">
        <v>203</v>
      </c>
    </row>
    <row r="3" spans="1:71">
      <c r="B3" s="8"/>
      <c r="C3" s="8" t="s">
        <v>247</v>
      </c>
      <c r="G3" s="63"/>
      <c r="H3" s="63"/>
      <c r="I3" s="63"/>
      <c r="J3" s="63"/>
      <c r="K3" s="63"/>
      <c r="L3" s="63"/>
      <c r="M3" s="63"/>
      <c r="N3" s="27"/>
      <c r="O3" s="27"/>
      <c r="P3" s="7" t="s">
        <v>246</v>
      </c>
      <c r="Q3" s="27"/>
      <c r="R3" s="27"/>
      <c r="S3" s="27"/>
      <c r="T3" s="5" t="s">
        <v>136</v>
      </c>
      <c r="U3" s="64"/>
      <c r="V3" s="64"/>
      <c r="W3" s="64"/>
      <c r="X3" s="64"/>
      <c r="Y3" s="64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71" ht="16" thickBot="1">
      <c r="B4" s="8"/>
      <c r="C4" s="8"/>
      <c r="AQ4" s="391"/>
    </row>
    <row r="5" spans="1:71" ht="16" thickBot="1">
      <c r="C5" s="171" t="s">
        <v>186</v>
      </c>
      <c r="E5" s="135" t="s">
        <v>193</v>
      </c>
      <c r="F5" s="136" t="s">
        <v>194</v>
      </c>
      <c r="G5" s="156"/>
      <c r="H5" s="157" t="s">
        <v>197</v>
      </c>
      <c r="I5" s="136"/>
      <c r="J5" s="136"/>
      <c r="K5" s="158"/>
      <c r="L5" s="156" t="s">
        <v>193</v>
      </c>
      <c r="M5" s="136" t="s">
        <v>194</v>
      </c>
      <c r="N5" s="136"/>
      <c r="O5" s="136" t="s">
        <v>130</v>
      </c>
      <c r="P5" s="159"/>
      <c r="Q5" s="136" t="s">
        <v>145</v>
      </c>
      <c r="R5" s="160" t="s">
        <v>140</v>
      </c>
      <c r="S5" s="161" t="s">
        <v>121</v>
      </c>
      <c r="T5" s="162"/>
      <c r="U5" s="163"/>
      <c r="V5" s="370" t="s">
        <v>148</v>
      </c>
      <c r="W5" s="371"/>
      <c r="X5" s="162"/>
      <c r="Y5" s="162"/>
      <c r="Z5" s="137"/>
      <c r="AA5" s="136" t="s">
        <v>813</v>
      </c>
      <c r="AB5" s="374" t="s">
        <v>302</v>
      </c>
      <c r="AC5" s="370" t="s">
        <v>304</v>
      </c>
      <c r="AD5" s="370" t="s">
        <v>305</v>
      </c>
      <c r="AE5" s="370" t="s">
        <v>305</v>
      </c>
      <c r="AF5" s="370" t="s">
        <v>305</v>
      </c>
      <c r="AG5" s="370" t="s">
        <v>808</v>
      </c>
      <c r="AH5" s="370" t="s">
        <v>808</v>
      </c>
      <c r="AI5" s="370" t="s">
        <v>811</v>
      </c>
      <c r="AJ5" s="370" t="s">
        <v>812</v>
      </c>
      <c r="AK5" s="374"/>
      <c r="AL5" s="370"/>
      <c r="AM5" s="370"/>
      <c r="AN5" s="370"/>
      <c r="AO5" s="370"/>
      <c r="AP5" s="171" t="s">
        <v>140</v>
      </c>
      <c r="AQ5" s="164" t="s">
        <v>137</v>
      </c>
      <c r="AR5" s="165"/>
      <c r="AS5" s="134" t="s">
        <v>117</v>
      </c>
      <c r="AT5" s="157"/>
      <c r="AU5" s="166"/>
      <c r="AV5" s="136"/>
      <c r="AW5" s="136" t="s">
        <v>133</v>
      </c>
      <c r="AX5" s="137"/>
      <c r="AY5" s="167"/>
      <c r="AZ5" s="157" t="s">
        <v>132</v>
      </c>
      <c r="BA5" s="168"/>
      <c r="BB5" s="136"/>
      <c r="BC5" s="157" t="s">
        <v>141</v>
      </c>
      <c r="BD5" s="137"/>
      <c r="BE5" s="136"/>
      <c r="BF5" s="157" t="s">
        <v>142</v>
      </c>
      <c r="BG5" s="137"/>
      <c r="BH5" s="169" t="s">
        <v>139</v>
      </c>
      <c r="BI5" s="136"/>
      <c r="BJ5" s="134" t="s">
        <v>146</v>
      </c>
      <c r="BK5" s="134"/>
      <c r="BL5" s="168"/>
      <c r="BM5" s="167"/>
      <c r="BN5" s="167"/>
      <c r="BO5" s="157" t="s">
        <v>147</v>
      </c>
      <c r="BP5" s="170"/>
    </row>
    <row r="6" spans="1:71" ht="17.25" customHeight="1" thickBot="1">
      <c r="A6" s="139" t="s">
        <v>51</v>
      </c>
      <c r="B6" s="140" t="s">
        <v>116</v>
      </c>
      <c r="C6" s="141" t="s">
        <v>185</v>
      </c>
      <c r="D6" s="142" t="s">
        <v>233</v>
      </c>
      <c r="E6" s="143" t="s">
        <v>191</v>
      </c>
      <c r="F6" s="144" t="s">
        <v>191</v>
      </c>
      <c r="G6" s="145" t="s">
        <v>129</v>
      </c>
      <c r="H6" s="144" t="s">
        <v>192</v>
      </c>
      <c r="I6" s="133" t="s">
        <v>143</v>
      </c>
      <c r="J6" s="133" t="s">
        <v>132</v>
      </c>
      <c r="K6" s="146" t="s">
        <v>185</v>
      </c>
      <c r="L6" s="145" t="s">
        <v>191</v>
      </c>
      <c r="M6" s="133" t="s">
        <v>191</v>
      </c>
      <c r="N6" s="133" t="s">
        <v>129</v>
      </c>
      <c r="O6" s="144" t="s">
        <v>198</v>
      </c>
      <c r="P6" s="133" t="s">
        <v>143</v>
      </c>
      <c r="Q6" s="133" t="s">
        <v>144</v>
      </c>
      <c r="R6" s="146" t="s">
        <v>185</v>
      </c>
      <c r="S6" s="147" t="s">
        <v>132</v>
      </c>
      <c r="T6" s="148" t="str">
        <f>Instructions!I18</f>
        <v>Tight</v>
      </c>
      <c r="U6" s="148" t="str">
        <f>Instructions!I17</f>
        <v>Competitive</v>
      </c>
      <c r="V6" s="148" t="str">
        <f>Instructions!I16</f>
        <v>Opportunity</v>
      </c>
      <c r="W6" s="148" t="str">
        <f>Instructions!I15</f>
        <v>Landslide</v>
      </c>
      <c r="X6" s="148" t="str">
        <f>Instructions!I14</f>
        <v>No contest</v>
      </c>
      <c r="Y6" s="148" t="s">
        <v>54</v>
      </c>
      <c r="Z6" s="400" t="s">
        <v>133</v>
      </c>
      <c r="AA6" s="372" t="s">
        <v>814</v>
      </c>
      <c r="AB6" s="375" t="s">
        <v>303</v>
      </c>
      <c r="AC6" s="379" t="s">
        <v>303</v>
      </c>
      <c r="AD6" s="379" t="s">
        <v>306</v>
      </c>
      <c r="AE6" s="379" t="s">
        <v>760</v>
      </c>
      <c r="AF6" s="379" t="s">
        <v>307</v>
      </c>
      <c r="AG6" s="379" t="s">
        <v>809</v>
      </c>
      <c r="AH6" s="379" t="s">
        <v>810</v>
      </c>
      <c r="AI6" s="379" t="s">
        <v>303</v>
      </c>
      <c r="AJ6" s="379" t="s">
        <v>303</v>
      </c>
      <c r="AK6" s="375" t="s">
        <v>768</v>
      </c>
      <c r="AL6" s="379" t="s">
        <v>221</v>
      </c>
      <c r="AM6" s="379" t="s">
        <v>766</v>
      </c>
      <c r="AN6" s="379" t="s">
        <v>765</v>
      </c>
      <c r="AO6" s="379" t="s">
        <v>763</v>
      </c>
      <c r="AP6" s="381" t="s">
        <v>56</v>
      </c>
      <c r="AQ6" s="149" t="s">
        <v>138</v>
      </c>
      <c r="AR6" s="150" t="s">
        <v>121</v>
      </c>
      <c r="AS6" s="133" t="s">
        <v>118</v>
      </c>
      <c r="AT6" s="133" t="s">
        <v>119</v>
      </c>
      <c r="AU6" s="151" t="s">
        <v>120</v>
      </c>
      <c r="AV6" s="133" t="s">
        <v>118</v>
      </c>
      <c r="AW6" s="133" t="s">
        <v>119</v>
      </c>
      <c r="AX6" s="152" t="s">
        <v>120</v>
      </c>
      <c r="AY6" s="143" t="s">
        <v>118</v>
      </c>
      <c r="AZ6" s="143" t="s">
        <v>119</v>
      </c>
      <c r="BA6" s="153" t="s">
        <v>120</v>
      </c>
      <c r="BB6" s="143" t="s">
        <v>118</v>
      </c>
      <c r="BC6" s="143" t="s">
        <v>119</v>
      </c>
      <c r="BD6" s="154" t="s">
        <v>120</v>
      </c>
      <c r="BE6" s="143" t="s">
        <v>118</v>
      </c>
      <c r="BF6" s="143" t="s">
        <v>119</v>
      </c>
      <c r="BG6" s="154" t="s">
        <v>120</v>
      </c>
      <c r="BH6" s="155" t="s">
        <v>138</v>
      </c>
      <c r="BI6" s="133" t="s">
        <v>121</v>
      </c>
      <c r="BJ6" s="133" t="s">
        <v>118</v>
      </c>
      <c r="BK6" s="133" t="s">
        <v>119</v>
      </c>
      <c r="BL6" s="151" t="s">
        <v>120</v>
      </c>
      <c r="BM6" s="133" t="s">
        <v>121</v>
      </c>
      <c r="BN6" s="133" t="s">
        <v>118</v>
      </c>
      <c r="BO6" s="133" t="s">
        <v>119</v>
      </c>
      <c r="BP6" s="152" t="s">
        <v>120</v>
      </c>
    </row>
    <row r="7" spans="1:71">
      <c r="A7" s="21" t="s">
        <v>66</v>
      </c>
      <c r="B7" s="30" t="s">
        <v>0</v>
      </c>
      <c r="C7" s="410">
        <v>1494273</v>
      </c>
      <c r="D7" s="410">
        <v>3457019</v>
      </c>
      <c r="E7" s="29">
        <f t="shared" ref="E7:E38" si="0">RANK(L7,L$7:L$56,1)</f>
        <v>23</v>
      </c>
      <c r="F7" s="29">
        <f t="shared" ref="F7:F38" si="1">RANK(M7,M$7:M$56)</f>
        <v>38</v>
      </c>
      <c r="G7" s="77">
        <f>RANK(N7,N$7:N$56,1)</f>
        <v>48</v>
      </c>
      <c r="H7" s="29">
        <f>RANK(O7,O$7:O$56,1)</f>
        <v>22</v>
      </c>
      <c r="I7" s="29">
        <f>RANK(P7,P$7:P$56)</f>
        <v>11</v>
      </c>
      <c r="J7" s="29">
        <f>RANK(Q7,Q$7:Q$56,1)</f>
        <v>31</v>
      </c>
      <c r="K7" s="72">
        <f>RANK(R7,R$7:R$56)</f>
        <v>35</v>
      </c>
      <c r="L7" s="71">
        <f t="shared" ref="L7:L38" si="2">AVERAGE(G7,H7,I7,I7,J7)</f>
        <v>24.6</v>
      </c>
      <c r="M7" s="68">
        <f>AVERAGE(1-N7,1-O7,P7,P7,1-Q7)</f>
        <v>0.45721711692102451</v>
      </c>
      <c r="N7" s="37">
        <f>AVERAGE('Data By District'!V7:'Data By District'!V13)</f>
        <v>0.5455859859262091</v>
      </c>
      <c r="O7" s="33">
        <f t="shared" ref="O7:O38" si="3">(W7+X7+Y7)/S7</f>
        <v>0.5714285714285714</v>
      </c>
      <c r="P7" s="33">
        <f>SUMIF('Data By District'!$B$7:$B$441,B7,'Data By District'!$T$7:$T$441)/D7</f>
        <v>0.28885956368767429</v>
      </c>
      <c r="Q7" s="33">
        <f t="shared" ref="Q7:Q38" si="4">(BF7+BE7)/2</f>
        <v>0.17461898541544557</v>
      </c>
      <c r="R7" s="74">
        <f t="shared" ref="R7:R38" si="5">AR7/D7</f>
        <v>0.39306263575641326</v>
      </c>
      <c r="S7" s="73">
        <f t="shared" ref="S7:S38" si="6">SUM(T7:Y7)</f>
        <v>7</v>
      </c>
      <c r="T7" s="29">
        <f>COUNTIF('Data By District'!$Z$7:$Z$441,$B7&amp;"-"&amp;T$6)</f>
        <v>1</v>
      </c>
      <c r="U7" s="29">
        <f>COUNTIF('Data By District'!$Z$7:$Z$441,$B7&amp;"-"&amp;U$6)</f>
        <v>0</v>
      </c>
      <c r="V7" s="29">
        <f>COUNTIF('Data By District'!$Z$7:$Z$441,$B7&amp;"-"&amp;V$6)</f>
        <v>2</v>
      </c>
      <c r="W7" s="29">
        <f>COUNTIF('Data By District'!$Z$7:$Z$441,$B7&amp;"-"&amp;W$6)</f>
        <v>0</v>
      </c>
      <c r="X7" s="29">
        <f>COUNTIF('Data By District'!$Z$7:$Z$441,$B7&amp;"-"&amp;X$6)-(Y7)</f>
        <v>1</v>
      </c>
      <c r="Y7" s="29">
        <f>COUNTIF('Data By District'!$X$7:$X$441,$B7&amp;"-"&amp;"Yes")</f>
        <v>3</v>
      </c>
      <c r="Z7" s="401">
        <f t="shared" ref="Z7:Z38" si="7">Y7/S7</f>
        <v>0.42857142857142855</v>
      </c>
      <c r="AA7" s="404">
        <f>COUNTIF('Data By District'!$L$7:$L$441, $B7&amp;"-"&amp;1)</f>
        <v>1</v>
      </c>
      <c r="AB7" s="376">
        <f>COUNTIFS('Data By District'!$J$7:$J$441,$B7&amp;"-"&amp;"Yes",'Data By District'!$Z$7:$Z$441,$B7&amp;"-"&amp;X$6)+COUNTIFS('Data By District'!$J$7:$J$441,$B7&amp;"-"&amp;"Yes",'Data By District'!$Z$7:$Z$441,$B7&amp;"-"&amp;W$6)</f>
        <v>3</v>
      </c>
      <c r="AC7" s="373">
        <f>AB7/AD7</f>
        <v>0.75</v>
      </c>
      <c r="AD7" s="377">
        <f>COUNTIF('Data By District'!$J$7:$J$441,$B7&amp;"-"&amp;"Yes")</f>
        <v>4</v>
      </c>
      <c r="AE7" s="377">
        <f>AF7-AD7</f>
        <v>1</v>
      </c>
      <c r="AF7" s="377">
        <f>COUNTIF('Data By District'!$I$7:$I$441,$B7&amp;"-"&amp;"Yes")</f>
        <v>5</v>
      </c>
      <c r="AG7" s="377">
        <f>COUNTIFS('Data By District'!$J$7:$J$441,$B7&amp;"-"&amp;"Yes",'Data By District'!$Y$7:$Y$441,$B7&amp;"-"&amp;"Dem")</f>
        <v>0</v>
      </c>
      <c r="AH7" s="377">
        <f>COUNTIFS('Data By District'!$J$7:$J$441,$B7&amp;"-"&amp;"Yes",'Data By District'!$Y$7:$Y$441,$B7&amp;"-"&amp;"Rep")</f>
        <v>4</v>
      </c>
      <c r="AI7" s="377">
        <f>COUNTIFS('Data By District'!$J$7:$J$441,$B7&amp;"-"&amp;"Yes",'Data By District'!$Y$7:$Y$441,$B7&amp;"-"&amp;"Dem",'Data By District'!$J$7:$J$441,$B7&amp;"-"&amp;"Yes",'Data By District'!$Z$7:$Z$441,$B7&amp;"-"&amp;W$6)+COUNTIFS('Data By District'!$J$7:$J$441,$B7&amp;"-"&amp;"Yes",'Data By District'!$Y$7:$Y$441,$B7&amp;"-"&amp;"Dem",'Data By District'!$J$7:$J$441,$B7&amp;"-"&amp;"Yes",'Data By District'!$Z$7:$Z$441,$B7&amp;"-"&amp;X$6)</f>
        <v>0</v>
      </c>
      <c r="AJ7" s="377">
        <f>COUNTIFS('Data By District'!$J$7:$J$441,$B7&amp;"-"&amp;"Yes",'Data By District'!$Y$7:$Y$441,$B7&amp;"-"&amp;"Rep",'Data By District'!$J$7:$J$441,$B7&amp;"-"&amp;"Yes",'Data By District'!$Z$7:$Z$441,$B7&amp;"-"&amp;W$6)+COUNTIFS('Data By District'!$J$7:$J$441,$B7&amp;"-"&amp;"Yes",'Data By District'!$Y$7:$Y$441,$B7&amp;"-"&amp;"Rep",'Data By District'!$J$7:$J$441,$B7&amp;"-"&amp;"Yes",'Data By District'!$Z$7:$Z$441,$B7&amp;"-"&amp;X$6)</f>
        <v>3</v>
      </c>
      <c r="AK7" s="376">
        <f>COUNTIF('Data By District'!$D$7:$D$441,$B7&amp;"-"&amp;"Yes")</f>
        <v>2</v>
      </c>
      <c r="AL7" s="377">
        <f>COUNTIF('Data By District'!$E$7:$E$441,$B7&amp;"-"&amp;"Yes")</f>
        <v>1</v>
      </c>
      <c r="AM7" s="377">
        <f>COUNTIF('Data By District'!$F$7:$F$441,$B7&amp;"-"&amp;"Yes")</f>
        <v>0</v>
      </c>
      <c r="AN7" s="377">
        <f>COUNTIF('Data By District'!$G$7:$G$441,$B7&amp;"-"&amp;"Yes")</f>
        <v>0</v>
      </c>
      <c r="AO7" s="377">
        <f>COUNTIF('Data By District'!$H$7:$H$441,$B7&amp;"-"&amp;"Yes")</f>
        <v>0</v>
      </c>
      <c r="AP7" s="74">
        <f t="shared" ref="AP7:AP38" si="8">(C7-AR7)/C7</f>
        <v>9.0644748315736143E-2</v>
      </c>
      <c r="AQ7" s="59">
        <v>0.74125970082983828</v>
      </c>
      <c r="AR7" s="54">
        <f>SUM(AS7:AU7)</f>
        <v>1358825</v>
      </c>
      <c r="AS7" s="45">
        <f>SUMIF('Data By District'!$B$7:$B$441,$B7,'Data By District'!$O$7:$O$441)</f>
        <v>418216</v>
      </c>
      <c r="AT7" s="45">
        <f>SUMIF('Data By District'!$B$7:$B$441,$B7,'Data By District'!$P$7:$P$441)</f>
        <v>914252</v>
      </c>
      <c r="AU7" s="45">
        <f>SUMIF('Data By District'!$B$7:$B$441,$B7,'Data By District'!$Q$7:$Q$441)</f>
        <v>26357</v>
      </c>
      <c r="AV7" s="301">
        <f t="shared" ref="AV7:AV38" si="9">AS7/AR7</f>
        <v>0.30777767556528618</v>
      </c>
      <c r="AW7" s="297">
        <f t="shared" ref="AW7:AW38" si="10">AT7/AR7</f>
        <v>0.67282541902010928</v>
      </c>
      <c r="AX7" s="59">
        <f t="shared" ref="AX7:AX38" si="11">AU7/AR7</f>
        <v>1.939690541460453E-2</v>
      </c>
      <c r="AY7" s="29">
        <f>COUNTIF('Data By District'!$Y$7:$Y$441,$B7&amp;"-"&amp;AY$6)</f>
        <v>1</v>
      </c>
      <c r="AZ7" s="29">
        <f>COUNTIF('Data By District'!$Y$7:$Y$441,$B7&amp;"-"&amp;AZ$6)</f>
        <v>6</v>
      </c>
      <c r="BA7" s="303">
        <f>COUNTIF('Data By District'!$Y$7:$Y$441,$B7&amp;"-"&amp;BA$6)</f>
        <v>0</v>
      </c>
      <c r="BB7" s="296">
        <f>AY7/$S7</f>
        <v>0.14285714285714285</v>
      </c>
      <c r="BC7" s="297">
        <f>AZ7/$S7</f>
        <v>0.8571428571428571</v>
      </c>
      <c r="BD7" s="59">
        <f>BA7/$S7</f>
        <v>0</v>
      </c>
      <c r="BE7" s="296">
        <f t="shared" ref="BE7:BE38" si="12">ABS((AS7/$AR7)-(AY7/$S7))</f>
        <v>0.16492053270814333</v>
      </c>
      <c r="BF7" s="297">
        <f t="shared" ref="BF7:BF38" si="13">ABS((AT7/$AR7)-(AZ7/$S7))</f>
        <v>0.18431743812274781</v>
      </c>
      <c r="BG7" s="59">
        <f t="shared" ref="BG7:BG38" si="14">ABS((AU7/$AR7)-(BA7/$S7))</f>
        <v>1.939690541460453E-2</v>
      </c>
      <c r="BH7" s="54">
        <f>AR7-BI7</f>
        <v>998593</v>
      </c>
      <c r="BI7" s="45">
        <f>'Data By District'!AE13</f>
        <v>360232</v>
      </c>
      <c r="BJ7" s="45">
        <f>SUMIF('Data By District'!$B$7:$B$441,'Data By State'!$B7,'Data By District'!$AA$7:$AA$441)</f>
        <v>281993</v>
      </c>
      <c r="BK7" s="45">
        <f>SUMIF('Data By District'!$B$7:$B$441,'Data By State'!$B7,'Data By District'!$AB$7:$AB$441)</f>
        <v>51882</v>
      </c>
      <c r="BL7" s="54">
        <f>SUMIF('Data By District'!$B$7:$B$441,'Data By State'!$B7,'Data By District'!$AC$7:$AC$441)</f>
        <v>26357</v>
      </c>
      <c r="BM7" s="68">
        <f>BI7/AR7</f>
        <v>0.26510551395507148</v>
      </c>
      <c r="BN7" s="28">
        <f t="shared" ref="BN7:BN15" si="15">BJ7/AS7</f>
        <v>0.67427597222487901</v>
      </c>
      <c r="BO7" s="28">
        <f t="shared" ref="BO7:BO15" si="16">BK7/AT7</f>
        <v>5.6748030083609333E-2</v>
      </c>
      <c r="BP7" s="60">
        <f t="shared" ref="BP7:BP15" si="17">BL7/AU7</f>
        <v>1</v>
      </c>
      <c r="BS7" s="9"/>
    </row>
    <row r="8" spans="1:71">
      <c r="A8" s="21" t="s">
        <v>67</v>
      </c>
      <c r="B8" s="30" t="s">
        <v>1</v>
      </c>
      <c r="C8" s="410">
        <v>256192</v>
      </c>
      <c r="D8" s="410">
        <v>493692</v>
      </c>
      <c r="E8" s="29">
        <f t="shared" si="0"/>
        <v>24</v>
      </c>
      <c r="F8" s="29">
        <f t="shared" si="1"/>
        <v>43</v>
      </c>
      <c r="G8" s="77">
        <f t="shared" ref="G8:G56" si="18">RANK(N8,N$7:N$56,1)</f>
        <v>41</v>
      </c>
      <c r="H8" s="29">
        <f t="shared" ref="H8:H56" si="19">RANK(O8,O$7:O$56,1)</f>
        <v>44</v>
      </c>
      <c r="I8" s="29">
        <f t="shared" ref="I8:I56" si="20">RANK(P8,P$7:P$56)</f>
        <v>1</v>
      </c>
      <c r="J8" s="29">
        <f t="shared" ref="J8:J56" si="21">RANK(Q8,Q$7:Q$56,1)</f>
        <v>37</v>
      </c>
      <c r="K8" s="72">
        <f t="shared" ref="K8:K56" si="22">RANK(R8,R$7:R$56)</f>
        <v>6</v>
      </c>
      <c r="L8" s="71">
        <f t="shared" si="2"/>
        <v>24.8</v>
      </c>
      <c r="M8" s="68">
        <f t="shared" ref="M8:M56" si="23">AVERAGE(1-N8,1-O8,P8,P8,1-Q8)</f>
        <v>0.40324658697437527</v>
      </c>
      <c r="N8" s="37">
        <f>('Data By District'!V14)</f>
        <v>0.38648958456856003</v>
      </c>
      <c r="O8" s="33">
        <f t="shared" si="3"/>
        <v>1</v>
      </c>
      <c r="P8" s="33">
        <f>SUMIF('Data By District'!$B$7:$B$441,B8,'Data By District'!$T$7:$T$441)/D8</f>
        <v>0.35524983187898529</v>
      </c>
      <c r="Q8" s="33">
        <f t="shared" si="4"/>
        <v>0.307777144317534</v>
      </c>
      <c r="R8" s="74">
        <f t="shared" si="5"/>
        <v>0.5151693768584461</v>
      </c>
      <c r="S8" s="73">
        <f t="shared" si="6"/>
        <v>1</v>
      </c>
      <c r="T8" s="29">
        <f>COUNTIF('Data By District'!$Z$7:$Z$441,$B8&amp;"-"&amp;T$6)</f>
        <v>0</v>
      </c>
      <c r="U8" s="29">
        <f>COUNTIF('Data By District'!$Z$7:$Z$441,$B8&amp;"-"&amp;U$6)</f>
        <v>0</v>
      </c>
      <c r="V8" s="29">
        <f>COUNTIF('Data By District'!$Z$7:$Z$441,$B8&amp;"-"&amp;V$6)</f>
        <v>0</v>
      </c>
      <c r="W8" s="29">
        <f>COUNTIF('Data By District'!$Z$7:$Z$441,$B8&amp;"-"&amp;W$6)</f>
        <v>1</v>
      </c>
      <c r="X8" s="29">
        <f>COUNTIF('Data By District'!$Z$7:$Z$441,$B8&amp;"-"&amp;X$6)-(Y8)</f>
        <v>0</v>
      </c>
      <c r="Y8" s="29">
        <f>COUNTIF('Data By District'!$X$7:$X$441,$B8&amp;"-"&amp;"Yes")</f>
        <v>0</v>
      </c>
      <c r="Z8" s="402">
        <f t="shared" si="7"/>
        <v>0</v>
      </c>
      <c r="AA8" s="404">
        <f>COUNTIF('Data By District'!$L$7:$L$441, $B8&amp;"-"&amp;1)</f>
        <v>0</v>
      </c>
      <c r="AB8" s="376">
        <f>COUNTIFS('Data By District'!$J$7:$J$441,$B8&amp;"-"&amp;"Yes",'Data By District'!$Z$7:$Z$441,$B8&amp;"-"&amp;X$6)+COUNTIFS('Data By District'!$J$7:$J$441,$B8&amp;"-"&amp;"Yes",'Data By District'!$Z$7:$Z$441,$B8&amp;"-"&amp;W$6)</f>
        <v>1</v>
      </c>
      <c r="AC8" s="373">
        <f>AB8/AD8</f>
        <v>1</v>
      </c>
      <c r="AD8" s="377">
        <f>COUNTIF('Data By District'!$J$7:$J$441,$B8&amp;"-"&amp;"Yes")</f>
        <v>1</v>
      </c>
      <c r="AE8" s="377">
        <f t="shared" ref="AE8:AE56" si="24">AF8-AD8</f>
        <v>0</v>
      </c>
      <c r="AF8" s="377">
        <f>COUNTIF('Data By District'!$I$7:$I$441,$B8&amp;"-"&amp;"Yes")</f>
        <v>1</v>
      </c>
      <c r="AG8" s="377">
        <f>COUNTIFS('Data By District'!$J$7:$J$441,$B8&amp;"-"&amp;"Yes",'Data By District'!$Y$7:$Y$441,$B8&amp;"-"&amp;"Dem")</f>
        <v>0</v>
      </c>
      <c r="AH8" s="377">
        <f>COUNTIFS('Data By District'!$J$7:$J$441,$B8&amp;"-"&amp;"Yes",'Data By District'!$Y$7:$Y$441,$B8&amp;"-"&amp;"Rep")</f>
        <v>1</v>
      </c>
      <c r="AI8" s="377">
        <f>COUNTIFS('Data By District'!$J$7:$J$441,$B8&amp;"-"&amp;"Yes",'Data By District'!$Y$7:$Y$441,$B8&amp;"-"&amp;"Dem",'Data By District'!$J$7:$J$441,$B8&amp;"-"&amp;"Yes",'Data By District'!$Z$7:$Z$441,$B8&amp;"-"&amp;W$6)+COUNTIFS('Data By District'!$J$7:$J$441,$B8&amp;"-"&amp;"Yes",'Data By District'!$Y$7:$Y$441,$B8&amp;"-"&amp;"Dem",'Data By District'!$J$7:$J$441,$B8&amp;"-"&amp;"Yes",'Data By District'!$Z$7:$Z$441,$B8&amp;"-"&amp;X$6)</f>
        <v>0</v>
      </c>
      <c r="AJ8" s="377">
        <f>COUNTIFS('Data By District'!$J$7:$J$441,$B8&amp;"-"&amp;"Yes",'Data By District'!$Y$7:$Y$441,$B8&amp;"-"&amp;"Rep",'Data By District'!$J$7:$J$441,$B8&amp;"-"&amp;"Yes",'Data By District'!$Z$7:$Z$441,$B8&amp;"-"&amp;W$6)+COUNTIFS('Data By District'!$J$7:$J$441,$B8&amp;"-"&amp;"Yes",'Data By District'!$Y$7:$Y$441,$B8&amp;"-"&amp;"Rep",'Data By District'!$J$7:$J$441,$B8&amp;"-"&amp;"Yes",'Data By District'!$Z$7:$Z$441,$B8&amp;"-"&amp;X$6)</f>
        <v>1</v>
      </c>
      <c r="AK8" s="376">
        <f>COUNTIF('Data By District'!$D$7:$D$441,$B8&amp;"-"&amp;"Yes")</f>
        <v>0</v>
      </c>
      <c r="AL8" s="377">
        <f>COUNTIF('Data By District'!$E$7:$E$441,$B8&amp;"-"&amp;"Yes")</f>
        <v>0</v>
      </c>
      <c r="AM8" s="377">
        <f>COUNTIF('Data By District'!$F$7:$F$441,$B8&amp;"-"&amp;"Yes")</f>
        <v>0</v>
      </c>
      <c r="AN8" s="377">
        <f>COUNTIF('Data By District'!$G$7:$G$441,$B8&amp;"-"&amp;"Yes")</f>
        <v>0</v>
      </c>
      <c r="AO8" s="377">
        <f>COUNTIF('Data By District'!$H$7:$H$441,$B8&amp;"-"&amp;"Yes")</f>
        <v>0</v>
      </c>
      <c r="AP8" s="74">
        <f t="shared" si="8"/>
        <v>7.2484698975768171E-3</v>
      </c>
      <c r="AQ8" s="60">
        <v>0.71072947639301898</v>
      </c>
      <c r="AR8" s="54">
        <f t="shared" ref="AR8:AR56" si="25">SUM(AS8:AU8)</f>
        <v>254335</v>
      </c>
      <c r="AS8" s="45">
        <f>SUMIF('Data By District'!$B$7:$B$441,$B8,'Data By District'!$O$7:$O$441)</f>
        <v>77606</v>
      </c>
      <c r="AT8" s="45">
        <f>SUMIF('Data By District'!$B$7:$B$441,$B8,'Data By District'!$P$7:$P$441)</f>
        <v>175384</v>
      </c>
      <c r="AU8" s="45">
        <f>SUMIF('Data By District'!$B$7:$B$441,$B8,'Data By District'!$Q$7:$Q$441)</f>
        <v>1345</v>
      </c>
      <c r="AV8" s="302">
        <f t="shared" si="9"/>
        <v>0.3051329938860165</v>
      </c>
      <c r="AW8" s="28">
        <f t="shared" si="10"/>
        <v>0.68957870525094855</v>
      </c>
      <c r="AX8" s="60">
        <f t="shared" si="11"/>
        <v>5.2883008630349735E-3</v>
      </c>
      <c r="AY8" s="29">
        <f>COUNTIF('Data By District'!$Y$7:$Y$441,$B8&amp;"-"&amp;AY$6)</f>
        <v>0</v>
      </c>
      <c r="AZ8" s="29">
        <f>COUNTIF('Data By District'!$Y$7:$Y$441,$B8&amp;"-"&amp;AZ$6)</f>
        <v>1</v>
      </c>
      <c r="BA8" s="29">
        <f>COUNTIF('Data By District'!$Y$7:$Y$441,$B8&amp;"-"&amp;BA$6)</f>
        <v>0</v>
      </c>
      <c r="BB8" s="298">
        <f t="shared" ref="BB8:BB56" si="26">AY8/$S8</f>
        <v>0</v>
      </c>
      <c r="BC8" s="28">
        <f t="shared" ref="BC8:BC57" si="27">AZ8/$S8</f>
        <v>1</v>
      </c>
      <c r="BD8" s="60">
        <f t="shared" ref="BD8:BD57" si="28">BA8/$S8</f>
        <v>0</v>
      </c>
      <c r="BE8" s="298">
        <f t="shared" si="12"/>
        <v>0.3051329938860165</v>
      </c>
      <c r="BF8" s="28">
        <f t="shared" si="13"/>
        <v>0.31042129474905145</v>
      </c>
      <c r="BG8" s="60">
        <f t="shared" si="14"/>
        <v>5.2883008630349735E-3</v>
      </c>
      <c r="BH8" s="54">
        <f t="shared" ref="BH8:BH56" si="29">AR8-BI8</f>
        <v>175384</v>
      </c>
      <c r="BI8" s="45">
        <f>'Data By District'!AE14</f>
        <v>78951</v>
      </c>
      <c r="BJ8" s="45">
        <f>SUMIF('Data By District'!$B$7:$B$441,'Data By State'!$B8,'Data By District'!$AA$7:$AA$441)</f>
        <v>77606</v>
      </c>
      <c r="BK8" s="45">
        <f>SUMIF('Data By District'!$B$7:$B$441,'Data By State'!$B8,'Data By District'!$AB$7:$AB$441)</f>
        <v>0</v>
      </c>
      <c r="BL8" s="54">
        <f>SUMIF('Data By District'!$B$7:$B$441,'Data By State'!$B8,'Data By District'!$AC$7:$AC$441)</f>
        <v>1345</v>
      </c>
      <c r="BM8" s="68">
        <f t="shared" ref="BM8:BM57" si="30">BI8/AR8</f>
        <v>0.31042129474905145</v>
      </c>
      <c r="BN8" s="28">
        <f t="shared" si="15"/>
        <v>1</v>
      </c>
      <c r="BO8" s="28">
        <f t="shared" si="16"/>
        <v>0</v>
      </c>
      <c r="BP8" s="60">
        <f t="shared" si="17"/>
        <v>1</v>
      </c>
    </row>
    <row r="9" spans="1:71">
      <c r="A9" s="21" t="s">
        <v>68</v>
      </c>
      <c r="B9" s="30" t="s">
        <v>2</v>
      </c>
      <c r="C9" s="410">
        <v>1727791</v>
      </c>
      <c r="D9" s="410">
        <v>4331851</v>
      </c>
      <c r="E9" s="29">
        <f t="shared" si="0"/>
        <v>19</v>
      </c>
      <c r="F9" s="29">
        <f t="shared" si="1"/>
        <v>10</v>
      </c>
      <c r="G9" s="77">
        <f t="shared" si="18"/>
        <v>11</v>
      </c>
      <c r="H9" s="29">
        <f t="shared" si="19"/>
        <v>9</v>
      </c>
      <c r="I9" s="29">
        <f t="shared" si="20"/>
        <v>44</v>
      </c>
      <c r="J9" s="29">
        <f>RANK(Q9,Q$7:Q$56,1)</f>
        <v>11</v>
      </c>
      <c r="K9" s="72">
        <f t="shared" si="22"/>
        <v>36</v>
      </c>
      <c r="L9" s="71">
        <f t="shared" si="2"/>
        <v>23.8</v>
      </c>
      <c r="M9" s="68">
        <f t="shared" si="23"/>
        <v>0.56102284682235948</v>
      </c>
      <c r="N9" s="37">
        <f>AVERAGE('Data By District'!V15:'Data By District'!V22)</f>
        <v>0.18925316626043787</v>
      </c>
      <c r="O9" s="33">
        <f t="shared" si="3"/>
        <v>0.375</v>
      </c>
      <c r="P9" s="33">
        <f>SUMIF('Data By District'!$B$7:$B$441,B9,'Data By District'!$T$7:$T$441)/D9</f>
        <v>0.2194073618875626</v>
      </c>
      <c r="Q9" s="33">
        <f t="shared" si="4"/>
        <v>6.9447323402889616E-2</v>
      </c>
      <c r="R9" s="74">
        <f t="shared" si="5"/>
        <v>0.39201371422978304</v>
      </c>
      <c r="S9" s="73">
        <f t="shared" si="6"/>
        <v>8</v>
      </c>
      <c r="T9" s="29">
        <f>COUNTIF('Data By District'!$Z$7:$Z$441,$B9&amp;"-"&amp;T$6)</f>
        <v>1</v>
      </c>
      <c r="U9" s="29">
        <f>COUNTIF('Data By District'!$Z$7:$Z$441,$B9&amp;"-"&amp;U$6)</f>
        <v>3</v>
      </c>
      <c r="V9" s="29">
        <f>COUNTIF('Data By District'!$Z$7:$Z$441,$B9&amp;"-"&amp;V$6)</f>
        <v>1</v>
      </c>
      <c r="W9" s="29">
        <f>COUNTIF('Data By District'!$Z$7:$Z$441,$B9&amp;"-"&amp;W$6)</f>
        <v>2</v>
      </c>
      <c r="X9" s="29">
        <f>COUNTIF('Data By District'!$Z$7:$Z$441,$B9&amp;"-"&amp;X$6)-(Y9)</f>
        <v>1</v>
      </c>
      <c r="Y9" s="29">
        <f>COUNTIF('Data By District'!$X$7:$X$441,$B9&amp;"-"&amp;"Yes")</f>
        <v>0</v>
      </c>
      <c r="Z9" s="402">
        <f t="shared" si="7"/>
        <v>0</v>
      </c>
      <c r="AA9" s="404">
        <f>COUNTIF('Data By District'!$L$7:$L$441, $B9&amp;"-"&amp;1)</f>
        <v>2</v>
      </c>
      <c r="AB9" s="376">
        <f>COUNTIFS('Data By District'!$J$7:$J$441,$B9&amp;"-"&amp;"Yes",'Data By District'!$Z$7:$Z$441,$B9&amp;"-"&amp;X$6)+COUNTIFS('Data By District'!$J$7:$J$441,$B9&amp;"-"&amp;"Yes",'Data By District'!$Z$7:$Z$441,$B9&amp;"-"&amp;W$6)</f>
        <v>3</v>
      </c>
      <c r="AC9" s="373">
        <f t="shared" ref="AC9:AC57" si="31">AB9/AD9</f>
        <v>0.6</v>
      </c>
      <c r="AD9" s="377">
        <f>COUNTIF('Data By District'!$J$7:$J$441,$B9&amp;"-"&amp;"Yes")</f>
        <v>5</v>
      </c>
      <c r="AE9" s="377">
        <f t="shared" si="24"/>
        <v>2</v>
      </c>
      <c r="AF9" s="377">
        <f>COUNTIF('Data By District'!$I$7:$I$441,$B9&amp;"-"&amp;"Yes")</f>
        <v>7</v>
      </c>
      <c r="AG9" s="377">
        <f>COUNTIFS('Data By District'!$J$7:$J$441,$B9&amp;"-"&amp;"Yes",'Data By District'!$Y$7:$Y$441,$B9&amp;"-"&amp;"Dem")</f>
        <v>3</v>
      </c>
      <c r="AH9" s="377">
        <f>COUNTIFS('Data By District'!$J$7:$J$441,$B9&amp;"-"&amp;"Yes",'Data By District'!$Y$7:$Y$441,$B9&amp;"-"&amp;"Rep")</f>
        <v>2</v>
      </c>
      <c r="AI9" s="377">
        <f>COUNTIFS('Data By District'!$J$7:$J$441,$B9&amp;"-"&amp;"Yes",'Data By District'!$Y$7:$Y$441,$B9&amp;"-"&amp;"Dem",'Data By District'!$J$7:$J$441,$B9&amp;"-"&amp;"Yes",'Data By District'!$Z$7:$Z$441,$B9&amp;"-"&amp;W$6)+COUNTIFS('Data By District'!$J$7:$J$441,$B9&amp;"-"&amp;"Yes",'Data By District'!$Y$7:$Y$441,$B9&amp;"-"&amp;"Dem",'Data By District'!$J$7:$J$441,$B9&amp;"-"&amp;"Yes",'Data By District'!$Z$7:$Z$441,$B9&amp;"-"&amp;X$6)</f>
        <v>1</v>
      </c>
      <c r="AJ9" s="377">
        <f>COUNTIFS('Data By District'!$J$7:$J$441,$B9&amp;"-"&amp;"Yes",'Data By District'!$Y$7:$Y$441,$B9&amp;"-"&amp;"Rep",'Data By District'!$J$7:$J$441,$B9&amp;"-"&amp;"Yes",'Data By District'!$Z$7:$Z$441,$B9&amp;"-"&amp;W$6)+COUNTIFS('Data By District'!$J$7:$J$441,$B9&amp;"-"&amp;"Yes",'Data By District'!$Y$7:$Y$441,$B9&amp;"-"&amp;"Rep",'Data By District'!$J$7:$J$441,$B9&amp;"-"&amp;"Yes",'Data By District'!$Z$7:$Z$441,$B9&amp;"-"&amp;X$6)</f>
        <v>2</v>
      </c>
      <c r="AK9" s="376">
        <f>COUNTIF('Data By District'!$D$7:$D$441,$B9&amp;"-"&amp;"Yes")</f>
        <v>1</v>
      </c>
      <c r="AL9" s="377">
        <f>COUNTIF('Data By District'!$E$7:$E$441,$B9&amp;"-"&amp;"Yes")</f>
        <v>0</v>
      </c>
      <c r="AM9" s="377">
        <f>COUNTIF('Data By District'!$F$7:$F$441,$B9&amp;"-"&amp;"Yes")</f>
        <v>2</v>
      </c>
      <c r="AN9" s="377">
        <f>COUNTIF('Data By District'!$G$7:$G$441,$B9&amp;"-"&amp;"Yes")</f>
        <v>0</v>
      </c>
      <c r="AO9" s="377">
        <f>COUNTIF('Data By District'!$H$7:$H$441,$B9&amp;"-"&amp;"Yes")</f>
        <v>0</v>
      </c>
      <c r="AP9" s="74">
        <f t="shared" si="8"/>
        <v>1.7158325283555709E-2</v>
      </c>
      <c r="AQ9" s="60">
        <v>0.65527172853062743</v>
      </c>
      <c r="AR9" s="54">
        <f t="shared" si="25"/>
        <v>1698145</v>
      </c>
      <c r="AS9" s="45">
        <f>SUMIF('Data By District'!$B$7:$B$441,$B9,'Data By District'!$O$7:$O$441)</f>
        <v>711837</v>
      </c>
      <c r="AT9" s="45">
        <f>SUMIF('Data By District'!$B$7:$B$441,$B9,'Data By District'!$P$7:$P$441)</f>
        <v>900510</v>
      </c>
      <c r="AU9" s="45">
        <f>SUMIF('Data By District'!$B$7:$B$441,$B9,'Data By District'!$Q$7:$Q$441)</f>
        <v>85798</v>
      </c>
      <c r="AV9" s="302">
        <f t="shared" si="9"/>
        <v>0.41918505192430566</v>
      </c>
      <c r="AW9" s="28">
        <f t="shared" si="10"/>
        <v>0.53029040511852643</v>
      </c>
      <c r="AX9" s="60">
        <f t="shared" si="11"/>
        <v>5.0524542957167969E-2</v>
      </c>
      <c r="AY9" s="29">
        <f>COUNTIF('Data By District'!$Y$7:$Y$441,$B9&amp;"-"&amp;AY$6)</f>
        <v>3</v>
      </c>
      <c r="AZ9" s="29">
        <f>COUNTIF('Data By District'!$Y$7:$Y$441,$B9&amp;"-"&amp;AZ$6)</f>
        <v>5</v>
      </c>
      <c r="BA9" s="29">
        <f>COUNTIF('Data By District'!$Y$7:$Y$441,$B9&amp;"-"&amp;BA$6)</f>
        <v>0</v>
      </c>
      <c r="BB9" s="298">
        <f t="shared" si="26"/>
        <v>0.375</v>
      </c>
      <c r="BC9" s="28">
        <f t="shared" si="27"/>
        <v>0.625</v>
      </c>
      <c r="BD9" s="60">
        <f t="shared" si="28"/>
        <v>0</v>
      </c>
      <c r="BE9" s="298">
        <f t="shared" si="12"/>
        <v>4.4185051924305663E-2</v>
      </c>
      <c r="BF9" s="28">
        <f t="shared" si="13"/>
        <v>9.4709594881473569E-2</v>
      </c>
      <c r="BG9" s="60">
        <f t="shared" si="14"/>
        <v>5.0524542957167969E-2</v>
      </c>
      <c r="BH9" s="54">
        <f t="shared" si="29"/>
        <v>950440</v>
      </c>
      <c r="BI9" s="45">
        <f>'Data By District'!AE22</f>
        <v>747705</v>
      </c>
      <c r="BJ9" s="45">
        <f>SUMIF('Data By District'!$B$7:$B$441,'Data By State'!$B9,'Data By District'!$AA$7:$AA$441)</f>
        <v>432098</v>
      </c>
      <c r="BK9" s="45">
        <f>SUMIF('Data By District'!$B$7:$B$441,'Data By State'!$B9,'Data By District'!$AB$7:$AB$441)</f>
        <v>229809</v>
      </c>
      <c r="BL9" s="54">
        <f>SUMIF('Data By District'!$B$7:$B$441,'Data By State'!$B9,'Data By District'!$AC$7:$AC$441)</f>
        <v>85798</v>
      </c>
      <c r="BM9" s="68">
        <f t="shared" si="30"/>
        <v>0.44030692314260561</v>
      </c>
      <c r="BN9" s="28">
        <f t="shared" si="15"/>
        <v>0.60701817972372885</v>
      </c>
      <c r="BO9" s="28">
        <f t="shared" si="16"/>
        <v>0.25519872072492256</v>
      </c>
      <c r="BP9" s="60">
        <f t="shared" si="17"/>
        <v>1</v>
      </c>
    </row>
    <row r="10" spans="1:71">
      <c r="A10" s="21" t="s">
        <v>69</v>
      </c>
      <c r="B10" s="30" t="s">
        <v>3</v>
      </c>
      <c r="C10" s="410">
        <v>781333</v>
      </c>
      <c r="D10" s="410">
        <v>2079647</v>
      </c>
      <c r="E10" s="29">
        <f t="shared" si="0"/>
        <v>34</v>
      </c>
      <c r="F10" s="29">
        <f t="shared" si="1"/>
        <v>18</v>
      </c>
      <c r="G10" s="77">
        <f t="shared" si="18"/>
        <v>15</v>
      </c>
      <c r="H10" s="29">
        <f t="shared" si="19"/>
        <v>15</v>
      </c>
      <c r="I10" s="29">
        <f t="shared" si="20"/>
        <v>42</v>
      </c>
      <c r="J10" s="29">
        <f t="shared" si="21"/>
        <v>30</v>
      </c>
      <c r="K10" s="72">
        <f t="shared" si="22"/>
        <v>41</v>
      </c>
      <c r="L10" s="71">
        <f t="shared" si="2"/>
        <v>28.8</v>
      </c>
      <c r="M10" s="68">
        <f t="shared" si="23"/>
        <v>0.50897487967619637</v>
      </c>
      <c r="N10" s="37">
        <f>AVERAGE('Data By District'!V23:'Data By District'!V26)</f>
        <v>0.22949712364039687</v>
      </c>
      <c r="O10" s="33">
        <f t="shared" si="3"/>
        <v>0.5</v>
      </c>
      <c r="P10" s="33">
        <f>SUMIF('Data By District'!$B$7:$B$441,B10,'Data By District'!$T$7:$T$441)/D10</f>
        <v>0.22425680896806044</v>
      </c>
      <c r="Q10" s="33">
        <f t="shared" si="4"/>
        <v>0.17414209591474245</v>
      </c>
      <c r="R10" s="74">
        <f t="shared" si="5"/>
        <v>0.37223865396386985</v>
      </c>
      <c r="S10" s="73">
        <f t="shared" si="6"/>
        <v>4</v>
      </c>
      <c r="T10" s="29">
        <f>COUNTIF('Data By District'!$Z$7:$Z$441,$B10&amp;"-"&amp;T$6)</f>
        <v>0</v>
      </c>
      <c r="U10" s="29">
        <f>COUNTIF('Data By District'!$Z$7:$Z$441,$B10&amp;"-"&amp;U$6)</f>
        <v>1</v>
      </c>
      <c r="V10" s="29">
        <f>COUNTIF('Data By District'!$Z$7:$Z$441,$B10&amp;"-"&amp;V$6)</f>
        <v>1</v>
      </c>
      <c r="W10" s="29">
        <f>COUNTIF('Data By District'!$Z$7:$Z$441,$B10&amp;"-"&amp;W$6)</f>
        <v>1</v>
      </c>
      <c r="X10" s="29">
        <f>COUNTIF('Data By District'!$Z$7:$Z$441,$B10&amp;"-"&amp;X$6)-(Y10)</f>
        <v>1</v>
      </c>
      <c r="Y10" s="29">
        <f>COUNTIF('Data By District'!$X$7:$X$441,$B10&amp;"-"&amp;"Yes")</f>
        <v>0</v>
      </c>
      <c r="Z10" s="402">
        <f t="shared" si="7"/>
        <v>0</v>
      </c>
      <c r="AA10" s="404">
        <f>COUNTIF('Data By District'!$L$7:$L$441, $B10&amp;"-"&amp;1)</f>
        <v>2</v>
      </c>
      <c r="AB10" s="376">
        <f>COUNTIFS('Data By District'!$J$7:$J$441,$B10&amp;"-"&amp;"Yes",'Data By District'!$Z$7:$Z$441,$B10&amp;"-"&amp;X$6)+COUNTIFS('Data By District'!$J$7:$J$441,$B10&amp;"-"&amp;"Yes",'Data By District'!$Z$7:$Z$441,$B10&amp;"-"&amp;W$6)</f>
        <v>0</v>
      </c>
      <c r="AC10" s="373">
        <f t="shared" si="31"/>
        <v>0</v>
      </c>
      <c r="AD10" s="377">
        <f>COUNTIF('Data By District'!$J$7:$J$441,$B10&amp;"-"&amp;"Yes")</f>
        <v>1</v>
      </c>
      <c r="AE10" s="377">
        <f t="shared" si="24"/>
        <v>0</v>
      </c>
      <c r="AF10" s="377">
        <f>COUNTIF('Data By District'!$I$7:$I$441,$B10&amp;"-"&amp;"Yes")</f>
        <v>1</v>
      </c>
      <c r="AG10" s="377">
        <f>COUNTIFS('Data By District'!$J$7:$J$441,$B10&amp;"-"&amp;"Yes",'Data By District'!$Y$7:$Y$441,$B10&amp;"-"&amp;"Dem")</f>
        <v>1</v>
      </c>
      <c r="AH10" s="377">
        <f>COUNTIFS('Data By District'!$J$7:$J$441,$B10&amp;"-"&amp;"Yes",'Data By District'!$Y$7:$Y$441,$B10&amp;"-"&amp;"Rep")</f>
        <v>0</v>
      </c>
      <c r="AI10" s="377">
        <f>COUNTIFS('Data By District'!$J$7:$J$441,$B10&amp;"-"&amp;"Yes",'Data By District'!$Y$7:$Y$441,$B10&amp;"-"&amp;"Dem",'Data By District'!$J$7:$J$441,$B10&amp;"-"&amp;"Yes",'Data By District'!$Z$7:$Z$441,$B10&amp;"-"&amp;W$6)+COUNTIFS('Data By District'!$J$7:$J$441,$B10&amp;"-"&amp;"Yes",'Data By District'!$Y$7:$Y$441,$B10&amp;"-"&amp;"Dem",'Data By District'!$J$7:$J$441,$B10&amp;"-"&amp;"Yes",'Data By District'!$Z$7:$Z$441,$B10&amp;"-"&amp;X$6)</f>
        <v>0</v>
      </c>
      <c r="AJ10" s="377">
        <f>COUNTIFS('Data By District'!$J$7:$J$441,$B10&amp;"-"&amp;"Yes",'Data By District'!$Y$7:$Y$441,$B10&amp;"-"&amp;"Rep",'Data By District'!$J$7:$J$441,$B10&amp;"-"&amp;"Yes",'Data By District'!$Z$7:$Z$441,$B10&amp;"-"&amp;W$6)+COUNTIFS('Data By District'!$J$7:$J$441,$B10&amp;"-"&amp;"Yes",'Data By District'!$Y$7:$Y$441,$B10&amp;"-"&amp;"Rep",'Data By District'!$J$7:$J$441,$B10&amp;"-"&amp;"Yes",'Data By District'!$Z$7:$Z$441,$B10&amp;"-"&amp;X$6)</f>
        <v>0</v>
      </c>
      <c r="AK10" s="376">
        <f>COUNTIF('Data By District'!$D$7:$D$441,$B10&amp;"-"&amp;"Yes")</f>
        <v>0</v>
      </c>
      <c r="AL10" s="377">
        <f>COUNTIF('Data By District'!$E$7:$E$441,$B10&amp;"-"&amp;"Yes")</f>
        <v>0</v>
      </c>
      <c r="AM10" s="377">
        <f>COUNTIF('Data By District'!$F$7:$F$441,$B10&amp;"-"&amp;"Yes")</f>
        <v>0</v>
      </c>
      <c r="AN10" s="377">
        <f>COUNTIF('Data By District'!$G$7:$G$441,$B10&amp;"-"&amp;"Yes")</f>
        <v>0</v>
      </c>
      <c r="AO10" s="377">
        <f>COUNTIF('Data By District'!$H$7:$H$441,$B10&amp;"-"&amp;"Yes")</f>
        <v>0</v>
      </c>
      <c r="AP10" s="74">
        <f t="shared" si="8"/>
        <v>9.2252599083873336E-3</v>
      </c>
      <c r="AQ10" s="60">
        <v>0.61034617037954841</v>
      </c>
      <c r="AR10" s="54">
        <f t="shared" si="25"/>
        <v>774125</v>
      </c>
      <c r="AS10" s="45">
        <f>SUMIF('Data By District'!$B$7:$B$441,$B10,'Data By District'!$O$7:$O$441)</f>
        <v>317975</v>
      </c>
      <c r="AT10" s="45">
        <f>SUMIF('Data By District'!$B$7:$B$441,$B10,'Data By District'!$P$7:$P$441)</f>
        <v>435422</v>
      </c>
      <c r="AU10" s="45">
        <f>SUMIF('Data By District'!$B$7:$B$441,$B10,'Data By District'!$Q$7:$Q$441)</f>
        <v>20728</v>
      </c>
      <c r="AV10" s="302">
        <f t="shared" si="9"/>
        <v>0.41075407718391732</v>
      </c>
      <c r="AW10" s="28">
        <f t="shared" si="10"/>
        <v>0.56246988535443243</v>
      </c>
      <c r="AX10" s="60">
        <f t="shared" si="11"/>
        <v>2.6776037461650252E-2</v>
      </c>
      <c r="AY10" s="29">
        <f>COUNTIF('Data By District'!$Y$7:$Y$441,$B10&amp;"-"&amp;AY$6)</f>
        <v>1</v>
      </c>
      <c r="AZ10" s="29">
        <f>COUNTIF('Data By District'!$Y$7:$Y$441,$B10&amp;"-"&amp;AZ$6)</f>
        <v>3</v>
      </c>
      <c r="BA10" s="29">
        <f>COUNTIF('Data By District'!$Y$7:$Y$441,$B10&amp;"-"&amp;BA$6)</f>
        <v>0</v>
      </c>
      <c r="BB10" s="298">
        <f t="shared" si="26"/>
        <v>0.25</v>
      </c>
      <c r="BC10" s="28">
        <f t="shared" si="27"/>
        <v>0.75</v>
      </c>
      <c r="BD10" s="60">
        <f t="shared" si="28"/>
        <v>0</v>
      </c>
      <c r="BE10" s="298">
        <f t="shared" si="12"/>
        <v>0.16075407718391732</v>
      </c>
      <c r="BF10" s="28">
        <f t="shared" si="13"/>
        <v>0.18753011464556757</v>
      </c>
      <c r="BG10" s="60">
        <f t="shared" si="14"/>
        <v>2.6776037461650252E-2</v>
      </c>
      <c r="BH10" s="54">
        <f t="shared" si="29"/>
        <v>466375</v>
      </c>
      <c r="BI10" s="45">
        <f>'Data By District'!AE26</f>
        <v>307750</v>
      </c>
      <c r="BJ10" s="45">
        <f>SUMIF('Data By District'!$B$7:$B$441,'Data By State'!$B10,'Data By District'!$AA$7:$AA$441)</f>
        <v>215496</v>
      </c>
      <c r="BK10" s="45">
        <f>SUMIF('Data By District'!$B$7:$B$441,'Data By State'!$B10,'Data By District'!$AB$7:$AB$441)</f>
        <v>71526</v>
      </c>
      <c r="BL10" s="54">
        <f>SUMIF('Data By District'!$B$7:$B$441,'Data By State'!$B10,'Data By District'!$AC$7:$AC$441)</f>
        <v>20728</v>
      </c>
      <c r="BM10" s="68">
        <f t="shared" si="30"/>
        <v>0.39754561601808491</v>
      </c>
      <c r="BN10" s="28">
        <f t="shared" si="15"/>
        <v>0.67771365673401995</v>
      </c>
      <c r="BO10" s="28">
        <f t="shared" si="16"/>
        <v>0.16426822714516032</v>
      </c>
      <c r="BP10" s="60">
        <f t="shared" si="17"/>
        <v>1</v>
      </c>
    </row>
    <row r="11" spans="1:71">
      <c r="A11" s="21" t="s">
        <v>70</v>
      </c>
      <c r="B11" s="30" t="s">
        <v>4</v>
      </c>
      <c r="C11" s="410">
        <v>10095485</v>
      </c>
      <c r="D11" s="410">
        <v>22882532</v>
      </c>
      <c r="E11" s="29">
        <f t="shared" si="0"/>
        <v>24</v>
      </c>
      <c r="F11" s="29">
        <f t="shared" si="1"/>
        <v>37</v>
      </c>
      <c r="G11" s="77">
        <f t="shared" si="18"/>
        <v>39</v>
      </c>
      <c r="H11" s="29">
        <f t="shared" si="19"/>
        <v>40</v>
      </c>
      <c r="I11" s="29">
        <f t="shared" si="20"/>
        <v>15</v>
      </c>
      <c r="J11" s="29">
        <f t="shared" si="21"/>
        <v>15</v>
      </c>
      <c r="K11" s="72">
        <f t="shared" si="22"/>
        <v>26</v>
      </c>
      <c r="L11" s="71">
        <f t="shared" si="2"/>
        <v>24.8</v>
      </c>
      <c r="M11" s="68">
        <f t="shared" si="23"/>
        <v>0.4607220717215606</v>
      </c>
      <c r="N11" s="37">
        <f>AVERAGE('Data By District'!V27:'Data By District'!V79)</f>
        <v>0.36145843388129217</v>
      </c>
      <c r="O11" s="33">
        <f t="shared" si="3"/>
        <v>0.79245283018867929</v>
      </c>
      <c r="P11" s="33">
        <f>SUMIF('Data By District'!$B$7:$B$441,B11,'Data By District'!$T$7:$T$441)/D11</f>
        <v>0.2748212479283324</v>
      </c>
      <c r="Q11" s="33">
        <f t="shared" si="4"/>
        <v>9.2120873178890589E-2</v>
      </c>
      <c r="R11" s="74">
        <f t="shared" si="5"/>
        <v>0.4216234025150713</v>
      </c>
      <c r="S11" s="73">
        <f t="shared" si="6"/>
        <v>53</v>
      </c>
      <c r="T11" s="29">
        <f>COUNTIF('Data By District'!$Z$7:$Z$441,$B11&amp;"-"&amp;T$6)</f>
        <v>2</v>
      </c>
      <c r="U11" s="29">
        <f>COUNTIF('Data By District'!$Z$7:$Z$441,$B11&amp;"-"&amp;U$6)</f>
        <v>2</v>
      </c>
      <c r="V11" s="29">
        <f>COUNTIF('Data By District'!$Z$7:$Z$441,$B11&amp;"-"&amp;V$6)</f>
        <v>7</v>
      </c>
      <c r="W11" s="29">
        <f>COUNTIF('Data By District'!$Z$7:$Z$441,$B11&amp;"-"&amp;W$6)</f>
        <v>25</v>
      </c>
      <c r="X11" s="29">
        <f>COUNTIF('Data By District'!$Z$7:$Z$441,$B11&amp;"-"&amp;X$6)-(Y11)</f>
        <v>15</v>
      </c>
      <c r="Y11" s="29">
        <f>COUNTIF('Data By District'!$X$7:$X$441,$B11&amp;"-"&amp;"Yes")</f>
        <v>2</v>
      </c>
      <c r="Z11" s="402">
        <f t="shared" si="7"/>
        <v>3.7735849056603772E-2</v>
      </c>
      <c r="AA11" s="404">
        <f>COUNTIF('Data By District'!$L$7:$L$441, $B11&amp;"-"&amp;1)</f>
        <v>0</v>
      </c>
      <c r="AB11" s="376">
        <f>COUNTIFS('Data By District'!$J$7:$J$441,$B11&amp;"-"&amp;"Yes",'Data By District'!$Z$7:$Z$441,$B11&amp;"-"&amp;X$6)+COUNTIFS('Data By District'!$J$7:$J$441,$B11&amp;"-"&amp;"Yes",'Data By District'!$Z$7:$Z$441,$B11&amp;"-"&amp;W$6)</f>
        <v>40</v>
      </c>
      <c r="AC11" s="373">
        <f t="shared" si="31"/>
        <v>0.78431372549019607</v>
      </c>
      <c r="AD11" s="377">
        <f>COUNTIF('Data By District'!$J$7:$J$441,$B11&amp;"-"&amp;"Yes")</f>
        <v>51</v>
      </c>
      <c r="AE11" s="377">
        <f t="shared" si="24"/>
        <v>0</v>
      </c>
      <c r="AF11" s="377">
        <f>COUNTIF('Data By District'!$I$7:$I$441,$B11&amp;"-"&amp;"Yes")</f>
        <v>51</v>
      </c>
      <c r="AG11" s="377">
        <f>COUNTIFS('Data By District'!$J$7:$J$441,$B11&amp;"-"&amp;"Yes",'Data By District'!$Y$7:$Y$441,$B11&amp;"-"&amp;"Dem")</f>
        <v>33</v>
      </c>
      <c r="AH11" s="377">
        <f>COUNTIFS('Data By District'!$J$7:$J$441,$B11&amp;"-"&amp;"Yes",'Data By District'!$Y$7:$Y$441,$B11&amp;"-"&amp;"Rep")</f>
        <v>18</v>
      </c>
      <c r="AI11" s="377">
        <f>COUNTIFS('Data By District'!$J$7:$J$441,$B11&amp;"-"&amp;"Yes",'Data By District'!$Y$7:$Y$441,$B11&amp;"-"&amp;"Dem",'Data By District'!$J$7:$J$441,$B11&amp;"-"&amp;"Yes",'Data By District'!$Z$7:$Z$441,$B11&amp;"-"&amp;W$6)+COUNTIFS('Data By District'!$J$7:$J$441,$B11&amp;"-"&amp;"Yes",'Data By District'!$Y$7:$Y$441,$B11&amp;"-"&amp;"Dem",'Data By District'!$J$7:$J$441,$B11&amp;"-"&amp;"Yes",'Data By District'!$Z$7:$Z$441,$B11&amp;"-"&amp;X$6)</f>
        <v>29</v>
      </c>
      <c r="AJ11" s="377">
        <f>COUNTIFS('Data By District'!$J$7:$J$441,$B11&amp;"-"&amp;"Yes",'Data By District'!$Y$7:$Y$441,$B11&amp;"-"&amp;"Rep",'Data By District'!$J$7:$J$441,$B11&amp;"-"&amp;"Yes",'Data By District'!$Z$7:$Z$441,$B11&amp;"-"&amp;W$6)+COUNTIFS('Data By District'!$J$7:$J$441,$B11&amp;"-"&amp;"Yes",'Data By District'!$Y$7:$Y$441,$B11&amp;"-"&amp;"Rep",'Data By District'!$J$7:$J$441,$B11&amp;"-"&amp;"Yes",'Data By District'!$Z$7:$Z$441,$B11&amp;"-"&amp;X$6)</f>
        <v>11</v>
      </c>
      <c r="AK11" s="376">
        <f>COUNTIF('Data By District'!$D$7:$D$441,$B11&amp;"-"&amp;"Yes")</f>
        <v>19</v>
      </c>
      <c r="AL11" s="377">
        <f>COUNTIF('Data By District'!$E$7:$E$441,$B11&amp;"-"&amp;"Yes")</f>
        <v>4</v>
      </c>
      <c r="AM11" s="377">
        <f>COUNTIF('Data By District'!$F$7:$F$441,$B11&amp;"-"&amp;"Yes")</f>
        <v>6</v>
      </c>
      <c r="AN11" s="377">
        <f>COUNTIF('Data By District'!$G$7:$G$441,$B11&amp;"-"&amp;"Yes")</f>
        <v>3</v>
      </c>
      <c r="AO11" s="377">
        <f>COUNTIF('Data By District'!$H$7:$H$441,$B11&amp;"-"&amp;"Yes")</f>
        <v>0</v>
      </c>
      <c r="AP11" s="74">
        <f t="shared" si="8"/>
        <v>4.4343981492716796E-2</v>
      </c>
      <c r="AQ11" s="60">
        <v>0.69022320071667043</v>
      </c>
      <c r="AR11" s="54">
        <f t="shared" si="25"/>
        <v>9647811</v>
      </c>
      <c r="AS11" s="45">
        <f>SUMIF('Data By District'!$B$7:$B$441,$B11,'Data By District'!$O$7:$O$441)</f>
        <v>5148511</v>
      </c>
      <c r="AT11" s="45">
        <f>SUMIF('Data By District'!$B$7:$B$441,$B11,'Data By District'!$P$7:$P$441)</f>
        <v>4195528</v>
      </c>
      <c r="AU11" s="45">
        <f>SUMIF('Data By District'!$B$7:$B$441,$B11,'Data By District'!$Q$7:$Q$441)</f>
        <v>303772</v>
      </c>
      <c r="AV11" s="302">
        <f t="shared" si="9"/>
        <v>0.53364550777373232</v>
      </c>
      <c r="AW11" s="28">
        <f t="shared" si="10"/>
        <v>0.4348683862069852</v>
      </c>
      <c r="AX11" s="60">
        <f t="shared" si="11"/>
        <v>3.1486106019282506E-2</v>
      </c>
      <c r="AY11" s="29">
        <f>COUNTIF('Data By District'!$Y$7:$Y$441,$B11&amp;"-"&amp;AY$6)</f>
        <v>34</v>
      </c>
      <c r="AZ11" s="29">
        <f>COUNTIF('Data By District'!$Y$7:$Y$441,$B11&amp;"-"&amp;AZ$6)</f>
        <v>19</v>
      </c>
      <c r="BA11" s="29">
        <f>COUNTIF('Data By District'!$Y$7:$Y$441,$B11&amp;"-"&amp;BA$6)</f>
        <v>0</v>
      </c>
      <c r="BB11" s="298">
        <f t="shared" si="26"/>
        <v>0.64150943396226412</v>
      </c>
      <c r="BC11" s="28">
        <f t="shared" si="27"/>
        <v>0.35849056603773582</v>
      </c>
      <c r="BD11" s="60">
        <f t="shared" si="28"/>
        <v>0</v>
      </c>
      <c r="BE11" s="298">
        <f t="shared" si="12"/>
        <v>0.1078639261885318</v>
      </c>
      <c r="BF11" s="28">
        <f t="shared" si="13"/>
        <v>7.6377820169249377E-2</v>
      </c>
      <c r="BG11" s="60">
        <f t="shared" si="14"/>
        <v>3.1486106019282506E-2</v>
      </c>
      <c r="BH11" s="54">
        <f t="shared" si="29"/>
        <v>6288606</v>
      </c>
      <c r="BI11" s="45">
        <f>'Data By District'!AE79</f>
        <v>3359205</v>
      </c>
      <c r="BJ11" s="45">
        <f>SUMIF('Data By District'!$B$7:$B$441,'Data By State'!$B11,'Data By District'!$AA$7:$AA$441)</f>
        <v>1395833</v>
      </c>
      <c r="BK11" s="45">
        <f>SUMIF('Data By District'!$B$7:$B$441,'Data By State'!$B11,'Data By District'!$AB$7:$AB$441)</f>
        <v>1659600</v>
      </c>
      <c r="BL11" s="54">
        <f>SUMIF('Data By District'!$B$7:$B$441,'Data By State'!$B11,'Data By District'!$AC$7:$AC$441)</f>
        <v>303772</v>
      </c>
      <c r="BM11" s="68">
        <f t="shared" si="30"/>
        <v>0.34818312672169882</v>
      </c>
      <c r="BN11" s="28">
        <f t="shared" si="15"/>
        <v>0.2711139201217595</v>
      </c>
      <c r="BO11" s="28">
        <f t="shared" si="16"/>
        <v>0.39556403866211831</v>
      </c>
      <c r="BP11" s="60">
        <f t="shared" si="17"/>
        <v>1</v>
      </c>
    </row>
    <row r="12" spans="1:71">
      <c r="A12" s="21" t="s">
        <v>71</v>
      </c>
      <c r="B12" s="30" t="s">
        <v>5</v>
      </c>
      <c r="C12" s="410">
        <v>1787730</v>
      </c>
      <c r="D12" s="410">
        <v>3578616</v>
      </c>
      <c r="E12" s="29">
        <f t="shared" si="0"/>
        <v>3</v>
      </c>
      <c r="F12" s="29">
        <f t="shared" si="1"/>
        <v>12</v>
      </c>
      <c r="G12" s="77">
        <f t="shared" si="18"/>
        <v>16</v>
      </c>
      <c r="H12" s="29">
        <f t="shared" si="19"/>
        <v>22</v>
      </c>
      <c r="I12" s="29">
        <f t="shared" si="20"/>
        <v>10</v>
      </c>
      <c r="J12" s="29">
        <f t="shared" si="21"/>
        <v>7</v>
      </c>
      <c r="K12" s="72">
        <f t="shared" si="22"/>
        <v>10</v>
      </c>
      <c r="L12" s="71">
        <f t="shared" si="2"/>
        <v>13</v>
      </c>
      <c r="M12" s="68">
        <f t="shared" si="23"/>
        <v>0.54577890835625531</v>
      </c>
      <c r="N12" s="37">
        <f>AVERAGE('Data By District'!V80:'Data By District'!V86)</f>
        <v>0.23280081449808956</v>
      </c>
      <c r="O12" s="33">
        <f t="shared" si="3"/>
        <v>0.5714285714285714</v>
      </c>
      <c r="P12" s="33">
        <f>SUMIF('Data By District'!$B$7:$B$441,B12,'Data By District'!$T$7:$T$441)/D12</f>
        <v>0.2904888370252634</v>
      </c>
      <c r="Q12" s="33">
        <f t="shared" si="4"/>
        <v>4.7853746342589071E-2</v>
      </c>
      <c r="R12" s="74">
        <f t="shared" si="5"/>
        <v>0.49269102915764085</v>
      </c>
      <c r="S12" s="73">
        <f t="shared" si="6"/>
        <v>7</v>
      </c>
      <c r="T12" s="29">
        <f>COUNTIF('Data By District'!$Z$7:$Z$441,$B12&amp;"-"&amp;T$6)</f>
        <v>1</v>
      </c>
      <c r="U12" s="29">
        <f>COUNTIF('Data By District'!$Z$7:$Z$441,$B12&amp;"-"&amp;U$6)</f>
        <v>0</v>
      </c>
      <c r="V12" s="29">
        <f>COUNTIF('Data By District'!$Z$7:$Z$441,$B12&amp;"-"&amp;V$6)</f>
        <v>2</v>
      </c>
      <c r="W12" s="29">
        <f>COUNTIF('Data By District'!$Z$7:$Z$441,$B12&amp;"-"&amp;W$6)</f>
        <v>3</v>
      </c>
      <c r="X12" s="29">
        <f>COUNTIF('Data By District'!$Z$7:$Z$441,$B12&amp;"-"&amp;X$6)-(Y12)</f>
        <v>1</v>
      </c>
      <c r="Y12" s="29">
        <f>COUNTIF('Data By District'!$X$7:$X$441,$B12&amp;"-"&amp;"Yes")</f>
        <v>0</v>
      </c>
      <c r="Z12" s="402">
        <f t="shared" si="7"/>
        <v>0</v>
      </c>
      <c r="AA12" s="404">
        <f>COUNTIF('Data By District'!$L$7:$L$441, $B12&amp;"-"&amp;1)</f>
        <v>2</v>
      </c>
      <c r="AB12" s="376">
        <f>COUNTIFS('Data By District'!$J$7:$J$441,$B12&amp;"-"&amp;"Yes",'Data By District'!$Z$7:$Z$441,$B12&amp;"-"&amp;X$6)+COUNTIFS('Data By District'!$J$7:$J$441,$B12&amp;"-"&amp;"Yes",'Data By District'!$Z$7:$Z$441,$B12&amp;"-"&amp;W$6)</f>
        <v>4</v>
      </c>
      <c r="AC12" s="373">
        <f t="shared" si="31"/>
        <v>0.8</v>
      </c>
      <c r="AD12" s="377">
        <f>COUNTIF('Data By District'!$J$7:$J$441,$B12&amp;"-"&amp;"Yes")</f>
        <v>5</v>
      </c>
      <c r="AE12" s="377">
        <f t="shared" si="24"/>
        <v>2</v>
      </c>
      <c r="AF12" s="377">
        <f>COUNTIF('Data By District'!$I$7:$I$441,$B12&amp;"-"&amp;"Yes")</f>
        <v>7</v>
      </c>
      <c r="AG12" s="377">
        <f>COUNTIFS('Data By District'!$J$7:$J$441,$B12&amp;"-"&amp;"Yes",'Data By District'!$Y$7:$Y$441,$B12&amp;"-"&amp;"Dem")</f>
        <v>3</v>
      </c>
      <c r="AH12" s="377">
        <f>COUNTIFS('Data By District'!$J$7:$J$441,$B12&amp;"-"&amp;"Yes",'Data By District'!$Y$7:$Y$441,$B12&amp;"-"&amp;"Rep")</f>
        <v>2</v>
      </c>
      <c r="AI12" s="377">
        <f>COUNTIFS('Data By District'!$J$7:$J$441,$B12&amp;"-"&amp;"Yes",'Data By District'!$Y$7:$Y$441,$B12&amp;"-"&amp;"Dem",'Data By District'!$J$7:$J$441,$B12&amp;"-"&amp;"Yes",'Data By District'!$Z$7:$Z$441,$B12&amp;"-"&amp;W$6)+COUNTIFS('Data By District'!$J$7:$J$441,$B12&amp;"-"&amp;"Yes",'Data By District'!$Y$7:$Y$441,$B12&amp;"-"&amp;"Dem",'Data By District'!$J$7:$J$441,$B12&amp;"-"&amp;"Yes",'Data By District'!$Z$7:$Z$441,$B12&amp;"-"&amp;X$6)</f>
        <v>2</v>
      </c>
      <c r="AJ12" s="377">
        <f>COUNTIFS('Data By District'!$J$7:$J$441,$B12&amp;"-"&amp;"Yes",'Data By District'!$Y$7:$Y$441,$B12&amp;"-"&amp;"Rep",'Data By District'!$J$7:$J$441,$B12&amp;"-"&amp;"Yes",'Data By District'!$Z$7:$Z$441,$B12&amp;"-"&amp;W$6)+COUNTIFS('Data By District'!$J$7:$J$441,$B12&amp;"-"&amp;"Yes",'Data By District'!$Y$7:$Y$441,$B12&amp;"-"&amp;"Rep",'Data By District'!$J$7:$J$441,$B12&amp;"-"&amp;"Yes",'Data By District'!$Z$7:$Z$441,$B12&amp;"-"&amp;X$6)</f>
        <v>2</v>
      </c>
      <c r="AK12" s="376">
        <f>COUNTIF('Data By District'!$D$7:$D$441,$B12&amp;"-"&amp;"Yes")</f>
        <v>1</v>
      </c>
      <c r="AL12" s="377">
        <f>COUNTIF('Data By District'!$E$7:$E$441,$B12&amp;"-"&amp;"Yes")</f>
        <v>0</v>
      </c>
      <c r="AM12" s="377">
        <f>COUNTIF('Data By District'!$F$7:$F$441,$B12&amp;"-"&amp;"Yes")</f>
        <v>0</v>
      </c>
      <c r="AN12" s="377">
        <f>COUNTIF('Data By District'!$G$7:$G$441,$B12&amp;"-"&amp;"Yes")</f>
        <v>0</v>
      </c>
      <c r="AO12" s="377">
        <f>COUNTIF('Data By District'!$H$7:$H$441,$B12&amp;"-"&amp;"Yes")</f>
        <v>0</v>
      </c>
      <c r="AP12" s="74">
        <f t="shared" si="8"/>
        <v>1.3748161075777662E-2</v>
      </c>
      <c r="AQ12" s="60">
        <v>0.6062336103140199</v>
      </c>
      <c r="AR12" s="54">
        <f t="shared" si="25"/>
        <v>1763152</v>
      </c>
      <c r="AS12" s="45">
        <f>SUMIF('Data By District'!$B$7:$B$441,$B12,'Data By District'!$O$7:$O$441)</f>
        <v>800900</v>
      </c>
      <c r="AT12" s="45">
        <f>SUMIF('Data By District'!$B$7:$B$441,$B12,'Data By District'!$P$7:$P$441)</f>
        <v>884032</v>
      </c>
      <c r="AU12" s="45">
        <f>SUMIF('Data By District'!$B$7:$B$441,$B12,'Data By District'!$Q$7:$Q$441)</f>
        <v>78220</v>
      </c>
      <c r="AV12" s="302">
        <f t="shared" si="9"/>
        <v>0.45424330970897575</v>
      </c>
      <c r="AW12" s="28">
        <f t="shared" si="10"/>
        <v>0.50139295988094046</v>
      </c>
      <c r="AX12" s="60">
        <f t="shared" si="11"/>
        <v>4.4363730410083756E-2</v>
      </c>
      <c r="AY12" s="29">
        <f>COUNTIF('Data By District'!$Y$7:$Y$441,$B12&amp;"-"&amp;AY$6)</f>
        <v>3</v>
      </c>
      <c r="AZ12" s="29">
        <f>COUNTIF('Data By District'!$Y$7:$Y$441,$B12&amp;"-"&amp;AZ$6)</f>
        <v>4</v>
      </c>
      <c r="BA12" s="29">
        <f>COUNTIF('Data By District'!$Y$7:$Y$441,$B12&amp;"-"&amp;BA$6)</f>
        <v>0</v>
      </c>
      <c r="BB12" s="298">
        <f t="shared" si="26"/>
        <v>0.42857142857142855</v>
      </c>
      <c r="BC12" s="28">
        <f t="shared" si="27"/>
        <v>0.5714285714285714</v>
      </c>
      <c r="BD12" s="60">
        <f t="shared" si="28"/>
        <v>0</v>
      </c>
      <c r="BE12" s="298">
        <f t="shared" si="12"/>
        <v>2.5671881137547203E-2</v>
      </c>
      <c r="BF12" s="28">
        <f t="shared" si="13"/>
        <v>7.0035611547630938E-2</v>
      </c>
      <c r="BG12" s="60">
        <f t="shared" si="14"/>
        <v>4.4363730410083756E-2</v>
      </c>
      <c r="BH12" s="54">
        <f t="shared" si="29"/>
        <v>1039548</v>
      </c>
      <c r="BI12" s="45">
        <f>'Data By District'!AE86</f>
        <v>723604</v>
      </c>
      <c r="BJ12" s="45">
        <f>SUMIF('Data By District'!$B$7:$B$441,'Data By State'!$B12,'Data By District'!$AA$7:$AA$441)</f>
        <v>399440</v>
      </c>
      <c r="BK12" s="45">
        <f>SUMIF('Data By District'!$B$7:$B$441,'Data By State'!$B12,'Data By District'!$AB$7:$AB$441)</f>
        <v>245944</v>
      </c>
      <c r="BL12" s="54">
        <f>SUMIF('Data By District'!$B$7:$B$441,'Data By State'!$B12,'Data By District'!$AC$7:$AC$441)</f>
        <v>78220</v>
      </c>
      <c r="BM12" s="68">
        <f t="shared" si="30"/>
        <v>0.4104036407524706</v>
      </c>
      <c r="BN12" s="28">
        <f t="shared" si="15"/>
        <v>0.49873891871644399</v>
      </c>
      <c r="BO12" s="28">
        <f t="shared" si="16"/>
        <v>0.27820712372402812</v>
      </c>
      <c r="BP12" s="60">
        <f t="shared" si="17"/>
        <v>1</v>
      </c>
    </row>
    <row r="13" spans="1:71">
      <c r="A13" s="21" t="s">
        <v>72</v>
      </c>
      <c r="B13" s="30" t="s">
        <v>6</v>
      </c>
      <c r="C13" s="410">
        <v>1153115</v>
      </c>
      <c r="D13" s="410">
        <v>2507296</v>
      </c>
      <c r="E13" s="29">
        <f t="shared" si="0"/>
        <v>22</v>
      </c>
      <c r="F13" s="29">
        <f t="shared" si="1"/>
        <v>32</v>
      </c>
      <c r="G13" s="77">
        <f t="shared" si="18"/>
        <v>9</v>
      </c>
      <c r="H13" s="29">
        <f t="shared" si="19"/>
        <v>25</v>
      </c>
      <c r="I13" s="29">
        <f t="shared" si="20"/>
        <v>22</v>
      </c>
      <c r="J13" s="29">
        <f t="shared" si="21"/>
        <v>44</v>
      </c>
      <c r="K13" s="72">
        <f t="shared" si="22"/>
        <v>17</v>
      </c>
      <c r="L13" s="71">
        <f t="shared" si="2"/>
        <v>24.4</v>
      </c>
      <c r="M13" s="68">
        <f t="shared" si="23"/>
        <v>0.46801812267328718</v>
      </c>
      <c r="N13" s="37">
        <f>AVERAGE('Data By District'!V87:'Data By District'!V91)</f>
        <v>0.18398497916432768</v>
      </c>
      <c r="O13" s="33">
        <f t="shared" si="3"/>
        <v>0.6</v>
      </c>
      <c r="P13" s="33">
        <f>SUMIF('Data By District'!$B$7:$B$441,B13,'Data By District'!$T$7:$T$441)/D13</f>
        <v>0.26641569244317387</v>
      </c>
      <c r="Q13" s="33">
        <f t="shared" si="4"/>
        <v>0.40875579235558429</v>
      </c>
      <c r="R13" s="74">
        <f t="shared" si="5"/>
        <v>0.45393044937653948</v>
      </c>
      <c r="S13" s="73">
        <f t="shared" si="6"/>
        <v>5</v>
      </c>
      <c r="T13" s="29">
        <f>COUNTIF('Data By District'!$Z$7:$Z$441,$B13&amp;"-"&amp;T$6)</f>
        <v>0</v>
      </c>
      <c r="U13" s="29">
        <f>COUNTIF('Data By District'!$Z$7:$Z$441,$B13&amp;"-"&amp;U$6)</f>
        <v>2</v>
      </c>
      <c r="V13" s="29">
        <f>COUNTIF('Data By District'!$Z$7:$Z$441,$B13&amp;"-"&amp;V$6)</f>
        <v>0</v>
      </c>
      <c r="W13" s="29">
        <f>COUNTIF('Data By District'!$Z$7:$Z$441,$B13&amp;"-"&amp;W$6)</f>
        <v>3</v>
      </c>
      <c r="X13" s="29">
        <f>COUNTIF('Data By District'!$Z$7:$Z$441,$B13&amp;"-"&amp;X$6)-(Y13)</f>
        <v>0</v>
      </c>
      <c r="Y13" s="29">
        <f>COUNTIF('Data By District'!$X$7:$X$441,$B13&amp;"-"&amp;"Yes")</f>
        <v>0</v>
      </c>
      <c r="Z13" s="402">
        <f t="shared" si="7"/>
        <v>0</v>
      </c>
      <c r="AA13" s="404">
        <f>COUNTIF('Data By District'!$L$7:$L$441, $B13&amp;"-"&amp;1)</f>
        <v>0</v>
      </c>
      <c r="AB13" s="376">
        <f>COUNTIFS('Data By District'!$J$7:$J$441,$B13&amp;"-"&amp;"Yes",'Data By District'!$Z$7:$Z$441,$B13&amp;"-"&amp;X$6)+COUNTIFS('Data By District'!$J$7:$J$441,$B13&amp;"-"&amp;"Yes",'Data By District'!$Z$7:$Z$441,$B13&amp;"-"&amp;W$6)</f>
        <v>3</v>
      </c>
      <c r="AC13" s="373">
        <f t="shared" si="31"/>
        <v>0.6</v>
      </c>
      <c r="AD13" s="377">
        <f>COUNTIF('Data By District'!$J$7:$J$441,$B13&amp;"-"&amp;"Yes")</f>
        <v>5</v>
      </c>
      <c r="AE13" s="377">
        <f t="shared" si="24"/>
        <v>0</v>
      </c>
      <c r="AF13" s="377">
        <f>COUNTIF('Data By District'!$I$7:$I$441,$B13&amp;"-"&amp;"Yes")</f>
        <v>5</v>
      </c>
      <c r="AG13" s="377">
        <f>COUNTIFS('Data By District'!$J$7:$J$441,$B13&amp;"-"&amp;"Yes",'Data By District'!$Y$7:$Y$441,$B13&amp;"-"&amp;"Dem")</f>
        <v>5</v>
      </c>
      <c r="AH13" s="377">
        <f>COUNTIFS('Data By District'!$J$7:$J$441,$B13&amp;"-"&amp;"Yes",'Data By District'!$Y$7:$Y$441,$B13&amp;"-"&amp;"Rep")</f>
        <v>0</v>
      </c>
      <c r="AI13" s="377">
        <f>COUNTIFS('Data By District'!$J$7:$J$441,$B13&amp;"-"&amp;"Yes",'Data By District'!$Y$7:$Y$441,$B13&amp;"-"&amp;"Dem",'Data By District'!$J$7:$J$441,$B13&amp;"-"&amp;"Yes",'Data By District'!$Z$7:$Z$441,$B13&amp;"-"&amp;W$6)+COUNTIFS('Data By District'!$J$7:$J$441,$B13&amp;"-"&amp;"Yes",'Data By District'!$Y$7:$Y$441,$B13&amp;"-"&amp;"Dem",'Data By District'!$J$7:$J$441,$B13&amp;"-"&amp;"Yes",'Data By District'!$Z$7:$Z$441,$B13&amp;"-"&amp;X$6)</f>
        <v>3</v>
      </c>
      <c r="AJ13" s="377">
        <f>COUNTIFS('Data By District'!$J$7:$J$441,$B13&amp;"-"&amp;"Yes",'Data By District'!$Y$7:$Y$441,$B13&amp;"-"&amp;"Rep",'Data By District'!$J$7:$J$441,$B13&amp;"-"&amp;"Yes",'Data By District'!$Z$7:$Z$441,$B13&amp;"-"&amp;W$6)+COUNTIFS('Data By District'!$J$7:$J$441,$B13&amp;"-"&amp;"Yes",'Data By District'!$Y$7:$Y$441,$B13&amp;"-"&amp;"Rep",'Data By District'!$J$7:$J$441,$B13&amp;"-"&amp;"Yes",'Data By District'!$Z$7:$Z$441,$B13&amp;"-"&amp;X$6)</f>
        <v>0</v>
      </c>
      <c r="AK13" s="376">
        <f>COUNTIF('Data By District'!$D$7:$D$441,$B13&amp;"-"&amp;"Yes")</f>
        <v>1</v>
      </c>
      <c r="AL13" s="377">
        <f>COUNTIF('Data By District'!$E$7:$E$441,$B13&amp;"-"&amp;"Yes")</f>
        <v>0</v>
      </c>
      <c r="AM13" s="377">
        <f>COUNTIF('Data By District'!$F$7:$F$441,$B13&amp;"-"&amp;"Yes")</f>
        <v>0</v>
      </c>
      <c r="AN13" s="377">
        <f>COUNTIF('Data By District'!$G$7:$G$441,$B13&amp;"-"&amp;"Yes")</f>
        <v>0</v>
      </c>
      <c r="AO13" s="377">
        <f>COUNTIF('Data By District'!$H$7:$H$441,$B13&amp;"-"&amp;"Yes")</f>
        <v>0</v>
      </c>
      <c r="AP13" s="74">
        <f t="shared" si="8"/>
        <v>1.2988296917480043E-2</v>
      </c>
      <c r="AQ13" s="60">
        <v>0.62055674308375641</v>
      </c>
      <c r="AR13" s="54">
        <f t="shared" si="25"/>
        <v>1138138</v>
      </c>
      <c r="AS13" s="45">
        <f>SUMIF('Data By District'!$B$7:$B$441,$B13,'Data By District'!$O$7:$O$441)</f>
        <v>667983</v>
      </c>
      <c r="AT13" s="45">
        <f>SUMIF('Data By District'!$B$7:$B$441,$B13,'Data By District'!$P$7:$P$441)</f>
        <v>460286</v>
      </c>
      <c r="AU13" s="45">
        <f>SUMIF('Data By District'!$B$7:$B$441,$B13,'Data By District'!$Q$7:$Q$441)</f>
        <v>9869</v>
      </c>
      <c r="AV13" s="302">
        <f t="shared" si="9"/>
        <v>0.58690861740843381</v>
      </c>
      <c r="AW13" s="28">
        <f t="shared" si="10"/>
        <v>0.40442020211960239</v>
      </c>
      <c r="AX13" s="60">
        <f t="shared" si="11"/>
        <v>8.6711804719638574E-3</v>
      </c>
      <c r="AY13" s="29">
        <f>COUNTIF('Data By District'!$Y$7:$Y$441,$B13&amp;"-"&amp;AY$6)</f>
        <v>5</v>
      </c>
      <c r="AZ13" s="29">
        <f>COUNTIF('Data By District'!$Y$7:$Y$441,$B13&amp;"-"&amp;AZ$6)</f>
        <v>0</v>
      </c>
      <c r="BA13" s="29">
        <f>COUNTIF('Data By District'!$Y$7:$Y$441,$B13&amp;"-"&amp;BA$6)</f>
        <v>0</v>
      </c>
      <c r="BB13" s="298">
        <f t="shared" si="26"/>
        <v>1</v>
      </c>
      <c r="BC13" s="28">
        <f t="shared" si="27"/>
        <v>0</v>
      </c>
      <c r="BD13" s="60">
        <f t="shared" si="28"/>
        <v>0</v>
      </c>
      <c r="BE13" s="298">
        <f t="shared" si="12"/>
        <v>0.41309138259156619</v>
      </c>
      <c r="BF13" s="28">
        <f t="shared" si="13"/>
        <v>0.40442020211960239</v>
      </c>
      <c r="BG13" s="60">
        <f t="shared" si="14"/>
        <v>8.6711804719638574E-3</v>
      </c>
      <c r="BH13" s="54">
        <f t="shared" si="29"/>
        <v>667983</v>
      </c>
      <c r="BI13" s="45">
        <f>'Data By District'!AE91</f>
        <v>470155</v>
      </c>
      <c r="BJ13" s="45">
        <f>SUMIF('Data By District'!$B$7:$B$441,'Data By State'!$B13,'Data By District'!$AA$7:$AA$441)</f>
        <v>0</v>
      </c>
      <c r="BK13" s="45">
        <f>SUMIF('Data By District'!$B$7:$B$441,'Data By State'!$B13,'Data By District'!$AB$7:$AB$441)</f>
        <v>460286</v>
      </c>
      <c r="BL13" s="54">
        <f>SUMIF('Data By District'!$B$7:$B$441,'Data By State'!$B13,'Data By District'!$AC$7:$AC$441)</f>
        <v>9869</v>
      </c>
      <c r="BM13" s="68">
        <f t="shared" si="30"/>
        <v>0.41309138259156625</v>
      </c>
      <c r="BN13" s="28">
        <f t="shared" si="15"/>
        <v>0</v>
      </c>
      <c r="BO13" s="28">
        <f t="shared" si="16"/>
        <v>1</v>
      </c>
      <c r="BP13" s="60">
        <f t="shared" si="17"/>
        <v>1</v>
      </c>
    </row>
    <row r="14" spans="1:71">
      <c r="A14" s="21" t="s">
        <v>73</v>
      </c>
      <c r="B14" s="30" t="s">
        <v>7</v>
      </c>
      <c r="C14" s="410">
        <v>307402</v>
      </c>
      <c r="D14" s="410">
        <v>631634</v>
      </c>
      <c r="E14" s="29">
        <f t="shared" si="0"/>
        <v>8</v>
      </c>
      <c r="F14" s="29">
        <f t="shared" si="1"/>
        <v>6</v>
      </c>
      <c r="G14" s="77">
        <f t="shared" si="18"/>
        <v>7</v>
      </c>
      <c r="H14" s="29">
        <f t="shared" si="19"/>
        <v>1</v>
      </c>
      <c r="I14" s="29">
        <f t="shared" si="20"/>
        <v>16</v>
      </c>
      <c r="J14" s="29">
        <f t="shared" si="21"/>
        <v>46</v>
      </c>
      <c r="K14" s="72">
        <f t="shared" si="22"/>
        <v>11</v>
      </c>
      <c r="L14" s="71">
        <f t="shared" si="2"/>
        <v>17.2</v>
      </c>
      <c r="M14" s="68">
        <f t="shared" si="23"/>
        <v>0.59346279290154824</v>
      </c>
      <c r="N14" s="37">
        <f>('Data By District'!V92)</f>
        <v>0.16088098065120324</v>
      </c>
      <c r="O14" s="33">
        <f t="shared" si="3"/>
        <v>0</v>
      </c>
      <c r="P14" s="33">
        <f>SUMIF('Data By District'!$B$7:$B$441,B14,'Data By District'!$T$7:$T$441)/D14</f>
        <v>0.27475246740992409</v>
      </c>
      <c r="Q14" s="33">
        <f t="shared" si="4"/>
        <v>0.42130998966090383</v>
      </c>
      <c r="R14" s="74">
        <f t="shared" si="5"/>
        <v>0.48388148833026723</v>
      </c>
      <c r="S14" s="73">
        <f t="shared" si="6"/>
        <v>1</v>
      </c>
      <c r="T14" s="29">
        <f>COUNTIF('Data By District'!$Z$7:$Z$441,$B14&amp;"-"&amp;T$6)</f>
        <v>0</v>
      </c>
      <c r="U14" s="29">
        <f>COUNTIF('Data By District'!$Z$7:$Z$441,$B14&amp;"-"&amp;U$6)</f>
        <v>0</v>
      </c>
      <c r="V14" s="29">
        <f>COUNTIF('Data By District'!$Z$7:$Z$441,$B14&amp;"-"&amp;V$6)</f>
        <v>1</v>
      </c>
      <c r="W14" s="29">
        <f>COUNTIF('Data By District'!$Z$7:$Z$441,$B14&amp;"-"&amp;W$6)</f>
        <v>0</v>
      </c>
      <c r="X14" s="29">
        <f>COUNTIF('Data By District'!$Z$7:$Z$441,$B14&amp;"-"&amp;X$6)-(Y14)</f>
        <v>0</v>
      </c>
      <c r="Y14" s="29">
        <f>COUNTIF('Data By District'!$X$7:$X$441,$B14&amp;"-"&amp;"Yes")</f>
        <v>0</v>
      </c>
      <c r="Z14" s="402">
        <f t="shared" si="7"/>
        <v>0</v>
      </c>
      <c r="AA14" s="404">
        <f>COUNTIF('Data By District'!$L$7:$L$441, $B14&amp;"-"&amp;1)</f>
        <v>1</v>
      </c>
      <c r="AB14" s="376">
        <f>COUNTIFS('Data By District'!$J$7:$J$441,$B14&amp;"-"&amp;"Yes",'Data By District'!$Z$7:$Z$441,$B14&amp;"-"&amp;X$6)+COUNTIFS('Data By District'!$J$7:$J$441,$B14&amp;"-"&amp;"Yes",'Data By District'!$Z$7:$Z$441,$B14&amp;"-"&amp;W$6)</f>
        <v>0</v>
      </c>
      <c r="AC14" s="373" t="e">
        <f t="shared" si="31"/>
        <v>#DIV/0!</v>
      </c>
      <c r="AD14" s="377">
        <f>COUNTIF('Data By District'!$J$7:$J$441,$B14&amp;"-"&amp;"Yes")</f>
        <v>0</v>
      </c>
      <c r="AE14" s="377">
        <f t="shared" si="24"/>
        <v>0</v>
      </c>
      <c r="AF14" s="377">
        <f>COUNTIF('Data By District'!$I$7:$I$441,$B14&amp;"-"&amp;"Yes")</f>
        <v>0</v>
      </c>
      <c r="AG14" s="377">
        <f>COUNTIFS('Data By District'!$J$7:$J$441,$B14&amp;"-"&amp;"Yes",'Data By District'!$Y$7:$Y$441,$B14&amp;"-"&amp;"Dem")</f>
        <v>0</v>
      </c>
      <c r="AH14" s="377">
        <f>COUNTIFS('Data By District'!$J$7:$J$441,$B14&amp;"-"&amp;"Yes",'Data By District'!$Y$7:$Y$441,$B14&amp;"-"&amp;"Rep")</f>
        <v>0</v>
      </c>
      <c r="AI14" s="377">
        <f>COUNTIFS('Data By District'!$J$7:$J$441,$B14&amp;"-"&amp;"Yes",'Data By District'!$Y$7:$Y$441,$B14&amp;"-"&amp;"Dem",'Data By District'!$J$7:$J$441,$B14&amp;"-"&amp;"Yes",'Data By District'!$Z$7:$Z$441,$B14&amp;"-"&amp;W$6)+COUNTIFS('Data By District'!$J$7:$J$441,$B14&amp;"-"&amp;"Yes",'Data By District'!$Y$7:$Y$441,$B14&amp;"-"&amp;"Dem",'Data By District'!$J$7:$J$441,$B14&amp;"-"&amp;"Yes",'Data By District'!$Z$7:$Z$441,$B14&amp;"-"&amp;X$6)</f>
        <v>0</v>
      </c>
      <c r="AJ14" s="377">
        <f>COUNTIFS('Data By District'!$J$7:$J$441,$B14&amp;"-"&amp;"Yes",'Data By District'!$Y$7:$Y$441,$B14&amp;"-"&amp;"Rep",'Data By District'!$J$7:$J$441,$B14&amp;"-"&amp;"Yes",'Data By District'!$Z$7:$Z$441,$B14&amp;"-"&amp;W$6)+COUNTIFS('Data By District'!$J$7:$J$441,$B14&amp;"-"&amp;"Yes",'Data By District'!$Y$7:$Y$441,$B14&amp;"-"&amp;"Rep",'Data By District'!$J$7:$J$441,$B14&amp;"-"&amp;"Yes",'Data By District'!$Z$7:$Z$441,$B14&amp;"-"&amp;X$6)</f>
        <v>0</v>
      </c>
      <c r="AK14" s="376">
        <f>COUNTIF('Data By District'!$D$7:$D$441,$B14&amp;"-"&amp;"Yes")</f>
        <v>0</v>
      </c>
      <c r="AL14" s="377">
        <f>COUNTIF('Data By District'!$E$7:$E$441,$B14&amp;"-"&amp;"Yes")</f>
        <v>0</v>
      </c>
      <c r="AM14" s="377">
        <f>COUNTIF('Data By District'!$F$7:$F$441,$B14&amp;"-"&amp;"Yes")</f>
        <v>0</v>
      </c>
      <c r="AN14" s="377">
        <f>COUNTIF('Data By District'!$G$7:$G$441,$B14&amp;"-"&amp;"Yes")</f>
        <v>0</v>
      </c>
      <c r="AO14" s="377">
        <f>COUNTIF('Data By District'!$H$7:$H$441,$B14&amp;"-"&amp;"Yes")</f>
        <v>0</v>
      </c>
      <c r="AP14" s="74">
        <f t="shared" si="8"/>
        <v>5.7449203323335571E-3</v>
      </c>
      <c r="AQ14" s="60">
        <v>0.69086211012652898</v>
      </c>
      <c r="AR14" s="54">
        <f t="shared" si="25"/>
        <v>305636</v>
      </c>
      <c r="AS14" s="45">
        <f>SUMIF('Data By District'!$B$7:$B$441,$B14,'Data By District'!$O$7:$O$441)</f>
        <v>173543</v>
      </c>
      <c r="AT14" s="45">
        <f>SUMIF('Data By District'!$B$7:$B$441,$B14,'Data By District'!$P$7:$P$441)</f>
        <v>125442</v>
      </c>
      <c r="AU14" s="45">
        <f>SUMIF('Data By District'!$B$7:$B$441,$B14,'Data By District'!$Q$7:$Q$441)</f>
        <v>6651</v>
      </c>
      <c r="AV14" s="302">
        <f t="shared" si="9"/>
        <v>0.56780942035624071</v>
      </c>
      <c r="AW14" s="28">
        <f t="shared" si="10"/>
        <v>0.41042939967804842</v>
      </c>
      <c r="AX14" s="60">
        <f t="shared" si="11"/>
        <v>2.1761179965710847E-2</v>
      </c>
      <c r="AY14" s="29">
        <f>COUNTIF('Data By District'!$Y$7:$Y$441,$B14&amp;"-"&amp;AY$6)</f>
        <v>1</v>
      </c>
      <c r="AZ14" s="29">
        <f>COUNTIF('Data By District'!$Y$7:$Y$441,$B14&amp;"-"&amp;AZ$6)</f>
        <v>0</v>
      </c>
      <c r="BA14" s="29">
        <f>COUNTIF('Data By District'!$Y$7:$Y$441,$B14&amp;"-"&amp;BA$6)</f>
        <v>0</v>
      </c>
      <c r="BB14" s="298">
        <f t="shared" si="26"/>
        <v>1</v>
      </c>
      <c r="BC14" s="28">
        <f t="shared" si="27"/>
        <v>0</v>
      </c>
      <c r="BD14" s="60">
        <f t="shared" si="28"/>
        <v>0</v>
      </c>
      <c r="BE14" s="298">
        <f t="shared" si="12"/>
        <v>0.43219057964375929</v>
      </c>
      <c r="BF14" s="28">
        <f t="shared" si="13"/>
        <v>0.41042939967804842</v>
      </c>
      <c r="BG14" s="60">
        <f t="shared" si="14"/>
        <v>2.1761179965710847E-2</v>
      </c>
      <c r="BH14" s="54">
        <f t="shared" si="29"/>
        <v>173543</v>
      </c>
      <c r="BI14" s="45">
        <f>'Data By District'!AE92</f>
        <v>132093</v>
      </c>
      <c r="BJ14" s="45">
        <f>SUMIF('Data By District'!$B$7:$B$441,'Data By State'!$B14,'Data By District'!$AA$7:$AA$441)</f>
        <v>0</v>
      </c>
      <c r="BK14" s="45">
        <f>SUMIF('Data By District'!$B$7:$B$441,'Data By State'!$B14,'Data By District'!$AB$7:$AB$441)</f>
        <v>125442</v>
      </c>
      <c r="BL14" s="54">
        <f>SUMIF('Data By District'!$B$7:$B$441,'Data By State'!$B14,'Data By District'!$AC$7:$AC$441)</f>
        <v>6651</v>
      </c>
      <c r="BM14" s="68">
        <f t="shared" si="30"/>
        <v>0.43219057964375923</v>
      </c>
      <c r="BN14" s="28">
        <f t="shared" si="15"/>
        <v>0</v>
      </c>
      <c r="BO14" s="28">
        <f t="shared" si="16"/>
        <v>1</v>
      </c>
      <c r="BP14" s="60">
        <f t="shared" si="17"/>
        <v>1</v>
      </c>
    </row>
    <row r="15" spans="1:71">
      <c r="A15" s="21" t="s">
        <v>74</v>
      </c>
      <c r="B15" s="30" t="s">
        <v>8</v>
      </c>
      <c r="C15" s="410">
        <v>5411106</v>
      </c>
      <c r="D15" s="410">
        <v>12812802</v>
      </c>
      <c r="E15" s="29">
        <f t="shared" si="0"/>
        <v>40</v>
      </c>
      <c r="F15" s="29">
        <f t="shared" si="1"/>
        <v>40</v>
      </c>
      <c r="G15" s="77">
        <f t="shared" si="18"/>
        <v>44</v>
      </c>
      <c r="H15" s="29">
        <f t="shared" si="19"/>
        <v>35</v>
      </c>
      <c r="I15" s="29">
        <f t="shared" si="20"/>
        <v>26</v>
      </c>
      <c r="J15" s="29">
        <f t="shared" si="21"/>
        <v>25</v>
      </c>
      <c r="K15" s="72">
        <f t="shared" si="22"/>
        <v>32</v>
      </c>
      <c r="L15" s="71">
        <f t="shared" si="2"/>
        <v>31.2</v>
      </c>
      <c r="M15" s="68">
        <f t="shared" si="23"/>
        <v>0.44554733313317918</v>
      </c>
      <c r="N15" s="37">
        <f>AVERAGE('Data By District'!V93:'Data By District'!V117)</f>
        <v>0.42513854159236364</v>
      </c>
      <c r="O15" s="33">
        <f t="shared" si="3"/>
        <v>0.72</v>
      </c>
      <c r="P15" s="33">
        <f>SUMIF('Data By District'!$B$7:$B$441,B15,'Data By District'!$T$7:$T$441)/D15</f>
        <v>0.26129093386442714</v>
      </c>
      <c r="Q15" s="33">
        <f t="shared" si="4"/>
        <v>0.14970666047059475</v>
      </c>
      <c r="R15" s="74">
        <f t="shared" si="5"/>
        <v>0.40710907731189477</v>
      </c>
      <c r="S15" s="73">
        <f t="shared" si="6"/>
        <v>25</v>
      </c>
      <c r="T15" s="29">
        <f>COUNTIF('Data By District'!$Z$7:$Z$441,$B15&amp;"-"&amp;T$6)</f>
        <v>0</v>
      </c>
      <c r="U15" s="29">
        <f>COUNTIF('Data By District'!$Z$7:$Z$441,$B15&amp;"-"&amp;U$6)</f>
        <v>2</v>
      </c>
      <c r="V15" s="29">
        <f>COUNTIF('Data By District'!$Z$7:$Z$441,$B15&amp;"-"&amp;V$6)</f>
        <v>5</v>
      </c>
      <c r="W15" s="29">
        <f>COUNTIF('Data By District'!$Z$7:$Z$441,$B15&amp;"-"&amp;W$6)</f>
        <v>10</v>
      </c>
      <c r="X15" s="29">
        <f>COUNTIF('Data By District'!$Z$7:$Z$441,$B15&amp;"-"&amp;X$6)-(Y15)</f>
        <v>3</v>
      </c>
      <c r="Y15" s="29">
        <f>COUNTIF('Data By District'!$X$7:$X$441,$B15&amp;"-"&amp;"Yes")</f>
        <v>5</v>
      </c>
      <c r="Z15" s="402">
        <f t="shared" si="7"/>
        <v>0.2</v>
      </c>
      <c r="AA15" s="404">
        <f>COUNTIF('Data By District'!$L$7:$L$441, $B15&amp;"-"&amp;1)</f>
        <v>4</v>
      </c>
      <c r="AB15" s="376">
        <f>COUNTIFS('Data By District'!$J$7:$J$441,$B15&amp;"-"&amp;"Yes",'Data By District'!$Z$7:$Z$441,$B15&amp;"-"&amp;X$6)+COUNTIFS('Data By District'!$J$7:$J$441,$B15&amp;"-"&amp;"Yes",'Data By District'!$Z$7:$Z$441,$B15&amp;"-"&amp;W$6)</f>
        <v>15</v>
      </c>
      <c r="AC15" s="373">
        <f t="shared" si="31"/>
        <v>0.9375</v>
      </c>
      <c r="AD15" s="377">
        <f>COUNTIF('Data By District'!$J$7:$J$441,$B15&amp;"-"&amp;"Yes")</f>
        <v>16</v>
      </c>
      <c r="AE15" s="377">
        <f t="shared" si="24"/>
        <v>4</v>
      </c>
      <c r="AF15" s="377">
        <f>COUNTIF('Data By District'!$I$7:$I$441,$B15&amp;"-"&amp;"Yes")</f>
        <v>20</v>
      </c>
      <c r="AG15" s="377">
        <f>COUNTIFS('Data By District'!$J$7:$J$441,$B15&amp;"-"&amp;"Yes",'Data By District'!$Y$7:$Y$441,$B15&amp;"-"&amp;"Dem")</f>
        <v>5</v>
      </c>
      <c r="AH15" s="377">
        <f>COUNTIFS('Data By District'!$J$7:$J$441,$B15&amp;"-"&amp;"Yes",'Data By District'!$Y$7:$Y$441,$B15&amp;"-"&amp;"Rep")</f>
        <v>11</v>
      </c>
      <c r="AI15" s="377">
        <f>COUNTIFS('Data By District'!$J$7:$J$441,$B15&amp;"-"&amp;"Yes",'Data By District'!$Y$7:$Y$441,$B15&amp;"-"&amp;"Dem",'Data By District'!$J$7:$J$441,$B15&amp;"-"&amp;"Yes",'Data By District'!$Z$7:$Z$441,$B15&amp;"-"&amp;W$6)+COUNTIFS('Data By District'!$J$7:$J$441,$B15&amp;"-"&amp;"Yes",'Data By District'!$Y$7:$Y$441,$B15&amp;"-"&amp;"Dem",'Data By District'!$J$7:$J$441,$B15&amp;"-"&amp;"Yes",'Data By District'!$Z$7:$Z$441,$B15&amp;"-"&amp;X$6)</f>
        <v>4</v>
      </c>
      <c r="AJ15" s="377">
        <f>COUNTIFS('Data By District'!$J$7:$J$441,$B15&amp;"-"&amp;"Yes",'Data By District'!$Y$7:$Y$441,$B15&amp;"-"&amp;"Rep",'Data By District'!$J$7:$J$441,$B15&amp;"-"&amp;"Yes",'Data By District'!$Z$7:$Z$441,$B15&amp;"-"&amp;W$6)+COUNTIFS('Data By District'!$J$7:$J$441,$B15&amp;"-"&amp;"Yes",'Data By District'!$Y$7:$Y$441,$B15&amp;"-"&amp;"Rep",'Data By District'!$J$7:$J$441,$B15&amp;"-"&amp;"Yes",'Data By District'!$Z$7:$Z$441,$B15&amp;"-"&amp;X$6)</f>
        <v>11</v>
      </c>
      <c r="AK15" s="376">
        <f>COUNTIF('Data By District'!$D$7:$D$441,$B15&amp;"-"&amp;"Yes")</f>
        <v>6</v>
      </c>
      <c r="AL15" s="377">
        <f>COUNTIF('Data By District'!$E$7:$E$441,$B15&amp;"-"&amp;"Yes")</f>
        <v>4</v>
      </c>
      <c r="AM15" s="377">
        <f>COUNTIF('Data By District'!$F$7:$F$441,$B15&amp;"-"&amp;"Yes")</f>
        <v>3</v>
      </c>
      <c r="AN15" s="377">
        <f>COUNTIF('Data By District'!$G$7:$G$441,$B15&amp;"-"&amp;"Yes")</f>
        <v>0</v>
      </c>
      <c r="AO15" s="377">
        <f>COUNTIF('Data By District'!$H$7:$H$441,$B15&amp;"-"&amp;"Yes")</f>
        <v>0</v>
      </c>
      <c r="AP15" s="74">
        <f t="shared" si="8"/>
        <v>3.6018144904202576E-2</v>
      </c>
      <c r="AQ15" s="60">
        <v>0.7194606342888733</v>
      </c>
      <c r="AR15" s="54">
        <f t="shared" si="25"/>
        <v>5216208</v>
      </c>
      <c r="AS15" s="45">
        <f>SUMIF('Data By District'!$B$7:$B$441,$B15,'Data By District'!$O$7:$O$441)</f>
        <v>1853600</v>
      </c>
      <c r="AT15" s="45">
        <f>SUMIF('Data By District'!$B$7:$B$441,$B15,'Data By District'!$P$7:$P$441)</f>
        <v>3004226</v>
      </c>
      <c r="AU15" s="45">
        <f>SUMIF('Data By District'!$B$7:$B$441,$B15,'Data By District'!$Q$7:$Q$441)</f>
        <v>358382</v>
      </c>
      <c r="AV15" s="302">
        <f t="shared" si="9"/>
        <v>0.35535392760411394</v>
      </c>
      <c r="AW15" s="28">
        <f t="shared" si="10"/>
        <v>0.57594060666292446</v>
      </c>
      <c r="AX15" s="60">
        <f t="shared" si="11"/>
        <v>6.8705465732961574E-2</v>
      </c>
      <c r="AY15" s="29">
        <f>COUNTIF('Data By District'!$Y$7:$Y$441,$B15&amp;"-"&amp;AY$6)</f>
        <v>6</v>
      </c>
      <c r="AZ15" s="29">
        <f>COUNTIF('Data By District'!$Y$7:$Y$441,$B15&amp;"-"&amp;AZ$6)</f>
        <v>19</v>
      </c>
      <c r="BA15" s="29">
        <f>COUNTIF('Data By District'!$Y$7:$Y$441,$B15&amp;"-"&amp;BA$6)</f>
        <v>0</v>
      </c>
      <c r="BB15" s="298">
        <f t="shared" si="26"/>
        <v>0.24</v>
      </c>
      <c r="BC15" s="28">
        <f t="shared" si="27"/>
        <v>0.76</v>
      </c>
      <c r="BD15" s="60">
        <f t="shared" si="28"/>
        <v>0</v>
      </c>
      <c r="BE15" s="298">
        <f t="shared" si="12"/>
        <v>0.11535392760411395</v>
      </c>
      <c r="BF15" s="28">
        <f t="shared" si="13"/>
        <v>0.18405939333707555</v>
      </c>
      <c r="BG15" s="60">
        <f t="shared" si="14"/>
        <v>6.8705465732961574E-2</v>
      </c>
      <c r="BH15" s="54">
        <f t="shared" si="29"/>
        <v>3347869</v>
      </c>
      <c r="BI15" s="45">
        <f>'Data By District'!AE117</f>
        <v>1868339</v>
      </c>
      <c r="BJ15" s="45">
        <f>SUMIF('Data By District'!$B$7:$B$441,'Data By State'!$B15,'Data By District'!$AA$7:$AA$441)</f>
        <v>1228216</v>
      </c>
      <c r="BK15" s="45">
        <f>SUMIF('Data By District'!$B$7:$B$441,'Data By State'!$B15,'Data By District'!$AB$7:$AB$441)</f>
        <v>281741</v>
      </c>
      <c r="BL15" s="54">
        <f>SUMIF('Data By District'!$B$7:$B$441,'Data By State'!$B15,'Data By District'!$AC$7:$AC$441)</f>
        <v>358382</v>
      </c>
      <c r="BM15" s="68">
        <f t="shared" si="30"/>
        <v>0.35817954345378866</v>
      </c>
      <c r="BN15" s="28">
        <f t="shared" si="15"/>
        <v>0.66261113508847647</v>
      </c>
      <c r="BO15" s="28">
        <f t="shared" si="16"/>
        <v>9.3781559709555803E-2</v>
      </c>
      <c r="BP15" s="60">
        <f t="shared" si="17"/>
        <v>1</v>
      </c>
    </row>
    <row r="16" spans="1:71">
      <c r="A16" s="21" t="s">
        <v>75</v>
      </c>
      <c r="B16" s="30" t="s">
        <v>9</v>
      </c>
      <c r="C16" s="410">
        <v>2576161</v>
      </c>
      <c r="D16" s="410">
        <v>6596556</v>
      </c>
      <c r="E16" s="29">
        <f t="shared" si="0"/>
        <v>19</v>
      </c>
      <c r="F16" s="29">
        <f t="shared" si="1"/>
        <v>35</v>
      </c>
      <c r="G16" s="77">
        <f t="shared" si="18"/>
        <v>45</v>
      </c>
      <c r="H16" s="29">
        <f t="shared" si="19"/>
        <v>37</v>
      </c>
      <c r="I16" s="29">
        <f t="shared" si="20"/>
        <v>18</v>
      </c>
      <c r="J16" s="29">
        <f t="shared" si="21"/>
        <v>1</v>
      </c>
      <c r="K16" s="72">
        <f t="shared" si="22"/>
        <v>39</v>
      </c>
      <c r="L16" s="71">
        <f t="shared" si="2"/>
        <v>23.8</v>
      </c>
      <c r="M16" s="68">
        <f t="shared" si="23"/>
        <v>0.46126420076291019</v>
      </c>
      <c r="N16" s="37">
        <f>AVERAGE('Data By District'!V118:'Data By District'!V130)</f>
        <v>0.46780903870224194</v>
      </c>
      <c r="O16" s="33">
        <f t="shared" si="3"/>
        <v>0.76923076923076927</v>
      </c>
      <c r="P16" s="33">
        <f>SUMIF('Data By District'!$B$7:$B$441,B16,'Data By District'!$T$7:$T$441)/D16</f>
        <v>0.27351333028932068</v>
      </c>
      <c r="Q16" s="33">
        <f t="shared" si="4"/>
        <v>3.665848831078844E-3</v>
      </c>
      <c r="R16" s="74">
        <f t="shared" si="5"/>
        <v>0.37423770828292824</v>
      </c>
      <c r="S16" s="73">
        <f t="shared" si="6"/>
        <v>13</v>
      </c>
      <c r="T16" s="29">
        <f>COUNTIF('Data By District'!$Z$7:$Z$441,$B16&amp;"-"&amp;T$6)</f>
        <v>1</v>
      </c>
      <c r="U16" s="29">
        <f>COUNTIF('Data By District'!$Z$7:$Z$441,$B16&amp;"-"&amp;U$6)</f>
        <v>1</v>
      </c>
      <c r="V16" s="29">
        <f>COUNTIF('Data By District'!$Z$7:$Z$441,$B16&amp;"-"&amp;V$6)</f>
        <v>1</v>
      </c>
      <c r="W16" s="29">
        <f>COUNTIF('Data By District'!$Z$7:$Z$441,$B16&amp;"-"&amp;W$6)</f>
        <v>4</v>
      </c>
      <c r="X16" s="29">
        <f>COUNTIF('Data By District'!$Z$7:$Z$441,$B16&amp;"-"&amp;X$6)-(Y16)</f>
        <v>3</v>
      </c>
      <c r="Y16" s="29">
        <f>COUNTIF('Data By District'!$X$7:$X$441,$B16&amp;"-"&amp;"Yes")</f>
        <v>3</v>
      </c>
      <c r="Z16" s="402">
        <f t="shared" si="7"/>
        <v>0.23076923076923078</v>
      </c>
      <c r="AA16" s="404">
        <f>COUNTIF('Data By District'!$L$7:$L$441, $B16&amp;"-"&amp;1)</f>
        <v>1</v>
      </c>
      <c r="AB16" s="376">
        <f>COUNTIFS('Data By District'!$J$7:$J$441,$B16&amp;"-"&amp;"Yes",'Data By District'!$Z$7:$Z$441,$B16&amp;"-"&amp;X$6)+COUNTIFS('Data By District'!$J$7:$J$441,$B16&amp;"-"&amp;"Yes",'Data By District'!$Z$7:$Z$441,$B16&amp;"-"&amp;W$6)</f>
        <v>8</v>
      </c>
      <c r="AC16" s="373">
        <f t="shared" si="31"/>
        <v>0.8</v>
      </c>
      <c r="AD16" s="377">
        <f>COUNTIF('Data By District'!$J$7:$J$441,$B16&amp;"-"&amp;"Yes")</f>
        <v>10</v>
      </c>
      <c r="AE16" s="377">
        <f t="shared" si="24"/>
        <v>1</v>
      </c>
      <c r="AF16" s="377">
        <f>COUNTIF('Data By District'!$I$7:$I$441,$B16&amp;"-"&amp;"Yes")</f>
        <v>11</v>
      </c>
      <c r="AG16" s="377">
        <f>COUNTIFS('Data By District'!$J$7:$J$441,$B16&amp;"-"&amp;"Yes",'Data By District'!$Y$7:$Y$441,$B16&amp;"-"&amp;"Dem")</f>
        <v>5</v>
      </c>
      <c r="AH16" s="377">
        <f>COUNTIFS('Data By District'!$J$7:$J$441,$B16&amp;"-"&amp;"Yes",'Data By District'!$Y$7:$Y$441,$B16&amp;"-"&amp;"Rep")</f>
        <v>5</v>
      </c>
      <c r="AI16" s="377">
        <f>COUNTIFS('Data By District'!$J$7:$J$441,$B16&amp;"-"&amp;"Yes",'Data By District'!$Y$7:$Y$441,$B16&amp;"-"&amp;"Dem",'Data By District'!$J$7:$J$441,$B16&amp;"-"&amp;"Yes",'Data By District'!$Z$7:$Z$441,$B16&amp;"-"&amp;W$6)+COUNTIFS('Data By District'!$J$7:$J$441,$B16&amp;"-"&amp;"Yes",'Data By District'!$Y$7:$Y$441,$B16&amp;"-"&amp;"Dem",'Data By District'!$J$7:$J$441,$B16&amp;"-"&amp;"Yes",'Data By District'!$Z$7:$Z$441,$B16&amp;"-"&amp;X$6)</f>
        <v>3</v>
      </c>
      <c r="AJ16" s="377">
        <f>COUNTIFS('Data By District'!$J$7:$J$441,$B16&amp;"-"&amp;"Yes",'Data By District'!$Y$7:$Y$441,$B16&amp;"-"&amp;"Rep",'Data By District'!$J$7:$J$441,$B16&amp;"-"&amp;"Yes",'Data By District'!$Z$7:$Z$441,$B16&amp;"-"&amp;W$6)+COUNTIFS('Data By District'!$J$7:$J$441,$B16&amp;"-"&amp;"Yes",'Data By District'!$Y$7:$Y$441,$B16&amp;"-"&amp;"Rep",'Data By District'!$J$7:$J$441,$B16&amp;"-"&amp;"Yes",'Data By District'!$Z$7:$Z$441,$B16&amp;"-"&amp;X$6)</f>
        <v>5</v>
      </c>
      <c r="AK16" s="376">
        <f>COUNTIF('Data By District'!$D$7:$D$441,$B16&amp;"-"&amp;"Yes")</f>
        <v>0</v>
      </c>
      <c r="AL16" s="377">
        <f>COUNTIF('Data By District'!$E$7:$E$441,$B16&amp;"-"&amp;"Yes")</f>
        <v>4</v>
      </c>
      <c r="AM16" s="377">
        <f>COUNTIF('Data By District'!$F$7:$F$441,$B16&amp;"-"&amp;"Yes")</f>
        <v>0</v>
      </c>
      <c r="AN16" s="377">
        <f>COUNTIF('Data By District'!$G$7:$G$441,$B16&amp;"-"&amp;"Yes")</f>
        <v>0</v>
      </c>
      <c r="AO16" s="377">
        <f>COUNTIF('Data By District'!$H$7:$H$441,$B16&amp;"-"&amp;"Yes")</f>
        <v>0</v>
      </c>
      <c r="AP16" s="74">
        <f t="shared" si="8"/>
        <v>4.1721383096786267E-2</v>
      </c>
      <c r="AQ16" s="60">
        <v>0.80700216098566346</v>
      </c>
      <c r="AR16" s="54">
        <f t="shared" si="25"/>
        <v>2468680</v>
      </c>
      <c r="AS16" s="45">
        <f>SUMIF('Data By District'!$B$7:$B$441,$B16,'Data By District'!$O$7:$O$441)</f>
        <v>940347</v>
      </c>
      <c r="AT16" s="45">
        <f>SUMIF('Data By District'!$B$7:$B$441,$B16,'Data By District'!$P$7:$P$441)</f>
        <v>1528142</v>
      </c>
      <c r="AU16" s="45">
        <f>SUMIF('Data By District'!$B$7:$B$441,$B16,'Data By District'!$Q$7:$Q$441)</f>
        <v>191</v>
      </c>
      <c r="AV16" s="302">
        <f t="shared" si="9"/>
        <v>0.38091085114312101</v>
      </c>
      <c r="AW16" s="28">
        <f t="shared" si="10"/>
        <v>0.61901177957450948</v>
      </c>
      <c r="AX16" s="60">
        <f t="shared" si="11"/>
        <v>7.736928236952541E-5</v>
      </c>
      <c r="AY16" s="29">
        <f>COUNTIF('Data By District'!$Y$7:$Y$441,$B16&amp;"-"&amp;AY$6)</f>
        <v>5</v>
      </c>
      <c r="AZ16" s="29">
        <f>COUNTIF('Data By District'!$Y$7:$Y$441,$B16&amp;"-"&amp;AZ$6)</f>
        <v>8</v>
      </c>
      <c r="BA16" s="29">
        <f>COUNTIF('Data By District'!$Y$7:$Y$441,$B16&amp;"-"&amp;BA$6)</f>
        <v>0</v>
      </c>
      <c r="BB16" s="298">
        <f t="shared" si="26"/>
        <v>0.38461538461538464</v>
      </c>
      <c r="BC16" s="28">
        <f t="shared" si="27"/>
        <v>0.61538461538461542</v>
      </c>
      <c r="BD16" s="60">
        <f t="shared" si="28"/>
        <v>0</v>
      </c>
      <c r="BE16" s="298">
        <f t="shared" si="12"/>
        <v>3.7045334722636269E-3</v>
      </c>
      <c r="BF16" s="28">
        <f t="shared" si="13"/>
        <v>3.627164189894061E-3</v>
      </c>
      <c r="BG16" s="60">
        <f t="shared" si="14"/>
        <v>7.736928236952541E-5</v>
      </c>
      <c r="BH16" s="54">
        <f t="shared" si="29"/>
        <v>1804246</v>
      </c>
      <c r="BI16" s="45">
        <f>'Data By District'!AE130</f>
        <v>664434</v>
      </c>
      <c r="BJ16" s="45">
        <f>SUMIF('Data By District'!$B$7:$B$441,'Data By State'!$B16,'Data By District'!$AA$7:$AA$441)</f>
        <v>358532</v>
      </c>
      <c r="BK16" s="45">
        <f>SUMIF('Data By District'!$B$7:$B$441,'Data By State'!$B16,'Data By District'!$AB$7:$AB$441)</f>
        <v>305711</v>
      </c>
      <c r="BL16" s="54">
        <f>SUMIF('Data By District'!$B$7:$B$441,'Data By State'!$B16,'Data By District'!$AC$7:$AC$441)</f>
        <v>191</v>
      </c>
      <c r="BM16" s="68">
        <f t="shared" si="30"/>
        <v>0.26914545425085473</v>
      </c>
      <c r="BN16" s="28">
        <f t="shared" ref="BN16:BN57" si="32">BJ16/AS16</f>
        <v>0.38127627354582938</v>
      </c>
      <c r="BO16" s="28">
        <f t="shared" ref="BO16:BO57" si="33">BK16/AT16</f>
        <v>0.20005405256841313</v>
      </c>
      <c r="BP16" s="60">
        <v>0</v>
      </c>
    </row>
    <row r="17" spans="1:68">
      <c r="A17" s="21" t="s">
        <v>76</v>
      </c>
      <c r="B17" s="30" t="s">
        <v>10</v>
      </c>
      <c r="C17" s="410">
        <v>382563</v>
      </c>
      <c r="D17" s="410">
        <v>930624</v>
      </c>
      <c r="E17" s="29">
        <f t="shared" si="0"/>
        <v>35</v>
      </c>
      <c r="F17" s="29">
        <f t="shared" si="1"/>
        <v>31</v>
      </c>
      <c r="G17" s="77">
        <f t="shared" si="18"/>
        <v>25</v>
      </c>
      <c r="H17" s="29">
        <f t="shared" si="19"/>
        <v>15</v>
      </c>
      <c r="I17" s="29">
        <f t="shared" si="20"/>
        <v>33</v>
      </c>
      <c r="J17" s="29">
        <f t="shared" si="21"/>
        <v>41</v>
      </c>
      <c r="K17" s="72">
        <f t="shared" si="22"/>
        <v>29</v>
      </c>
      <c r="L17" s="71">
        <f t="shared" si="2"/>
        <v>29.4</v>
      </c>
      <c r="M17" s="68">
        <f t="shared" si="23"/>
        <v>0.46806063681787347</v>
      </c>
      <c r="N17" s="37">
        <f>AVERAGE('Data By District'!V131:'Data By District'!V132)</f>
        <v>0.27259224192607984</v>
      </c>
      <c r="O17" s="33">
        <f t="shared" si="3"/>
        <v>0.5</v>
      </c>
      <c r="P17" s="33">
        <f>SUMIF('Data By District'!$B$7:$B$441,B17,'Data By District'!$T$7:$T$441)/D17</f>
        <v>0.24330986520872017</v>
      </c>
      <c r="Q17" s="33">
        <f t="shared" si="4"/>
        <v>0.37372430440199333</v>
      </c>
      <c r="R17" s="74">
        <f t="shared" si="5"/>
        <v>0.41400178804758958</v>
      </c>
      <c r="S17" s="73">
        <f t="shared" si="6"/>
        <v>2</v>
      </c>
      <c r="T17" s="29">
        <f>COUNTIF('Data By District'!$Z$7:$Z$441,$B17&amp;"-"&amp;T$6)</f>
        <v>0</v>
      </c>
      <c r="U17" s="29">
        <f>COUNTIF('Data By District'!$Z$7:$Z$441,$B17&amp;"-"&amp;U$6)</f>
        <v>1</v>
      </c>
      <c r="V17" s="29">
        <f>COUNTIF('Data By District'!$Z$7:$Z$441,$B17&amp;"-"&amp;V$6)</f>
        <v>0</v>
      </c>
      <c r="W17" s="29">
        <f>COUNTIF('Data By District'!$Z$7:$Z$441,$B17&amp;"-"&amp;W$6)</f>
        <v>0</v>
      </c>
      <c r="X17" s="29">
        <f>COUNTIF('Data By District'!$Z$7:$Z$441,$B17&amp;"-"&amp;X$6)-(Y17)</f>
        <v>1</v>
      </c>
      <c r="Y17" s="29">
        <f>COUNTIF('Data By District'!$X$7:$X$441,$B17&amp;"-"&amp;"Yes")</f>
        <v>0</v>
      </c>
      <c r="Z17" s="402">
        <f t="shared" si="7"/>
        <v>0</v>
      </c>
      <c r="AA17" s="404">
        <f>COUNTIF('Data By District'!$L$7:$L$441, $B17&amp;"-"&amp;1)</f>
        <v>0</v>
      </c>
      <c r="AB17" s="376">
        <f>COUNTIFS('Data By District'!$J$7:$J$441,$B17&amp;"-"&amp;"Yes",'Data By District'!$Z$7:$Z$441,$B17&amp;"-"&amp;X$6)+COUNTIFS('Data By District'!$J$7:$J$441,$B17&amp;"-"&amp;"Yes",'Data By District'!$Z$7:$Z$441,$B17&amp;"-"&amp;W$6)</f>
        <v>1</v>
      </c>
      <c r="AC17" s="373">
        <f t="shared" si="31"/>
        <v>1</v>
      </c>
      <c r="AD17" s="377">
        <f>COUNTIF('Data By District'!$J$7:$J$441,$B17&amp;"-"&amp;"Yes")</f>
        <v>1</v>
      </c>
      <c r="AE17" s="377">
        <f t="shared" si="24"/>
        <v>1</v>
      </c>
      <c r="AF17" s="377">
        <f>COUNTIF('Data By District'!$I$7:$I$441,$B17&amp;"-"&amp;"Yes")</f>
        <v>2</v>
      </c>
      <c r="AG17" s="377">
        <f>COUNTIFS('Data By District'!$J$7:$J$441,$B17&amp;"-"&amp;"Yes",'Data By District'!$Y$7:$Y$441,$B17&amp;"-"&amp;"Dem")</f>
        <v>1</v>
      </c>
      <c r="AH17" s="377">
        <f>COUNTIFS('Data By District'!$J$7:$J$441,$B17&amp;"-"&amp;"Yes",'Data By District'!$Y$7:$Y$441,$B17&amp;"-"&amp;"Rep")</f>
        <v>0</v>
      </c>
      <c r="AI17" s="377">
        <f>COUNTIFS('Data By District'!$J$7:$J$441,$B17&amp;"-"&amp;"Yes",'Data By District'!$Y$7:$Y$441,$B17&amp;"-"&amp;"Dem",'Data By District'!$J$7:$J$441,$B17&amp;"-"&amp;"Yes",'Data By District'!$Z$7:$Z$441,$B17&amp;"-"&amp;W$6)+COUNTIFS('Data By District'!$J$7:$J$441,$B17&amp;"-"&amp;"Yes",'Data By District'!$Y$7:$Y$441,$B17&amp;"-"&amp;"Dem",'Data By District'!$J$7:$J$441,$B17&amp;"-"&amp;"Yes",'Data By District'!$Z$7:$Z$441,$B17&amp;"-"&amp;X$6)</f>
        <v>1</v>
      </c>
      <c r="AJ17" s="377">
        <f>COUNTIFS('Data By District'!$J$7:$J$441,$B17&amp;"-"&amp;"Yes",'Data By District'!$Y$7:$Y$441,$B17&amp;"-"&amp;"Rep",'Data By District'!$J$7:$J$441,$B17&amp;"-"&amp;"Yes",'Data By District'!$Z$7:$Z$441,$B17&amp;"-"&amp;W$6)+COUNTIFS('Data By District'!$J$7:$J$441,$B17&amp;"-"&amp;"Yes",'Data By District'!$Y$7:$Y$441,$B17&amp;"-"&amp;"Rep",'Data By District'!$J$7:$J$441,$B17&amp;"-"&amp;"Yes",'Data By District'!$Z$7:$Z$441,$B17&amp;"-"&amp;X$6)</f>
        <v>0</v>
      </c>
      <c r="AK17" s="376">
        <f>COUNTIF('Data By District'!$D$7:$D$441,$B17&amp;"-"&amp;"Yes")</f>
        <v>2</v>
      </c>
      <c r="AL17" s="377">
        <f>COUNTIF('Data By District'!$E$7:$E$441,$B17&amp;"-"&amp;"Yes")</f>
        <v>0</v>
      </c>
      <c r="AM17" s="377">
        <f>COUNTIF('Data By District'!$F$7:$F$441,$B17&amp;"-"&amp;"Yes")</f>
        <v>0</v>
      </c>
      <c r="AN17" s="377">
        <f>COUNTIF('Data By District'!$G$7:$G$441,$B17&amp;"-"&amp;"Yes")</f>
        <v>2</v>
      </c>
      <c r="AO17" s="377">
        <f>COUNTIF('Data By District'!$H$7:$H$441,$B17&amp;"-"&amp;"Yes")</f>
        <v>0</v>
      </c>
      <c r="AP17" s="74">
        <f t="shared" si="8"/>
        <v>-7.1020982165029027E-3</v>
      </c>
      <c r="AQ17" s="60">
        <v>0.62866745084859688</v>
      </c>
      <c r="AR17" s="54">
        <f t="shared" si="25"/>
        <v>385280</v>
      </c>
      <c r="AS17" s="45">
        <f>SUMIF('Data By District'!$B$7:$B$441,$B17,'Data By District'!$O$7:$O$441)</f>
        <v>226430</v>
      </c>
      <c r="AT17" s="45">
        <f>SUMIF('Data By District'!$B$7:$B$441,$B17,'Data By District'!$P$7:$P$441)</f>
        <v>129127</v>
      </c>
      <c r="AU17" s="45">
        <f>SUMIF('Data By District'!$B$7:$B$441,$B17,'Data By District'!$Q$7:$Q$441)</f>
        <v>29723</v>
      </c>
      <c r="AV17" s="302">
        <f t="shared" si="9"/>
        <v>0.587702450166113</v>
      </c>
      <c r="AW17" s="28">
        <f t="shared" si="10"/>
        <v>0.33515105897009967</v>
      </c>
      <c r="AX17" s="60">
        <f t="shared" si="11"/>
        <v>7.7146490863787373E-2</v>
      </c>
      <c r="AY17" s="29">
        <f>COUNTIF('Data By District'!$Y$7:$Y$441,$B17&amp;"-"&amp;AY$6)</f>
        <v>2</v>
      </c>
      <c r="AZ17" s="29">
        <f>COUNTIF('Data By District'!$Y$7:$Y$441,$B17&amp;"-"&amp;AZ$6)</f>
        <v>0</v>
      </c>
      <c r="BA17" s="29">
        <f>COUNTIF('Data By District'!$Y$7:$Y$441,$B17&amp;"-"&amp;BA$6)</f>
        <v>0</v>
      </c>
      <c r="BB17" s="298">
        <f t="shared" si="26"/>
        <v>1</v>
      </c>
      <c r="BC17" s="28">
        <f t="shared" si="27"/>
        <v>0</v>
      </c>
      <c r="BD17" s="60">
        <f t="shared" si="28"/>
        <v>0</v>
      </c>
      <c r="BE17" s="298">
        <f t="shared" si="12"/>
        <v>0.412297549833887</v>
      </c>
      <c r="BF17" s="28">
        <f t="shared" si="13"/>
        <v>0.33515105897009967</v>
      </c>
      <c r="BG17" s="60">
        <f t="shared" si="14"/>
        <v>7.7146490863787373E-2</v>
      </c>
      <c r="BH17" s="54">
        <f t="shared" si="29"/>
        <v>226430</v>
      </c>
      <c r="BI17" s="45">
        <f>'Data By District'!AE132</f>
        <v>158850</v>
      </c>
      <c r="BJ17" s="45">
        <f>SUMIF('Data By District'!$B$7:$B$441,'Data By State'!$B17,'Data By District'!$AA$7:$AA$441)</f>
        <v>0</v>
      </c>
      <c r="BK17" s="45">
        <f>SUMIF('Data By District'!$B$7:$B$441,'Data By State'!$B17,'Data By District'!$AB$7:$AB$441)</f>
        <v>129127</v>
      </c>
      <c r="BL17" s="54">
        <f>SUMIF('Data By District'!$B$7:$B$441,'Data By State'!$B17,'Data By District'!$AC$7:$AC$441)</f>
        <v>29723</v>
      </c>
      <c r="BM17" s="68">
        <f t="shared" si="30"/>
        <v>0.41229754983388706</v>
      </c>
      <c r="BN17" s="28">
        <f t="shared" si="32"/>
        <v>0</v>
      </c>
      <c r="BO17" s="28">
        <f t="shared" si="33"/>
        <v>1</v>
      </c>
      <c r="BP17" s="60">
        <f t="shared" ref="BP17:BP56" si="34">BL17/AU17</f>
        <v>1</v>
      </c>
    </row>
    <row r="18" spans="1:68">
      <c r="A18" s="21" t="s">
        <v>77</v>
      </c>
      <c r="B18" s="30" t="s">
        <v>11</v>
      </c>
      <c r="C18" s="410">
        <v>452535</v>
      </c>
      <c r="D18" s="410">
        <v>1051978</v>
      </c>
      <c r="E18" s="29">
        <f t="shared" si="0"/>
        <v>36</v>
      </c>
      <c r="F18" s="29">
        <f t="shared" si="1"/>
        <v>33</v>
      </c>
      <c r="G18" s="77">
        <f t="shared" si="18"/>
        <v>30</v>
      </c>
      <c r="H18" s="29">
        <f t="shared" si="19"/>
        <v>15</v>
      </c>
      <c r="I18" s="29">
        <f t="shared" si="20"/>
        <v>31</v>
      </c>
      <c r="J18" s="29">
        <f t="shared" si="21"/>
        <v>42</v>
      </c>
      <c r="K18" s="72">
        <f t="shared" si="22"/>
        <v>24</v>
      </c>
      <c r="L18" s="71">
        <f t="shared" si="2"/>
        <v>29.8</v>
      </c>
      <c r="M18" s="68">
        <f t="shared" si="23"/>
        <v>0.46730371656063119</v>
      </c>
      <c r="N18" s="37">
        <f>AVERAGE('Data By District'!V133:'Data By District'!V134)</f>
        <v>0.29097143485560639</v>
      </c>
      <c r="O18" s="33">
        <f t="shared" si="3"/>
        <v>0.5</v>
      </c>
      <c r="P18" s="33">
        <f>SUMIF('Data By District'!$B$7:$B$441,B18,'Data By District'!$T$7:$T$441)/D18</f>
        <v>0.25066969081102458</v>
      </c>
      <c r="Q18" s="33">
        <f t="shared" si="4"/>
        <v>0.37384936396328694</v>
      </c>
      <c r="R18" s="74">
        <f t="shared" si="5"/>
        <v>0.42505071398831534</v>
      </c>
      <c r="S18" s="73">
        <f t="shared" si="6"/>
        <v>2</v>
      </c>
      <c r="T18" s="29">
        <f>COUNTIF('Data By District'!$Z$7:$Z$441,$B18&amp;"-"&amp;T$6)</f>
        <v>0</v>
      </c>
      <c r="U18" s="29">
        <f>COUNTIF('Data By District'!$Z$7:$Z$441,$B18&amp;"-"&amp;U$6)</f>
        <v>0</v>
      </c>
      <c r="V18" s="29">
        <f>COUNTIF('Data By District'!$Z$7:$Z$441,$B18&amp;"-"&amp;V$6)</f>
        <v>1</v>
      </c>
      <c r="W18" s="29">
        <f>COUNTIF('Data By District'!$Z$7:$Z$441,$B18&amp;"-"&amp;W$6)</f>
        <v>0</v>
      </c>
      <c r="X18" s="29">
        <f>COUNTIF('Data By District'!$Z$7:$Z$441,$B18&amp;"-"&amp;X$6)-(Y18)</f>
        <v>1</v>
      </c>
      <c r="Y18" s="29">
        <f>COUNTIF('Data By District'!$X$7:$X$441,$B18&amp;"-"&amp;"Yes")</f>
        <v>0</v>
      </c>
      <c r="Z18" s="402">
        <f t="shared" si="7"/>
        <v>0</v>
      </c>
      <c r="AA18" s="404">
        <f>COUNTIF('Data By District'!$L$7:$L$441, $B18&amp;"-"&amp;1)</f>
        <v>1</v>
      </c>
      <c r="AB18" s="376">
        <f>COUNTIFS('Data By District'!$J$7:$J$441,$B18&amp;"-"&amp;"Yes",'Data By District'!$Z$7:$Z$441,$B18&amp;"-"&amp;X$6)+COUNTIFS('Data By District'!$J$7:$J$441,$B18&amp;"-"&amp;"Yes",'Data By District'!$Z$7:$Z$441,$B18&amp;"-"&amp;W$6)</f>
        <v>1</v>
      </c>
      <c r="AC18" s="373">
        <f t="shared" si="31"/>
        <v>1</v>
      </c>
      <c r="AD18" s="377">
        <f>COUNTIF('Data By District'!$J$7:$J$441,$B18&amp;"-"&amp;"Yes")</f>
        <v>1</v>
      </c>
      <c r="AE18" s="377">
        <f t="shared" si="24"/>
        <v>1</v>
      </c>
      <c r="AF18" s="377">
        <f>COUNTIF('Data By District'!$I$7:$I$441,$B18&amp;"-"&amp;"Yes")</f>
        <v>2</v>
      </c>
      <c r="AG18" s="377">
        <f>COUNTIFS('Data By District'!$J$7:$J$441,$B18&amp;"-"&amp;"Yes",'Data By District'!$Y$7:$Y$441,$B18&amp;"-"&amp;"Dem")</f>
        <v>0</v>
      </c>
      <c r="AH18" s="377">
        <f>COUNTIFS('Data By District'!$J$7:$J$441,$B18&amp;"-"&amp;"Yes",'Data By District'!$Y$7:$Y$441,$B18&amp;"-"&amp;"Rep")</f>
        <v>1</v>
      </c>
      <c r="AI18" s="377">
        <f>COUNTIFS('Data By District'!$J$7:$J$441,$B18&amp;"-"&amp;"Yes",'Data By District'!$Y$7:$Y$441,$B18&amp;"-"&amp;"Dem",'Data By District'!$J$7:$J$441,$B18&amp;"-"&amp;"Yes",'Data By District'!$Z$7:$Z$441,$B18&amp;"-"&amp;W$6)+COUNTIFS('Data By District'!$J$7:$J$441,$B18&amp;"-"&amp;"Yes",'Data By District'!$Y$7:$Y$441,$B18&amp;"-"&amp;"Dem",'Data By District'!$J$7:$J$441,$B18&amp;"-"&amp;"Yes",'Data By District'!$Z$7:$Z$441,$B18&amp;"-"&amp;X$6)</f>
        <v>0</v>
      </c>
      <c r="AJ18" s="377">
        <f>COUNTIFS('Data By District'!$J$7:$J$441,$B18&amp;"-"&amp;"Yes",'Data By District'!$Y$7:$Y$441,$B18&amp;"-"&amp;"Rep",'Data By District'!$J$7:$J$441,$B18&amp;"-"&amp;"Yes",'Data By District'!$Z$7:$Z$441,$B18&amp;"-"&amp;W$6)+COUNTIFS('Data By District'!$J$7:$J$441,$B18&amp;"-"&amp;"Yes",'Data By District'!$Y$7:$Y$441,$B18&amp;"-"&amp;"Rep",'Data By District'!$J$7:$J$441,$B18&amp;"-"&amp;"Yes",'Data By District'!$Z$7:$Z$441,$B18&amp;"-"&amp;X$6)</f>
        <v>1</v>
      </c>
      <c r="AK18" s="376">
        <f>COUNTIF('Data By District'!$D$7:$D$441,$B18&amp;"-"&amp;"Yes")</f>
        <v>0</v>
      </c>
      <c r="AL18" s="377">
        <f>COUNTIF('Data By District'!$E$7:$E$441,$B18&amp;"-"&amp;"Yes")</f>
        <v>0</v>
      </c>
      <c r="AM18" s="377">
        <f>COUNTIF('Data By District'!$F$7:$F$441,$B18&amp;"-"&amp;"Yes")</f>
        <v>1</v>
      </c>
      <c r="AN18" s="377">
        <f>COUNTIF('Data By District'!$G$7:$G$441,$B18&amp;"-"&amp;"Yes")</f>
        <v>0</v>
      </c>
      <c r="AO18" s="377">
        <f>COUNTIF('Data By District'!$H$7:$H$441,$B18&amp;"-"&amp;"Yes")</f>
        <v>0</v>
      </c>
      <c r="AP18" s="74">
        <f t="shared" si="8"/>
        <v>1.1912890715635255E-2</v>
      </c>
      <c r="AQ18" s="60">
        <v>0.70116661367582889</v>
      </c>
      <c r="AR18" s="54">
        <f t="shared" si="25"/>
        <v>447144</v>
      </c>
      <c r="AS18" s="45">
        <f>SUMIF('Data By District'!$B$7:$B$441,$B18,'Data By District'!$O$7:$O$441)</f>
        <v>150884</v>
      </c>
      <c r="AT18" s="45">
        <f>SUMIF('Data By District'!$B$7:$B$441,$B18,'Data By District'!$P$7:$P$441)</f>
        <v>263699</v>
      </c>
      <c r="AU18" s="45">
        <f>SUMIF('Data By District'!$B$7:$B$441,$B18,'Data By District'!$Q$7:$Q$441)</f>
        <v>32561</v>
      </c>
      <c r="AV18" s="302">
        <f t="shared" si="9"/>
        <v>0.33743939312615173</v>
      </c>
      <c r="AW18" s="28">
        <f t="shared" si="10"/>
        <v>0.5897406651995778</v>
      </c>
      <c r="AX18" s="60">
        <f t="shared" si="11"/>
        <v>7.2819941674270486E-2</v>
      </c>
      <c r="AY18" s="29">
        <f>COUNTIF('Data By District'!$Y$7:$Y$441,$B18&amp;"-"&amp;AY$6)</f>
        <v>0</v>
      </c>
      <c r="AZ18" s="29">
        <f>COUNTIF('Data By District'!$Y$7:$Y$441,$B18&amp;"-"&amp;AZ$6)</f>
        <v>2</v>
      </c>
      <c r="BA18" s="29">
        <f>COUNTIF('Data By District'!$Y$7:$Y$441,$B18&amp;"-"&amp;BA$6)</f>
        <v>0</v>
      </c>
      <c r="BB18" s="298">
        <f t="shared" si="26"/>
        <v>0</v>
      </c>
      <c r="BC18" s="28">
        <f t="shared" si="27"/>
        <v>1</v>
      </c>
      <c r="BD18" s="60">
        <f t="shared" si="28"/>
        <v>0</v>
      </c>
      <c r="BE18" s="298">
        <f t="shared" si="12"/>
        <v>0.33743939312615173</v>
      </c>
      <c r="BF18" s="28">
        <f t="shared" si="13"/>
        <v>0.4102593348004222</v>
      </c>
      <c r="BG18" s="60">
        <f t="shared" si="14"/>
        <v>7.2819941674270486E-2</v>
      </c>
      <c r="BH18" s="54">
        <f t="shared" si="29"/>
        <v>263699</v>
      </c>
      <c r="BI18" s="45">
        <f>'Data By District'!AE134</f>
        <v>183445</v>
      </c>
      <c r="BJ18" s="45">
        <f>SUMIF('Data By District'!$B$7:$B$441,'Data By State'!$B18,'Data By District'!$AA$7:$AA$441)</f>
        <v>150884</v>
      </c>
      <c r="BK18" s="45">
        <f>SUMIF('Data By District'!$B$7:$B$441,'Data By State'!$B18,'Data By District'!$AB$7:$AB$441)</f>
        <v>0</v>
      </c>
      <c r="BL18" s="54">
        <f>SUMIF('Data By District'!$B$7:$B$441,'Data By State'!$B18,'Data By District'!$AC$7:$AC$441)</f>
        <v>32561</v>
      </c>
      <c r="BM18" s="68">
        <f t="shared" si="30"/>
        <v>0.41025933480042226</v>
      </c>
      <c r="BN18" s="28">
        <f t="shared" si="32"/>
        <v>1</v>
      </c>
      <c r="BO18" s="28">
        <f t="shared" si="33"/>
        <v>0</v>
      </c>
      <c r="BP18" s="60" t="s">
        <v>236</v>
      </c>
    </row>
    <row r="19" spans="1:68">
      <c r="A19" s="21" t="s">
        <v>78</v>
      </c>
      <c r="B19" s="30" t="s">
        <v>12</v>
      </c>
      <c r="C19" s="410">
        <v>3729989</v>
      </c>
      <c r="D19" s="410">
        <v>8934072</v>
      </c>
      <c r="E19" s="29">
        <f t="shared" si="0"/>
        <v>26</v>
      </c>
      <c r="F19" s="29">
        <f t="shared" si="1"/>
        <v>30</v>
      </c>
      <c r="G19" s="77">
        <f t="shared" si="18"/>
        <v>36</v>
      </c>
      <c r="H19" s="29">
        <f t="shared" si="19"/>
        <v>36</v>
      </c>
      <c r="I19" s="29">
        <f t="shared" si="20"/>
        <v>20</v>
      </c>
      <c r="J19" s="29">
        <f t="shared" si="21"/>
        <v>16</v>
      </c>
      <c r="K19" s="72">
        <f t="shared" si="22"/>
        <v>30</v>
      </c>
      <c r="L19" s="71">
        <f t="shared" si="2"/>
        <v>25.6</v>
      </c>
      <c r="M19" s="68">
        <f t="shared" si="23"/>
        <v>0.46912225505132188</v>
      </c>
      <c r="N19" s="37">
        <f>AVERAGE('Data By District'!V135:'Data By District'!V153)</f>
        <v>0.35253352592714138</v>
      </c>
      <c r="O19" s="33">
        <f t="shared" si="3"/>
        <v>0.73684210526315785</v>
      </c>
      <c r="P19" s="33">
        <f>SUMIF('Data By District'!$B$7:$B$441,B19,'Data By District'!$T$7:$T$441)/D19</f>
        <v>0.2675389229010019</v>
      </c>
      <c r="Q19" s="33">
        <f t="shared" si="4"/>
        <v>0.10009093935509528</v>
      </c>
      <c r="R19" s="74">
        <f t="shared" si="5"/>
        <v>0.41371493312344026</v>
      </c>
      <c r="S19" s="73">
        <f t="shared" si="6"/>
        <v>19</v>
      </c>
      <c r="T19" s="29">
        <f>COUNTIF('Data By District'!$Z$7:$Z$441,$B19&amp;"-"&amp;T$6)</f>
        <v>2</v>
      </c>
      <c r="U19" s="29">
        <f>COUNTIF('Data By District'!$Z$7:$Z$441,$B19&amp;"-"&amp;U$6)</f>
        <v>1</v>
      </c>
      <c r="V19" s="29">
        <f>COUNTIF('Data By District'!$Z$7:$Z$441,$B19&amp;"-"&amp;V$6)</f>
        <v>2</v>
      </c>
      <c r="W19" s="29">
        <f>COUNTIF('Data By District'!$Z$7:$Z$441,$B19&amp;"-"&amp;W$6)</f>
        <v>6</v>
      </c>
      <c r="X19" s="29">
        <f>COUNTIF('Data By District'!$Z$7:$Z$441,$B19&amp;"-"&amp;X$6)-(Y19)</f>
        <v>8</v>
      </c>
      <c r="Y19" s="29">
        <f>COUNTIF('Data By District'!$X$7:$X$441,$B19&amp;"-"&amp;"Yes")</f>
        <v>0</v>
      </c>
      <c r="Z19" s="402">
        <f t="shared" si="7"/>
        <v>0</v>
      </c>
      <c r="AA19" s="404">
        <f>COUNTIF('Data By District'!$L$7:$L$441, $B19&amp;"-"&amp;1)</f>
        <v>4</v>
      </c>
      <c r="AB19" s="376">
        <f>COUNTIFS('Data By District'!$J$7:$J$441,$B19&amp;"-"&amp;"Yes",'Data By District'!$Z$7:$Z$441,$B19&amp;"-"&amp;X$6)+COUNTIFS('Data By District'!$J$7:$J$441,$B19&amp;"-"&amp;"Yes",'Data By District'!$Z$7:$Z$441,$B19&amp;"-"&amp;W$6)</f>
        <v>14</v>
      </c>
      <c r="AC19" s="373">
        <f t="shared" si="31"/>
        <v>1</v>
      </c>
      <c r="AD19" s="377">
        <f>COUNTIF('Data By District'!$J$7:$J$441,$B19&amp;"-"&amp;"Yes")</f>
        <v>14</v>
      </c>
      <c r="AE19" s="377">
        <f t="shared" si="24"/>
        <v>4</v>
      </c>
      <c r="AF19" s="377">
        <f>COUNTIF('Data By District'!$I$7:$I$441,$B19&amp;"-"&amp;"Yes")</f>
        <v>18</v>
      </c>
      <c r="AG19" s="377">
        <f>COUNTIFS('Data By District'!$J$7:$J$441,$B19&amp;"-"&amp;"Yes",'Data By District'!$Y$7:$Y$441,$B19&amp;"-"&amp;"Dem")</f>
        <v>8</v>
      </c>
      <c r="AH19" s="377">
        <f>COUNTIFS('Data By District'!$J$7:$J$441,$B19&amp;"-"&amp;"Yes",'Data By District'!$Y$7:$Y$441,$B19&amp;"-"&amp;"Rep")</f>
        <v>6</v>
      </c>
      <c r="AI19" s="377">
        <f>COUNTIFS('Data By District'!$J$7:$J$441,$B19&amp;"-"&amp;"Yes",'Data By District'!$Y$7:$Y$441,$B19&amp;"-"&amp;"Dem",'Data By District'!$J$7:$J$441,$B19&amp;"-"&amp;"Yes",'Data By District'!$Z$7:$Z$441,$B19&amp;"-"&amp;W$6)+COUNTIFS('Data By District'!$J$7:$J$441,$B19&amp;"-"&amp;"Yes",'Data By District'!$Y$7:$Y$441,$B19&amp;"-"&amp;"Dem",'Data By District'!$J$7:$J$441,$B19&amp;"-"&amp;"Yes",'Data By District'!$Z$7:$Z$441,$B19&amp;"-"&amp;X$6)</f>
        <v>8</v>
      </c>
      <c r="AJ19" s="377">
        <f>COUNTIFS('Data By District'!$J$7:$J$441,$B19&amp;"-"&amp;"Yes",'Data By District'!$Y$7:$Y$441,$B19&amp;"-"&amp;"Rep",'Data By District'!$J$7:$J$441,$B19&amp;"-"&amp;"Yes",'Data By District'!$Z$7:$Z$441,$B19&amp;"-"&amp;W$6)+COUNTIFS('Data By District'!$J$7:$J$441,$B19&amp;"-"&amp;"Yes",'Data By District'!$Y$7:$Y$441,$B19&amp;"-"&amp;"Rep",'Data By District'!$J$7:$J$441,$B19&amp;"-"&amp;"Yes",'Data By District'!$Z$7:$Z$441,$B19&amp;"-"&amp;X$6)</f>
        <v>6</v>
      </c>
      <c r="AK19" s="376">
        <f>COUNTIF('Data By District'!$D$7:$D$441,$B19&amp;"-"&amp;"Yes")</f>
        <v>2</v>
      </c>
      <c r="AL19" s="377">
        <f>COUNTIF('Data By District'!$E$7:$E$441,$B19&amp;"-"&amp;"Yes")</f>
        <v>3</v>
      </c>
      <c r="AM19" s="377">
        <f>COUNTIF('Data By District'!$F$7:$F$441,$B19&amp;"-"&amp;"Yes")</f>
        <v>1</v>
      </c>
      <c r="AN19" s="377">
        <f>COUNTIF('Data By District'!$G$7:$G$441,$B19&amp;"-"&amp;"Yes")</f>
        <v>0</v>
      </c>
      <c r="AO19" s="377">
        <f>COUNTIF('Data By District'!$H$7:$H$441,$B19&amp;"-"&amp;"Yes")</f>
        <v>0</v>
      </c>
      <c r="AP19" s="74">
        <f t="shared" si="8"/>
        <v>9.0697318410322397E-3</v>
      </c>
      <c r="AQ19" s="60">
        <v>0.69194769922804944</v>
      </c>
      <c r="AR19" s="54">
        <f t="shared" si="25"/>
        <v>3696159</v>
      </c>
      <c r="AS19" s="45">
        <f>SUMIF('Data By District'!$B$7:$B$441,$B19,'Data By District'!$O$7:$O$441)</f>
        <v>1876316</v>
      </c>
      <c r="AT19" s="45">
        <f>SUMIF('Data By District'!$B$7:$B$441,$B19,'Data By District'!$P$7:$P$441)</f>
        <v>1720016</v>
      </c>
      <c r="AU19" s="45">
        <f>SUMIF('Data By District'!$B$7:$B$441,$B19,'Data By District'!$Q$7:$Q$441)</f>
        <v>99827</v>
      </c>
      <c r="AV19" s="302">
        <f t="shared" si="9"/>
        <v>0.50763941702724369</v>
      </c>
      <c r="AW19" s="28">
        <f t="shared" si="10"/>
        <v>0.46535227515915845</v>
      </c>
      <c r="AX19" s="60">
        <f t="shared" si="11"/>
        <v>2.7008307813597844E-2</v>
      </c>
      <c r="AY19" s="29">
        <f>COUNTIF('Data By District'!$Y$7:$Y$441,$B19&amp;"-"&amp;AY$6)</f>
        <v>8</v>
      </c>
      <c r="AZ19" s="29">
        <f>COUNTIF('Data By District'!$Y$7:$Y$441,$B19&amp;"-"&amp;AZ$6)</f>
        <v>11</v>
      </c>
      <c r="BA19" s="29">
        <f>COUNTIF('Data By District'!$Y$7:$Y$441,$B19&amp;"-"&amp;BA$6)</f>
        <v>0</v>
      </c>
      <c r="BB19" s="298">
        <f t="shared" si="26"/>
        <v>0.42105263157894735</v>
      </c>
      <c r="BC19" s="28">
        <f t="shared" si="27"/>
        <v>0.57894736842105265</v>
      </c>
      <c r="BD19" s="60">
        <f t="shared" si="28"/>
        <v>0</v>
      </c>
      <c r="BE19" s="298">
        <f t="shared" si="12"/>
        <v>8.6586785448296344E-2</v>
      </c>
      <c r="BF19" s="28">
        <f t="shared" si="13"/>
        <v>0.11359509326189421</v>
      </c>
      <c r="BG19" s="60">
        <f t="shared" si="14"/>
        <v>2.7008307813597844E-2</v>
      </c>
      <c r="BH19" s="54">
        <f t="shared" si="29"/>
        <v>2390212</v>
      </c>
      <c r="BI19" s="45">
        <f>'Data By District'!AE153</f>
        <v>1305947</v>
      </c>
      <c r="BJ19" s="45">
        <f>SUMIF('Data By District'!$B$7:$B$441,'Data By State'!$B19,'Data By District'!$AA$7:$AA$441)</f>
        <v>901056</v>
      </c>
      <c r="BK19" s="45">
        <f>SUMIF('Data By District'!$B$7:$B$441,'Data By State'!$B19,'Data By District'!$AB$7:$AB$441)</f>
        <v>305064</v>
      </c>
      <c r="BL19" s="54">
        <f>SUMIF('Data By District'!$B$7:$B$441,'Data By State'!$B19,'Data By District'!$AC$7:$AC$441)</f>
        <v>99827</v>
      </c>
      <c r="BM19" s="68">
        <f t="shared" si="30"/>
        <v>0.35332543865131344</v>
      </c>
      <c r="BN19" s="28">
        <f t="shared" si="32"/>
        <v>0.48022614527616886</v>
      </c>
      <c r="BO19" s="28">
        <f t="shared" si="33"/>
        <v>0.17736114082659696</v>
      </c>
      <c r="BP19" s="60">
        <f t="shared" si="34"/>
        <v>1</v>
      </c>
    </row>
    <row r="20" spans="1:68">
      <c r="A20" s="21" t="s">
        <v>79</v>
      </c>
      <c r="B20" s="30" t="s">
        <v>13</v>
      </c>
      <c r="C20" s="410">
        <v>1744481</v>
      </c>
      <c r="D20" s="410">
        <v>4678739</v>
      </c>
      <c r="E20" s="29">
        <f t="shared" si="0"/>
        <v>42</v>
      </c>
      <c r="F20" s="29">
        <f t="shared" si="1"/>
        <v>34</v>
      </c>
      <c r="G20" s="77">
        <f t="shared" si="18"/>
        <v>22</v>
      </c>
      <c r="H20" s="29">
        <f t="shared" si="19"/>
        <v>38</v>
      </c>
      <c r="I20" s="29">
        <f t="shared" si="20"/>
        <v>43</v>
      </c>
      <c r="J20" s="29">
        <f t="shared" si="21"/>
        <v>13</v>
      </c>
      <c r="K20" s="72">
        <f t="shared" si="22"/>
        <v>40</v>
      </c>
      <c r="L20" s="71">
        <f t="shared" si="2"/>
        <v>31.8</v>
      </c>
      <c r="M20" s="68">
        <f t="shared" si="23"/>
        <v>0.46544791005818115</v>
      </c>
      <c r="N20" s="37">
        <f>AVERAGE('Data By District'!V154:'Data By District'!V162)</f>
        <v>0.25669341865255851</v>
      </c>
      <c r="O20" s="33">
        <f t="shared" si="3"/>
        <v>0.77777777777777779</v>
      </c>
      <c r="P20" s="33">
        <f>SUMIF('Data By District'!$B$7:$B$441,B20,'Data By District'!$T$7:$T$441)/D20</f>
        <v>0.22224706272352443</v>
      </c>
      <c r="Q20" s="33">
        <f t="shared" si="4"/>
        <v>8.2783378725806572E-2</v>
      </c>
      <c r="R20" s="74">
        <f t="shared" si="5"/>
        <v>0.37354509409479775</v>
      </c>
      <c r="S20" s="73">
        <f t="shared" si="6"/>
        <v>9</v>
      </c>
      <c r="T20" s="29">
        <f>COUNTIF('Data By District'!$Z$7:$Z$441,$B20&amp;"-"&amp;T$6)</f>
        <v>1</v>
      </c>
      <c r="U20" s="29">
        <f>COUNTIF('Data By District'!$Z$7:$Z$441,$B20&amp;"-"&amp;U$6)</f>
        <v>0</v>
      </c>
      <c r="V20" s="29">
        <f>COUNTIF('Data By District'!$Z$7:$Z$441,$B20&amp;"-"&amp;V$6)</f>
        <v>1</v>
      </c>
      <c r="W20" s="29">
        <f>COUNTIF('Data By District'!$Z$7:$Z$441,$B20&amp;"-"&amp;W$6)</f>
        <v>5</v>
      </c>
      <c r="X20" s="29">
        <f>COUNTIF('Data By District'!$Z$7:$Z$441,$B20&amp;"-"&amp;X$6)-(Y20)</f>
        <v>2</v>
      </c>
      <c r="Y20" s="29">
        <f>COUNTIF('Data By District'!$X$7:$X$441,$B20&amp;"-"&amp;"Yes")</f>
        <v>0</v>
      </c>
      <c r="Z20" s="402">
        <f t="shared" si="7"/>
        <v>0</v>
      </c>
      <c r="AA20" s="404">
        <f>COUNTIF('Data By District'!$L$7:$L$441, $B20&amp;"-"&amp;1)</f>
        <v>2</v>
      </c>
      <c r="AB20" s="376">
        <f>COUNTIFS('Data By District'!$J$7:$J$441,$B20&amp;"-"&amp;"Yes",'Data By District'!$Z$7:$Z$441,$B20&amp;"-"&amp;X$6)+COUNTIFS('Data By District'!$J$7:$J$441,$B20&amp;"-"&amp;"Yes",'Data By District'!$Z$7:$Z$441,$B20&amp;"-"&amp;W$6)</f>
        <v>4</v>
      </c>
      <c r="AC20" s="373">
        <f t="shared" si="31"/>
        <v>0.8</v>
      </c>
      <c r="AD20" s="377">
        <f>COUNTIF('Data By District'!$J$7:$J$441,$B20&amp;"-"&amp;"Yes")</f>
        <v>5</v>
      </c>
      <c r="AE20" s="377">
        <f t="shared" si="24"/>
        <v>1</v>
      </c>
      <c r="AF20" s="377">
        <f>COUNTIF('Data By District'!$I$7:$I$441,$B20&amp;"-"&amp;"Yes")</f>
        <v>6</v>
      </c>
      <c r="AG20" s="377">
        <f>COUNTIFS('Data By District'!$J$7:$J$441,$B20&amp;"-"&amp;"Yes",'Data By District'!$Y$7:$Y$441,$B20&amp;"-"&amp;"Dem")</f>
        <v>3</v>
      </c>
      <c r="AH20" s="377">
        <f>COUNTIFS('Data By District'!$J$7:$J$441,$B20&amp;"-"&amp;"Yes",'Data By District'!$Y$7:$Y$441,$B20&amp;"-"&amp;"Rep")</f>
        <v>2</v>
      </c>
      <c r="AI20" s="377">
        <f>COUNTIFS('Data By District'!$J$7:$J$441,$B20&amp;"-"&amp;"Yes",'Data By District'!$Y$7:$Y$441,$B20&amp;"-"&amp;"Dem",'Data By District'!$J$7:$J$441,$B20&amp;"-"&amp;"Yes",'Data By District'!$Z$7:$Z$441,$B20&amp;"-"&amp;W$6)+COUNTIFS('Data By District'!$J$7:$J$441,$B20&amp;"-"&amp;"Yes",'Data By District'!$Y$7:$Y$441,$B20&amp;"-"&amp;"Dem",'Data By District'!$J$7:$J$441,$B20&amp;"-"&amp;"Yes",'Data By District'!$Z$7:$Z$441,$B20&amp;"-"&amp;X$6)</f>
        <v>2</v>
      </c>
      <c r="AJ20" s="377">
        <f>COUNTIFS('Data By District'!$J$7:$J$441,$B20&amp;"-"&amp;"Yes",'Data By District'!$Y$7:$Y$441,$B20&amp;"-"&amp;"Rep",'Data By District'!$J$7:$J$441,$B20&amp;"-"&amp;"Yes",'Data By District'!$Z$7:$Z$441,$B20&amp;"-"&amp;W$6)+COUNTIFS('Data By District'!$J$7:$J$441,$B20&amp;"-"&amp;"Yes",'Data By District'!$Y$7:$Y$441,$B20&amp;"-"&amp;"Rep",'Data By District'!$J$7:$J$441,$B20&amp;"-"&amp;"Yes",'Data By District'!$Z$7:$Z$441,$B20&amp;"-"&amp;X$6)</f>
        <v>2</v>
      </c>
      <c r="AK20" s="376">
        <f>COUNTIF('Data By District'!$D$7:$D$441,$B20&amp;"-"&amp;"Yes")</f>
        <v>0</v>
      </c>
      <c r="AL20" s="377">
        <f>COUNTIF('Data By District'!$E$7:$E$441,$B20&amp;"-"&amp;"Yes")</f>
        <v>1</v>
      </c>
      <c r="AM20" s="377">
        <f>COUNTIF('Data By District'!$F$7:$F$441,$B20&amp;"-"&amp;"Yes")</f>
        <v>0</v>
      </c>
      <c r="AN20" s="377">
        <f>COUNTIF('Data By District'!$G$7:$G$441,$B20&amp;"-"&amp;"Yes")</f>
        <v>0</v>
      </c>
      <c r="AO20" s="377">
        <f>COUNTIF('Data By District'!$H$7:$H$441,$B20&amp;"-"&amp;"Yes")</f>
        <v>0</v>
      </c>
      <c r="AP20" s="74">
        <f t="shared" si="8"/>
        <v>-1.8567126841736884E-3</v>
      </c>
      <c r="AQ20" s="60">
        <v>0.62123471443984912</v>
      </c>
      <c r="AR20" s="54">
        <f t="shared" si="25"/>
        <v>1747720</v>
      </c>
      <c r="AS20" s="45">
        <f>SUMIF('Data By District'!$B$7:$B$441,$B20,'Data By District'!$O$7:$O$441)</f>
        <v>679462</v>
      </c>
      <c r="AT20" s="45">
        <f>SUMIF('Data By District'!$B$7:$B$441,$B20,'Data By District'!$P$7:$P$441)</f>
        <v>972671</v>
      </c>
      <c r="AU20" s="45">
        <f>SUMIF('Data By District'!$B$7:$B$441,$B20,'Data By District'!$Q$7:$Q$441)</f>
        <v>95587</v>
      </c>
      <c r="AV20" s="302">
        <f t="shared" si="9"/>
        <v>0.38877051243906346</v>
      </c>
      <c r="AW20" s="28">
        <f t="shared" si="10"/>
        <v>0.55653708832078363</v>
      </c>
      <c r="AX20" s="60">
        <f t="shared" si="11"/>
        <v>5.4692399240152886E-2</v>
      </c>
      <c r="AY20" s="29">
        <f>COUNTIF('Data By District'!$Y$7:$Y$441,$B20&amp;"-"&amp;AY$6)</f>
        <v>3</v>
      </c>
      <c r="AZ20" s="29">
        <f>COUNTIF('Data By District'!$Y$7:$Y$441,$B20&amp;"-"&amp;AZ$6)</f>
        <v>6</v>
      </c>
      <c r="BA20" s="29">
        <f>COUNTIF('Data By District'!$Y$7:$Y$441,$B20&amp;"-"&amp;BA$6)</f>
        <v>0</v>
      </c>
      <c r="BB20" s="298">
        <f t="shared" si="26"/>
        <v>0.33333333333333331</v>
      </c>
      <c r="BC20" s="28">
        <f t="shared" si="27"/>
        <v>0.66666666666666663</v>
      </c>
      <c r="BD20" s="60">
        <f t="shared" si="28"/>
        <v>0</v>
      </c>
      <c r="BE20" s="298">
        <f t="shared" si="12"/>
        <v>5.543717910573015E-2</v>
      </c>
      <c r="BF20" s="28">
        <f t="shared" si="13"/>
        <v>0.11012957834588299</v>
      </c>
      <c r="BG20" s="60">
        <f t="shared" si="14"/>
        <v>5.4692399240152886E-2</v>
      </c>
      <c r="BH20" s="54">
        <f t="shared" si="29"/>
        <v>1039836</v>
      </c>
      <c r="BI20" s="45">
        <f>'Data By District'!AE162</f>
        <v>707884</v>
      </c>
      <c r="BJ20" s="45">
        <f>SUMIF('Data By District'!$B$7:$B$441,'Data By State'!$B20,'Data By District'!$AA$7:$AA$441)</f>
        <v>402723</v>
      </c>
      <c r="BK20" s="45">
        <f>SUMIF('Data By District'!$B$7:$B$441,'Data By State'!$B20,'Data By District'!$AB$7:$AB$441)</f>
        <v>209574</v>
      </c>
      <c r="BL20" s="54">
        <f>SUMIF('Data By District'!$B$7:$B$441,'Data By State'!$B20,'Data By District'!$AC$7:$AC$441)</f>
        <v>95587</v>
      </c>
      <c r="BM20" s="68">
        <f t="shared" si="30"/>
        <v>0.40503284278946283</v>
      </c>
      <c r="BN20" s="28">
        <f t="shared" si="32"/>
        <v>0.59270864301462034</v>
      </c>
      <c r="BO20" s="28">
        <f t="shared" si="33"/>
        <v>0.21546237114090994</v>
      </c>
      <c r="BP20" s="60">
        <f t="shared" si="34"/>
        <v>1</v>
      </c>
    </row>
    <row r="21" spans="1:68">
      <c r="A21" s="21" t="s">
        <v>80</v>
      </c>
      <c r="B21" s="30" t="s">
        <v>14</v>
      </c>
      <c r="C21" s="410">
        <v>1116063</v>
      </c>
      <c r="D21" s="410">
        <v>2220718</v>
      </c>
      <c r="E21" s="29">
        <f t="shared" si="0"/>
        <v>5</v>
      </c>
      <c r="F21" s="29">
        <f t="shared" si="1"/>
        <v>9</v>
      </c>
      <c r="G21" s="77">
        <f t="shared" si="18"/>
        <v>6</v>
      </c>
      <c r="H21" s="29">
        <f t="shared" si="19"/>
        <v>10</v>
      </c>
      <c r="I21" s="29">
        <f t="shared" si="20"/>
        <v>13</v>
      </c>
      <c r="J21" s="29">
        <f t="shared" si="21"/>
        <v>27</v>
      </c>
      <c r="K21" s="72">
        <f t="shared" si="22"/>
        <v>9</v>
      </c>
      <c r="L21" s="71">
        <f t="shared" si="2"/>
        <v>13.8</v>
      </c>
      <c r="M21" s="68">
        <f t="shared" si="23"/>
        <v>0.56957487993198996</v>
      </c>
      <c r="N21" s="37">
        <f>AVERAGE('Data By District'!V163:'Data By District'!V167)</f>
        <v>0.16041191138161143</v>
      </c>
      <c r="O21" s="33">
        <f t="shared" si="3"/>
        <v>0.4</v>
      </c>
      <c r="P21" s="33">
        <f>SUMIF('Data By District'!$B$7:$B$441,B21,'Data By District'!$T$7:$T$441)/D21</f>
        <v>0.28070425871272264</v>
      </c>
      <c r="Q21" s="33">
        <f t="shared" si="4"/>
        <v>0.15312220638388452</v>
      </c>
      <c r="R21" s="74">
        <f t="shared" si="5"/>
        <v>0.49817986795261715</v>
      </c>
      <c r="S21" s="73">
        <f t="shared" si="6"/>
        <v>5</v>
      </c>
      <c r="T21" s="29">
        <f>COUNTIF('Data By District'!$Z$7:$Z$441,$B21&amp;"-"&amp;T$6)</f>
        <v>2</v>
      </c>
      <c r="U21" s="29">
        <f>COUNTIF('Data By District'!$Z$7:$Z$441,$B21&amp;"-"&amp;U$6)</f>
        <v>1</v>
      </c>
      <c r="V21" s="29">
        <f>COUNTIF('Data By District'!$Z$7:$Z$441,$B21&amp;"-"&amp;V$6)</f>
        <v>0</v>
      </c>
      <c r="W21" s="29">
        <f>COUNTIF('Data By District'!$Z$7:$Z$441,$B21&amp;"-"&amp;W$6)</f>
        <v>2</v>
      </c>
      <c r="X21" s="29">
        <f>COUNTIF('Data By District'!$Z$7:$Z$441,$B21&amp;"-"&amp;X$6)-(Y21)</f>
        <v>0</v>
      </c>
      <c r="Y21" s="29">
        <f>COUNTIF('Data By District'!$X$7:$X$441,$B21&amp;"-"&amp;"Yes")</f>
        <v>0</v>
      </c>
      <c r="Z21" s="402">
        <f t="shared" si="7"/>
        <v>0</v>
      </c>
      <c r="AA21" s="404">
        <f>COUNTIF('Data By District'!$L$7:$L$441, $B21&amp;"-"&amp;1)</f>
        <v>0</v>
      </c>
      <c r="AB21" s="376">
        <f>COUNTIFS('Data By District'!$J$7:$J$441,$B21&amp;"-"&amp;"Yes",'Data By District'!$Z$7:$Z$441,$B21&amp;"-"&amp;X$6)+COUNTIFS('Data By District'!$J$7:$J$441,$B21&amp;"-"&amp;"Yes",'Data By District'!$Z$7:$Z$441,$B21&amp;"-"&amp;W$6)</f>
        <v>2</v>
      </c>
      <c r="AC21" s="373">
        <f t="shared" si="31"/>
        <v>0.4</v>
      </c>
      <c r="AD21" s="377">
        <f>COUNTIF('Data By District'!$J$7:$J$441,$B21&amp;"-"&amp;"Yes")</f>
        <v>5</v>
      </c>
      <c r="AE21" s="377">
        <f t="shared" si="24"/>
        <v>0</v>
      </c>
      <c r="AF21" s="377">
        <f>COUNTIF('Data By District'!$I$7:$I$441,$B21&amp;"-"&amp;"Yes")</f>
        <v>5</v>
      </c>
      <c r="AG21" s="377">
        <f>COUNTIFS('Data By District'!$J$7:$J$441,$B21&amp;"-"&amp;"Yes",'Data By District'!$Y$7:$Y$441,$B21&amp;"-"&amp;"Dem")</f>
        <v>3</v>
      </c>
      <c r="AH21" s="377">
        <f>COUNTIFS('Data By District'!$J$7:$J$441,$B21&amp;"-"&amp;"Yes",'Data By District'!$Y$7:$Y$441,$B21&amp;"-"&amp;"Rep")</f>
        <v>2</v>
      </c>
      <c r="AI21" s="377">
        <f>COUNTIFS('Data By District'!$J$7:$J$441,$B21&amp;"-"&amp;"Yes",'Data By District'!$Y$7:$Y$441,$B21&amp;"-"&amp;"Dem",'Data By District'!$J$7:$J$441,$B21&amp;"-"&amp;"Yes",'Data By District'!$Z$7:$Z$441,$B21&amp;"-"&amp;W$6)+COUNTIFS('Data By District'!$J$7:$J$441,$B21&amp;"-"&amp;"Yes",'Data By District'!$Y$7:$Y$441,$B21&amp;"-"&amp;"Dem",'Data By District'!$J$7:$J$441,$B21&amp;"-"&amp;"Yes",'Data By District'!$Z$7:$Z$441,$B21&amp;"-"&amp;X$6)</f>
        <v>0</v>
      </c>
      <c r="AJ21" s="377">
        <f>COUNTIFS('Data By District'!$J$7:$J$441,$B21&amp;"-"&amp;"Yes",'Data By District'!$Y$7:$Y$441,$B21&amp;"-"&amp;"Rep",'Data By District'!$J$7:$J$441,$B21&amp;"-"&amp;"Yes",'Data By District'!$Z$7:$Z$441,$B21&amp;"-"&amp;W$6)+COUNTIFS('Data By District'!$J$7:$J$441,$B21&amp;"-"&amp;"Yes",'Data By District'!$Y$7:$Y$441,$B21&amp;"-"&amp;"Rep",'Data By District'!$J$7:$J$441,$B21&amp;"-"&amp;"Yes",'Data By District'!$Z$7:$Z$441,$B21&amp;"-"&amp;X$6)</f>
        <v>2</v>
      </c>
      <c r="AK21" s="376">
        <f>COUNTIF('Data By District'!$D$7:$D$441,$B21&amp;"-"&amp;"Yes")</f>
        <v>0</v>
      </c>
      <c r="AL21" s="377">
        <f>COUNTIF('Data By District'!$E$7:$E$441,$B21&amp;"-"&amp;"Yes")</f>
        <v>0</v>
      </c>
      <c r="AM21" s="377">
        <f>COUNTIF('Data By District'!$F$7:$F$441,$B21&amp;"-"&amp;"Yes")</f>
        <v>0</v>
      </c>
      <c r="AN21" s="377">
        <f>COUNTIF('Data By District'!$G$7:$G$441,$B21&amp;"-"&amp;"Yes")</f>
        <v>0</v>
      </c>
      <c r="AO21" s="377">
        <f>COUNTIF('Data By District'!$H$7:$H$441,$B21&amp;"-"&amp;"Yes")</f>
        <v>0</v>
      </c>
      <c r="AP21" s="74">
        <f t="shared" si="8"/>
        <v>8.7324819477036693E-3</v>
      </c>
      <c r="AQ21" s="60">
        <v>0.58605394054565996</v>
      </c>
      <c r="AR21" s="54">
        <f t="shared" si="25"/>
        <v>1106317</v>
      </c>
      <c r="AS21" s="45">
        <f>SUMIF('Data By District'!$B$7:$B$441,$B21,'Data By District'!$O$7:$O$441)</f>
        <v>479874</v>
      </c>
      <c r="AT21" s="45">
        <f>SUMIF('Data By District'!$B$7:$B$441,$B21,'Data By District'!$P$7:$P$441)</f>
        <v>597414</v>
      </c>
      <c r="AU21" s="45">
        <f>SUMIF('Data By District'!$B$7:$B$441,$B21,'Data By District'!$Q$7:$Q$441)</f>
        <v>29029</v>
      </c>
      <c r="AV21" s="302">
        <f t="shared" si="9"/>
        <v>0.43375813623039328</v>
      </c>
      <c r="AW21" s="28">
        <f t="shared" si="10"/>
        <v>0.54000254899816236</v>
      </c>
      <c r="AX21" s="60">
        <f t="shared" si="11"/>
        <v>2.6239314771444353E-2</v>
      </c>
      <c r="AY21" s="29">
        <f>COUNTIF('Data By District'!$Y$7:$Y$441,$B21&amp;"-"&amp;AY$6)</f>
        <v>3</v>
      </c>
      <c r="AZ21" s="29">
        <f>COUNTIF('Data By District'!$Y$7:$Y$441,$B21&amp;"-"&amp;AZ$6)</f>
        <v>2</v>
      </c>
      <c r="BA21" s="29">
        <f>COUNTIF('Data By District'!$Y$7:$Y$441,$B21&amp;"-"&amp;BA$6)</f>
        <v>0</v>
      </c>
      <c r="BB21" s="298">
        <f t="shared" si="26"/>
        <v>0.6</v>
      </c>
      <c r="BC21" s="28">
        <f t="shared" si="27"/>
        <v>0.4</v>
      </c>
      <c r="BD21" s="60">
        <f t="shared" si="28"/>
        <v>0</v>
      </c>
      <c r="BE21" s="298">
        <f t="shared" si="12"/>
        <v>0.1662418637696067</v>
      </c>
      <c r="BF21" s="28">
        <f t="shared" si="13"/>
        <v>0.14000254899816234</v>
      </c>
      <c r="BG21" s="60">
        <f t="shared" si="14"/>
        <v>2.6239314771444353E-2</v>
      </c>
      <c r="BH21" s="54">
        <f t="shared" si="29"/>
        <v>623365</v>
      </c>
      <c r="BI21" s="45">
        <f>'Data By District'!AE167</f>
        <v>482952</v>
      </c>
      <c r="BJ21" s="45">
        <f>SUMIF('Data By District'!$B$7:$B$441,'Data By State'!$B21,'Data By District'!$AA$7:$AA$441)</f>
        <v>137460</v>
      </c>
      <c r="BK21" s="45">
        <f>SUMIF('Data By District'!$B$7:$B$441,'Data By State'!$B21,'Data By District'!$AB$7:$AB$441)</f>
        <v>316463</v>
      </c>
      <c r="BL21" s="54">
        <f>SUMIF('Data By District'!$B$7:$B$441,'Data By State'!$B21,'Data By District'!$AC$7:$AC$441)</f>
        <v>29029</v>
      </c>
      <c r="BM21" s="68">
        <f t="shared" si="30"/>
        <v>0.4365403406076197</v>
      </c>
      <c r="BN21" s="28">
        <f t="shared" si="32"/>
        <v>0.28645019317570863</v>
      </c>
      <c r="BO21" s="28">
        <f t="shared" si="33"/>
        <v>0.52972143270830618</v>
      </c>
      <c r="BP21" s="60">
        <f t="shared" si="34"/>
        <v>1</v>
      </c>
    </row>
    <row r="22" spans="1:68">
      <c r="A22" s="21" t="s">
        <v>81</v>
      </c>
      <c r="B22" s="30" t="s">
        <v>15</v>
      </c>
      <c r="C22" s="410">
        <v>838790</v>
      </c>
      <c r="D22" s="410">
        <v>1995927</v>
      </c>
      <c r="E22" s="29">
        <f t="shared" si="0"/>
        <v>43</v>
      </c>
      <c r="F22" s="29">
        <f t="shared" si="1"/>
        <v>48</v>
      </c>
      <c r="G22" s="77">
        <f t="shared" si="18"/>
        <v>33</v>
      </c>
      <c r="H22" s="29">
        <f t="shared" si="19"/>
        <v>44</v>
      </c>
      <c r="I22" s="29">
        <f t="shared" si="20"/>
        <v>24</v>
      </c>
      <c r="J22" s="29">
        <f t="shared" si="21"/>
        <v>39</v>
      </c>
      <c r="K22" s="72">
        <f t="shared" si="22"/>
        <v>27</v>
      </c>
      <c r="L22" s="71">
        <f t="shared" si="2"/>
        <v>32.799999999999997</v>
      </c>
      <c r="M22" s="68">
        <f t="shared" si="23"/>
        <v>0.3717590111996914</v>
      </c>
      <c r="N22" s="37">
        <f>AVERAGE('Data By District'!V168:'Data By District'!V171)</f>
        <v>0.32190594915452853</v>
      </c>
      <c r="O22" s="33">
        <f t="shared" si="3"/>
        <v>1</v>
      </c>
      <c r="P22" s="33">
        <f>SUMIF('Data By District'!$B$7:$B$441,B22,'Data By District'!$T$7:$T$441)/D22</f>
        <v>0.2646068718946134</v>
      </c>
      <c r="Q22" s="33">
        <f t="shared" si="4"/>
        <v>0.34851273863624121</v>
      </c>
      <c r="R22" s="74">
        <f t="shared" si="5"/>
        <v>0.41861701354809067</v>
      </c>
      <c r="S22" s="73">
        <f t="shared" si="6"/>
        <v>4</v>
      </c>
      <c r="T22" s="29">
        <f>COUNTIF('Data By District'!$Z$7:$Z$441,$B22&amp;"-"&amp;T$6)</f>
        <v>0</v>
      </c>
      <c r="U22" s="29">
        <f>COUNTIF('Data By District'!$Z$7:$Z$441,$B22&amp;"-"&amp;U$6)</f>
        <v>0</v>
      </c>
      <c r="V22" s="29">
        <f>COUNTIF('Data By District'!$Z$7:$Z$441,$B22&amp;"-"&amp;V$6)</f>
        <v>0</v>
      </c>
      <c r="W22" s="29">
        <f>COUNTIF('Data By District'!$Z$7:$Z$441,$B22&amp;"-"&amp;W$6)</f>
        <v>3</v>
      </c>
      <c r="X22" s="29">
        <f>COUNTIF('Data By District'!$Z$7:$Z$441,$B22&amp;"-"&amp;X$6)-(Y22)</f>
        <v>1</v>
      </c>
      <c r="Y22" s="29">
        <f>COUNTIF('Data By District'!$X$7:$X$441,$B22&amp;"-"&amp;"Yes")</f>
        <v>0</v>
      </c>
      <c r="Z22" s="402">
        <f t="shared" si="7"/>
        <v>0</v>
      </c>
      <c r="AA22" s="404">
        <f>COUNTIF('Data By District'!$L$7:$L$441, $B22&amp;"-"&amp;1)</f>
        <v>1</v>
      </c>
      <c r="AB22" s="376">
        <f>COUNTIFS('Data By District'!$J$7:$J$441,$B22&amp;"-"&amp;"Yes",'Data By District'!$Z$7:$Z$441,$B22&amp;"-"&amp;X$6)+COUNTIFS('Data By District'!$J$7:$J$441,$B22&amp;"-"&amp;"Yes",'Data By District'!$Z$7:$Z$441,$B22&amp;"-"&amp;W$6)</f>
        <v>1</v>
      </c>
      <c r="AC22" s="373">
        <f t="shared" si="31"/>
        <v>1</v>
      </c>
      <c r="AD22" s="377">
        <f>COUNTIF('Data By District'!$J$7:$J$441,$B22&amp;"-"&amp;"Yes")</f>
        <v>1</v>
      </c>
      <c r="AE22" s="377">
        <f t="shared" si="24"/>
        <v>0</v>
      </c>
      <c r="AF22" s="377">
        <f>COUNTIF('Data By District'!$I$7:$I$441,$B22&amp;"-"&amp;"Yes")</f>
        <v>1</v>
      </c>
      <c r="AG22" s="377">
        <f>COUNTIFS('Data By District'!$J$7:$J$441,$B22&amp;"-"&amp;"Yes",'Data By District'!$Y$7:$Y$441,$B22&amp;"-"&amp;"Dem")</f>
        <v>0</v>
      </c>
      <c r="AH22" s="377">
        <f>COUNTIFS('Data By District'!$J$7:$J$441,$B22&amp;"-"&amp;"Yes",'Data By District'!$Y$7:$Y$441,$B22&amp;"-"&amp;"Rep")</f>
        <v>1</v>
      </c>
      <c r="AI22" s="377">
        <f>COUNTIFS('Data By District'!$J$7:$J$441,$B22&amp;"-"&amp;"Yes",'Data By District'!$Y$7:$Y$441,$B22&amp;"-"&amp;"Dem",'Data By District'!$J$7:$J$441,$B22&amp;"-"&amp;"Yes",'Data By District'!$Z$7:$Z$441,$B22&amp;"-"&amp;W$6)+COUNTIFS('Data By District'!$J$7:$J$441,$B22&amp;"-"&amp;"Yes",'Data By District'!$Y$7:$Y$441,$B22&amp;"-"&amp;"Dem",'Data By District'!$J$7:$J$441,$B22&amp;"-"&amp;"Yes",'Data By District'!$Z$7:$Z$441,$B22&amp;"-"&amp;X$6)</f>
        <v>0</v>
      </c>
      <c r="AJ22" s="377">
        <f>COUNTIFS('Data By District'!$J$7:$J$441,$B22&amp;"-"&amp;"Yes",'Data By District'!$Y$7:$Y$441,$B22&amp;"-"&amp;"Rep",'Data By District'!$J$7:$J$441,$B22&amp;"-"&amp;"Yes",'Data By District'!$Z$7:$Z$441,$B22&amp;"-"&amp;W$6)+COUNTIFS('Data By District'!$J$7:$J$441,$B22&amp;"-"&amp;"Yes",'Data By District'!$Y$7:$Y$441,$B22&amp;"-"&amp;"Rep",'Data By District'!$J$7:$J$441,$B22&amp;"-"&amp;"Yes",'Data By District'!$Z$7:$Z$441,$B22&amp;"-"&amp;X$6)</f>
        <v>1</v>
      </c>
      <c r="AK22" s="376">
        <f>COUNTIF('Data By District'!$D$7:$D$441,$B22&amp;"-"&amp;"Yes")</f>
        <v>1</v>
      </c>
      <c r="AL22" s="377">
        <f>COUNTIF('Data By District'!$E$7:$E$441,$B22&amp;"-"&amp;"Yes")</f>
        <v>0</v>
      </c>
      <c r="AM22" s="377">
        <f>COUNTIF('Data By District'!$F$7:$F$441,$B22&amp;"-"&amp;"Yes")</f>
        <v>0</v>
      </c>
      <c r="AN22" s="377">
        <f>COUNTIF('Data By District'!$G$7:$G$441,$B22&amp;"-"&amp;"Yes")</f>
        <v>0</v>
      </c>
      <c r="AO22" s="377">
        <f>COUNTIF('Data By District'!$H$7:$H$441,$B22&amp;"-"&amp;"Yes")</f>
        <v>0</v>
      </c>
      <c r="AP22" s="74">
        <f t="shared" si="8"/>
        <v>3.8877430584532482E-3</v>
      </c>
      <c r="AQ22" s="60">
        <v>0.65921238897493306</v>
      </c>
      <c r="AR22" s="54">
        <f t="shared" si="25"/>
        <v>835529</v>
      </c>
      <c r="AS22" s="45">
        <f>SUMIF('Data By District'!$B$7:$B$441,$B22,'Data By District'!$O$7:$O$441)</f>
        <v>274992</v>
      </c>
      <c r="AT22" s="45">
        <f>SUMIF('Data By District'!$B$7:$B$441,$B22,'Data By District'!$P$7:$P$441)</f>
        <v>528136</v>
      </c>
      <c r="AU22" s="45">
        <f>SUMIF('Data By District'!$B$7:$B$441,$B22,'Data By District'!$Q$7:$Q$441)</f>
        <v>32401</v>
      </c>
      <c r="AV22" s="302">
        <f t="shared" si="9"/>
        <v>0.32912322612380901</v>
      </c>
      <c r="AW22" s="28">
        <f t="shared" si="10"/>
        <v>0.63209774885132652</v>
      </c>
      <c r="AX22" s="60">
        <f t="shared" si="11"/>
        <v>3.8779025024864487E-2</v>
      </c>
      <c r="AY22" s="29">
        <f>COUNTIF('Data By District'!$Y$7:$Y$441,$B22&amp;"-"&amp;AY$6)</f>
        <v>0</v>
      </c>
      <c r="AZ22" s="29">
        <f>COUNTIF('Data By District'!$Y$7:$Y$441,$B22&amp;"-"&amp;AZ$6)</f>
        <v>4</v>
      </c>
      <c r="BA22" s="29">
        <f>COUNTIF('Data By District'!$Y$7:$Y$441,$B22&amp;"-"&amp;BA$6)</f>
        <v>0</v>
      </c>
      <c r="BB22" s="298">
        <f t="shared" si="26"/>
        <v>0</v>
      </c>
      <c r="BC22" s="28">
        <f t="shared" si="27"/>
        <v>1</v>
      </c>
      <c r="BD22" s="60">
        <f t="shared" si="28"/>
        <v>0</v>
      </c>
      <c r="BE22" s="298">
        <f t="shared" si="12"/>
        <v>0.32912322612380901</v>
      </c>
      <c r="BF22" s="28">
        <f t="shared" si="13"/>
        <v>0.36790225114867348</v>
      </c>
      <c r="BG22" s="60">
        <f t="shared" si="14"/>
        <v>3.8779025024864487E-2</v>
      </c>
      <c r="BH22" s="54">
        <f t="shared" si="29"/>
        <v>528136</v>
      </c>
      <c r="BI22" s="45">
        <f>'Data By District'!AE171</f>
        <v>307393</v>
      </c>
      <c r="BJ22" s="45">
        <f>SUMIF('Data By District'!$B$7:$B$441,'Data By State'!$B22,'Data By District'!$AA$7:$AA$441)</f>
        <v>274992</v>
      </c>
      <c r="BK22" s="45">
        <f>SUMIF('Data By District'!$B$7:$B$441,'Data By State'!$B22,'Data By District'!$AB$7:$AB$441)</f>
        <v>0</v>
      </c>
      <c r="BL22" s="54">
        <f>SUMIF('Data By District'!$B$7:$B$441,'Data By State'!$B22,'Data By District'!$AC$7:$AC$441)</f>
        <v>32401</v>
      </c>
      <c r="BM22" s="68">
        <f t="shared" si="30"/>
        <v>0.36790225114867348</v>
      </c>
      <c r="BN22" s="28">
        <f t="shared" si="32"/>
        <v>1</v>
      </c>
      <c r="BO22" s="28">
        <f t="shared" si="33"/>
        <v>0</v>
      </c>
      <c r="BP22" s="60">
        <f t="shared" si="34"/>
        <v>1</v>
      </c>
    </row>
    <row r="23" spans="1:68" ht="14.25" customHeight="1">
      <c r="A23" s="21" t="s">
        <v>82</v>
      </c>
      <c r="B23" s="30" t="s">
        <v>16</v>
      </c>
      <c r="C23" s="410">
        <v>1356468</v>
      </c>
      <c r="D23" s="410">
        <v>3197471</v>
      </c>
      <c r="E23" s="29">
        <f t="shared" si="0"/>
        <v>9</v>
      </c>
      <c r="F23" s="29">
        <f t="shared" si="1"/>
        <v>19</v>
      </c>
      <c r="G23" s="77">
        <f t="shared" si="18"/>
        <v>32</v>
      </c>
      <c r="H23" s="29">
        <f t="shared" si="19"/>
        <v>28</v>
      </c>
      <c r="I23" s="29">
        <f t="shared" si="20"/>
        <v>19</v>
      </c>
      <c r="J23" s="29">
        <f t="shared" si="21"/>
        <v>5</v>
      </c>
      <c r="K23" s="72">
        <f t="shared" si="22"/>
        <v>25</v>
      </c>
      <c r="L23" s="71">
        <f t="shared" si="2"/>
        <v>20.6</v>
      </c>
      <c r="M23" s="68">
        <f t="shared" si="23"/>
        <v>0.50631921608942643</v>
      </c>
      <c r="N23" s="37">
        <f>AVERAGE('Data By District'!V172:'Data By District'!V177)</f>
        <v>0.30525851227312567</v>
      </c>
      <c r="O23" s="33">
        <f t="shared" si="3"/>
        <v>0.66666666666666663</v>
      </c>
      <c r="P23" s="33">
        <f>SUMIF('Data By District'!$B$7:$B$441,B23,'Data By District'!$T$7:$T$441)/D23</f>
        <v>0.27270614807765264</v>
      </c>
      <c r="Q23" s="33">
        <f t="shared" si="4"/>
        <v>4.1891036768381074E-2</v>
      </c>
      <c r="R23" s="74">
        <f t="shared" si="5"/>
        <v>0.42339398856158506</v>
      </c>
      <c r="S23" s="73">
        <f t="shared" si="6"/>
        <v>6</v>
      </c>
      <c r="T23" s="29">
        <f>COUNTIF('Data By District'!$Z$7:$Z$441,$B23&amp;"-"&amp;T$6)</f>
        <v>1</v>
      </c>
      <c r="U23" s="29">
        <f>COUNTIF('Data By District'!$Z$7:$Z$441,$B23&amp;"-"&amp;U$6)</f>
        <v>0</v>
      </c>
      <c r="V23" s="29">
        <f>COUNTIF('Data By District'!$Z$7:$Z$441,$B23&amp;"-"&amp;V$6)</f>
        <v>1</v>
      </c>
      <c r="W23" s="29">
        <f>COUNTIF('Data By District'!$Z$7:$Z$441,$B23&amp;"-"&amp;W$6)</f>
        <v>2</v>
      </c>
      <c r="X23" s="29">
        <f>COUNTIF('Data By District'!$Z$7:$Z$441,$B23&amp;"-"&amp;X$6)-(Y23)</f>
        <v>2</v>
      </c>
      <c r="Y23" s="29">
        <f>COUNTIF('Data By District'!$X$7:$X$441,$B23&amp;"-"&amp;"Yes")</f>
        <v>0</v>
      </c>
      <c r="Z23" s="402">
        <f t="shared" si="7"/>
        <v>0</v>
      </c>
      <c r="AA23" s="404">
        <f>COUNTIF('Data By District'!$L$7:$L$441, $B23&amp;"-"&amp;1)</f>
        <v>0</v>
      </c>
      <c r="AB23" s="376">
        <f>COUNTIFS('Data By District'!$J$7:$J$441,$B23&amp;"-"&amp;"Yes",'Data By District'!$Z$7:$Z$441,$B23&amp;"-"&amp;X$6)+COUNTIFS('Data By District'!$J$7:$J$441,$B23&amp;"-"&amp;"Yes",'Data By District'!$Z$7:$Z$441,$B23&amp;"-"&amp;W$6)</f>
        <v>4</v>
      </c>
      <c r="AC23" s="373">
        <f t="shared" si="31"/>
        <v>0.66666666666666663</v>
      </c>
      <c r="AD23" s="377">
        <f>COUNTIF('Data By District'!$J$7:$J$441,$B23&amp;"-"&amp;"Yes")</f>
        <v>6</v>
      </c>
      <c r="AE23" s="377">
        <f t="shared" si="24"/>
        <v>0</v>
      </c>
      <c r="AF23" s="377">
        <f>COUNTIF('Data By District'!$I$7:$I$441,$B23&amp;"-"&amp;"Yes")</f>
        <v>6</v>
      </c>
      <c r="AG23" s="377">
        <f>COUNTIFS('Data By District'!$J$7:$J$441,$B23&amp;"-"&amp;"Yes",'Data By District'!$Y$7:$Y$441,$B23&amp;"-"&amp;"Dem")</f>
        <v>2</v>
      </c>
      <c r="AH23" s="377">
        <f>COUNTIFS('Data By District'!$J$7:$J$441,$B23&amp;"-"&amp;"Yes",'Data By District'!$Y$7:$Y$441,$B23&amp;"-"&amp;"Rep")</f>
        <v>4</v>
      </c>
      <c r="AI23" s="377">
        <f>COUNTIFS('Data By District'!$J$7:$J$441,$B23&amp;"-"&amp;"Yes",'Data By District'!$Y$7:$Y$441,$B23&amp;"-"&amp;"Dem",'Data By District'!$J$7:$J$441,$B23&amp;"-"&amp;"Yes",'Data By District'!$Z$7:$Z$441,$B23&amp;"-"&amp;W$6)+COUNTIFS('Data By District'!$J$7:$J$441,$B23&amp;"-"&amp;"Yes",'Data By District'!$Y$7:$Y$441,$B23&amp;"-"&amp;"Dem",'Data By District'!$J$7:$J$441,$B23&amp;"-"&amp;"Yes",'Data By District'!$Z$7:$Z$441,$B23&amp;"-"&amp;X$6)</f>
        <v>0</v>
      </c>
      <c r="AJ23" s="377">
        <f>COUNTIFS('Data By District'!$J$7:$J$441,$B23&amp;"-"&amp;"Yes",'Data By District'!$Y$7:$Y$441,$B23&amp;"-"&amp;"Rep",'Data By District'!$J$7:$J$441,$B23&amp;"-"&amp;"Yes",'Data By District'!$Z$7:$Z$441,$B23&amp;"-"&amp;W$6)+COUNTIFS('Data By District'!$J$7:$J$441,$B23&amp;"-"&amp;"Yes",'Data By District'!$Y$7:$Y$441,$B23&amp;"-"&amp;"Rep",'Data By District'!$J$7:$J$441,$B23&amp;"-"&amp;"Yes",'Data By District'!$Z$7:$Z$441,$B23&amp;"-"&amp;X$6)</f>
        <v>4</v>
      </c>
      <c r="AK23" s="376">
        <f>COUNTIF('Data By District'!$D$7:$D$441,$B23&amp;"-"&amp;"Yes")</f>
        <v>0</v>
      </c>
      <c r="AL23" s="377">
        <f>COUNTIF('Data By District'!$E$7:$E$441,$B23&amp;"-"&amp;"Yes")</f>
        <v>0</v>
      </c>
      <c r="AM23" s="377">
        <f>COUNTIF('Data By District'!$F$7:$F$441,$B23&amp;"-"&amp;"Yes")</f>
        <v>0</v>
      </c>
      <c r="AN23" s="377">
        <f>COUNTIF('Data By District'!$G$7:$G$441,$B23&amp;"-"&amp;"Yes")</f>
        <v>0</v>
      </c>
      <c r="AO23" s="377">
        <f>COUNTIF('Data By District'!$H$7:$H$441,$B23&amp;"-"&amp;"Yes")</f>
        <v>0</v>
      </c>
      <c r="AP23" s="74">
        <f t="shared" si="8"/>
        <v>1.9742448771367994E-3</v>
      </c>
      <c r="AQ23" s="60">
        <v>0.65626326418526248</v>
      </c>
      <c r="AR23" s="54">
        <f t="shared" si="25"/>
        <v>1353790</v>
      </c>
      <c r="AS23" s="45">
        <f>SUMIF('Data By District'!$B$7:$B$441,$B23,'Data By District'!$O$7:$O$441)</f>
        <v>506170</v>
      </c>
      <c r="AT23" s="45">
        <f>SUMIF('Data By District'!$B$7:$B$441,$B23,'Data By District'!$P$7:$P$441)</f>
        <v>844010</v>
      </c>
      <c r="AU23" s="45">
        <f>SUMIF('Data By District'!$B$7:$B$441,$B23,'Data By District'!$Q$7:$Q$441)</f>
        <v>3610</v>
      </c>
      <c r="AV23" s="302">
        <f t="shared" si="9"/>
        <v>0.37389107616395451</v>
      </c>
      <c r="AW23" s="28">
        <f t="shared" si="10"/>
        <v>0.62344233596052567</v>
      </c>
      <c r="AX23" s="60">
        <f t="shared" si="11"/>
        <v>2.666587875519837E-3</v>
      </c>
      <c r="AY23" s="29">
        <f>COUNTIF('Data By District'!$Y$7:$Y$441,$B23&amp;"-"&amp;AY$6)</f>
        <v>2</v>
      </c>
      <c r="AZ23" s="29">
        <f>COUNTIF('Data By District'!$Y$7:$Y$441,$B23&amp;"-"&amp;AZ$6)</f>
        <v>4</v>
      </c>
      <c r="BA23" s="29">
        <f>COUNTIF('Data By District'!$Y$7:$Y$441,$B23&amp;"-"&amp;BA$6)</f>
        <v>0</v>
      </c>
      <c r="BB23" s="298">
        <f t="shared" si="26"/>
        <v>0.33333333333333331</v>
      </c>
      <c r="BC23" s="28">
        <f t="shared" si="27"/>
        <v>0.66666666666666663</v>
      </c>
      <c r="BD23" s="60">
        <f t="shared" si="28"/>
        <v>0</v>
      </c>
      <c r="BE23" s="298">
        <f t="shared" si="12"/>
        <v>4.0557742830621191E-2</v>
      </c>
      <c r="BF23" s="28">
        <f t="shared" si="13"/>
        <v>4.3224330706140957E-2</v>
      </c>
      <c r="BG23" s="60">
        <f t="shared" si="14"/>
        <v>2.666587875519837E-3</v>
      </c>
      <c r="BH23" s="54">
        <f t="shared" si="29"/>
        <v>871970</v>
      </c>
      <c r="BI23" s="45">
        <f>'Data By District'!AE177</f>
        <v>481820</v>
      </c>
      <c r="BJ23" s="45">
        <f>SUMIF('Data By District'!$B$7:$B$441,'Data By State'!$B23,'Data By District'!$AA$7:$AA$441)</f>
        <v>246418</v>
      </c>
      <c r="BK23" s="45">
        <f>SUMIF('Data By District'!$B$7:$B$441,'Data By State'!$B23,'Data By District'!$AB$7:$AB$441)</f>
        <v>231792</v>
      </c>
      <c r="BL23" s="54">
        <f>SUMIF('Data By District'!$B$7:$B$441,'Data By State'!$B23,'Data By District'!$AC$7:$AC$441)</f>
        <v>3610</v>
      </c>
      <c r="BM23" s="68">
        <f t="shared" si="30"/>
        <v>0.35590453467672239</v>
      </c>
      <c r="BN23" s="28">
        <f t="shared" si="32"/>
        <v>0.48682853586739633</v>
      </c>
      <c r="BO23" s="28">
        <f t="shared" si="33"/>
        <v>0.2746318171585645</v>
      </c>
      <c r="BP23" s="60">
        <f t="shared" si="34"/>
        <v>1</v>
      </c>
    </row>
    <row r="24" spans="1:68">
      <c r="A24" s="21" t="s">
        <v>83</v>
      </c>
      <c r="B24" s="30" t="s">
        <v>17</v>
      </c>
      <c r="C24" s="410">
        <v>1264994</v>
      </c>
      <c r="D24" s="410">
        <v>3256637</v>
      </c>
      <c r="E24" s="29">
        <f t="shared" si="0"/>
        <v>45</v>
      </c>
      <c r="F24" s="29">
        <f t="shared" si="1"/>
        <v>49</v>
      </c>
      <c r="G24" s="77">
        <f t="shared" si="18"/>
        <v>49</v>
      </c>
      <c r="H24" s="29">
        <f t="shared" si="19"/>
        <v>44</v>
      </c>
      <c r="I24" s="29">
        <f t="shared" si="20"/>
        <v>27</v>
      </c>
      <c r="J24" s="29">
        <f t="shared" si="21"/>
        <v>24</v>
      </c>
      <c r="K24" s="72">
        <f t="shared" si="22"/>
        <v>45</v>
      </c>
      <c r="L24" s="71">
        <f t="shared" si="2"/>
        <v>34.200000000000003</v>
      </c>
      <c r="M24" s="68">
        <f t="shared" si="23"/>
        <v>0.36498853632830736</v>
      </c>
      <c r="N24" s="37">
        <f>AVERAGE('Data By District'!V178:'Data By District'!V184)</f>
        <v>0.54702807572905754</v>
      </c>
      <c r="O24" s="33">
        <f t="shared" si="3"/>
        <v>1</v>
      </c>
      <c r="P24" s="33">
        <f>SUMIF('Data By District'!$B$7:$B$441,B24,'Data By District'!$T$7:$T$441)/D24</f>
        <v>0.25891218456340082</v>
      </c>
      <c r="Q24" s="33">
        <f t="shared" si="4"/>
        <v>0.14585361175620729</v>
      </c>
      <c r="R24" s="74">
        <f t="shared" si="5"/>
        <v>0.35724491246644929</v>
      </c>
      <c r="S24" s="73">
        <f t="shared" si="6"/>
        <v>7</v>
      </c>
      <c r="T24" s="29">
        <f>COUNTIF('Data By District'!$Z$7:$Z$441,$B24&amp;"-"&amp;T$6)</f>
        <v>0</v>
      </c>
      <c r="U24" s="29">
        <f>COUNTIF('Data By District'!$Z$7:$Z$441,$B24&amp;"-"&amp;U$6)</f>
        <v>0</v>
      </c>
      <c r="V24" s="29">
        <f>COUNTIF('Data By District'!$Z$7:$Z$441,$B24&amp;"-"&amp;V$6)</f>
        <v>0</v>
      </c>
      <c r="W24" s="29">
        <f>COUNTIF('Data By District'!$Z$7:$Z$441,$B24&amp;"-"&amp;W$6)</f>
        <v>4</v>
      </c>
      <c r="X24" s="29">
        <f>COUNTIF('Data By District'!$Z$7:$Z$441,$B24&amp;"-"&amp;X$6)-(Y24)</f>
        <v>2</v>
      </c>
      <c r="Y24" s="11">
        <f>COUNTIF('Data By District'!$X$7:$X$441,$B24&amp;"-"&amp;"Yes")</f>
        <v>1</v>
      </c>
      <c r="Z24" s="402">
        <f t="shared" si="7"/>
        <v>0.14285714285714285</v>
      </c>
      <c r="AA24" s="404">
        <f>COUNTIF('Data By District'!$L$7:$L$441, $B24&amp;"-"&amp;1)</f>
        <v>2</v>
      </c>
      <c r="AB24" s="376">
        <f>COUNTIFS('Data By District'!$J$7:$J$441,$B24&amp;"-"&amp;"Yes",'Data By District'!$Z$7:$Z$441,$B24&amp;"-"&amp;X$6)+COUNTIFS('Data By District'!$J$7:$J$441,$B24&amp;"-"&amp;"Yes",'Data By District'!$Z$7:$Z$441,$B24&amp;"-"&amp;W$6)</f>
        <v>5</v>
      </c>
      <c r="AC24" s="373">
        <f t="shared" si="31"/>
        <v>1</v>
      </c>
      <c r="AD24" s="377">
        <f>COUNTIF('Data By District'!$J$7:$J$441,$B24&amp;"-"&amp;"Yes")</f>
        <v>5</v>
      </c>
      <c r="AE24" s="377">
        <f t="shared" si="24"/>
        <v>1</v>
      </c>
      <c r="AF24" s="377">
        <f>COUNTIF('Data By District'!$I$7:$I$441,$B24&amp;"-"&amp;"Yes")</f>
        <v>6</v>
      </c>
      <c r="AG24" s="377">
        <f>COUNTIFS('Data By District'!$J$7:$J$441,$B24&amp;"-"&amp;"Yes",'Data By District'!$Y$7:$Y$441,$B24&amp;"-"&amp;"Dem")</f>
        <v>0</v>
      </c>
      <c r="AH24" s="377">
        <f>COUNTIFS('Data By District'!$J$7:$J$441,$B24&amp;"-"&amp;"Yes",'Data By District'!$Y$7:$Y$441,$B24&amp;"-"&amp;"Rep")</f>
        <v>5</v>
      </c>
      <c r="AI24" s="377">
        <f>COUNTIFS('Data By District'!$J$7:$J$441,$B24&amp;"-"&amp;"Yes",'Data By District'!$Y$7:$Y$441,$B24&amp;"-"&amp;"Dem",'Data By District'!$J$7:$J$441,$B24&amp;"-"&amp;"Yes",'Data By District'!$Z$7:$Z$441,$B24&amp;"-"&amp;W$6)+COUNTIFS('Data By District'!$J$7:$J$441,$B24&amp;"-"&amp;"Yes",'Data By District'!$Y$7:$Y$441,$B24&amp;"-"&amp;"Dem",'Data By District'!$J$7:$J$441,$B24&amp;"-"&amp;"Yes",'Data By District'!$Z$7:$Z$441,$B24&amp;"-"&amp;X$6)</f>
        <v>0</v>
      </c>
      <c r="AJ24" s="377">
        <f>COUNTIFS('Data By District'!$J$7:$J$441,$B24&amp;"-"&amp;"Yes",'Data By District'!$Y$7:$Y$441,$B24&amp;"-"&amp;"Rep",'Data By District'!$J$7:$J$441,$B24&amp;"-"&amp;"Yes",'Data By District'!$Z$7:$Z$441,$B24&amp;"-"&amp;W$6)+COUNTIFS('Data By District'!$J$7:$J$441,$B24&amp;"-"&amp;"Yes",'Data By District'!$Y$7:$Y$441,$B24&amp;"-"&amp;"Rep",'Data By District'!$J$7:$J$441,$B24&amp;"-"&amp;"Yes",'Data By District'!$Z$7:$Z$441,$B24&amp;"-"&amp;X$6)</f>
        <v>5</v>
      </c>
      <c r="AK24" s="376">
        <f>COUNTIF('Data By District'!$D$7:$D$441,$B24&amp;"-"&amp;"Yes")</f>
        <v>0</v>
      </c>
      <c r="AL24" s="377">
        <f>COUNTIF('Data By District'!$E$7:$E$441,$B24&amp;"-"&amp;"Yes")</f>
        <v>1</v>
      </c>
      <c r="AM24" s="377">
        <f>COUNTIF('Data By District'!$F$7:$F$441,$B24&amp;"-"&amp;"Yes")</f>
        <v>0</v>
      </c>
      <c r="AN24" s="377">
        <f>COUNTIF('Data By District'!$G$7:$G$441,$B24&amp;"-"&amp;"Yes")</f>
        <v>0</v>
      </c>
      <c r="AO24" s="377">
        <f>COUNTIF('Data By District'!$H$7:$H$441,$B24&amp;"-"&amp;"Yes")</f>
        <v>0</v>
      </c>
      <c r="AP24" s="74">
        <f t="shared" si="8"/>
        <v>8.029840457741301E-2</v>
      </c>
      <c r="AQ24" s="60">
        <v>0.7323205306515459</v>
      </c>
      <c r="AR24" s="54">
        <f t="shared" ref="AR24" si="35">SUM(AS24:AU24)</f>
        <v>1163417</v>
      </c>
      <c r="AS24" s="45">
        <f>SUMIF('Data By District'!$B$7:$B$441,$B24,'Data By District'!$O$7:$O$441)</f>
        <v>311221</v>
      </c>
      <c r="AT24" s="45">
        <f>SUMIF('Data By District'!$B$7:$B$441,$B24,'Data By District'!$P$7:$P$441)</f>
        <v>802856</v>
      </c>
      <c r="AU24" s="45">
        <f>SUMIF('Data By District'!$B$7:$B$441,$B24,'Data By District'!$Q$7:$Q$441)</f>
        <v>49340</v>
      </c>
      <c r="AV24" s="302">
        <f t="shared" si="9"/>
        <v>0.26750597593124392</v>
      </c>
      <c r="AW24" s="28">
        <f t="shared" si="10"/>
        <v>0.6900844667045436</v>
      </c>
      <c r="AX24" s="60">
        <f t="shared" si="11"/>
        <v>4.2409557364212487E-2</v>
      </c>
      <c r="AY24" s="29">
        <f>COUNTIF('Data By District'!$Y$7:$Y$441,$B24&amp;"-"&amp;AY$6)</f>
        <v>1</v>
      </c>
      <c r="AZ24" s="29">
        <f>COUNTIF('Data By District'!$Y$7:$Y$441,$B24&amp;"-"&amp;AZ$6)</f>
        <v>6</v>
      </c>
      <c r="BA24" s="29">
        <f>COUNTIF('Data By District'!$Y$7:$Y$441,$B24&amp;"-"&amp;BA$6)</f>
        <v>0</v>
      </c>
      <c r="BB24" s="298">
        <f t="shared" si="26"/>
        <v>0.14285714285714285</v>
      </c>
      <c r="BC24" s="28">
        <f t="shared" si="27"/>
        <v>0.8571428571428571</v>
      </c>
      <c r="BD24" s="60">
        <f t="shared" si="28"/>
        <v>0</v>
      </c>
      <c r="BE24" s="298">
        <f t="shared" si="12"/>
        <v>0.12464883307410107</v>
      </c>
      <c r="BF24" s="28">
        <f t="shared" si="13"/>
        <v>0.1670583904383135</v>
      </c>
      <c r="BG24" s="60">
        <f t="shared" si="14"/>
        <v>4.2409557364212487E-2</v>
      </c>
      <c r="BH24" s="54">
        <f t="shared" si="29"/>
        <v>843183</v>
      </c>
      <c r="BI24" s="45">
        <f>'Data By District'!AE184</f>
        <v>320234</v>
      </c>
      <c r="BJ24" s="45">
        <f>SUMIF('Data By District'!$B$7:$B$441,'Data By State'!$B24,'Data By District'!$AA$7:$AA$441)</f>
        <v>227516</v>
      </c>
      <c r="BK24" s="45">
        <f>SUMIF('Data By District'!$B$7:$B$441,'Data By State'!$B24,'Data By District'!$AB$7:$AB$441)</f>
        <v>43378</v>
      </c>
      <c r="BL24" s="54">
        <f>SUMIF('Data By District'!$B$7:$B$441,'Data By State'!$B24,'Data By District'!$AC$7:$AC$441)</f>
        <v>49340</v>
      </c>
      <c r="BM24" s="68">
        <f t="shared" si="30"/>
        <v>0.27525298323816827</v>
      </c>
      <c r="BN24" s="28">
        <f t="shared" si="32"/>
        <v>0.73104321366488767</v>
      </c>
      <c r="BO24" s="28">
        <f t="shared" si="33"/>
        <v>5.4029614277030999E-2</v>
      </c>
      <c r="BP24" s="60" t="s">
        <v>236</v>
      </c>
    </row>
    <row r="25" spans="1:68">
      <c r="A25" s="21" t="s">
        <v>84</v>
      </c>
      <c r="B25" s="30" t="s">
        <v>18</v>
      </c>
      <c r="C25" s="410">
        <v>572766</v>
      </c>
      <c r="D25" s="410">
        <v>1032820</v>
      </c>
      <c r="E25" s="29">
        <f t="shared" si="0"/>
        <v>5</v>
      </c>
      <c r="F25" s="29">
        <f t="shared" si="1"/>
        <v>2</v>
      </c>
      <c r="G25" s="77">
        <f t="shared" si="18"/>
        <v>5</v>
      </c>
      <c r="H25" s="29">
        <f t="shared" si="19"/>
        <v>1</v>
      </c>
      <c r="I25" s="29">
        <f t="shared" si="20"/>
        <v>8</v>
      </c>
      <c r="J25" s="29">
        <f t="shared" si="21"/>
        <v>47</v>
      </c>
      <c r="K25" s="72">
        <f t="shared" si="22"/>
        <v>2</v>
      </c>
      <c r="L25" s="71">
        <f t="shared" si="2"/>
        <v>13.8</v>
      </c>
      <c r="M25" s="68">
        <f t="shared" si="23"/>
        <v>0.61058086758322838</v>
      </c>
      <c r="N25" s="37">
        <f>AVERAGE('Data By District'!V185:'Data By District'!V186)</f>
        <v>0.11954661167942202</v>
      </c>
      <c r="O25" s="33">
        <f t="shared" si="3"/>
        <v>0</v>
      </c>
      <c r="P25" s="33">
        <f>SUMIF('Data By District'!$B$7:$B$441,B25,'Data By District'!$T$7:$T$441)/D25</f>
        <v>0.30610948664820586</v>
      </c>
      <c r="Q25" s="33">
        <f t="shared" si="4"/>
        <v>0.43976802370084767</v>
      </c>
      <c r="R25" s="74">
        <f t="shared" si="5"/>
        <v>0.54643403497221199</v>
      </c>
      <c r="S25" s="73">
        <f t="shared" si="6"/>
        <v>2</v>
      </c>
      <c r="T25" s="29">
        <f>COUNTIF('Data By District'!$Z$7:$Z$441,$B25&amp;"-"&amp;T$6)</f>
        <v>0</v>
      </c>
      <c r="U25" s="29">
        <f>COUNTIF('Data By District'!$Z$7:$Z$441,$B25&amp;"-"&amp;U$6)</f>
        <v>0</v>
      </c>
      <c r="V25" s="29">
        <f>COUNTIF('Data By District'!$Z$7:$Z$441,$B25&amp;"-"&amp;V$6)</f>
        <v>2</v>
      </c>
      <c r="W25" s="29">
        <f>COUNTIF('Data By District'!$Z$7:$Z$441,$B25&amp;"-"&amp;W$6)</f>
        <v>0</v>
      </c>
      <c r="X25" s="29">
        <f>COUNTIF('Data By District'!$Z$7:$Z$441,$B25&amp;"-"&amp;X$6)-(Y25)</f>
        <v>0</v>
      </c>
      <c r="Y25" s="29">
        <f>COUNTIF('Data By District'!$X$7:$X$441,$B25&amp;"-"&amp;"Yes")</f>
        <v>0</v>
      </c>
      <c r="Z25" s="402">
        <f t="shared" si="7"/>
        <v>0</v>
      </c>
      <c r="AA25" s="404">
        <f>COUNTIF('Data By District'!$L$7:$L$441, $B25&amp;"-"&amp;1)</f>
        <v>0</v>
      </c>
      <c r="AB25" s="376">
        <f>COUNTIFS('Data By District'!$J$7:$J$441,$B25&amp;"-"&amp;"Yes",'Data By District'!$Z$7:$Z$441,$B25&amp;"-"&amp;X$6)+COUNTIFS('Data By District'!$J$7:$J$441,$B25&amp;"-"&amp;"Yes",'Data By District'!$Z$7:$Z$441,$B25&amp;"-"&amp;W$6)</f>
        <v>0</v>
      </c>
      <c r="AC25" s="373">
        <f t="shared" si="31"/>
        <v>0</v>
      </c>
      <c r="AD25" s="377">
        <f>COUNTIF('Data By District'!$J$7:$J$441,$B25&amp;"-"&amp;"Yes")</f>
        <v>2</v>
      </c>
      <c r="AE25" s="377">
        <f t="shared" si="24"/>
        <v>0</v>
      </c>
      <c r="AF25" s="377">
        <f>COUNTIF('Data By District'!$I$7:$I$441,$B25&amp;"-"&amp;"Yes")</f>
        <v>2</v>
      </c>
      <c r="AG25" s="377">
        <f>COUNTIFS('Data By District'!$J$7:$J$441,$B25&amp;"-"&amp;"Yes",'Data By District'!$Y$7:$Y$441,$B25&amp;"-"&amp;"Dem")</f>
        <v>2</v>
      </c>
      <c r="AH25" s="377">
        <f>COUNTIFS('Data By District'!$J$7:$J$441,$B25&amp;"-"&amp;"Yes",'Data By District'!$Y$7:$Y$441,$B25&amp;"-"&amp;"Rep")</f>
        <v>0</v>
      </c>
      <c r="AI25" s="377">
        <f>COUNTIFS('Data By District'!$J$7:$J$441,$B25&amp;"-"&amp;"Yes",'Data By District'!$Y$7:$Y$441,$B25&amp;"-"&amp;"Dem",'Data By District'!$J$7:$J$441,$B25&amp;"-"&amp;"Yes",'Data By District'!$Z$7:$Z$441,$B25&amp;"-"&amp;W$6)+COUNTIFS('Data By District'!$J$7:$J$441,$B25&amp;"-"&amp;"Yes",'Data By District'!$Y$7:$Y$441,$B25&amp;"-"&amp;"Dem",'Data By District'!$J$7:$J$441,$B25&amp;"-"&amp;"Yes",'Data By District'!$Z$7:$Z$441,$B25&amp;"-"&amp;X$6)</f>
        <v>0</v>
      </c>
      <c r="AJ25" s="377">
        <f>COUNTIFS('Data By District'!$J$7:$J$441,$B25&amp;"-"&amp;"Yes",'Data By District'!$Y$7:$Y$441,$B25&amp;"-"&amp;"Rep",'Data By District'!$J$7:$J$441,$B25&amp;"-"&amp;"Yes",'Data By District'!$Z$7:$Z$441,$B25&amp;"-"&amp;W$6)+COUNTIFS('Data By District'!$J$7:$J$441,$B25&amp;"-"&amp;"Yes",'Data By District'!$Y$7:$Y$441,$B25&amp;"-"&amp;"Rep",'Data By District'!$J$7:$J$441,$B25&amp;"-"&amp;"Yes",'Data By District'!$Z$7:$Z$441,$B25&amp;"-"&amp;X$6)</f>
        <v>0</v>
      </c>
      <c r="AK25" s="376">
        <f>COUNTIF('Data By District'!$D$7:$D$441,$B25&amp;"-"&amp;"Yes")</f>
        <v>1</v>
      </c>
      <c r="AL25" s="377">
        <f>COUNTIF('Data By District'!$E$7:$E$441,$B25&amp;"-"&amp;"Yes")</f>
        <v>0</v>
      </c>
      <c r="AM25" s="377">
        <f>COUNTIF('Data By District'!$F$7:$F$441,$B25&amp;"-"&amp;"Yes")</f>
        <v>0</v>
      </c>
      <c r="AN25" s="377">
        <f>COUNTIF('Data By District'!$G$7:$G$441,$B25&amp;"-"&amp;"Yes")</f>
        <v>0</v>
      </c>
      <c r="AO25" s="377">
        <f>COUNTIF('Data By District'!$H$7:$H$441,$B25&amp;"-"&amp;"Yes")</f>
        <v>0</v>
      </c>
      <c r="AP25" s="74">
        <f t="shared" si="8"/>
        <v>1.4662183160313287E-2</v>
      </c>
      <c r="AQ25" s="60">
        <v>0.5891215698643717</v>
      </c>
      <c r="AR25" s="54">
        <f t="shared" si="25"/>
        <v>564368</v>
      </c>
      <c r="AS25" s="45">
        <f>SUMIF('Data By District'!$B$7:$B$441,$B25,'Data By District'!$O$7:$O$441)</f>
        <v>316156</v>
      </c>
      <c r="AT25" s="45">
        <f>SUMIF('Data By District'!$B$7:$B$441,$B25,'Data By District'!$P$7:$P$441)</f>
        <v>248170</v>
      </c>
      <c r="AU25" s="45">
        <f>SUMIF('Data By District'!$B$7:$B$441,$B25,'Data By District'!$Q$7:$Q$441)</f>
        <v>42</v>
      </c>
      <c r="AV25" s="302">
        <f t="shared" si="9"/>
        <v>0.56019476653531031</v>
      </c>
      <c r="AW25" s="28">
        <f t="shared" si="10"/>
        <v>0.43973081393700564</v>
      </c>
      <c r="AX25" s="60">
        <f t="shared" si="11"/>
        <v>7.4419527684064298E-5</v>
      </c>
      <c r="AY25" s="29">
        <f>COUNTIF('Data By District'!$Y$7:$Y$441,$B25&amp;"-"&amp;AY$6)</f>
        <v>2</v>
      </c>
      <c r="AZ25" s="29">
        <f>COUNTIF('Data By District'!$Y$7:$Y$441,$B25&amp;"-"&amp;AZ$6)</f>
        <v>0</v>
      </c>
      <c r="BA25" s="29">
        <f>COUNTIF('Data By District'!$Y$7:$Y$441,$B25&amp;"-"&amp;BA$6)</f>
        <v>0</v>
      </c>
      <c r="BB25" s="298">
        <f t="shared" si="26"/>
        <v>1</v>
      </c>
      <c r="BC25" s="28">
        <f t="shared" si="27"/>
        <v>0</v>
      </c>
      <c r="BD25" s="60">
        <f t="shared" si="28"/>
        <v>0</v>
      </c>
      <c r="BE25" s="298">
        <f t="shared" si="12"/>
        <v>0.43980523346468969</v>
      </c>
      <c r="BF25" s="28">
        <f t="shared" si="13"/>
        <v>0.43973081393700564</v>
      </c>
      <c r="BG25" s="60">
        <f t="shared" si="14"/>
        <v>7.4419527684064298E-5</v>
      </c>
      <c r="BH25" s="54">
        <f t="shared" si="29"/>
        <v>316156</v>
      </c>
      <c r="BI25" s="45">
        <f>'Data By District'!AE186</f>
        <v>248212</v>
      </c>
      <c r="BJ25" s="45">
        <f>SUMIF('Data By District'!$B$7:$B$441,'Data By State'!$B25,'Data By District'!$AA$7:$AA$441)</f>
        <v>0</v>
      </c>
      <c r="BK25" s="45">
        <f>SUMIF('Data By District'!$B$7:$B$441,'Data By State'!$B25,'Data By District'!$AB$7:$AB$441)</f>
        <v>248170</v>
      </c>
      <c r="BL25" s="54">
        <f>SUMIF('Data By District'!$B$7:$B$441,'Data By State'!$B25,'Data By District'!$AC$7:$AC$441)</f>
        <v>42</v>
      </c>
      <c r="BM25" s="68">
        <f t="shared" si="30"/>
        <v>0.43980523346468969</v>
      </c>
      <c r="BN25" s="28">
        <f t="shared" si="32"/>
        <v>0</v>
      </c>
      <c r="BO25" s="28">
        <f t="shared" si="33"/>
        <v>1</v>
      </c>
      <c r="BP25" s="60">
        <f t="shared" si="34"/>
        <v>1</v>
      </c>
    </row>
    <row r="26" spans="1:68">
      <c r="A26" s="21" t="s">
        <v>85</v>
      </c>
      <c r="B26" s="30" t="s">
        <v>19</v>
      </c>
      <c r="C26" s="410">
        <v>1857880</v>
      </c>
      <c r="D26" s="410">
        <v>3944006</v>
      </c>
      <c r="E26" s="29">
        <f t="shared" si="0"/>
        <v>21</v>
      </c>
      <c r="F26" s="29">
        <f t="shared" si="1"/>
        <v>39</v>
      </c>
      <c r="G26" s="77">
        <f t="shared" si="18"/>
        <v>40</v>
      </c>
      <c r="H26" s="29">
        <f t="shared" si="19"/>
        <v>43</v>
      </c>
      <c r="I26" s="29">
        <f t="shared" si="20"/>
        <v>9</v>
      </c>
      <c r="J26" s="29">
        <f t="shared" si="21"/>
        <v>20</v>
      </c>
      <c r="K26" s="72">
        <f t="shared" si="22"/>
        <v>16</v>
      </c>
      <c r="L26" s="71">
        <f t="shared" si="2"/>
        <v>24.2</v>
      </c>
      <c r="M26" s="68">
        <f t="shared" si="23"/>
        <v>0.44644595495040784</v>
      </c>
      <c r="N26" s="37">
        <f>AVERAGE('Data By District'!V187:'Data By District'!V194)</f>
        <v>0.37451523955350019</v>
      </c>
      <c r="O26" s="33">
        <f t="shared" si="3"/>
        <v>0.875</v>
      </c>
      <c r="P26" s="33">
        <f>SUMIF('Data By District'!$B$7:$B$441,B26,'Data By District'!$T$7:$T$441)/D26</f>
        <v>0.3060692605437213</v>
      </c>
      <c r="Q26" s="33">
        <f t="shared" si="4"/>
        <v>0.13039350678190328</v>
      </c>
      <c r="R26" s="74">
        <f t="shared" si="5"/>
        <v>0.4555690331099902</v>
      </c>
      <c r="S26" s="73">
        <f t="shared" si="6"/>
        <v>8</v>
      </c>
      <c r="T26" s="29">
        <f>COUNTIF('Data By District'!$Z$7:$Z$441,$B26&amp;"-"&amp;T$6)</f>
        <v>0</v>
      </c>
      <c r="U26" s="29">
        <f>COUNTIF('Data By District'!$Z$7:$Z$441,$B26&amp;"-"&amp;U$6)</f>
        <v>0</v>
      </c>
      <c r="V26" s="29">
        <f>COUNTIF('Data By District'!$Z$7:$Z$441,$B26&amp;"-"&amp;V$6)</f>
        <v>1</v>
      </c>
      <c r="W26" s="29">
        <f>COUNTIF('Data By District'!$Z$7:$Z$441,$B26&amp;"-"&amp;W$6)</f>
        <v>4</v>
      </c>
      <c r="X26" s="29">
        <f>COUNTIF('Data By District'!$Z$7:$Z$441,$B26&amp;"-"&amp;X$6)-(Y26)</f>
        <v>3</v>
      </c>
      <c r="Y26" s="29">
        <f>COUNTIF('Data By District'!$X$7:$X$441,$B26&amp;"-"&amp;"Yes")</f>
        <v>0</v>
      </c>
      <c r="Z26" s="402">
        <f t="shared" si="7"/>
        <v>0</v>
      </c>
      <c r="AA26" s="404">
        <f>COUNTIF('Data By District'!$L$7:$L$441, $B26&amp;"-"&amp;1)</f>
        <v>1</v>
      </c>
      <c r="AB26" s="376">
        <f>COUNTIFS('Data By District'!$J$7:$J$441,$B26&amp;"-"&amp;"Yes",'Data By District'!$Z$7:$Z$441,$B26&amp;"-"&amp;X$6)+COUNTIFS('Data By District'!$J$7:$J$441,$B26&amp;"-"&amp;"Yes",'Data By District'!$Z$7:$Z$441,$B26&amp;"-"&amp;W$6)</f>
        <v>7</v>
      </c>
      <c r="AC26" s="373">
        <f t="shared" si="31"/>
        <v>1</v>
      </c>
      <c r="AD26" s="377">
        <f>COUNTIF('Data By District'!$J$7:$J$441,$B26&amp;"-"&amp;"Yes")</f>
        <v>7</v>
      </c>
      <c r="AE26" s="377">
        <f t="shared" si="24"/>
        <v>1</v>
      </c>
      <c r="AF26" s="377">
        <f>COUNTIF('Data By District'!$I$7:$I$441,$B26&amp;"-"&amp;"Yes")</f>
        <v>8</v>
      </c>
      <c r="AG26" s="377">
        <f>COUNTIFS('Data By District'!$J$7:$J$441,$B26&amp;"-"&amp;"Yes",'Data By District'!$Y$7:$Y$441,$B26&amp;"-"&amp;"Dem")</f>
        <v>6</v>
      </c>
      <c r="AH26" s="377">
        <f>COUNTIFS('Data By District'!$J$7:$J$441,$B26&amp;"-"&amp;"Yes",'Data By District'!$Y$7:$Y$441,$B26&amp;"-"&amp;"Rep")</f>
        <v>1</v>
      </c>
      <c r="AI26" s="377">
        <f>COUNTIFS('Data By District'!$J$7:$J$441,$B26&amp;"-"&amp;"Yes",'Data By District'!$Y$7:$Y$441,$B26&amp;"-"&amp;"Dem",'Data By District'!$J$7:$J$441,$B26&amp;"-"&amp;"Yes",'Data By District'!$Z$7:$Z$441,$B26&amp;"-"&amp;W$6)+COUNTIFS('Data By District'!$J$7:$J$441,$B26&amp;"-"&amp;"Yes",'Data By District'!$Y$7:$Y$441,$B26&amp;"-"&amp;"Dem",'Data By District'!$J$7:$J$441,$B26&amp;"-"&amp;"Yes",'Data By District'!$Z$7:$Z$441,$B26&amp;"-"&amp;X$6)</f>
        <v>6</v>
      </c>
      <c r="AJ26" s="377">
        <f>COUNTIFS('Data By District'!$J$7:$J$441,$B26&amp;"-"&amp;"Yes",'Data By District'!$Y$7:$Y$441,$B26&amp;"-"&amp;"Rep",'Data By District'!$J$7:$J$441,$B26&amp;"-"&amp;"Yes",'Data By District'!$Z$7:$Z$441,$B26&amp;"-"&amp;W$6)+COUNTIFS('Data By District'!$J$7:$J$441,$B26&amp;"-"&amp;"Yes",'Data By District'!$Y$7:$Y$441,$B26&amp;"-"&amp;"Rep",'Data By District'!$J$7:$J$441,$B26&amp;"-"&amp;"Yes",'Data By District'!$Z$7:$Z$441,$B26&amp;"-"&amp;X$6)</f>
        <v>1</v>
      </c>
      <c r="AK26" s="376">
        <f>COUNTIF('Data By District'!$D$7:$D$441,$B26&amp;"-"&amp;"Yes")</f>
        <v>1</v>
      </c>
      <c r="AL26" s="377">
        <f>COUNTIF('Data By District'!$E$7:$E$441,$B26&amp;"-"&amp;"Yes")</f>
        <v>2</v>
      </c>
      <c r="AM26" s="377">
        <f>COUNTIF('Data By District'!$F$7:$F$441,$B26&amp;"-"&amp;"Yes")</f>
        <v>0</v>
      </c>
      <c r="AN26" s="377">
        <f>COUNTIF('Data By District'!$G$7:$G$441,$B26&amp;"-"&amp;"Yes")</f>
        <v>0</v>
      </c>
      <c r="AO26" s="377">
        <f>COUNTIF('Data By District'!$H$7:$H$441,$B26&amp;"-"&amp;"Yes")</f>
        <v>0</v>
      </c>
      <c r="AP26" s="74">
        <f t="shared" si="8"/>
        <v>3.2893943634680387E-2</v>
      </c>
      <c r="AQ26" s="60">
        <v>0.70735382867691432</v>
      </c>
      <c r="AR26" s="54">
        <f t="shared" si="25"/>
        <v>1796767</v>
      </c>
      <c r="AS26" s="45">
        <f>SUMIF('Data By District'!$B$7:$B$441,$B26,'Data By District'!$O$7:$O$441)</f>
        <v>1104056</v>
      </c>
      <c r="AT26" s="45">
        <f>SUMIF('Data By District'!$B$7:$B$441,$B26,'Data By District'!$P$7:$P$441)</f>
        <v>674246</v>
      </c>
      <c r="AU26" s="45">
        <f>SUMIF('Data By District'!$B$7:$B$441,$B26,'Data By District'!$Q$7:$Q$441)</f>
        <v>18465</v>
      </c>
      <c r="AV26" s="302">
        <f t="shared" si="9"/>
        <v>0.61446809742164676</v>
      </c>
      <c r="AW26" s="28">
        <f t="shared" si="10"/>
        <v>0.37525511098545333</v>
      </c>
      <c r="AX26" s="60">
        <f t="shared" si="11"/>
        <v>1.0276791592899914E-2</v>
      </c>
      <c r="AY26" s="29">
        <f>COUNTIF('Data By District'!$Y$7:$Y$441,$B26&amp;"-"&amp;AY$6)</f>
        <v>6</v>
      </c>
      <c r="AZ26" s="29">
        <f>COUNTIF('Data By District'!$Y$7:$Y$441,$B26&amp;"-"&amp;AZ$6)</f>
        <v>2</v>
      </c>
      <c r="BA26" s="29">
        <f>COUNTIF('Data By District'!$Y$7:$Y$441,$B26&amp;"-"&amp;BA$6)</f>
        <v>0</v>
      </c>
      <c r="BB26" s="298">
        <f t="shared" si="26"/>
        <v>0.75</v>
      </c>
      <c r="BC26" s="28">
        <f t="shared" si="27"/>
        <v>0.25</v>
      </c>
      <c r="BD26" s="60">
        <f t="shared" si="28"/>
        <v>0</v>
      </c>
      <c r="BE26" s="298">
        <f t="shared" si="12"/>
        <v>0.13553190257835324</v>
      </c>
      <c r="BF26" s="28">
        <f t="shared" si="13"/>
        <v>0.12525511098545333</v>
      </c>
      <c r="BG26" s="60">
        <f t="shared" si="14"/>
        <v>1.0276791592899914E-2</v>
      </c>
      <c r="BH26" s="54">
        <f t="shared" si="29"/>
        <v>1207139</v>
      </c>
      <c r="BI26" s="45">
        <f>'Data By District'!AE194</f>
        <v>589628</v>
      </c>
      <c r="BJ26" s="45">
        <f>SUMIF('Data By District'!$B$7:$B$441,'Data By State'!$B26,'Data By District'!$AA$7:$AA$441)</f>
        <v>200855</v>
      </c>
      <c r="BK26" s="45">
        <f>SUMIF('Data By District'!$B$7:$B$441,'Data By State'!$B26,'Data By District'!$AB$7:$AB$441)</f>
        <v>370308</v>
      </c>
      <c r="BL26" s="54">
        <f>SUMIF('Data By District'!$B$7:$B$441,'Data By State'!$B26,'Data By District'!$AC$7:$AC$441)</f>
        <v>18465</v>
      </c>
      <c r="BM26" s="68">
        <f t="shared" si="30"/>
        <v>0.32816052387426975</v>
      </c>
      <c r="BN26" s="28">
        <f t="shared" si="32"/>
        <v>0.1819246487497011</v>
      </c>
      <c r="BO26" s="28">
        <f t="shared" si="33"/>
        <v>0.54921794122619938</v>
      </c>
      <c r="BP26" s="60">
        <f t="shared" si="34"/>
        <v>1</v>
      </c>
    </row>
    <row r="27" spans="1:68">
      <c r="A27" s="21" t="s">
        <v>86</v>
      </c>
      <c r="B27" s="30" t="s">
        <v>20</v>
      </c>
      <c r="C27" s="410">
        <v>2297039</v>
      </c>
      <c r="D27" s="410">
        <v>4783819</v>
      </c>
      <c r="E27" s="29">
        <f t="shared" si="0"/>
        <v>13</v>
      </c>
      <c r="F27" s="29">
        <f t="shared" si="1"/>
        <v>22</v>
      </c>
      <c r="G27" s="77">
        <f t="shared" si="18"/>
        <v>28</v>
      </c>
      <c r="H27" s="29">
        <f t="shared" si="19"/>
        <v>10</v>
      </c>
      <c r="I27" s="29">
        <f t="shared" si="20"/>
        <v>14</v>
      </c>
      <c r="J27" s="29">
        <f t="shared" si="21"/>
        <v>43</v>
      </c>
      <c r="K27" s="72">
        <f t="shared" si="22"/>
        <v>8</v>
      </c>
      <c r="L27" s="71">
        <f t="shared" si="2"/>
        <v>21.8</v>
      </c>
      <c r="M27" s="68">
        <f t="shared" si="23"/>
        <v>0.49754612598738091</v>
      </c>
      <c r="N27" s="37">
        <f>AVERAGE('Data By District'!V195:'Data By District'!V204)</f>
        <v>0.27972108384535993</v>
      </c>
      <c r="O27" s="33">
        <f t="shared" si="3"/>
        <v>0.4</v>
      </c>
      <c r="P27" s="33">
        <f>SUMIF('Data By District'!$B$7:$B$441,B27,'Data By District'!$T$7:$T$441)/D27</f>
        <v>0.27922001229561572</v>
      </c>
      <c r="Q27" s="33">
        <f t="shared" si="4"/>
        <v>0.3909883108089674</v>
      </c>
      <c r="R27" s="74">
        <f t="shared" si="5"/>
        <v>0.50569597219292783</v>
      </c>
      <c r="S27" s="73">
        <f t="shared" si="6"/>
        <v>10</v>
      </c>
      <c r="T27" s="29">
        <f>COUNTIF('Data By District'!$Z$7:$Z$441,$B27&amp;"-"&amp;T$6)</f>
        <v>0</v>
      </c>
      <c r="U27" s="29">
        <f>COUNTIF('Data By District'!$Z$7:$Z$441,$B27&amp;"-"&amp;U$6)</f>
        <v>1</v>
      </c>
      <c r="V27" s="29">
        <f>COUNTIF('Data By District'!$Z$7:$Z$441,$B27&amp;"-"&amp;V$6)</f>
        <v>5</v>
      </c>
      <c r="W27" s="29">
        <f>COUNTIF('Data By District'!$Z$7:$Z$441,$B27&amp;"-"&amp;W$6)</f>
        <v>2</v>
      </c>
      <c r="X27" s="29">
        <f>COUNTIF('Data By District'!$Z$7:$Z$441,$B27&amp;"-"&amp;X$6)-(Y27)</f>
        <v>1</v>
      </c>
      <c r="Y27" s="29">
        <f>COUNTIF('Data By District'!$X$7:$X$441,$B27&amp;"-"&amp;"Yes")</f>
        <v>1</v>
      </c>
      <c r="Z27" s="402">
        <f t="shared" si="7"/>
        <v>0.1</v>
      </c>
      <c r="AA27" s="404">
        <f>COUNTIF('Data By District'!$L$7:$L$441, $B27&amp;"-"&amp;1)</f>
        <v>0</v>
      </c>
      <c r="AB27" s="376">
        <f>COUNTIFS('Data By District'!$J$7:$J$441,$B27&amp;"-"&amp;"Yes",'Data By District'!$Z$7:$Z$441,$B27&amp;"-"&amp;X$6)+COUNTIFS('Data By District'!$J$7:$J$441,$B27&amp;"-"&amp;"Yes",'Data By District'!$Z$7:$Z$441,$B27&amp;"-"&amp;W$6)</f>
        <v>4</v>
      </c>
      <c r="AC27" s="373">
        <f t="shared" si="31"/>
        <v>0.44444444444444442</v>
      </c>
      <c r="AD27" s="377">
        <f>COUNTIF('Data By District'!$J$7:$J$441,$B27&amp;"-"&amp;"Yes")</f>
        <v>9</v>
      </c>
      <c r="AE27" s="377">
        <f t="shared" si="24"/>
        <v>0</v>
      </c>
      <c r="AF27" s="377">
        <f>COUNTIF('Data By District'!$I$7:$I$441,$B27&amp;"-"&amp;"Yes")</f>
        <v>9</v>
      </c>
      <c r="AG27" s="377">
        <f>COUNTIFS('Data By District'!$J$7:$J$441,$B27&amp;"-"&amp;"Yes",'Data By District'!$Y$7:$Y$441,$B27&amp;"-"&amp;"Dem")</f>
        <v>9</v>
      </c>
      <c r="AH27" s="377">
        <f>COUNTIFS('Data By District'!$J$7:$J$441,$B27&amp;"-"&amp;"Yes",'Data By District'!$Y$7:$Y$441,$B27&amp;"-"&amp;"Rep")</f>
        <v>0</v>
      </c>
      <c r="AI27" s="377">
        <f>COUNTIFS('Data By District'!$J$7:$J$441,$B27&amp;"-"&amp;"Yes",'Data By District'!$Y$7:$Y$441,$B27&amp;"-"&amp;"Dem",'Data By District'!$J$7:$J$441,$B27&amp;"-"&amp;"Yes",'Data By District'!$Z$7:$Z$441,$B27&amp;"-"&amp;W$6)+COUNTIFS('Data By District'!$J$7:$J$441,$B27&amp;"-"&amp;"Yes",'Data By District'!$Y$7:$Y$441,$B27&amp;"-"&amp;"Dem",'Data By District'!$J$7:$J$441,$B27&amp;"-"&amp;"Yes",'Data By District'!$Z$7:$Z$441,$B27&amp;"-"&amp;X$6)</f>
        <v>4</v>
      </c>
      <c r="AJ27" s="377">
        <f>COUNTIFS('Data By District'!$J$7:$J$441,$B27&amp;"-"&amp;"Yes",'Data By District'!$Y$7:$Y$441,$B27&amp;"-"&amp;"Rep",'Data By District'!$J$7:$J$441,$B27&amp;"-"&amp;"Yes",'Data By District'!$Z$7:$Z$441,$B27&amp;"-"&amp;W$6)+COUNTIFS('Data By District'!$J$7:$J$441,$B27&amp;"-"&amp;"Yes",'Data By District'!$Y$7:$Y$441,$B27&amp;"-"&amp;"Rep",'Data By District'!$J$7:$J$441,$B27&amp;"-"&amp;"Yes",'Data By District'!$Z$7:$Z$441,$B27&amp;"-"&amp;X$6)</f>
        <v>0</v>
      </c>
      <c r="AK27" s="376">
        <f>COUNTIF('Data By District'!$D$7:$D$441,$B27&amp;"-"&amp;"Yes")</f>
        <v>1</v>
      </c>
      <c r="AL27" s="377">
        <f>COUNTIF('Data By District'!$E$7:$E$441,$B27&amp;"-"&amp;"Yes")</f>
        <v>0</v>
      </c>
      <c r="AM27" s="377">
        <f>COUNTIF('Data By District'!$F$7:$F$441,$B27&amp;"-"&amp;"Yes")</f>
        <v>0</v>
      </c>
      <c r="AN27" s="377">
        <f>COUNTIF('Data By District'!$G$7:$G$441,$B27&amp;"-"&amp;"Yes")</f>
        <v>0</v>
      </c>
      <c r="AO27" s="377">
        <f>COUNTIF('Data By District'!$H$7:$H$441,$B27&amp;"-"&amp;"Yes")</f>
        <v>0</v>
      </c>
      <c r="AP27" s="74">
        <f t="shared" si="8"/>
        <v>-5.3163659824669932E-2</v>
      </c>
      <c r="AQ27" s="60">
        <v>0.79814797235906865</v>
      </c>
      <c r="AR27" s="54">
        <f t="shared" si="25"/>
        <v>2419158</v>
      </c>
      <c r="AS27" s="45">
        <f>SUMIF('Data By District'!$B$7:$B$441,$B27,'Data By District'!$O$7:$O$441)</f>
        <v>1335738</v>
      </c>
      <c r="AT27" s="45">
        <f>SUMIF('Data By District'!$B$7:$B$441,$B27,'Data By District'!$P$7:$P$441)</f>
        <v>808305</v>
      </c>
      <c r="AU27" s="45">
        <f>SUMIF('Data By District'!$B$7:$B$441,$B27,'Data By District'!$Q$7:$Q$441)</f>
        <v>275115</v>
      </c>
      <c r="AV27" s="302">
        <f t="shared" si="9"/>
        <v>0.55214996292098328</v>
      </c>
      <c r="AW27" s="28">
        <f t="shared" si="10"/>
        <v>0.33412658453891808</v>
      </c>
      <c r="AX27" s="60">
        <f t="shared" si="11"/>
        <v>0.11372345254009866</v>
      </c>
      <c r="AY27" s="29">
        <f>COUNTIF('Data By District'!$Y$7:$Y$441,$B27&amp;"-"&amp;AY$6)</f>
        <v>10</v>
      </c>
      <c r="AZ27" s="29">
        <f>COUNTIF('Data By District'!$Y$7:$Y$441,$B27&amp;"-"&amp;AZ$6)</f>
        <v>0</v>
      </c>
      <c r="BA27" s="29">
        <f>COUNTIF('Data By District'!$Y$7:$Y$441,$B27&amp;"-"&amp;BA$6)</f>
        <v>0</v>
      </c>
      <c r="BB27" s="298">
        <f t="shared" si="26"/>
        <v>1</v>
      </c>
      <c r="BC27" s="28">
        <f t="shared" si="27"/>
        <v>0</v>
      </c>
      <c r="BD27" s="60">
        <f t="shared" si="28"/>
        <v>0</v>
      </c>
      <c r="BE27" s="298">
        <f t="shared" si="12"/>
        <v>0.44785003707901672</v>
      </c>
      <c r="BF27" s="28">
        <f t="shared" si="13"/>
        <v>0.33412658453891808</v>
      </c>
      <c r="BG27" s="60">
        <f t="shared" si="14"/>
        <v>0.11372345254009866</v>
      </c>
      <c r="BH27" s="54">
        <f t="shared" si="29"/>
        <v>1335738</v>
      </c>
      <c r="BI27" s="45">
        <f>'Data By District'!AE204</f>
        <v>1083420</v>
      </c>
      <c r="BJ27" s="45">
        <f>SUMIF('Data By District'!$B$7:$B$441,'Data By State'!$B27,'Data By District'!$AA$7:$AA$441)</f>
        <v>0</v>
      </c>
      <c r="BK27" s="45">
        <f>SUMIF('Data By District'!$B$7:$B$441,'Data By State'!$B27,'Data By District'!$AB$7:$AB$441)</f>
        <v>808305</v>
      </c>
      <c r="BL27" s="54">
        <f>SUMIF('Data By District'!$B$7:$B$441,'Data By State'!$B27,'Data By District'!$AC$7:$AC$441)</f>
        <v>275115</v>
      </c>
      <c r="BM27" s="68">
        <f t="shared" si="30"/>
        <v>0.44785003707901677</v>
      </c>
      <c r="BN27" s="28">
        <f t="shared" si="32"/>
        <v>0</v>
      </c>
      <c r="BO27" s="28">
        <f t="shared" si="33"/>
        <v>1</v>
      </c>
      <c r="BP27" s="60">
        <f t="shared" si="34"/>
        <v>1</v>
      </c>
    </row>
    <row r="28" spans="1:68">
      <c r="A28" s="21" t="s">
        <v>87</v>
      </c>
      <c r="B28" s="30" t="s">
        <v>21</v>
      </c>
      <c r="C28" s="410">
        <v>3226088</v>
      </c>
      <c r="D28" s="410">
        <v>7288055</v>
      </c>
      <c r="E28" s="29">
        <f t="shared" si="0"/>
        <v>12</v>
      </c>
      <c r="F28" s="29">
        <f t="shared" si="1"/>
        <v>21</v>
      </c>
      <c r="G28" s="77">
        <f t="shared" si="18"/>
        <v>26</v>
      </c>
      <c r="H28" s="29">
        <f t="shared" si="19"/>
        <v>28</v>
      </c>
      <c r="I28" s="29">
        <f t="shared" si="20"/>
        <v>21</v>
      </c>
      <c r="J28" s="29">
        <f t="shared" si="21"/>
        <v>9</v>
      </c>
      <c r="K28" s="72">
        <f t="shared" si="22"/>
        <v>21</v>
      </c>
      <c r="L28" s="71">
        <f t="shared" si="2"/>
        <v>21</v>
      </c>
      <c r="M28" s="68">
        <f t="shared" si="23"/>
        <v>0.50579179066290347</v>
      </c>
      <c r="N28" s="37">
        <f>AVERAGE('Data By District'!V205:'Data By District'!V219)</f>
        <v>0.27878635261086399</v>
      </c>
      <c r="O28" s="33">
        <f t="shared" si="3"/>
        <v>0.66666666666666663</v>
      </c>
      <c r="P28" s="33">
        <f>SUMIF('Data By District'!$B$7:$B$441,B28,'Data By District'!$T$7:$T$441)/D28</f>
        <v>0.26713533308955545</v>
      </c>
      <c r="Q28" s="33">
        <f t="shared" si="4"/>
        <v>5.9858693587062639E-2</v>
      </c>
      <c r="R28" s="74">
        <f t="shared" si="5"/>
        <v>0.43837498482105308</v>
      </c>
      <c r="S28" s="73">
        <f t="shared" si="6"/>
        <v>15</v>
      </c>
      <c r="T28" s="29">
        <f>COUNTIF('Data By District'!$Z$7:$Z$441,$B28&amp;"-"&amp;T$6)</f>
        <v>1</v>
      </c>
      <c r="U28" s="29">
        <f>COUNTIF('Data By District'!$Z$7:$Z$441,$B28&amp;"-"&amp;U$6)</f>
        <v>2</v>
      </c>
      <c r="V28" s="29">
        <f>COUNTIF('Data By District'!$Z$7:$Z$441,$B28&amp;"-"&amp;V$6)</f>
        <v>2</v>
      </c>
      <c r="W28" s="29">
        <f>COUNTIF('Data By District'!$Z$7:$Z$441,$B28&amp;"-"&amp;W$6)</f>
        <v>7</v>
      </c>
      <c r="X28" s="29">
        <f>COUNTIF('Data By District'!$Z$7:$Z$441,$B28&amp;"-"&amp;X$6)-(Y28)</f>
        <v>3</v>
      </c>
      <c r="Y28" s="29">
        <f>COUNTIF('Data By District'!$X$7:$X$441,$B28&amp;"-"&amp;"Yes")</f>
        <v>0</v>
      </c>
      <c r="Z28" s="402">
        <f t="shared" si="7"/>
        <v>0</v>
      </c>
      <c r="AA28" s="404">
        <f>COUNTIF('Data By District'!$L$7:$L$441, $B28&amp;"-"&amp;1)</f>
        <v>2</v>
      </c>
      <c r="AB28" s="376">
        <f>COUNTIFS('Data By District'!$J$7:$J$441,$B28&amp;"-"&amp;"Yes",'Data By District'!$Z$7:$Z$441,$B28&amp;"-"&amp;X$6)+COUNTIFS('Data By District'!$J$7:$J$441,$B28&amp;"-"&amp;"Yes",'Data By District'!$Z$7:$Z$441,$B28&amp;"-"&amp;W$6)</f>
        <v>7</v>
      </c>
      <c r="AC28" s="373">
        <f t="shared" si="31"/>
        <v>0.7</v>
      </c>
      <c r="AD28" s="377">
        <f>COUNTIF('Data By District'!$J$7:$J$441,$B28&amp;"-"&amp;"Yes")</f>
        <v>10</v>
      </c>
      <c r="AE28" s="377">
        <f t="shared" si="24"/>
        <v>1</v>
      </c>
      <c r="AF28" s="377">
        <f>COUNTIF('Data By District'!$I$7:$I$441,$B28&amp;"-"&amp;"Yes")</f>
        <v>11</v>
      </c>
      <c r="AG28" s="377">
        <f>COUNTIFS('Data By District'!$J$7:$J$441,$B28&amp;"-"&amp;"Yes",'Data By District'!$Y$7:$Y$441,$B28&amp;"-"&amp;"Dem")</f>
        <v>5</v>
      </c>
      <c r="AH28" s="377">
        <f>COUNTIFS('Data By District'!$J$7:$J$441,$B28&amp;"-"&amp;"Yes",'Data By District'!$Y$7:$Y$441,$B28&amp;"-"&amp;"Rep")</f>
        <v>5</v>
      </c>
      <c r="AI28" s="377">
        <f>COUNTIFS('Data By District'!$J$7:$J$441,$B28&amp;"-"&amp;"Yes",'Data By District'!$Y$7:$Y$441,$B28&amp;"-"&amp;"Dem",'Data By District'!$J$7:$J$441,$B28&amp;"-"&amp;"Yes",'Data By District'!$Z$7:$Z$441,$B28&amp;"-"&amp;W$6)+COUNTIFS('Data By District'!$J$7:$J$441,$B28&amp;"-"&amp;"Yes",'Data By District'!$Y$7:$Y$441,$B28&amp;"-"&amp;"Dem",'Data By District'!$J$7:$J$441,$B28&amp;"-"&amp;"Yes",'Data By District'!$Z$7:$Z$441,$B28&amp;"-"&amp;X$6)</f>
        <v>2</v>
      </c>
      <c r="AJ28" s="377">
        <f>COUNTIFS('Data By District'!$J$7:$J$441,$B28&amp;"-"&amp;"Yes",'Data By District'!$Y$7:$Y$441,$B28&amp;"-"&amp;"Rep",'Data By District'!$J$7:$J$441,$B28&amp;"-"&amp;"Yes",'Data By District'!$Z$7:$Z$441,$B28&amp;"-"&amp;W$6)+COUNTIFS('Data By District'!$J$7:$J$441,$B28&amp;"-"&amp;"Yes",'Data By District'!$Y$7:$Y$441,$B28&amp;"-"&amp;"Rep",'Data By District'!$J$7:$J$441,$B28&amp;"-"&amp;"Yes",'Data By District'!$Z$7:$Z$441,$B28&amp;"-"&amp;X$6)</f>
        <v>5</v>
      </c>
      <c r="AK28" s="376">
        <f>COUNTIF('Data By District'!$D$7:$D$441,$B28&amp;"-"&amp;"Yes")</f>
        <v>1</v>
      </c>
      <c r="AL28" s="377">
        <f>COUNTIF('Data By District'!$E$7:$E$441,$B28&amp;"-"&amp;"Yes")</f>
        <v>2</v>
      </c>
      <c r="AM28" s="377">
        <f>COUNTIF('Data By District'!$F$7:$F$441,$B28&amp;"-"&amp;"Yes")</f>
        <v>0</v>
      </c>
      <c r="AN28" s="377">
        <f>COUNTIF('Data By District'!$G$7:$G$441,$B28&amp;"-"&amp;"Yes")</f>
        <v>1</v>
      </c>
      <c r="AO28" s="377">
        <f>COUNTIF('Data By District'!$H$7:$H$441,$B28&amp;"-"&amp;"Yes")</f>
        <v>0</v>
      </c>
      <c r="AP28" s="74">
        <f t="shared" si="8"/>
        <v>9.6671262532206197E-3</v>
      </c>
      <c r="AQ28" s="60">
        <v>0.66415557740801345</v>
      </c>
      <c r="AR28" s="54">
        <f t="shared" si="25"/>
        <v>3194901</v>
      </c>
      <c r="AS28" s="45">
        <f>SUMIF('Data By District'!$B$7:$B$441,$B28,'Data By District'!$O$7:$O$441)</f>
        <v>1415212</v>
      </c>
      <c r="AT28" s="45">
        <f>SUMIF('Data By District'!$B$7:$B$441,$B28,'Data By District'!$P$7:$P$441)</f>
        <v>1671707</v>
      </c>
      <c r="AU28" s="45">
        <f>SUMIF('Data By District'!$B$7:$B$441,$B28,'Data By District'!$Q$7:$Q$441)</f>
        <v>107982</v>
      </c>
      <c r="AV28" s="302">
        <f t="shared" si="9"/>
        <v>0.44295957840321187</v>
      </c>
      <c r="AW28" s="28">
        <f t="shared" si="10"/>
        <v>0.52324219122908655</v>
      </c>
      <c r="AX28" s="60">
        <f t="shared" si="11"/>
        <v>3.3798230367701534E-2</v>
      </c>
      <c r="AY28" s="29">
        <f>COUNTIF('Data By District'!$Y$7:$Y$441,$B28&amp;"-"&amp;AY$6)</f>
        <v>6</v>
      </c>
      <c r="AZ28" s="29">
        <f>COUNTIF('Data By District'!$Y$7:$Y$441,$B28&amp;"-"&amp;AZ$6)</f>
        <v>9</v>
      </c>
      <c r="BA28" s="29">
        <f>COUNTIF('Data By District'!$Y$7:$Y$441,$B28&amp;"-"&amp;BA$6)</f>
        <v>0</v>
      </c>
      <c r="BB28" s="298">
        <f t="shared" si="26"/>
        <v>0.4</v>
      </c>
      <c r="BC28" s="28">
        <f t="shared" si="27"/>
        <v>0.6</v>
      </c>
      <c r="BD28" s="60">
        <f t="shared" si="28"/>
        <v>0</v>
      </c>
      <c r="BE28" s="298">
        <f t="shared" si="12"/>
        <v>4.2959578403211851E-2</v>
      </c>
      <c r="BF28" s="28">
        <f t="shared" si="13"/>
        <v>7.6757808770913427E-2</v>
      </c>
      <c r="BG28" s="60">
        <f t="shared" si="14"/>
        <v>3.3798230367701534E-2</v>
      </c>
      <c r="BH28" s="54">
        <f t="shared" si="29"/>
        <v>1946897</v>
      </c>
      <c r="BI28" s="45">
        <f>'Data By District'!AE219</f>
        <v>1248004</v>
      </c>
      <c r="BJ28" s="45">
        <f>SUMIF('Data By District'!$B$7:$B$441,'Data By State'!$B28,'Data By District'!$AA$7:$AA$441)</f>
        <v>722793</v>
      </c>
      <c r="BK28" s="45">
        <f>SUMIF('Data By District'!$B$7:$B$441,'Data By State'!$B28,'Data By District'!$AB$7:$AB$441)</f>
        <v>417229</v>
      </c>
      <c r="BL28" s="54">
        <f>SUMIF('Data By District'!$B$7:$B$441,'Data By State'!$B28,'Data By District'!$AC$7:$AC$441)</f>
        <v>107982</v>
      </c>
      <c r="BM28" s="68">
        <f t="shared" si="30"/>
        <v>0.39062368442715439</v>
      </c>
      <c r="BN28" s="28">
        <f t="shared" si="32"/>
        <v>0.51073125439863432</v>
      </c>
      <c r="BO28" s="28">
        <f t="shared" si="33"/>
        <v>0.24958261226399123</v>
      </c>
      <c r="BP28" s="60">
        <f t="shared" si="34"/>
        <v>1</v>
      </c>
    </row>
    <row r="29" spans="1:68">
      <c r="A29" s="21" t="s">
        <v>88</v>
      </c>
      <c r="B29" s="30" t="s">
        <v>22</v>
      </c>
      <c r="C29" s="410">
        <v>2107021</v>
      </c>
      <c r="D29" s="410">
        <v>3799328</v>
      </c>
      <c r="E29" s="29">
        <f t="shared" si="0"/>
        <v>2</v>
      </c>
      <c r="F29" s="29">
        <f t="shared" si="1"/>
        <v>8</v>
      </c>
      <c r="G29" s="77">
        <f t="shared" si="18"/>
        <v>14</v>
      </c>
      <c r="H29" s="29">
        <f t="shared" si="19"/>
        <v>15</v>
      </c>
      <c r="I29" s="29">
        <f t="shared" si="20"/>
        <v>7</v>
      </c>
      <c r="J29" s="29">
        <f t="shared" si="21"/>
        <v>3</v>
      </c>
      <c r="K29" s="72">
        <f t="shared" si="22"/>
        <v>1</v>
      </c>
      <c r="L29" s="71">
        <f t="shared" si="2"/>
        <v>9.1999999999999993</v>
      </c>
      <c r="M29" s="68">
        <f t="shared" si="23"/>
        <v>0.57794545732399571</v>
      </c>
      <c r="N29" s="37">
        <f>AVERAGE('Data By District'!V220:'Data By District'!V227)</f>
        <v>0.20458425733316413</v>
      </c>
      <c r="O29" s="33">
        <f t="shared" si="3"/>
        <v>0.5</v>
      </c>
      <c r="P29" s="33">
        <f>SUMIF('Data By District'!$B$7:$B$441,B29,'Data By District'!$T$7:$T$441)/D29</f>
        <v>0.31124556763722427</v>
      </c>
      <c r="Q29" s="33">
        <f t="shared" si="4"/>
        <v>2.8179591321305791E-2</v>
      </c>
      <c r="R29" s="74">
        <f t="shared" si="5"/>
        <v>0.55025283418541382</v>
      </c>
      <c r="S29" s="73">
        <f t="shared" si="6"/>
        <v>8</v>
      </c>
      <c r="T29" s="29">
        <f>COUNTIF('Data By District'!$Z$7:$Z$441,$B29&amp;"-"&amp;T$6)</f>
        <v>1</v>
      </c>
      <c r="U29" s="29">
        <f>COUNTIF('Data By District'!$Z$7:$Z$441,$B29&amp;"-"&amp;U$6)</f>
        <v>1</v>
      </c>
      <c r="V29" s="29">
        <f>COUNTIF('Data By District'!$Z$7:$Z$441,$B29&amp;"-"&amp;V$6)</f>
        <v>2</v>
      </c>
      <c r="W29" s="29">
        <f>COUNTIF('Data By District'!$Z$7:$Z$441,$B29&amp;"-"&amp;W$6)</f>
        <v>3</v>
      </c>
      <c r="X29" s="29">
        <f>COUNTIF('Data By District'!$Z$7:$Z$441,$B29&amp;"-"&amp;X$6)-(Y29)</f>
        <v>1</v>
      </c>
      <c r="Y29" s="29">
        <f>COUNTIF('Data By District'!$X$7:$X$441,$B29&amp;"-"&amp;"Yes")</f>
        <v>0</v>
      </c>
      <c r="Z29" s="402">
        <f t="shared" si="7"/>
        <v>0</v>
      </c>
      <c r="AA29" s="404">
        <f>COUNTIF('Data By District'!$L$7:$L$441, $B29&amp;"-"&amp;1)</f>
        <v>1</v>
      </c>
      <c r="AB29" s="376">
        <f>COUNTIFS('Data By District'!$J$7:$J$441,$B29&amp;"-"&amp;"Yes",'Data By District'!$Z$7:$Z$441,$B29&amp;"-"&amp;X$6)+COUNTIFS('Data By District'!$J$7:$J$441,$B29&amp;"-"&amp;"Yes",'Data By District'!$Z$7:$Z$441,$B29&amp;"-"&amp;W$6)</f>
        <v>4</v>
      </c>
      <c r="AC29" s="373">
        <f t="shared" si="31"/>
        <v>0.5714285714285714</v>
      </c>
      <c r="AD29" s="377">
        <f>COUNTIF('Data By District'!$J$7:$J$441,$B29&amp;"-"&amp;"Yes")</f>
        <v>7</v>
      </c>
      <c r="AE29" s="377">
        <f t="shared" si="24"/>
        <v>1</v>
      </c>
      <c r="AF29" s="377">
        <f>COUNTIF('Data By District'!$I$7:$I$441,$B29&amp;"-"&amp;"Yes")</f>
        <v>8</v>
      </c>
      <c r="AG29" s="377">
        <f>COUNTIFS('Data By District'!$J$7:$J$441,$B29&amp;"-"&amp;"Yes",'Data By District'!$Y$7:$Y$441,$B29&amp;"-"&amp;"Dem")</f>
        <v>4</v>
      </c>
      <c r="AH29" s="377">
        <f>COUNTIFS('Data By District'!$J$7:$J$441,$B29&amp;"-"&amp;"Yes",'Data By District'!$Y$7:$Y$441,$B29&amp;"-"&amp;"Rep")</f>
        <v>3</v>
      </c>
      <c r="AI29" s="377">
        <f>COUNTIFS('Data By District'!$J$7:$J$441,$B29&amp;"-"&amp;"Yes",'Data By District'!$Y$7:$Y$441,$B29&amp;"-"&amp;"Dem",'Data By District'!$J$7:$J$441,$B29&amp;"-"&amp;"Yes",'Data By District'!$Z$7:$Z$441,$B29&amp;"-"&amp;W$6)+COUNTIFS('Data By District'!$J$7:$J$441,$B29&amp;"-"&amp;"Yes",'Data By District'!$Y$7:$Y$441,$B29&amp;"-"&amp;"Dem",'Data By District'!$J$7:$J$441,$B29&amp;"-"&amp;"Yes",'Data By District'!$Z$7:$Z$441,$B29&amp;"-"&amp;X$6)</f>
        <v>2</v>
      </c>
      <c r="AJ29" s="377">
        <f>COUNTIFS('Data By District'!$J$7:$J$441,$B29&amp;"-"&amp;"Yes",'Data By District'!$Y$7:$Y$441,$B29&amp;"-"&amp;"Rep",'Data By District'!$J$7:$J$441,$B29&amp;"-"&amp;"Yes",'Data By District'!$Z$7:$Z$441,$B29&amp;"-"&amp;W$6)+COUNTIFS('Data By District'!$J$7:$J$441,$B29&amp;"-"&amp;"Yes",'Data By District'!$Y$7:$Y$441,$B29&amp;"-"&amp;"Rep",'Data By District'!$J$7:$J$441,$B29&amp;"-"&amp;"Yes",'Data By District'!$Z$7:$Z$441,$B29&amp;"-"&amp;X$6)</f>
        <v>2</v>
      </c>
      <c r="AK29" s="376">
        <f>COUNTIF('Data By District'!$D$7:$D$441,$B29&amp;"-"&amp;"Yes")</f>
        <v>2</v>
      </c>
      <c r="AL29" s="377">
        <f>COUNTIF('Data By District'!$E$7:$E$441,$B29&amp;"-"&amp;"Yes")</f>
        <v>1</v>
      </c>
      <c r="AM29" s="377">
        <f>COUNTIF('Data By District'!$F$7:$F$441,$B29&amp;"-"&amp;"Yes")</f>
        <v>0</v>
      </c>
      <c r="AN29" s="377">
        <f>COUNTIF('Data By District'!$G$7:$G$441,$B29&amp;"-"&amp;"Yes")</f>
        <v>0</v>
      </c>
      <c r="AO29" s="377">
        <f>COUNTIF('Data By District'!$H$7:$H$441,$B29&amp;"-"&amp;"Yes")</f>
        <v>0</v>
      </c>
      <c r="AP29" s="74">
        <f t="shared" si="8"/>
        <v>7.7977390828093312E-3</v>
      </c>
      <c r="AQ29" s="60">
        <v>0.61433356811470563</v>
      </c>
      <c r="AR29" s="54">
        <f t="shared" si="25"/>
        <v>2090591</v>
      </c>
      <c r="AS29" s="45">
        <f>SUMIF('Data By District'!$B$7:$B$441,$B29,'Data By District'!$O$7:$O$441)</f>
        <v>1002026</v>
      </c>
      <c r="AT29" s="45">
        <f>SUMIF('Data By District'!$B$7:$B$441,$B29,'Data By District'!$P$7:$P$441)</f>
        <v>970741</v>
      </c>
      <c r="AU29" s="45">
        <f>SUMIF('Data By District'!$B$7:$B$441,$B29,'Data By District'!$Q$7:$Q$441)</f>
        <v>117824</v>
      </c>
      <c r="AV29" s="302">
        <f t="shared" si="9"/>
        <v>0.47930274262158407</v>
      </c>
      <c r="AW29" s="28">
        <f t="shared" si="10"/>
        <v>0.46433807473580435</v>
      </c>
      <c r="AX29" s="60">
        <f t="shared" si="11"/>
        <v>5.635918264261159E-2</v>
      </c>
      <c r="AY29" s="29">
        <f>COUNTIF('Data By District'!$Y$7:$Y$441,$B29&amp;"-"&amp;AY$6)</f>
        <v>4</v>
      </c>
      <c r="AZ29" s="29">
        <f>COUNTIF('Data By District'!$Y$7:$Y$441,$B29&amp;"-"&amp;AZ$6)</f>
        <v>4</v>
      </c>
      <c r="BA29" s="29">
        <f>COUNTIF('Data By District'!$Y$7:$Y$441,$B29&amp;"-"&amp;BA$6)</f>
        <v>0</v>
      </c>
      <c r="BB29" s="298">
        <f t="shared" si="26"/>
        <v>0.5</v>
      </c>
      <c r="BC29" s="28">
        <f t="shared" si="27"/>
        <v>0.5</v>
      </c>
      <c r="BD29" s="60">
        <f t="shared" si="28"/>
        <v>0</v>
      </c>
      <c r="BE29" s="298">
        <f t="shared" si="12"/>
        <v>2.0697257378415934E-2</v>
      </c>
      <c r="BF29" s="28">
        <f t="shared" si="13"/>
        <v>3.5661925264195649E-2</v>
      </c>
      <c r="BG29" s="60">
        <f t="shared" si="14"/>
        <v>5.635918264261159E-2</v>
      </c>
      <c r="BH29" s="54">
        <f t="shared" si="29"/>
        <v>1182524</v>
      </c>
      <c r="BI29" s="45">
        <f>'Data By District'!AE227</f>
        <v>908067</v>
      </c>
      <c r="BJ29" s="45">
        <f>SUMIF('Data By District'!$B$7:$B$441,'Data By State'!$B29,'Data By District'!$AA$7:$AA$441)</f>
        <v>454986</v>
      </c>
      <c r="BK29" s="45">
        <f>SUMIF('Data By District'!$B$7:$B$441,'Data By State'!$B29,'Data By District'!$AB$7:$AB$441)</f>
        <v>335257</v>
      </c>
      <c r="BL29" s="54">
        <f>SUMIF('Data By District'!$B$7:$B$441,'Data By State'!$B29,'Data By District'!$AC$7:$AC$441)</f>
        <v>117824</v>
      </c>
      <c r="BM29" s="68">
        <f t="shared" si="30"/>
        <v>0.43435899226582342</v>
      </c>
      <c r="BN29" s="28">
        <f t="shared" si="32"/>
        <v>0.45406606215806777</v>
      </c>
      <c r="BO29" s="28">
        <f t="shared" si="33"/>
        <v>0.34536194515323859</v>
      </c>
      <c r="BP29" s="60">
        <f t="shared" si="34"/>
        <v>1</v>
      </c>
    </row>
    <row r="30" spans="1:68">
      <c r="A30" s="21" t="s">
        <v>89</v>
      </c>
      <c r="B30" s="30" t="s">
        <v>23</v>
      </c>
      <c r="C30" s="410">
        <v>788549</v>
      </c>
      <c r="D30" s="410">
        <v>2129092</v>
      </c>
      <c r="E30" s="29">
        <f t="shared" si="0"/>
        <v>38</v>
      </c>
      <c r="F30" s="29">
        <f t="shared" si="1"/>
        <v>20</v>
      </c>
      <c r="G30" s="77">
        <f t="shared" si="18"/>
        <v>13</v>
      </c>
      <c r="H30" s="29">
        <f t="shared" si="19"/>
        <v>15</v>
      </c>
      <c r="I30" s="29">
        <f t="shared" si="20"/>
        <v>45</v>
      </c>
      <c r="J30" s="29">
        <f t="shared" si="21"/>
        <v>32</v>
      </c>
      <c r="K30" s="72">
        <f t="shared" si="22"/>
        <v>42</v>
      </c>
      <c r="L30" s="71">
        <f t="shared" si="2"/>
        <v>30</v>
      </c>
      <c r="M30" s="68">
        <f t="shared" si="23"/>
        <v>0.5058116253802406</v>
      </c>
      <c r="N30" s="37">
        <f>AVERAGE('Data By District'!V228:'Data By District'!V231)</f>
        <v>0.20340474848217971</v>
      </c>
      <c r="O30" s="33">
        <f t="shared" si="3"/>
        <v>0.5</v>
      </c>
      <c r="P30" s="33">
        <f>SUMIF('Data By District'!$B$7:$B$441,B30,'Data By District'!$T$7:$T$441)/D30</f>
        <v>0.21812443990208033</v>
      </c>
      <c r="Q30" s="33">
        <f t="shared" si="4"/>
        <v>0.20378600442077791</v>
      </c>
      <c r="R30" s="74">
        <f t="shared" si="5"/>
        <v>0.37036868298786524</v>
      </c>
      <c r="S30" s="73">
        <f t="shared" si="6"/>
        <v>4</v>
      </c>
      <c r="T30" s="29">
        <f>COUNTIF('Data By District'!$Z$7:$Z$441,$B30&amp;"-"&amp;T$6)</f>
        <v>0</v>
      </c>
      <c r="U30" s="29">
        <f>COUNTIF('Data By District'!$Z$7:$Z$441,$B30&amp;"-"&amp;U$6)</f>
        <v>1</v>
      </c>
      <c r="V30" s="29">
        <f>COUNTIF('Data By District'!$Z$7:$Z$441,$B30&amp;"-"&amp;V$6)</f>
        <v>1</v>
      </c>
      <c r="W30" s="29">
        <f>COUNTIF('Data By District'!$Z$7:$Z$441,$B30&amp;"-"&amp;W$6)</f>
        <v>2</v>
      </c>
      <c r="X30" s="29">
        <f>COUNTIF('Data By District'!$Z$7:$Z$441,$B30&amp;"-"&amp;X$6)-(Y30)</f>
        <v>0</v>
      </c>
      <c r="Y30" s="29">
        <f>COUNTIF('Data By District'!$X$7:$X$441,$B30&amp;"-"&amp;"Yes")</f>
        <v>0</v>
      </c>
      <c r="Z30" s="402">
        <f t="shared" si="7"/>
        <v>0</v>
      </c>
      <c r="AA30" s="404">
        <f>COUNTIF('Data By District'!$L$7:$L$441, $B30&amp;"-"&amp;1)</f>
        <v>2</v>
      </c>
      <c r="AB30" s="376">
        <f>COUNTIFS('Data By District'!$J$7:$J$441,$B30&amp;"-"&amp;"Yes",'Data By District'!$Z$7:$Z$441,$B30&amp;"-"&amp;X$6)+COUNTIFS('Data By District'!$J$7:$J$441,$B30&amp;"-"&amp;"Yes",'Data By District'!$Z$7:$Z$441,$B30&amp;"-"&amp;W$6)</f>
        <v>2</v>
      </c>
      <c r="AC30" s="373">
        <f t="shared" si="31"/>
        <v>1</v>
      </c>
      <c r="AD30" s="377">
        <f>COUNTIF('Data By District'!$J$7:$J$441,$B30&amp;"-"&amp;"Yes")</f>
        <v>2</v>
      </c>
      <c r="AE30" s="377">
        <f t="shared" si="24"/>
        <v>2</v>
      </c>
      <c r="AF30" s="377">
        <f>COUNTIF('Data By District'!$I$7:$I$441,$B30&amp;"-"&amp;"Yes")</f>
        <v>4</v>
      </c>
      <c r="AG30" s="377">
        <f>COUNTIFS('Data By District'!$J$7:$J$441,$B30&amp;"-"&amp;"Yes",'Data By District'!$Y$7:$Y$441,$B30&amp;"-"&amp;"Dem")</f>
        <v>1</v>
      </c>
      <c r="AH30" s="377">
        <f>COUNTIFS('Data By District'!$J$7:$J$441,$B30&amp;"-"&amp;"Yes",'Data By District'!$Y$7:$Y$441,$B30&amp;"-"&amp;"Rep")</f>
        <v>1</v>
      </c>
      <c r="AI30" s="377">
        <f>COUNTIFS('Data By District'!$J$7:$J$441,$B30&amp;"-"&amp;"Yes",'Data By District'!$Y$7:$Y$441,$B30&amp;"-"&amp;"Dem",'Data By District'!$J$7:$J$441,$B30&amp;"-"&amp;"Yes",'Data By District'!$Z$7:$Z$441,$B30&amp;"-"&amp;W$6)+COUNTIFS('Data By District'!$J$7:$J$441,$B30&amp;"-"&amp;"Yes",'Data By District'!$Y$7:$Y$441,$B30&amp;"-"&amp;"Dem",'Data By District'!$J$7:$J$441,$B30&amp;"-"&amp;"Yes",'Data By District'!$Z$7:$Z$441,$B30&amp;"-"&amp;X$6)</f>
        <v>1</v>
      </c>
      <c r="AJ30" s="377">
        <f>COUNTIFS('Data By District'!$J$7:$J$441,$B30&amp;"-"&amp;"Yes",'Data By District'!$Y$7:$Y$441,$B30&amp;"-"&amp;"Rep",'Data By District'!$J$7:$J$441,$B30&amp;"-"&amp;"Yes",'Data By District'!$Z$7:$Z$441,$B30&amp;"-"&amp;W$6)+COUNTIFS('Data By District'!$J$7:$J$441,$B30&amp;"-"&amp;"Yes",'Data By District'!$Y$7:$Y$441,$B30&amp;"-"&amp;"Rep",'Data By District'!$J$7:$J$441,$B30&amp;"-"&amp;"Yes",'Data By District'!$Z$7:$Z$441,$B30&amp;"-"&amp;X$6)</f>
        <v>1</v>
      </c>
      <c r="AK30" s="376">
        <f>COUNTIF('Data By District'!$D$7:$D$441,$B30&amp;"-"&amp;"Yes")</f>
        <v>0</v>
      </c>
      <c r="AL30" s="377">
        <f>COUNTIF('Data By District'!$E$7:$E$441,$B30&amp;"-"&amp;"Yes")</f>
        <v>1</v>
      </c>
      <c r="AM30" s="377">
        <f>COUNTIF('Data By District'!$F$7:$F$441,$B30&amp;"-"&amp;"Yes")</f>
        <v>0</v>
      </c>
      <c r="AN30" s="377">
        <f>COUNTIF('Data By District'!$G$7:$G$441,$B30&amp;"-"&amp;"Yes")</f>
        <v>0</v>
      </c>
      <c r="AO30" s="377">
        <f>COUNTIF('Data By District'!$H$7:$H$441,$B30&amp;"-"&amp;"Yes")</f>
        <v>0</v>
      </c>
      <c r="AP30" s="74">
        <f t="shared" si="8"/>
        <v>0</v>
      </c>
      <c r="AQ30" s="60">
        <v>0.70668776199311412</v>
      </c>
      <c r="AR30" s="54">
        <f t="shared" si="25"/>
        <v>788549</v>
      </c>
      <c r="AS30" s="45">
        <f>SUMIF('Data By District'!$B$7:$B$441,$B30,'Data By District'!$O$7:$O$441)</f>
        <v>350695</v>
      </c>
      <c r="AT30" s="45">
        <f>SUMIF('Data By District'!$B$7:$B$441,$B30,'Data By District'!$P$7:$P$441)</f>
        <v>423579</v>
      </c>
      <c r="AU30" s="45">
        <f>SUMIF('Data By District'!$B$7:$B$441,$B30,'Data By District'!$Q$7:$Q$441)</f>
        <v>14275</v>
      </c>
      <c r="AV30" s="302">
        <f t="shared" si="9"/>
        <v>0.44473456944337003</v>
      </c>
      <c r="AW30" s="28">
        <f t="shared" si="10"/>
        <v>0.53716256060181422</v>
      </c>
      <c r="AX30" s="60">
        <f t="shared" si="11"/>
        <v>1.8102869954815744E-2</v>
      </c>
      <c r="AY30" s="29">
        <f>COUNTIF('Data By District'!$Y$7:$Y$441,$B30&amp;"-"&amp;AY$6)</f>
        <v>1</v>
      </c>
      <c r="AZ30" s="29">
        <f>COUNTIF('Data By District'!$Y$7:$Y$441,$B30&amp;"-"&amp;AZ$6)</f>
        <v>3</v>
      </c>
      <c r="BA30" s="29">
        <f>COUNTIF('Data By District'!$Y$7:$Y$441,$B30&amp;"-"&amp;BA$6)</f>
        <v>0</v>
      </c>
      <c r="BB30" s="298">
        <f t="shared" si="26"/>
        <v>0.25</v>
      </c>
      <c r="BC30" s="28">
        <f t="shared" si="27"/>
        <v>0.75</v>
      </c>
      <c r="BD30" s="60">
        <f t="shared" si="28"/>
        <v>0</v>
      </c>
      <c r="BE30" s="298">
        <f t="shared" si="12"/>
        <v>0.19473456944337003</v>
      </c>
      <c r="BF30" s="28">
        <f t="shared" si="13"/>
        <v>0.21283743939818578</v>
      </c>
      <c r="BG30" s="60">
        <f t="shared" si="14"/>
        <v>1.8102869954815744E-2</v>
      </c>
      <c r="BH30" s="54">
        <f t="shared" si="29"/>
        <v>464407</v>
      </c>
      <c r="BI30" s="45">
        <f>'Data By District'!AE231</f>
        <v>324142</v>
      </c>
      <c r="BJ30" s="45">
        <f>SUMIF('Data By District'!$B$7:$B$441,'Data By State'!$B30,'Data By District'!$AA$7:$AA$441)</f>
        <v>245368</v>
      </c>
      <c r="BK30" s="45">
        <f>SUMIF('Data By District'!$B$7:$B$441,'Data By State'!$B30,'Data By District'!$AB$7:$AB$441)</f>
        <v>64499</v>
      </c>
      <c r="BL30" s="54">
        <f>SUMIF('Data By District'!$B$7:$B$441,'Data By State'!$B30,'Data By District'!$AC$7:$AC$441)</f>
        <v>14275</v>
      </c>
      <c r="BM30" s="68">
        <f t="shared" si="30"/>
        <v>0.41106132909939647</v>
      </c>
      <c r="BN30" s="28">
        <f t="shared" si="32"/>
        <v>0.69966209954518888</v>
      </c>
      <c r="BO30" s="28">
        <f t="shared" si="33"/>
        <v>0.15227147710344469</v>
      </c>
      <c r="BP30" s="60">
        <f t="shared" si="34"/>
        <v>1</v>
      </c>
    </row>
    <row r="31" spans="1:68">
      <c r="A31" s="21" t="s">
        <v>90</v>
      </c>
      <c r="B31" s="30" t="s">
        <v>24</v>
      </c>
      <c r="C31" s="410">
        <v>1943899</v>
      </c>
      <c r="D31" s="410">
        <v>4433443</v>
      </c>
      <c r="E31" s="29">
        <f t="shared" si="0"/>
        <v>14</v>
      </c>
      <c r="F31" s="29">
        <f t="shared" si="1"/>
        <v>24</v>
      </c>
      <c r="G31" s="77">
        <f t="shared" si="18"/>
        <v>38</v>
      </c>
      <c r="H31" s="29">
        <f t="shared" si="19"/>
        <v>28</v>
      </c>
      <c r="I31" s="29">
        <f t="shared" si="20"/>
        <v>17</v>
      </c>
      <c r="J31" s="29">
        <f t="shared" si="21"/>
        <v>10</v>
      </c>
      <c r="K31" s="72">
        <f t="shared" si="22"/>
        <v>22</v>
      </c>
      <c r="L31" s="71">
        <f t="shared" si="2"/>
        <v>22</v>
      </c>
      <c r="M31" s="68">
        <f t="shared" si="23"/>
        <v>0.49226441935127208</v>
      </c>
      <c r="N31" s="37">
        <f>AVERAGE('Data By District'!V232:'Data By District'!V240)</f>
        <v>0.35755072889407608</v>
      </c>
      <c r="O31" s="33">
        <f t="shared" si="3"/>
        <v>0.66666666666666663</v>
      </c>
      <c r="P31" s="33">
        <f>SUMIF('Data By District'!$B$7:$B$441,B31,'Data By District'!$T$7:$T$441)/D31</f>
        <v>0.27465944639414558</v>
      </c>
      <c r="Q31" s="33">
        <f t="shared" si="4"/>
        <v>6.3779400471188491E-2</v>
      </c>
      <c r="R31" s="74">
        <f t="shared" si="5"/>
        <v>0.43322424580625035</v>
      </c>
      <c r="S31" s="73">
        <f t="shared" si="6"/>
        <v>9</v>
      </c>
      <c r="T31" s="29">
        <f>COUNTIF('Data By District'!$Z$7:$Z$441,$B31&amp;"-"&amp;T$6)</f>
        <v>1</v>
      </c>
      <c r="U31" s="29">
        <f>COUNTIF('Data By District'!$Z$7:$Z$441,$B31&amp;"-"&amp;U$6)</f>
        <v>2</v>
      </c>
      <c r="V31" s="29">
        <f>COUNTIF('Data By District'!$Z$7:$Z$441,$B31&amp;"-"&amp;V$6)</f>
        <v>0</v>
      </c>
      <c r="W31" s="29">
        <f>COUNTIF('Data By District'!$Z$7:$Z$441,$B31&amp;"-"&amp;W$6)</f>
        <v>4</v>
      </c>
      <c r="X31" s="29">
        <f>COUNTIF('Data By District'!$Z$7:$Z$441,$B31&amp;"-"&amp;X$6)-(Y31)</f>
        <v>1</v>
      </c>
      <c r="Y31" s="29">
        <f>COUNTIF('Data By District'!$X$7:$X$441,$B31&amp;"-"&amp;"Yes")</f>
        <v>1</v>
      </c>
      <c r="Z31" s="402">
        <f t="shared" si="7"/>
        <v>0.1111111111111111</v>
      </c>
      <c r="AA31" s="404">
        <f>COUNTIF('Data By District'!$L$7:$L$441, $B31&amp;"-"&amp;1)</f>
        <v>1</v>
      </c>
      <c r="AB31" s="376">
        <f>COUNTIFS('Data By District'!$J$7:$J$441,$B31&amp;"-"&amp;"Yes",'Data By District'!$Z$7:$Z$441,$B31&amp;"-"&amp;X$6)+COUNTIFS('Data By District'!$J$7:$J$441,$B31&amp;"-"&amp;"Yes",'Data By District'!$Z$7:$Z$441,$B31&amp;"-"&amp;W$6)</f>
        <v>5</v>
      </c>
      <c r="AC31" s="373">
        <f t="shared" si="31"/>
        <v>0.7142857142857143</v>
      </c>
      <c r="AD31" s="377">
        <f>COUNTIF('Data By District'!$J$7:$J$441,$B31&amp;"-"&amp;"Yes")</f>
        <v>7</v>
      </c>
      <c r="AE31" s="377">
        <f t="shared" si="24"/>
        <v>1</v>
      </c>
      <c r="AF31" s="377">
        <f>COUNTIF('Data By District'!$I$7:$I$441,$B31&amp;"-"&amp;"Yes")</f>
        <v>8</v>
      </c>
      <c r="AG31" s="377">
        <f>COUNTIFS('Data By District'!$J$7:$J$441,$B31&amp;"-"&amp;"Yes",'Data By District'!$Y$7:$Y$441,$B31&amp;"-"&amp;"Dem")</f>
        <v>3</v>
      </c>
      <c r="AH31" s="377">
        <f>COUNTIFS('Data By District'!$J$7:$J$441,$B31&amp;"-"&amp;"Yes",'Data By District'!$Y$7:$Y$441,$B31&amp;"-"&amp;"Rep")</f>
        <v>4</v>
      </c>
      <c r="AI31" s="377">
        <f>COUNTIFS('Data By District'!$J$7:$J$441,$B31&amp;"-"&amp;"Yes",'Data By District'!$Y$7:$Y$441,$B31&amp;"-"&amp;"Dem",'Data By District'!$J$7:$J$441,$B31&amp;"-"&amp;"Yes",'Data By District'!$Z$7:$Z$441,$B31&amp;"-"&amp;W$6)+COUNTIFS('Data By District'!$J$7:$J$441,$B31&amp;"-"&amp;"Yes",'Data By District'!$Y$7:$Y$441,$B31&amp;"-"&amp;"Dem",'Data By District'!$J$7:$J$441,$B31&amp;"-"&amp;"Yes",'Data By District'!$Z$7:$Z$441,$B31&amp;"-"&amp;X$6)</f>
        <v>1</v>
      </c>
      <c r="AJ31" s="377">
        <f>COUNTIFS('Data By District'!$J$7:$J$441,$B31&amp;"-"&amp;"Yes",'Data By District'!$Y$7:$Y$441,$B31&amp;"-"&amp;"Rep",'Data By District'!$J$7:$J$441,$B31&amp;"-"&amp;"Yes",'Data By District'!$Z$7:$Z$441,$B31&amp;"-"&amp;W$6)+COUNTIFS('Data By District'!$J$7:$J$441,$B31&amp;"-"&amp;"Yes",'Data By District'!$Y$7:$Y$441,$B31&amp;"-"&amp;"Rep",'Data By District'!$J$7:$J$441,$B31&amp;"-"&amp;"Yes",'Data By District'!$Z$7:$Z$441,$B31&amp;"-"&amp;X$6)</f>
        <v>4</v>
      </c>
      <c r="AK31" s="376">
        <f>COUNTIF('Data By District'!$D$7:$D$441,$B31&amp;"-"&amp;"Yes")</f>
        <v>2</v>
      </c>
      <c r="AL31" s="377">
        <f>COUNTIF('Data By District'!$E$7:$E$441,$B31&amp;"-"&amp;"Yes")</f>
        <v>2</v>
      </c>
      <c r="AM31" s="377">
        <f>COUNTIF('Data By District'!$F$7:$F$441,$B31&amp;"-"&amp;"Yes")</f>
        <v>0</v>
      </c>
      <c r="AN31" s="377">
        <f>COUNTIF('Data By District'!$G$7:$G$441,$B31&amp;"-"&amp;"Yes")</f>
        <v>0</v>
      </c>
      <c r="AO31" s="377">
        <f>COUNTIF('Data By District'!$H$7:$H$441,$B31&amp;"-"&amp;"Yes")</f>
        <v>0</v>
      </c>
      <c r="AP31" s="74">
        <f t="shared" si="8"/>
        <v>1.1947122767180806E-2</v>
      </c>
      <c r="AQ31" s="60">
        <v>0.65086352836102279</v>
      </c>
      <c r="AR31" s="54">
        <f t="shared" si="25"/>
        <v>1920675</v>
      </c>
      <c r="AS31" s="45">
        <f>SUMIF('Data By District'!$B$7:$B$441,$B31,'Data By District'!$O$7:$O$441)</f>
        <v>708064</v>
      </c>
      <c r="AT31" s="45">
        <f>SUMIF('Data By District'!$B$7:$B$441,$B31,'Data By District'!$P$7:$P$441)</f>
        <v>1103290</v>
      </c>
      <c r="AU31" s="45">
        <f>SUMIF('Data By District'!$B$7:$B$441,$B31,'Data By District'!$Q$7:$Q$441)</f>
        <v>109321</v>
      </c>
      <c r="AV31" s="302">
        <f t="shared" si="9"/>
        <v>0.36865372850690514</v>
      </c>
      <c r="AW31" s="28">
        <f t="shared" si="10"/>
        <v>0.57442826089786148</v>
      </c>
      <c r="AX31" s="60">
        <f t="shared" si="11"/>
        <v>5.6918010595233444E-2</v>
      </c>
      <c r="AY31" s="29">
        <f>COUNTIF('Data By District'!$Y$7:$Y$441,$B31&amp;"-"&amp;AY$6)</f>
        <v>3</v>
      </c>
      <c r="AZ31" s="29">
        <f>COUNTIF('Data By District'!$Y$7:$Y$441,$B31&amp;"-"&amp;AZ$6)</f>
        <v>6</v>
      </c>
      <c r="BA31" s="29">
        <f>COUNTIF('Data By District'!$Y$7:$Y$441,$B31&amp;"-"&amp;BA$6)</f>
        <v>0</v>
      </c>
      <c r="BB31" s="298">
        <f t="shared" si="26"/>
        <v>0.33333333333333331</v>
      </c>
      <c r="BC31" s="28">
        <f t="shared" si="27"/>
        <v>0.66666666666666663</v>
      </c>
      <c r="BD31" s="60">
        <f t="shared" si="28"/>
        <v>0</v>
      </c>
      <c r="BE31" s="298">
        <f t="shared" si="12"/>
        <v>3.5320395173571828E-2</v>
      </c>
      <c r="BF31" s="28">
        <f t="shared" si="13"/>
        <v>9.2238405768805154E-2</v>
      </c>
      <c r="BG31" s="60">
        <f t="shared" si="14"/>
        <v>5.6918010595233444E-2</v>
      </c>
      <c r="BH31" s="54">
        <f t="shared" si="29"/>
        <v>1217687</v>
      </c>
      <c r="BI31" s="45">
        <f>'Data By District'!AE240</f>
        <v>702988</v>
      </c>
      <c r="BJ31" s="45">
        <f>SUMIF('Data By District'!$B$7:$B$441,'Data By State'!$B31,'Data By District'!$AA$7:$AA$441)</f>
        <v>370683</v>
      </c>
      <c r="BK31" s="45">
        <f>SUMIF('Data By District'!$B$7:$B$441,'Data By State'!$B31,'Data By District'!$AB$7:$AB$441)</f>
        <v>222984</v>
      </c>
      <c r="BL31" s="54">
        <f>SUMIF('Data By District'!$B$7:$B$441,'Data By State'!$B31,'Data By District'!$AC$7:$AC$441)</f>
        <v>109321</v>
      </c>
      <c r="BM31" s="68">
        <f t="shared" si="30"/>
        <v>0.36601090762362193</v>
      </c>
      <c r="BN31" s="28">
        <f t="shared" si="32"/>
        <v>0.52351623582049078</v>
      </c>
      <c r="BO31" s="28">
        <f t="shared" si="33"/>
        <v>0.20210823990066076</v>
      </c>
      <c r="BP31" s="60">
        <f t="shared" si="34"/>
        <v>1</v>
      </c>
    </row>
    <row r="32" spans="1:68">
      <c r="A32" s="21" t="s">
        <v>91</v>
      </c>
      <c r="B32" s="30" t="s">
        <v>25</v>
      </c>
      <c r="C32" s="410">
        <v>360341</v>
      </c>
      <c r="D32" s="410">
        <v>753666</v>
      </c>
      <c r="E32" s="29">
        <f t="shared" si="0"/>
        <v>33</v>
      </c>
      <c r="F32" s="29">
        <f t="shared" si="1"/>
        <v>45</v>
      </c>
      <c r="G32" s="77">
        <f t="shared" si="18"/>
        <v>29</v>
      </c>
      <c r="H32" s="29">
        <f t="shared" si="19"/>
        <v>44</v>
      </c>
      <c r="I32" s="29">
        <f t="shared" si="20"/>
        <v>12</v>
      </c>
      <c r="J32" s="29">
        <f t="shared" si="21"/>
        <v>40</v>
      </c>
      <c r="K32" s="72">
        <f t="shared" si="22"/>
        <v>13</v>
      </c>
      <c r="L32" s="71">
        <f t="shared" si="2"/>
        <v>27.4</v>
      </c>
      <c r="M32" s="68">
        <f t="shared" si="23"/>
        <v>0.3857327488469644</v>
      </c>
      <c r="N32" s="37">
        <f>('Data By District'!V241)</f>
        <v>0.28188429265420284</v>
      </c>
      <c r="O32" s="33">
        <f t="shared" si="3"/>
        <v>1</v>
      </c>
      <c r="P32" s="33">
        <f>SUMIF('Data By District'!$B$7:$B$441,B32,'Data By District'!$T$7:$T$441)/D32</f>
        <v>0.28884943728388968</v>
      </c>
      <c r="Q32" s="33">
        <f t="shared" si="4"/>
        <v>0.36715083767875434</v>
      </c>
      <c r="R32" s="74">
        <f t="shared" si="5"/>
        <v>0.47811762770245708</v>
      </c>
      <c r="S32" s="73">
        <f t="shared" si="6"/>
        <v>1</v>
      </c>
      <c r="T32" s="29">
        <f>COUNTIF('Data By District'!$Z$7:$Z$441,$B32&amp;"-"&amp;T$6)</f>
        <v>0</v>
      </c>
      <c r="U32" s="29">
        <f>COUNTIF('Data By District'!$Z$7:$Z$441,$B32&amp;"-"&amp;U$6)</f>
        <v>0</v>
      </c>
      <c r="V32" s="29">
        <f>COUNTIF('Data By District'!$Z$7:$Z$441,$B32&amp;"-"&amp;V$6)</f>
        <v>0</v>
      </c>
      <c r="W32" s="29">
        <f>COUNTIF('Data By District'!$Z$7:$Z$441,$B32&amp;"-"&amp;W$6)</f>
        <v>1</v>
      </c>
      <c r="X32" s="29">
        <f>COUNTIF('Data By District'!$Z$7:$Z$441,$B32&amp;"-"&amp;X$6)-(Y32)</f>
        <v>0</v>
      </c>
      <c r="Y32" s="29">
        <f>COUNTIF('Data By District'!$X$7:$X$441,$B32&amp;"-"&amp;"Yes")</f>
        <v>0</v>
      </c>
      <c r="Z32" s="402">
        <f t="shared" si="7"/>
        <v>0</v>
      </c>
      <c r="AA32" s="404">
        <f>COUNTIF('Data By District'!$L$7:$L$441, $B32&amp;"-"&amp;1)</f>
        <v>0</v>
      </c>
      <c r="AB32" s="376">
        <f>COUNTIFS('Data By District'!$J$7:$J$441,$B32&amp;"-"&amp;"Yes",'Data By District'!$Z$7:$Z$441,$B32&amp;"-"&amp;X$6)+COUNTIFS('Data By District'!$J$7:$J$441,$B32&amp;"-"&amp;"Yes",'Data By District'!$Z$7:$Z$441,$B32&amp;"-"&amp;W$6)</f>
        <v>1</v>
      </c>
      <c r="AC32" s="373">
        <f t="shared" si="31"/>
        <v>1</v>
      </c>
      <c r="AD32" s="377">
        <f>COUNTIF('Data By District'!$J$7:$J$441,$B32&amp;"-"&amp;"Yes")</f>
        <v>1</v>
      </c>
      <c r="AE32" s="377">
        <f t="shared" si="24"/>
        <v>0</v>
      </c>
      <c r="AF32" s="377">
        <f>COUNTIF('Data By District'!$I$7:$I$441,$B32&amp;"-"&amp;"Yes")</f>
        <v>1</v>
      </c>
      <c r="AG32" s="377">
        <f>COUNTIFS('Data By District'!$J$7:$J$441,$B32&amp;"-"&amp;"Yes",'Data By District'!$Y$7:$Y$441,$B32&amp;"-"&amp;"Dem")</f>
        <v>0</v>
      </c>
      <c r="AH32" s="377">
        <f>COUNTIFS('Data By District'!$J$7:$J$441,$B32&amp;"-"&amp;"Yes",'Data By District'!$Y$7:$Y$441,$B32&amp;"-"&amp;"Rep")</f>
        <v>1</v>
      </c>
      <c r="AI32" s="377">
        <f>COUNTIFS('Data By District'!$J$7:$J$441,$B32&amp;"-"&amp;"Yes",'Data By District'!$Y$7:$Y$441,$B32&amp;"-"&amp;"Dem",'Data By District'!$J$7:$J$441,$B32&amp;"-"&amp;"Yes",'Data By District'!$Z$7:$Z$441,$B32&amp;"-"&amp;W$6)+COUNTIFS('Data By District'!$J$7:$J$441,$B32&amp;"-"&amp;"Yes",'Data By District'!$Y$7:$Y$441,$B32&amp;"-"&amp;"Dem",'Data By District'!$J$7:$J$441,$B32&amp;"-"&amp;"Yes",'Data By District'!$Z$7:$Z$441,$B32&amp;"-"&amp;X$6)</f>
        <v>0</v>
      </c>
      <c r="AJ32" s="377">
        <f>COUNTIFS('Data By District'!$J$7:$J$441,$B32&amp;"-"&amp;"Yes",'Data By District'!$Y$7:$Y$441,$B32&amp;"-"&amp;"Rep",'Data By District'!$J$7:$J$441,$B32&amp;"-"&amp;"Yes",'Data By District'!$Z$7:$Z$441,$B32&amp;"-"&amp;W$6)+COUNTIFS('Data By District'!$J$7:$J$441,$B32&amp;"-"&amp;"Yes",'Data By District'!$Y$7:$Y$441,$B32&amp;"-"&amp;"Rep",'Data By District'!$J$7:$J$441,$B32&amp;"-"&amp;"Yes",'Data By District'!$Z$7:$Z$441,$B32&amp;"-"&amp;X$6)</f>
        <v>1</v>
      </c>
      <c r="AK32" s="376">
        <f>COUNTIF('Data By District'!$D$7:$D$441,$B32&amp;"-"&amp;"Yes")</f>
        <v>0</v>
      </c>
      <c r="AL32" s="377">
        <f>COUNTIF('Data By District'!$E$7:$E$441,$B32&amp;"-"&amp;"Yes")</f>
        <v>0</v>
      </c>
      <c r="AM32" s="377">
        <f>COUNTIF('Data By District'!$F$7:$F$441,$B32&amp;"-"&amp;"Yes")</f>
        <v>0</v>
      </c>
      <c r="AN32" s="377">
        <f>COUNTIF('Data By District'!$G$7:$G$441,$B32&amp;"-"&amp;"Yes")</f>
        <v>0</v>
      </c>
      <c r="AO32" s="377">
        <f>COUNTIF('Data By District'!$H$7:$H$441,$B32&amp;"-"&amp;"Yes")</f>
        <v>0</v>
      </c>
      <c r="AP32" s="74">
        <f t="shared" si="8"/>
        <v>0</v>
      </c>
      <c r="AQ32" s="60">
        <v>0.64398172118046959</v>
      </c>
      <c r="AR32" s="54">
        <f t="shared" si="25"/>
        <v>360341</v>
      </c>
      <c r="AS32" s="45">
        <f>SUMIF('Data By District'!$B$7:$B$441,$B32,'Data By District'!$O$7:$O$441)</f>
        <v>121954</v>
      </c>
      <c r="AT32" s="45">
        <f>SUMIF('Data By District'!$B$7:$B$441,$B32,'Data By District'!$P$7:$P$441)</f>
        <v>217696</v>
      </c>
      <c r="AU32" s="45">
        <f>SUMIF('Data By District'!$B$7:$B$441,$B32,'Data By District'!$Q$7:$Q$441)</f>
        <v>20691</v>
      </c>
      <c r="AV32" s="302">
        <f t="shared" si="9"/>
        <v>0.33844053271762026</v>
      </c>
      <c r="AW32" s="28">
        <f t="shared" si="10"/>
        <v>0.60413885736011164</v>
      </c>
      <c r="AX32" s="60">
        <f t="shared" si="11"/>
        <v>5.7420609922268072E-2</v>
      </c>
      <c r="AY32" s="29">
        <f>COUNTIF('Data By District'!$Y$7:$Y$441,$B32&amp;"-"&amp;AY$6)</f>
        <v>0</v>
      </c>
      <c r="AZ32" s="29">
        <f>COUNTIF('Data By District'!$Y$7:$Y$441,$B32&amp;"-"&amp;AZ$6)</f>
        <v>1</v>
      </c>
      <c r="BA32" s="29">
        <f>COUNTIF('Data By District'!$Y$7:$Y$441,$B32&amp;"-"&amp;BA$6)</f>
        <v>0</v>
      </c>
      <c r="BB32" s="298">
        <f t="shared" si="26"/>
        <v>0</v>
      </c>
      <c r="BC32" s="28">
        <f t="shared" si="27"/>
        <v>1</v>
      </c>
      <c r="BD32" s="60">
        <f t="shared" si="28"/>
        <v>0</v>
      </c>
      <c r="BE32" s="298">
        <f t="shared" si="12"/>
        <v>0.33844053271762026</v>
      </c>
      <c r="BF32" s="28">
        <f t="shared" si="13"/>
        <v>0.39586114263988836</v>
      </c>
      <c r="BG32" s="60">
        <f t="shared" si="14"/>
        <v>5.7420609922268072E-2</v>
      </c>
      <c r="BH32" s="54">
        <f t="shared" si="29"/>
        <v>217696</v>
      </c>
      <c r="BI32" s="45">
        <f>'Data By District'!AE241</f>
        <v>142645</v>
      </c>
      <c r="BJ32" s="45">
        <f>SUMIF('Data By District'!$B$7:$B$441,'Data By State'!$B32,'Data By District'!$AA$7:$AA$441)</f>
        <v>121954</v>
      </c>
      <c r="BK32" s="45">
        <f>SUMIF('Data By District'!$B$7:$B$441,'Data By State'!$B32,'Data By District'!$AB$7:$AB$441)</f>
        <v>0</v>
      </c>
      <c r="BL32" s="54">
        <f>SUMIF('Data By District'!$B$7:$B$441,'Data By State'!$B32,'Data By District'!$AC$7:$AC$441)</f>
        <v>20691</v>
      </c>
      <c r="BM32" s="68">
        <f t="shared" si="30"/>
        <v>0.39586114263988831</v>
      </c>
      <c r="BN32" s="28">
        <f t="shared" si="32"/>
        <v>1</v>
      </c>
      <c r="BO32" s="28">
        <f t="shared" si="33"/>
        <v>0</v>
      </c>
      <c r="BP32" s="60">
        <f t="shared" si="34"/>
        <v>1</v>
      </c>
    </row>
    <row r="33" spans="1:68">
      <c r="A33" s="21" t="s">
        <v>92</v>
      </c>
      <c r="B33" s="30" t="s">
        <v>26</v>
      </c>
      <c r="C33" s="410">
        <v>487988</v>
      </c>
      <c r="D33" s="410">
        <v>1271875</v>
      </c>
      <c r="E33" s="29">
        <f t="shared" si="0"/>
        <v>47</v>
      </c>
      <c r="F33" s="29">
        <f t="shared" si="1"/>
        <v>50</v>
      </c>
      <c r="G33" s="77">
        <f t="shared" si="18"/>
        <v>43</v>
      </c>
      <c r="H33" s="29">
        <f t="shared" si="19"/>
        <v>44</v>
      </c>
      <c r="I33" s="29">
        <f t="shared" si="20"/>
        <v>29</v>
      </c>
      <c r="J33" s="29">
        <f t="shared" si="21"/>
        <v>36</v>
      </c>
      <c r="K33" s="72">
        <f t="shared" si="22"/>
        <v>38</v>
      </c>
      <c r="L33" s="71">
        <f t="shared" si="2"/>
        <v>36.200000000000003</v>
      </c>
      <c r="M33" s="68">
        <f t="shared" si="23"/>
        <v>0.36004891266579636</v>
      </c>
      <c r="N33" s="37">
        <f>AVERAGE('Data By District'!V242:'Data By District'!V244)</f>
        <v>0.41163915512466581</v>
      </c>
      <c r="O33" s="33">
        <f t="shared" si="3"/>
        <v>1</v>
      </c>
      <c r="P33" s="33">
        <f>SUMIF('Data By District'!$B$7:$B$441,B33,'Data By District'!$T$7:$T$441)/D33</f>
        <v>0.2578759705159705</v>
      </c>
      <c r="Q33" s="33">
        <f t="shared" si="4"/>
        <v>0.30386822257829332</v>
      </c>
      <c r="R33" s="74">
        <f t="shared" si="5"/>
        <v>0.38175606879606877</v>
      </c>
      <c r="S33" s="73">
        <f t="shared" si="6"/>
        <v>3</v>
      </c>
      <c r="T33" s="29">
        <f>COUNTIF('Data By District'!$Z$7:$Z$441,$B33&amp;"-"&amp;T$6)</f>
        <v>0</v>
      </c>
      <c r="U33" s="29">
        <f>COUNTIF('Data By District'!$Z$7:$Z$441,$B33&amp;"-"&amp;U$6)</f>
        <v>0</v>
      </c>
      <c r="V33" s="29">
        <f>COUNTIF('Data By District'!$Z$7:$Z$441,$B33&amp;"-"&amp;V$6)</f>
        <v>0</v>
      </c>
      <c r="W33" s="29">
        <f>COUNTIF('Data By District'!$Z$7:$Z$441,$B33&amp;"-"&amp;W$6)</f>
        <v>1</v>
      </c>
      <c r="X33" s="29">
        <f>COUNTIF('Data By District'!$Z$7:$Z$441,$B33&amp;"-"&amp;X$6)-(Y33)</f>
        <v>2</v>
      </c>
      <c r="Y33" s="29">
        <f>COUNTIF('Data By District'!$X$7:$X$441,$B33&amp;"-"&amp;"Yes")</f>
        <v>0</v>
      </c>
      <c r="Z33" s="402">
        <f t="shared" si="7"/>
        <v>0</v>
      </c>
      <c r="AA33" s="404">
        <f>COUNTIF('Data By District'!$L$7:$L$441, $B33&amp;"-"&amp;1)</f>
        <v>0</v>
      </c>
      <c r="AB33" s="376">
        <f>COUNTIFS('Data By District'!$J$7:$J$441,$B33&amp;"-"&amp;"Yes",'Data By District'!$Z$7:$Z$441,$B33&amp;"-"&amp;X$6)+COUNTIFS('Data By District'!$J$7:$J$441,$B33&amp;"-"&amp;"Yes",'Data By District'!$Z$7:$Z$441,$B33&amp;"-"&amp;W$6)</f>
        <v>3</v>
      </c>
      <c r="AC33" s="373">
        <f t="shared" si="31"/>
        <v>1</v>
      </c>
      <c r="AD33" s="377">
        <f>COUNTIF('Data By District'!$J$7:$J$441,$B33&amp;"-"&amp;"Yes")</f>
        <v>3</v>
      </c>
      <c r="AE33" s="377">
        <f t="shared" si="24"/>
        <v>0</v>
      </c>
      <c r="AF33" s="377">
        <f>COUNTIF('Data By District'!$I$7:$I$441,$B33&amp;"-"&amp;"Yes")</f>
        <v>3</v>
      </c>
      <c r="AG33" s="377">
        <f>COUNTIFS('Data By District'!$J$7:$J$441,$B33&amp;"-"&amp;"Yes",'Data By District'!$Y$7:$Y$441,$B33&amp;"-"&amp;"Dem")</f>
        <v>0</v>
      </c>
      <c r="AH33" s="377">
        <f>COUNTIFS('Data By District'!$J$7:$J$441,$B33&amp;"-"&amp;"Yes",'Data By District'!$Y$7:$Y$441,$B33&amp;"-"&amp;"Rep")</f>
        <v>3</v>
      </c>
      <c r="AI33" s="377">
        <f>COUNTIFS('Data By District'!$J$7:$J$441,$B33&amp;"-"&amp;"Yes",'Data By District'!$Y$7:$Y$441,$B33&amp;"-"&amp;"Dem",'Data By District'!$J$7:$J$441,$B33&amp;"-"&amp;"Yes",'Data By District'!$Z$7:$Z$441,$B33&amp;"-"&amp;W$6)+COUNTIFS('Data By District'!$J$7:$J$441,$B33&amp;"-"&amp;"Yes",'Data By District'!$Y$7:$Y$441,$B33&amp;"-"&amp;"Dem",'Data By District'!$J$7:$J$441,$B33&amp;"-"&amp;"Yes",'Data By District'!$Z$7:$Z$441,$B33&amp;"-"&amp;X$6)</f>
        <v>0</v>
      </c>
      <c r="AJ33" s="377">
        <f>COUNTIFS('Data By District'!$J$7:$J$441,$B33&amp;"-"&amp;"Yes",'Data By District'!$Y$7:$Y$441,$B33&amp;"-"&amp;"Rep",'Data By District'!$J$7:$J$441,$B33&amp;"-"&amp;"Yes",'Data By District'!$Z$7:$Z$441,$B33&amp;"-"&amp;W$6)+COUNTIFS('Data By District'!$J$7:$J$441,$B33&amp;"-"&amp;"Yes",'Data By District'!$Y$7:$Y$441,$B33&amp;"-"&amp;"Rep",'Data By District'!$J$7:$J$441,$B33&amp;"-"&amp;"Yes",'Data By District'!$Z$7:$Z$441,$B33&amp;"-"&amp;X$6)</f>
        <v>3</v>
      </c>
      <c r="AK33" s="376">
        <f>COUNTIF('Data By District'!$D$7:$D$441,$B33&amp;"-"&amp;"Yes")</f>
        <v>0</v>
      </c>
      <c r="AL33" s="377">
        <f>COUNTIF('Data By District'!$E$7:$E$441,$B33&amp;"-"&amp;"Yes")</f>
        <v>0</v>
      </c>
      <c r="AM33" s="377">
        <f>COUNTIF('Data By District'!$F$7:$F$441,$B33&amp;"-"&amp;"Yes")</f>
        <v>0</v>
      </c>
      <c r="AN33" s="377">
        <f>COUNTIF('Data By District'!$G$7:$G$441,$B33&amp;"-"&amp;"Yes")</f>
        <v>0</v>
      </c>
      <c r="AO33" s="377">
        <f>COUNTIF('Data By District'!$H$7:$H$441,$B33&amp;"-"&amp;"Yes")</f>
        <v>0</v>
      </c>
      <c r="AP33" s="74">
        <f t="shared" si="8"/>
        <v>5.0042214152807036E-3</v>
      </c>
      <c r="AQ33" s="60">
        <v>0.67337758767641165</v>
      </c>
      <c r="AR33" s="54">
        <f t="shared" si="25"/>
        <v>485546</v>
      </c>
      <c r="AS33" s="45">
        <f>SUMIF('Data By District'!$B$7:$B$441,$B33,'Data By District'!$O$7:$O$441)</f>
        <v>137524</v>
      </c>
      <c r="AT33" s="45">
        <f>SUMIF('Data By District'!$B$7:$B$441,$B33,'Data By District'!$P$7:$P$441)</f>
        <v>327986</v>
      </c>
      <c r="AU33" s="45">
        <f>SUMIF('Data By District'!$B$7:$B$441,$B33,'Data By District'!$Q$7:$Q$441)</f>
        <v>20036</v>
      </c>
      <c r="AV33" s="302">
        <f t="shared" si="9"/>
        <v>0.28323577992610383</v>
      </c>
      <c r="AW33" s="28">
        <f t="shared" si="10"/>
        <v>0.67549933476951718</v>
      </c>
      <c r="AX33" s="60">
        <f t="shared" si="11"/>
        <v>4.1264885304378988E-2</v>
      </c>
      <c r="AY33" s="29">
        <f>COUNTIF('Data By District'!$Y$7:$Y$441,$B33&amp;"-"&amp;AY$6)</f>
        <v>0</v>
      </c>
      <c r="AZ33" s="29">
        <f>COUNTIF('Data By District'!$Y$7:$Y$441,$B33&amp;"-"&amp;AZ$6)</f>
        <v>3</v>
      </c>
      <c r="BA33" s="29">
        <f>COUNTIF('Data By District'!$Y$7:$Y$441,$B33&amp;"-"&amp;BA$6)</f>
        <v>0</v>
      </c>
      <c r="BB33" s="298">
        <f t="shared" si="26"/>
        <v>0</v>
      </c>
      <c r="BC33" s="28">
        <f t="shared" si="27"/>
        <v>1</v>
      </c>
      <c r="BD33" s="60">
        <f t="shared" si="28"/>
        <v>0</v>
      </c>
      <c r="BE33" s="298">
        <f t="shared" si="12"/>
        <v>0.28323577992610383</v>
      </c>
      <c r="BF33" s="28">
        <f t="shared" si="13"/>
        <v>0.32450066523048282</v>
      </c>
      <c r="BG33" s="60">
        <f t="shared" si="14"/>
        <v>4.1264885304378988E-2</v>
      </c>
      <c r="BH33" s="54">
        <f t="shared" si="29"/>
        <v>327986</v>
      </c>
      <c r="BI33" s="45">
        <f>'Data By District'!AE244</f>
        <v>157560</v>
      </c>
      <c r="BJ33" s="45">
        <f>SUMIF('Data By District'!$B$7:$B$441,'Data By State'!$B33,'Data By District'!$AA$7:$AA$441)</f>
        <v>137524</v>
      </c>
      <c r="BK33" s="45">
        <f>SUMIF('Data By District'!$B$7:$B$441,'Data By State'!$B33,'Data By District'!$AB$7:$AB$441)</f>
        <v>0</v>
      </c>
      <c r="BL33" s="54">
        <f>SUMIF('Data By District'!$B$7:$B$441,'Data By State'!$B33,'Data By District'!$AC$7:$AC$441)</f>
        <v>20036</v>
      </c>
      <c r="BM33" s="68">
        <f t="shared" si="30"/>
        <v>0.32450066523048282</v>
      </c>
      <c r="BN33" s="28">
        <f t="shared" si="32"/>
        <v>1</v>
      </c>
      <c r="BO33" s="28">
        <f t="shared" si="33"/>
        <v>0</v>
      </c>
      <c r="BP33" s="60">
        <f t="shared" si="34"/>
        <v>1</v>
      </c>
    </row>
    <row r="34" spans="1:68">
      <c r="A34" s="21" t="s">
        <v>93</v>
      </c>
      <c r="B34" s="30" t="s">
        <v>27</v>
      </c>
      <c r="C34" s="410">
        <v>721404</v>
      </c>
      <c r="D34" s="410">
        <v>1692499</v>
      </c>
      <c r="E34" s="29">
        <f t="shared" si="0"/>
        <v>31</v>
      </c>
      <c r="F34" s="29">
        <f t="shared" si="1"/>
        <v>23</v>
      </c>
      <c r="G34" s="77">
        <f t="shared" si="18"/>
        <v>12</v>
      </c>
      <c r="H34" s="29">
        <f t="shared" si="19"/>
        <v>28</v>
      </c>
      <c r="I34" s="29">
        <f t="shared" si="20"/>
        <v>36</v>
      </c>
      <c r="J34" s="29">
        <f t="shared" si="21"/>
        <v>21</v>
      </c>
      <c r="K34" s="72">
        <f t="shared" si="22"/>
        <v>28</v>
      </c>
      <c r="L34" s="71">
        <f t="shared" si="2"/>
        <v>26.6</v>
      </c>
      <c r="M34" s="68">
        <f t="shared" si="23"/>
        <v>0.49394728125939158</v>
      </c>
      <c r="N34" s="37">
        <f>AVERAGE('Data By District'!V245:'Data By District'!V247)</f>
        <v>0.19964497592465916</v>
      </c>
      <c r="O34" s="33">
        <f t="shared" si="3"/>
        <v>0.66666666666666663</v>
      </c>
      <c r="P34" s="33">
        <f>SUMIF('Data By District'!$B$7:$B$441,B34,'Data By District'!$T$7:$T$441)/D34</f>
        <v>0.23729408407331407</v>
      </c>
      <c r="Q34" s="33">
        <f t="shared" si="4"/>
        <v>0.13854011925834439</v>
      </c>
      <c r="R34" s="74">
        <f t="shared" si="5"/>
        <v>0.41523687754025262</v>
      </c>
      <c r="S34" s="73">
        <f t="shared" si="6"/>
        <v>3</v>
      </c>
      <c r="T34" s="29">
        <f>COUNTIF('Data By District'!$Z$7:$Z$441,$B34&amp;"-"&amp;T$6)</f>
        <v>1</v>
      </c>
      <c r="U34" s="29">
        <f>COUNTIF('Data By District'!$Z$7:$Z$441,$B34&amp;"-"&amp;U$6)</f>
        <v>0</v>
      </c>
      <c r="V34" s="29">
        <f>COUNTIF('Data By District'!$Z$7:$Z$441,$B34&amp;"-"&amp;V$6)</f>
        <v>0</v>
      </c>
      <c r="W34" s="29">
        <f>COUNTIF('Data By District'!$Z$7:$Z$441,$B34&amp;"-"&amp;W$6)</f>
        <v>2</v>
      </c>
      <c r="X34" s="29">
        <f>COUNTIF('Data By District'!$Z$7:$Z$441,$B34&amp;"-"&amp;X$6)-(Y34)</f>
        <v>0</v>
      </c>
      <c r="Y34" s="29">
        <f>COUNTIF('Data By District'!$X$7:$X$441,$B34&amp;"-"&amp;"Yes")</f>
        <v>0</v>
      </c>
      <c r="Z34" s="402">
        <f t="shared" si="7"/>
        <v>0</v>
      </c>
      <c r="AA34" s="404">
        <f>COUNTIF('Data By District'!$L$7:$L$441, $B34&amp;"-"&amp;1)</f>
        <v>1</v>
      </c>
      <c r="AB34" s="376">
        <f>COUNTIFS('Data By District'!$J$7:$J$441,$B34&amp;"-"&amp;"Yes",'Data By District'!$Z$7:$Z$441,$B34&amp;"-"&amp;X$6)+COUNTIFS('Data By District'!$J$7:$J$441,$B34&amp;"-"&amp;"Yes",'Data By District'!$Z$7:$Z$441,$B34&amp;"-"&amp;W$6)</f>
        <v>2</v>
      </c>
      <c r="AC34" s="373">
        <f t="shared" si="31"/>
        <v>1</v>
      </c>
      <c r="AD34" s="377">
        <f>COUNTIF('Data By District'!$J$7:$J$441,$B34&amp;"-"&amp;"Yes")</f>
        <v>2</v>
      </c>
      <c r="AE34" s="377">
        <f t="shared" si="24"/>
        <v>1</v>
      </c>
      <c r="AF34" s="377">
        <f>COUNTIF('Data By District'!$I$7:$I$441,$B34&amp;"-"&amp;"Yes")</f>
        <v>3</v>
      </c>
      <c r="AG34" s="377">
        <f>COUNTIFS('Data By District'!$J$7:$J$441,$B34&amp;"-"&amp;"Yes",'Data By District'!$Y$7:$Y$441,$B34&amp;"-"&amp;"Dem")</f>
        <v>1</v>
      </c>
      <c r="AH34" s="377">
        <f>COUNTIFS('Data By District'!$J$7:$J$441,$B34&amp;"-"&amp;"Yes",'Data By District'!$Y$7:$Y$441,$B34&amp;"-"&amp;"Rep")</f>
        <v>1</v>
      </c>
      <c r="AI34" s="377">
        <f>COUNTIFS('Data By District'!$J$7:$J$441,$B34&amp;"-"&amp;"Yes",'Data By District'!$Y$7:$Y$441,$B34&amp;"-"&amp;"Dem",'Data By District'!$J$7:$J$441,$B34&amp;"-"&amp;"Yes",'Data By District'!$Z$7:$Z$441,$B34&amp;"-"&amp;W$6)+COUNTIFS('Data By District'!$J$7:$J$441,$B34&amp;"-"&amp;"Yes",'Data By District'!$Y$7:$Y$441,$B34&amp;"-"&amp;"Dem",'Data By District'!$J$7:$J$441,$B34&amp;"-"&amp;"Yes",'Data By District'!$Z$7:$Z$441,$B34&amp;"-"&amp;X$6)</f>
        <v>1</v>
      </c>
      <c r="AJ34" s="377">
        <f>COUNTIFS('Data By District'!$J$7:$J$441,$B34&amp;"-"&amp;"Yes",'Data By District'!$Y$7:$Y$441,$B34&amp;"-"&amp;"Rep",'Data By District'!$J$7:$J$441,$B34&amp;"-"&amp;"Yes",'Data By District'!$Z$7:$Z$441,$B34&amp;"-"&amp;W$6)+COUNTIFS('Data By District'!$J$7:$J$441,$B34&amp;"-"&amp;"Yes",'Data By District'!$Y$7:$Y$441,$B34&amp;"-"&amp;"Rep",'Data By District'!$J$7:$J$441,$B34&amp;"-"&amp;"Yes",'Data By District'!$Z$7:$Z$441,$B34&amp;"-"&amp;X$6)</f>
        <v>1</v>
      </c>
      <c r="AK34" s="376">
        <f>COUNTIF('Data By District'!$D$7:$D$441,$B34&amp;"-"&amp;"Yes")</f>
        <v>1</v>
      </c>
      <c r="AL34" s="377">
        <f>COUNTIF('Data By District'!$E$7:$E$441,$B34&amp;"-"&amp;"Yes")</f>
        <v>0</v>
      </c>
      <c r="AM34" s="377">
        <f>COUNTIF('Data By District'!$F$7:$F$441,$B34&amp;"-"&amp;"Yes")</f>
        <v>0</v>
      </c>
      <c r="AN34" s="377">
        <f>COUNTIF('Data By District'!$G$7:$G$441,$B34&amp;"-"&amp;"Yes")</f>
        <v>0</v>
      </c>
      <c r="AO34" s="377">
        <f>COUNTIF('Data By District'!$H$7:$H$441,$B34&amp;"-"&amp;"Yes")</f>
        <v>0</v>
      </c>
      <c r="AP34" s="74">
        <f t="shared" si="8"/>
        <v>2.5805235346629627E-2</v>
      </c>
      <c r="AQ34" s="60">
        <v>0.6207411113764526</v>
      </c>
      <c r="AR34" s="54">
        <f t="shared" si="25"/>
        <v>702788</v>
      </c>
      <c r="AS34" s="45">
        <f>SUMIF('Data By District'!$B$7:$B$441,$B34,'Data By District'!$O$7:$O$441)</f>
        <v>317835</v>
      </c>
      <c r="AT34" s="45">
        <f>SUMIF('Data By District'!$B$7:$B$441,$B34,'Data By District'!$P$7:$P$441)</f>
        <v>357369</v>
      </c>
      <c r="AU34" s="45">
        <f>SUMIF('Data By District'!$B$7:$B$441,$B34,'Data By District'!$Q$7:$Q$441)</f>
        <v>27584</v>
      </c>
      <c r="AV34" s="302">
        <f t="shared" si="9"/>
        <v>0.45224875780462959</v>
      </c>
      <c r="AW34" s="28">
        <f t="shared" si="10"/>
        <v>0.50850185262127412</v>
      </c>
      <c r="AX34" s="60">
        <f t="shared" si="11"/>
        <v>3.9249389574096315E-2</v>
      </c>
      <c r="AY34" s="29">
        <f>COUNTIF('Data By District'!$Y$7:$Y$441,$B34&amp;"-"&amp;AY$6)</f>
        <v>1</v>
      </c>
      <c r="AZ34" s="29">
        <f>COUNTIF('Data By District'!$Y$7:$Y$441,$B34&amp;"-"&amp;AZ$6)</f>
        <v>2</v>
      </c>
      <c r="BA34" s="29">
        <f>COUNTIF('Data By District'!$Y$7:$Y$441,$B34&amp;"-"&amp;BA$6)</f>
        <v>0</v>
      </c>
      <c r="BB34" s="298">
        <f t="shared" si="26"/>
        <v>0.33333333333333331</v>
      </c>
      <c r="BC34" s="28">
        <f t="shared" si="27"/>
        <v>0.66666666666666663</v>
      </c>
      <c r="BD34" s="60">
        <f t="shared" si="28"/>
        <v>0</v>
      </c>
      <c r="BE34" s="298">
        <f t="shared" si="12"/>
        <v>0.11891542447129627</v>
      </c>
      <c r="BF34" s="28">
        <f t="shared" si="13"/>
        <v>0.15816481404539251</v>
      </c>
      <c r="BG34" s="60">
        <f t="shared" si="14"/>
        <v>3.9249389574096315E-2</v>
      </c>
      <c r="BH34" s="54">
        <f t="shared" si="29"/>
        <v>401620</v>
      </c>
      <c r="BI34" s="45">
        <f>'Data By District'!AE247</f>
        <v>301168</v>
      </c>
      <c r="BJ34" s="45">
        <f>SUMIF('Data By District'!$B$7:$B$441,'Data By State'!$B34,'Data By District'!$AA$7:$AA$441)</f>
        <v>214589</v>
      </c>
      <c r="BK34" s="45">
        <f>SUMIF('Data By District'!$B$7:$B$441,'Data By State'!$B34,'Data By District'!$AB$7:$AB$441)</f>
        <v>58995</v>
      </c>
      <c r="BL34" s="54">
        <f>SUMIF('Data By District'!$B$7:$B$441,'Data By State'!$B34,'Data By District'!$AC$7:$AC$441)</f>
        <v>27584</v>
      </c>
      <c r="BM34" s="68">
        <f t="shared" si="30"/>
        <v>0.42853321342993905</v>
      </c>
      <c r="BN34" s="28">
        <f t="shared" si="32"/>
        <v>0.6751584941872355</v>
      </c>
      <c r="BO34" s="28">
        <f t="shared" si="33"/>
        <v>0.16508147041293453</v>
      </c>
      <c r="BP34" s="60">
        <f t="shared" si="34"/>
        <v>1</v>
      </c>
    </row>
    <row r="35" spans="1:68">
      <c r="A35" s="21" t="s">
        <v>94</v>
      </c>
      <c r="B35" s="30" t="s">
        <v>28</v>
      </c>
      <c r="C35" s="410">
        <v>456588</v>
      </c>
      <c r="D35" s="410">
        <v>1011125</v>
      </c>
      <c r="E35" s="29">
        <f t="shared" si="0"/>
        <v>30</v>
      </c>
      <c r="F35" s="29">
        <f t="shared" si="1"/>
        <v>7</v>
      </c>
      <c r="G35" s="77">
        <f t="shared" si="18"/>
        <v>2</v>
      </c>
      <c r="H35" s="29">
        <f t="shared" si="19"/>
        <v>1</v>
      </c>
      <c r="I35" s="29">
        <f t="shared" si="20"/>
        <v>40</v>
      </c>
      <c r="J35" s="29">
        <f t="shared" si="21"/>
        <v>49</v>
      </c>
      <c r="K35" s="72">
        <f t="shared" si="22"/>
        <v>18</v>
      </c>
      <c r="L35" s="71">
        <f t="shared" si="2"/>
        <v>26.4</v>
      </c>
      <c r="M35" s="68">
        <f t="shared" si="23"/>
        <v>0.58398749322939791</v>
      </c>
      <c r="N35" s="37">
        <f>AVERAGE('Data By District'!V248:'Data By District'!V249)</f>
        <v>6.8521424598692024E-2</v>
      </c>
      <c r="O35" s="33">
        <f t="shared" si="3"/>
        <v>0</v>
      </c>
      <c r="P35" s="33">
        <f>SUMIF('Data By District'!$B$7:$B$441,B35,'Data By District'!$T$7:$T$441)/D35</f>
        <v>0.22773148720484609</v>
      </c>
      <c r="Q35" s="33">
        <f t="shared" si="4"/>
        <v>0.46700408366401086</v>
      </c>
      <c r="R35" s="74">
        <f t="shared" si="5"/>
        <v>0.44513388552355049</v>
      </c>
      <c r="S35" s="73">
        <f t="shared" si="6"/>
        <v>2</v>
      </c>
      <c r="T35" s="29">
        <f>COUNTIF('Data By District'!$Z$7:$Z$441,$B35&amp;"-"&amp;T$6)</f>
        <v>1</v>
      </c>
      <c r="U35" s="29">
        <f>COUNTIF('Data By District'!$Z$7:$Z$441,$B35&amp;"-"&amp;U$6)</f>
        <v>0</v>
      </c>
      <c r="V35" s="29">
        <f>COUNTIF('Data By District'!$Z$7:$Z$441,$B35&amp;"-"&amp;V$6)</f>
        <v>1</v>
      </c>
      <c r="W35" s="29">
        <f>COUNTIF('Data By District'!$Z$7:$Z$441,$B35&amp;"-"&amp;W$6)</f>
        <v>0</v>
      </c>
      <c r="X35" s="29">
        <f>COUNTIF('Data By District'!$Z$7:$Z$441,$B35&amp;"-"&amp;X$6)-(Y35)</f>
        <v>0</v>
      </c>
      <c r="Y35" s="29">
        <f>COUNTIF('Data By District'!$X$7:$X$441,$B35&amp;"-"&amp;"Yes")</f>
        <v>0</v>
      </c>
      <c r="Z35" s="402">
        <f t="shared" si="7"/>
        <v>0</v>
      </c>
      <c r="AA35" s="404">
        <f>COUNTIF('Data By District'!$L$7:$L$441, $B35&amp;"-"&amp;1)</f>
        <v>2</v>
      </c>
      <c r="AB35" s="376">
        <f>COUNTIFS('Data By District'!$J$7:$J$441,$B35&amp;"-"&amp;"Yes",'Data By District'!$Z$7:$Z$441,$B35&amp;"-"&amp;X$6)+COUNTIFS('Data By District'!$J$7:$J$441,$B35&amp;"-"&amp;"Yes",'Data By District'!$Z$7:$Z$441,$B35&amp;"-"&amp;W$6)</f>
        <v>0</v>
      </c>
      <c r="AC35" s="373" t="e">
        <f t="shared" si="31"/>
        <v>#DIV/0!</v>
      </c>
      <c r="AD35" s="377">
        <f>COUNTIF('Data By District'!$J$7:$J$441,$B35&amp;"-"&amp;"Yes")</f>
        <v>0</v>
      </c>
      <c r="AE35" s="377">
        <f t="shared" si="24"/>
        <v>1</v>
      </c>
      <c r="AF35" s="377">
        <f>COUNTIF('Data By District'!$I$7:$I$441,$B35&amp;"-"&amp;"Yes")</f>
        <v>1</v>
      </c>
      <c r="AG35" s="377">
        <f>COUNTIFS('Data By District'!$J$7:$J$441,$B35&amp;"-"&amp;"Yes",'Data By District'!$Y$7:$Y$441,$B35&amp;"-"&amp;"Dem")</f>
        <v>0</v>
      </c>
      <c r="AH35" s="377">
        <f>COUNTIFS('Data By District'!$J$7:$J$441,$B35&amp;"-"&amp;"Yes",'Data By District'!$Y$7:$Y$441,$B35&amp;"-"&amp;"Rep")</f>
        <v>0</v>
      </c>
      <c r="AI35" s="377">
        <f>COUNTIFS('Data By District'!$J$7:$J$441,$B35&amp;"-"&amp;"Yes",'Data By District'!$Y$7:$Y$441,$B35&amp;"-"&amp;"Dem",'Data By District'!$J$7:$J$441,$B35&amp;"-"&amp;"Yes",'Data By District'!$Z$7:$Z$441,$B35&amp;"-"&amp;W$6)+COUNTIFS('Data By District'!$J$7:$J$441,$B35&amp;"-"&amp;"Yes",'Data By District'!$Y$7:$Y$441,$B35&amp;"-"&amp;"Dem",'Data By District'!$J$7:$J$441,$B35&amp;"-"&amp;"Yes",'Data By District'!$Z$7:$Z$441,$B35&amp;"-"&amp;X$6)</f>
        <v>0</v>
      </c>
      <c r="AJ35" s="377">
        <f>COUNTIFS('Data By District'!$J$7:$J$441,$B35&amp;"-"&amp;"Yes",'Data By District'!$Y$7:$Y$441,$B35&amp;"-"&amp;"Rep",'Data By District'!$J$7:$J$441,$B35&amp;"-"&amp;"Yes",'Data By District'!$Z$7:$Z$441,$B35&amp;"-"&amp;W$6)+COUNTIFS('Data By District'!$J$7:$J$441,$B35&amp;"-"&amp;"Yes",'Data By District'!$Y$7:$Y$441,$B35&amp;"-"&amp;"Rep",'Data By District'!$J$7:$J$441,$B35&amp;"-"&amp;"Yes",'Data By District'!$Z$7:$Z$441,$B35&amp;"-"&amp;X$6)</f>
        <v>0</v>
      </c>
      <c r="AK35" s="376">
        <f>COUNTIF('Data By District'!$D$7:$D$441,$B35&amp;"-"&amp;"Yes")</f>
        <v>0</v>
      </c>
      <c r="AL35" s="377">
        <f>COUNTIF('Data By District'!$E$7:$E$441,$B35&amp;"-"&amp;"Yes")</f>
        <v>0</v>
      </c>
      <c r="AM35" s="377">
        <f>COUNTIF('Data By District'!$F$7:$F$441,$B35&amp;"-"&amp;"Yes")</f>
        <v>0</v>
      </c>
      <c r="AN35" s="377">
        <f>COUNTIF('Data By District'!$G$7:$G$441,$B35&amp;"-"&amp;"Yes")</f>
        <v>0</v>
      </c>
      <c r="AO35" s="377">
        <f>COUNTIF('Data By District'!$H$7:$H$441,$B35&amp;"-"&amp;"Yes")</f>
        <v>0</v>
      </c>
      <c r="AP35" s="74">
        <f t="shared" si="8"/>
        <v>1.4240409296783971E-2</v>
      </c>
      <c r="AQ35" s="60">
        <v>0.60780335376615724</v>
      </c>
      <c r="AR35" s="54">
        <f t="shared" si="25"/>
        <v>450086</v>
      </c>
      <c r="AS35" s="45">
        <f>SUMIF('Data By District'!$B$7:$B$441,$B35,'Data By District'!$O$7:$O$441)</f>
        <v>200563</v>
      </c>
      <c r="AT35" s="45">
        <f>SUMIF('Data By District'!$B$7:$B$441,$B35,'Data By District'!$P$7:$P$441)</f>
        <v>230265</v>
      </c>
      <c r="AU35" s="45">
        <f>SUMIF('Data By District'!$B$7:$B$441,$B35,'Data By District'!$Q$7:$Q$441)</f>
        <v>19258</v>
      </c>
      <c r="AV35" s="302">
        <f t="shared" si="9"/>
        <v>0.44561039445794803</v>
      </c>
      <c r="AW35" s="28">
        <f t="shared" si="10"/>
        <v>0.51160222712992631</v>
      </c>
      <c r="AX35" s="60">
        <f t="shared" si="11"/>
        <v>4.2787378412125682E-2</v>
      </c>
      <c r="AY35" s="29">
        <f>COUNTIF('Data By District'!$Y$7:$Y$441,$B35&amp;"-"&amp;AY$6)</f>
        <v>0</v>
      </c>
      <c r="AZ35" s="29">
        <f>COUNTIF('Data By District'!$Y$7:$Y$441,$B35&amp;"-"&amp;AZ$6)</f>
        <v>2</v>
      </c>
      <c r="BA35" s="29">
        <f>COUNTIF('Data By District'!$Y$7:$Y$441,$B35&amp;"-"&amp;BA$6)</f>
        <v>0</v>
      </c>
      <c r="BB35" s="298">
        <f t="shared" si="26"/>
        <v>0</v>
      </c>
      <c r="BC35" s="28">
        <f t="shared" si="27"/>
        <v>1</v>
      </c>
      <c r="BD35" s="60">
        <f t="shared" si="28"/>
        <v>0</v>
      </c>
      <c r="BE35" s="298">
        <f t="shared" si="12"/>
        <v>0.44561039445794803</v>
      </c>
      <c r="BF35" s="28">
        <f t="shared" si="13"/>
        <v>0.48839777287007369</v>
      </c>
      <c r="BG35" s="60">
        <f t="shared" si="14"/>
        <v>4.2787378412125682E-2</v>
      </c>
      <c r="BH35" s="54">
        <f t="shared" si="29"/>
        <v>230265</v>
      </c>
      <c r="BI35" s="45">
        <f>'Data By District'!AE249</f>
        <v>219821</v>
      </c>
      <c r="BJ35" s="45">
        <f>SUMIF('Data By District'!$B$7:$B$441,'Data By State'!$B35,'Data By District'!$AA$7:$AA$441)</f>
        <v>200563</v>
      </c>
      <c r="BK35" s="45">
        <f>SUMIF('Data By District'!$B$7:$B$441,'Data By State'!$B35,'Data By District'!$AB$7:$AB$441)</f>
        <v>0</v>
      </c>
      <c r="BL35" s="54">
        <f>SUMIF('Data By District'!$B$7:$B$441,'Data By State'!$B35,'Data By District'!$AC$7:$AC$441)</f>
        <v>19258</v>
      </c>
      <c r="BM35" s="68">
        <f t="shared" si="30"/>
        <v>0.48839777287007374</v>
      </c>
      <c r="BN35" s="28">
        <f t="shared" si="32"/>
        <v>1</v>
      </c>
      <c r="BO35" s="28">
        <f t="shared" si="33"/>
        <v>0</v>
      </c>
      <c r="BP35" s="60">
        <f t="shared" si="34"/>
        <v>1</v>
      </c>
    </row>
    <row r="36" spans="1:68">
      <c r="A36" s="21" t="s">
        <v>95</v>
      </c>
      <c r="B36" s="30" t="s">
        <v>29</v>
      </c>
      <c r="C36" s="410">
        <v>2121584</v>
      </c>
      <c r="D36" s="410">
        <v>5811886</v>
      </c>
      <c r="E36" s="29">
        <f t="shared" si="0"/>
        <v>36</v>
      </c>
      <c r="F36" s="29">
        <f t="shared" si="1"/>
        <v>25</v>
      </c>
      <c r="G36" s="77">
        <f t="shared" si="18"/>
        <v>31</v>
      </c>
      <c r="H36" s="29">
        <f t="shared" si="19"/>
        <v>34</v>
      </c>
      <c r="I36" s="29">
        <f t="shared" si="20"/>
        <v>39</v>
      </c>
      <c r="J36" s="29">
        <f t="shared" si="21"/>
        <v>6</v>
      </c>
      <c r="K36" s="72">
        <f t="shared" si="22"/>
        <v>43</v>
      </c>
      <c r="L36" s="71">
        <f t="shared" si="2"/>
        <v>29.8</v>
      </c>
      <c r="M36" s="68">
        <f t="shared" si="23"/>
        <v>0.48309227396060389</v>
      </c>
      <c r="N36" s="37">
        <f>AVERAGE('Data By District'!V250:'Data By District'!V262)</f>
        <v>0.30333663204872108</v>
      </c>
      <c r="O36" s="33">
        <f t="shared" si="3"/>
        <v>0.69230769230769229</v>
      </c>
      <c r="P36" s="33">
        <f>SUMIF('Data By District'!$B$7:$B$441,B36,'Data By District'!$T$7:$T$441)/D36</f>
        <v>0.22838575980327211</v>
      </c>
      <c r="Q36" s="33">
        <f t="shared" si="4"/>
        <v>4.566582544711148E-2</v>
      </c>
      <c r="R36" s="74">
        <f t="shared" si="5"/>
        <v>0.36504225994797557</v>
      </c>
      <c r="S36" s="73">
        <f t="shared" si="6"/>
        <v>13</v>
      </c>
      <c r="T36" s="29">
        <f>COUNTIF('Data By District'!$Z$7:$Z$441,$B36&amp;"-"&amp;T$6)</f>
        <v>1</v>
      </c>
      <c r="U36" s="29">
        <f>COUNTIF('Data By District'!$Z$7:$Z$441,$B36&amp;"-"&amp;U$6)</f>
        <v>1</v>
      </c>
      <c r="V36" s="29">
        <f>COUNTIF('Data By District'!$Z$7:$Z$441,$B36&amp;"-"&amp;V$6)</f>
        <v>2</v>
      </c>
      <c r="W36" s="29">
        <f>COUNTIF('Data By District'!$Z$7:$Z$441,$B36&amp;"-"&amp;W$6)</f>
        <v>6</v>
      </c>
      <c r="X36" s="29">
        <f>COUNTIF('Data By District'!$Z$7:$Z$441,$B36&amp;"-"&amp;X$6)-(Y36)</f>
        <v>3</v>
      </c>
      <c r="Y36" s="29">
        <f>COUNTIF('Data By District'!$X$7:$X$441,$B36&amp;"-"&amp;"Yes")</f>
        <v>0</v>
      </c>
      <c r="Z36" s="402">
        <f t="shared" si="7"/>
        <v>0</v>
      </c>
      <c r="AA36" s="404">
        <f>COUNTIF('Data By District'!$L$7:$L$441, $B36&amp;"-"&amp;1)</f>
        <v>1</v>
      </c>
      <c r="AB36" s="376">
        <f>COUNTIFS('Data By District'!$J$7:$J$441,$B36&amp;"-"&amp;"Yes",'Data By District'!$Z$7:$Z$441,$B36&amp;"-"&amp;X$6)+COUNTIFS('Data By District'!$J$7:$J$441,$B36&amp;"-"&amp;"Yes",'Data By District'!$Z$7:$Z$441,$B36&amp;"-"&amp;W$6)</f>
        <v>9</v>
      </c>
      <c r="AC36" s="373">
        <f t="shared" si="31"/>
        <v>0.75</v>
      </c>
      <c r="AD36" s="377">
        <f>COUNTIF('Data By District'!$J$7:$J$441,$B36&amp;"-"&amp;"Yes")</f>
        <v>12</v>
      </c>
      <c r="AE36" s="377">
        <f t="shared" si="24"/>
        <v>1</v>
      </c>
      <c r="AF36" s="377">
        <f>COUNTIF('Data By District'!$I$7:$I$441,$B36&amp;"-"&amp;"Yes")</f>
        <v>13</v>
      </c>
      <c r="AG36" s="377">
        <f>COUNTIFS('Data By District'!$J$7:$J$441,$B36&amp;"-"&amp;"Yes",'Data By District'!$Y$7:$Y$441,$B36&amp;"-"&amp;"Dem")</f>
        <v>7</v>
      </c>
      <c r="AH36" s="377">
        <f>COUNTIFS('Data By District'!$J$7:$J$441,$B36&amp;"-"&amp;"Yes",'Data By District'!$Y$7:$Y$441,$B36&amp;"-"&amp;"Rep")</f>
        <v>5</v>
      </c>
      <c r="AI36" s="377">
        <f>COUNTIFS('Data By District'!$J$7:$J$441,$B36&amp;"-"&amp;"Yes",'Data By District'!$Y$7:$Y$441,$B36&amp;"-"&amp;"Dem",'Data By District'!$J$7:$J$441,$B36&amp;"-"&amp;"Yes",'Data By District'!$Z$7:$Z$441,$B36&amp;"-"&amp;W$6)+COUNTIFS('Data By District'!$J$7:$J$441,$B36&amp;"-"&amp;"Yes",'Data By District'!$Y$7:$Y$441,$B36&amp;"-"&amp;"Dem",'Data By District'!$J$7:$J$441,$B36&amp;"-"&amp;"Yes",'Data By District'!$Z$7:$Z$441,$B36&amp;"-"&amp;X$6)</f>
        <v>5</v>
      </c>
      <c r="AJ36" s="377">
        <f>COUNTIFS('Data By District'!$J$7:$J$441,$B36&amp;"-"&amp;"Yes",'Data By District'!$Y$7:$Y$441,$B36&amp;"-"&amp;"Rep",'Data By District'!$J$7:$J$441,$B36&amp;"-"&amp;"Yes",'Data By District'!$Z$7:$Z$441,$B36&amp;"-"&amp;W$6)+COUNTIFS('Data By District'!$J$7:$J$441,$B36&amp;"-"&amp;"Yes",'Data By District'!$Y$7:$Y$441,$B36&amp;"-"&amp;"Rep",'Data By District'!$J$7:$J$441,$B36&amp;"-"&amp;"Yes",'Data By District'!$Z$7:$Z$441,$B36&amp;"-"&amp;X$6)</f>
        <v>4</v>
      </c>
      <c r="AK36" s="376">
        <f>COUNTIF('Data By District'!$D$7:$D$441,$B36&amp;"-"&amp;"Yes")</f>
        <v>0</v>
      </c>
      <c r="AL36" s="377">
        <f>COUNTIF('Data By District'!$E$7:$E$441,$B36&amp;"-"&amp;"Yes")</f>
        <v>1</v>
      </c>
      <c r="AM36" s="377">
        <f>COUNTIF('Data By District'!$F$7:$F$441,$B36&amp;"-"&amp;"Yes")</f>
        <v>1</v>
      </c>
      <c r="AN36" s="377">
        <f>COUNTIF('Data By District'!$G$7:$G$441,$B36&amp;"-"&amp;"Yes")</f>
        <v>0</v>
      </c>
      <c r="AO36" s="377">
        <f>COUNTIF('Data By District'!$H$7:$H$441,$B36&amp;"-"&amp;"Yes")</f>
        <v>0</v>
      </c>
      <c r="AP36" s="74">
        <f t="shared" si="8"/>
        <v>0</v>
      </c>
      <c r="AQ36" s="60">
        <v>0.66909588548968746</v>
      </c>
      <c r="AR36" s="54">
        <f t="shared" si="25"/>
        <v>2121584</v>
      </c>
      <c r="AS36" s="45">
        <f>SUMIF('Data By District'!$B$7:$B$441,$B36,'Data By District'!$O$7:$O$441)</f>
        <v>1024730</v>
      </c>
      <c r="AT36" s="45">
        <f>SUMIF('Data By District'!$B$7:$B$441,$B36,'Data By District'!$P$7:$P$441)</f>
        <v>1055299</v>
      </c>
      <c r="AU36" s="45">
        <f>SUMIF('Data By District'!$B$7:$B$441,$B36,'Data By District'!$Q$7:$Q$441)</f>
        <v>41555</v>
      </c>
      <c r="AV36" s="302">
        <f t="shared" si="9"/>
        <v>0.48300232279278127</v>
      </c>
      <c r="AW36" s="28">
        <f t="shared" si="10"/>
        <v>0.49741089676392736</v>
      </c>
      <c r="AX36" s="60">
        <f t="shared" si="11"/>
        <v>1.9586780443291426E-2</v>
      </c>
      <c r="AY36" s="29">
        <f>COUNTIF('Data By District'!$Y$7:$Y$441,$B36&amp;"-"&amp;AY$6)</f>
        <v>7</v>
      </c>
      <c r="AZ36" s="29">
        <f>COUNTIF('Data By District'!$Y$7:$Y$441,$B36&amp;"-"&amp;AZ$6)</f>
        <v>6</v>
      </c>
      <c r="BA36" s="29">
        <f>COUNTIF('Data By District'!$Y$7:$Y$441,$B36&amp;"-"&amp;BA$6)</f>
        <v>0</v>
      </c>
      <c r="BB36" s="298">
        <f t="shared" si="26"/>
        <v>0.53846153846153844</v>
      </c>
      <c r="BC36" s="28">
        <f t="shared" si="27"/>
        <v>0.46153846153846156</v>
      </c>
      <c r="BD36" s="60">
        <f t="shared" si="28"/>
        <v>0</v>
      </c>
      <c r="BE36" s="298">
        <f t="shared" si="12"/>
        <v>5.5459215668757167E-2</v>
      </c>
      <c r="BF36" s="28">
        <f t="shared" si="13"/>
        <v>3.5872435225465793E-2</v>
      </c>
      <c r="BG36" s="60">
        <f t="shared" si="14"/>
        <v>1.9586780443291426E-2</v>
      </c>
      <c r="BH36" s="54">
        <f t="shared" si="29"/>
        <v>1327352</v>
      </c>
      <c r="BI36" s="45">
        <f>'Data By District'!AE262</f>
        <v>794232</v>
      </c>
      <c r="BJ36" s="45">
        <f>SUMIF('Data By District'!$B$7:$B$441,'Data By State'!$B36,'Data By District'!$AA$7:$AA$441)</f>
        <v>398068</v>
      </c>
      <c r="BK36" s="45">
        <f>SUMIF('Data By District'!$B$7:$B$441,'Data By State'!$B36,'Data By District'!$AB$7:$AB$441)</f>
        <v>354609</v>
      </c>
      <c r="BL36" s="54">
        <f>SUMIF('Data By District'!$B$7:$B$441,'Data By State'!$B36,'Data By District'!$AC$7:$AC$441)</f>
        <v>41555</v>
      </c>
      <c r="BM36" s="68">
        <f t="shared" si="30"/>
        <v>0.37435802683278152</v>
      </c>
      <c r="BN36" s="28">
        <f t="shared" si="32"/>
        <v>0.38846135079484351</v>
      </c>
      <c r="BO36" s="28">
        <f t="shared" si="33"/>
        <v>0.336027040677571</v>
      </c>
      <c r="BP36" s="60">
        <f t="shared" si="34"/>
        <v>1</v>
      </c>
    </row>
    <row r="37" spans="1:68">
      <c r="A37" s="21" t="s">
        <v>96</v>
      </c>
      <c r="B37" s="30" t="s">
        <v>30</v>
      </c>
      <c r="C37" s="410">
        <v>602827</v>
      </c>
      <c r="D37" s="410">
        <v>1400217</v>
      </c>
      <c r="E37" s="29">
        <f t="shared" si="0"/>
        <v>11</v>
      </c>
      <c r="F37" s="29">
        <f t="shared" si="1"/>
        <v>1</v>
      </c>
      <c r="G37" s="77">
        <f t="shared" si="18"/>
        <v>3</v>
      </c>
      <c r="H37" s="29">
        <f t="shared" si="19"/>
        <v>1</v>
      </c>
      <c r="I37" s="29">
        <f t="shared" si="20"/>
        <v>37</v>
      </c>
      <c r="J37" s="29">
        <f t="shared" si="21"/>
        <v>26</v>
      </c>
      <c r="K37" s="72">
        <f t="shared" si="22"/>
        <v>23</v>
      </c>
      <c r="L37" s="71">
        <f t="shared" si="2"/>
        <v>20.8</v>
      </c>
      <c r="M37" s="68">
        <f t="shared" si="23"/>
        <v>0.64422646364598246</v>
      </c>
      <c r="N37" s="37">
        <f>AVERAGE('Data By District'!V263:'Data By District'!V265)</f>
        <v>9.5118773372827037E-2</v>
      </c>
      <c r="O37" s="33">
        <f t="shared" si="3"/>
        <v>0</v>
      </c>
      <c r="P37" s="33">
        <f>SUMIF('Data By District'!$B$7:$B$441,B37,'Data By District'!$T$7:$T$441)/D37</f>
        <v>0.23340453658254398</v>
      </c>
      <c r="Q37" s="33">
        <f t="shared" si="4"/>
        <v>0.15055798156234837</v>
      </c>
      <c r="R37" s="74">
        <f t="shared" si="5"/>
        <v>0.42685526600519774</v>
      </c>
      <c r="S37" s="73">
        <f t="shared" si="6"/>
        <v>3</v>
      </c>
      <c r="T37" s="29">
        <f>COUNTIF('Data By District'!$Z$7:$Z$441,$B37&amp;"-"&amp;T$6)</f>
        <v>1</v>
      </c>
      <c r="U37" s="29">
        <f>COUNTIF('Data By District'!$Z$7:$Z$441,$B37&amp;"-"&amp;U$6)</f>
        <v>0</v>
      </c>
      <c r="V37" s="29">
        <f>COUNTIF('Data By District'!$Z$7:$Z$441,$B37&amp;"-"&amp;V$6)</f>
        <v>2</v>
      </c>
      <c r="W37" s="29">
        <f>COUNTIF('Data By District'!$Z$7:$Z$441,$B37&amp;"-"&amp;W$6)</f>
        <v>0</v>
      </c>
      <c r="X37" s="29">
        <f>COUNTIF('Data By District'!$Z$7:$Z$441,$B37&amp;"-"&amp;X$6)-(Y37)</f>
        <v>0</v>
      </c>
      <c r="Y37" s="29">
        <f>COUNTIF('Data By District'!$X$7:$X$441,$B37&amp;"-"&amp;"Yes")</f>
        <v>0</v>
      </c>
      <c r="Z37" s="402">
        <f t="shared" si="7"/>
        <v>0</v>
      </c>
      <c r="AA37" s="404">
        <f>COUNTIF('Data By District'!$L$7:$L$441, $B37&amp;"-"&amp;1)</f>
        <v>1</v>
      </c>
      <c r="AB37" s="376">
        <f>COUNTIFS('Data By District'!$J$7:$J$441,$B37&amp;"-"&amp;"Yes",'Data By District'!$Z$7:$Z$441,$B37&amp;"-"&amp;X$6)+COUNTIFS('Data By District'!$J$7:$J$441,$B37&amp;"-"&amp;"Yes",'Data By District'!$Z$7:$Z$441,$B37&amp;"-"&amp;W$6)</f>
        <v>0</v>
      </c>
      <c r="AC37" s="373">
        <f t="shared" si="31"/>
        <v>0</v>
      </c>
      <c r="AD37" s="377">
        <f>COUNTIF('Data By District'!$J$7:$J$441,$B37&amp;"-"&amp;"Yes")</f>
        <v>2</v>
      </c>
      <c r="AE37" s="377">
        <f t="shared" si="24"/>
        <v>1</v>
      </c>
      <c r="AF37" s="377">
        <f>COUNTIF('Data By District'!$I$7:$I$441,$B37&amp;"-"&amp;"Yes")</f>
        <v>3</v>
      </c>
      <c r="AG37" s="377">
        <f>COUNTIFS('Data By District'!$J$7:$J$441,$B37&amp;"-"&amp;"Yes",'Data By District'!$Y$7:$Y$441,$B37&amp;"-"&amp;"Dem")</f>
        <v>2</v>
      </c>
      <c r="AH37" s="377">
        <f>COUNTIFS('Data By District'!$J$7:$J$441,$B37&amp;"-"&amp;"Yes",'Data By District'!$Y$7:$Y$441,$B37&amp;"-"&amp;"Rep")</f>
        <v>0</v>
      </c>
      <c r="AI37" s="377">
        <f>COUNTIFS('Data By District'!$J$7:$J$441,$B37&amp;"-"&amp;"Yes",'Data By District'!$Y$7:$Y$441,$B37&amp;"-"&amp;"Dem",'Data By District'!$J$7:$J$441,$B37&amp;"-"&amp;"Yes",'Data By District'!$Z$7:$Z$441,$B37&amp;"-"&amp;W$6)+COUNTIFS('Data By District'!$J$7:$J$441,$B37&amp;"-"&amp;"Yes",'Data By District'!$Y$7:$Y$441,$B37&amp;"-"&amp;"Dem",'Data By District'!$J$7:$J$441,$B37&amp;"-"&amp;"Yes",'Data By District'!$Z$7:$Z$441,$B37&amp;"-"&amp;X$6)</f>
        <v>0</v>
      </c>
      <c r="AJ37" s="377">
        <f>COUNTIFS('Data By District'!$J$7:$J$441,$B37&amp;"-"&amp;"Yes",'Data By District'!$Y$7:$Y$441,$B37&amp;"-"&amp;"Rep",'Data By District'!$J$7:$J$441,$B37&amp;"-"&amp;"Yes",'Data By District'!$Z$7:$Z$441,$B37&amp;"-"&amp;W$6)+COUNTIFS('Data By District'!$J$7:$J$441,$B37&amp;"-"&amp;"Yes",'Data By District'!$Y$7:$Y$441,$B37&amp;"-"&amp;"Rep",'Data By District'!$J$7:$J$441,$B37&amp;"-"&amp;"Yes",'Data By District'!$Z$7:$Z$441,$B37&amp;"-"&amp;X$6)</f>
        <v>0</v>
      </c>
      <c r="AK37" s="376">
        <f>COUNTIF('Data By District'!$D$7:$D$441,$B37&amp;"-"&amp;"Yes")</f>
        <v>0</v>
      </c>
      <c r="AL37" s="377">
        <f>COUNTIF('Data By District'!$E$7:$E$441,$B37&amp;"-"&amp;"Yes")</f>
        <v>0</v>
      </c>
      <c r="AM37" s="377">
        <f>COUNTIF('Data By District'!$F$7:$F$441,$B37&amp;"-"&amp;"Yes")</f>
        <v>1</v>
      </c>
      <c r="AN37" s="377">
        <f>COUNTIF('Data By District'!$G$7:$G$441,$B37&amp;"-"&amp;"Yes")</f>
        <v>0</v>
      </c>
      <c r="AO37" s="377">
        <f>COUNTIF('Data By District'!$H$7:$H$441,$B37&amp;"-"&amp;"Yes")</f>
        <v>0</v>
      </c>
      <c r="AP37" s="74">
        <f t="shared" si="8"/>
        <v>8.521516123199525E-3</v>
      </c>
      <c r="AQ37" s="60">
        <v>0.60996043876758488</v>
      </c>
      <c r="AR37" s="54">
        <f t="shared" si="25"/>
        <v>597690</v>
      </c>
      <c r="AS37" s="45">
        <f>SUMIF('Data By District'!$B$7:$B$441,$B37,'Data By District'!$O$7:$O$441)</f>
        <v>308473</v>
      </c>
      <c r="AT37" s="45">
        <f>SUMIF('Data By District'!$B$7:$B$441,$B37,'Data By District'!$P$7:$P$441)</f>
        <v>289217</v>
      </c>
      <c r="AU37" s="45">
        <f>SUMIF('Data By District'!$B$7:$B$441,$B37,'Data By District'!$Q$7:$Q$441)</f>
        <v>0</v>
      </c>
      <c r="AV37" s="302">
        <f t="shared" si="9"/>
        <v>0.51610868510431829</v>
      </c>
      <c r="AW37" s="28">
        <f t="shared" si="10"/>
        <v>0.48389131489568171</v>
      </c>
      <c r="AX37" s="60">
        <f t="shared" si="11"/>
        <v>0</v>
      </c>
      <c r="AY37" s="29">
        <f>COUNTIF('Data By District'!$Y$7:$Y$441,$B37&amp;"-"&amp;AY$6)</f>
        <v>2</v>
      </c>
      <c r="AZ37" s="29">
        <f>COUNTIF('Data By District'!$Y$7:$Y$441,$B37&amp;"-"&amp;AZ$6)</f>
        <v>1</v>
      </c>
      <c r="BA37" s="29">
        <f>COUNTIF('Data By District'!$Y$7:$Y$441,$B37&amp;"-"&amp;BA$6)</f>
        <v>0</v>
      </c>
      <c r="BB37" s="298">
        <f t="shared" si="26"/>
        <v>0.66666666666666663</v>
      </c>
      <c r="BC37" s="28">
        <f t="shared" si="27"/>
        <v>0.33333333333333331</v>
      </c>
      <c r="BD37" s="60">
        <f t="shared" si="28"/>
        <v>0</v>
      </c>
      <c r="BE37" s="298">
        <f t="shared" si="12"/>
        <v>0.15055798156234834</v>
      </c>
      <c r="BF37" s="28">
        <f t="shared" si="13"/>
        <v>0.1505579815623484</v>
      </c>
      <c r="BG37" s="60">
        <f t="shared" si="14"/>
        <v>0</v>
      </c>
      <c r="BH37" s="54">
        <f t="shared" si="29"/>
        <v>326817</v>
      </c>
      <c r="BI37" s="45">
        <f>'Data By District'!AE265</f>
        <v>270873</v>
      </c>
      <c r="BJ37" s="45">
        <f>SUMIF('Data By District'!$B$7:$B$441,'Data By State'!$B37,'Data By District'!$AA$7:$AA$441)</f>
        <v>75709</v>
      </c>
      <c r="BK37" s="45">
        <f>SUMIF('Data By District'!$B$7:$B$441,'Data By State'!$B37,'Data By District'!$AB$7:$AB$441)</f>
        <v>195164</v>
      </c>
      <c r="BL37" s="54">
        <f>SUMIF('Data By District'!$B$7:$B$441,'Data By State'!$B37,'Data By District'!$AC$7:$AC$441)</f>
        <v>0</v>
      </c>
      <c r="BM37" s="68">
        <f t="shared" si="30"/>
        <v>0.45319981930432163</v>
      </c>
      <c r="BN37" s="28">
        <f t="shared" si="32"/>
        <v>0.24543152885341668</v>
      </c>
      <c r="BO37" s="28">
        <f t="shared" si="33"/>
        <v>0.67480127378404453</v>
      </c>
      <c r="BP37" s="60" t="e">
        <f t="shared" si="34"/>
        <v>#DIV/0!</v>
      </c>
    </row>
    <row r="38" spans="1:68">
      <c r="A38" s="21" t="s">
        <v>97</v>
      </c>
      <c r="B38" s="30" t="s">
        <v>31</v>
      </c>
      <c r="C38" s="410">
        <v>4658586</v>
      </c>
      <c r="D38" s="410">
        <v>13355984</v>
      </c>
      <c r="E38" s="29">
        <f t="shared" si="0"/>
        <v>46</v>
      </c>
      <c r="F38" s="29">
        <f t="shared" si="1"/>
        <v>29</v>
      </c>
      <c r="G38" s="77">
        <f t="shared" si="18"/>
        <v>35</v>
      </c>
      <c r="H38" s="29">
        <f t="shared" si="19"/>
        <v>24</v>
      </c>
      <c r="I38" s="29">
        <f t="shared" si="20"/>
        <v>47</v>
      </c>
      <c r="J38" s="29">
        <f t="shared" si="21"/>
        <v>22</v>
      </c>
      <c r="K38" s="72">
        <f t="shared" si="22"/>
        <v>46</v>
      </c>
      <c r="L38" s="71">
        <f t="shared" si="2"/>
        <v>35</v>
      </c>
      <c r="M38" s="68">
        <f t="shared" si="23"/>
        <v>0.46965893030749389</v>
      </c>
      <c r="N38" s="37">
        <f>AVERAGE('Data By District'!V266:'Data By District'!V294)</f>
        <v>0.35151886989000591</v>
      </c>
      <c r="O38" s="33">
        <f t="shared" si="3"/>
        <v>0.58620689655172409</v>
      </c>
      <c r="P38" s="33">
        <f>SUMIF('Data By District'!$B$7:$B$441,B38,'Data By District'!$T$7:$T$441)/D38</f>
        <v>0.21381165176597997</v>
      </c>
      <c r="Q38" s="33">
        <f t="shared" si="4"/>
        <v>0.14160288555276088</v>
      </c>
      <c r="R38" s="74">
        <f t="shared" si="5"/>
        <v>0.33661855240317751</v>
      </c>
      <c r="S38" s="73">
        <f t="shared" si="6"/>
        <v>29</v>
      </c>
      <c r="T38" s="29">
        <f>COUNTIF('Data By District'!$Z$7:$Z$441,$B38&amp;"-"&amp;T$6)</f>
        <v>4</v>
      </c>
      <c r="U38" s="29">
        <f>COUNTIF('Data By District'!$Z$7:$Z$441,$B38&amp;"-"&amp;U$6)</f>
        <v>5</v>
      </c>
      <c r="V38" s="29">
        <f>COUNTIF('Data By District'!$Z$7:$Z$441,$B38&amp;"-"&amp;V$6)</f>
        <v>3</v>
      </c>
      <c r="W38" s="29">
        <f>COUNTIF('Data By District'!$Z$7:$Z$441,$B38&amp;"-"&amp;W$6)</f>
        <v>5</v>
      </c>
      <c r="X38" s="29">
        <f>COUNTIF('Data By District'!$Z$7:$Z$441,$B38&amp;"-"&amp;X$6)-(Y38)</f>
        <v>12</v>
      </c>
      <c r="Y38" s="29">
        <f>COUNTIF('Data By District'!$X$7:$X$441,$B38&amp;"-"&amp;"Yes")</f>
        <v>0</v>
      </c>
      <c r="Z38" s="402">
        <f t="shared" si="7"/>
        <v>0</v>
      </c>
      <c r="AA38" s="404">
        <f>COUNTIF('Data By District'!$L$7:$L$441, $B38&amp;"-"&amp;1)</f>
        <v>6</v>
      </c>
      <c r="AB38" s="376">
        <f>COUNTIFS('Data By District'!$J$7:$J$441,$B38&amp;"-"&amp;"Yes",'Data By District'!$Z$7:$Z$441,$B38&amp;"-"&amp;X$6)+COUNTIFS('Data By District'!$J$7:$J$441,$B38&amp;"-"&amp;"Yes",'Data By District'!$Z$7:$Z$441,$B38&amp;"-"&amp;W$6)</f>
        <v>17</v>
      </c>
      <c r="AC38" s="373">
        <f t="shared" si="31"/>
        <v>0.73913043478260865</v>
      </c>
      <c r="AD38" s="377">
        <f>COUNTIF('Data By District'!$J$7:$J$441,$B38&amp;"-"&amp;"Yes")</f>
        <v>23</v>
      </c>
      <c r="AE38" s="377">
        <f t="shared" si="24"/>
        <v>5</v>
      </c>
      <c r="AF38" s="377">
        <f>COUNTIF('Data By District'!$I$7:$I$441,$B38&amp;"-"&amp;"Yes")</f>
        <v>28</v>
      </c>
      <c r="AG38" s="377">
        <f>COUNTIFS('Data By District'!$J$7:$J$441,$B38&amp;"-"&amp;"Yes",'Data By District'!$Y$7:$Y$441,$B38&amp;"-"&amp;"Dem")</f>
        <v>21</v>
      </c>
      <c r="AH38" s="377">
        <f>COUNTIFS('Data By District'!$J$7:$J$441,$B38&amp;"-"&amp;"Yes",'Data By District'!$Y$7:$Y$441,$B38&amp;"-"&amp;"Rep")</f>
        <v>2</v>
      </c>
      <c r="AI38" s="377">
        <f>COUNTIFS('Data By District'!$J$7:$J$441,$B38&amp;"-"&amp;"Yes",'Data By District'!$Y$7:$Y$441,$B38&amp;"-"&amp;"Dem",'Data By District'!$J$7:$J$441,$B38&amp;"-"&amp;"Yes",'Data By District'!$Z$7:$Z$441,$B38&amp;"-"&amp;W$6)+COUNTIFS('Data By District'!$J$7:$J$441,$B38&amp;"-"&amp;"Yes",'Data By District'!$Y$7:$Y$441,$B38&amp;"-"&amp;"Dem",'Data By District'!$J$7:$J$441,$B38&amp;"-"&amp;"Yes",'Data By District'!$Z$7:$Z$441,$B38&amp;"-"&amp;X$6)</f>
        <v>15</v>
      </c>
      <c r="AJ38" s="377">
        <f>COUNTIFS('Data By District'!$J$7:$J$441,$B38&amp;"-"&amp;"Yes",'Data By District'!$Y$7:$Y$441,$B38&amp;"-"&amp;"Rep",'Data By District'!$J$7:$J$441,$B38&amp;"-"&amp;"Yes",'Data By District'!$Z$7:$Z$441,$B38&amp;"-"&amp;W$6)+COUNTIFS('Data By District'!$J$7:$J$441,$B38&amp;"-"&amp;"Yes",'Data By District'!$Y$7:$Y$441,$B38&amp;"-"&amp;"Rep",'Data By District'!$J$7:$J$441,$B38&amp;"-"&amp;"Yes",'Data By District'!$Z$7:$Z$441,$B38&amp;"-"&amp;X$6)</f>
        <v>2</v>
      </c>
      <c r="AK38" s="376">
        <f>COUNTIF('Data By District'!$D$7:$D$441,$B38&amp;"-"&amp;"Yes")</f>
        <v>8</v>
      </c>
      <c r="AL38" s="377">
        <f>COUNTIF('Data By District'!$E$7:$E$441,$B38&amp;"-"&amp;"Yes")</f>
        <v>4</v>
      </c>
      <c r="AM38" s="377">
        <f>COUNTIF('Data By District'!$F$7:$F$441,$B38&amp;"-"&amp;"Yes")</f>
        <v>2</v>
      </c>
      <c r="AN38" s="377">
        <f>COUNTIF('Data By District'!$G$7:$G$441,$B38&amp;"-"&amp;"Yes")</f>
        <v>0</v>
      </c>
      <c r="AO38" s="377">
        <f>COUNTIF('Data By District'!$H$7:$H$441,$B38&amp;"-"&amp;"Yes")</f>
        <v>0</v>
      </c>
      <c r="AP38" s="74">
        <f t="shared" si="8"/>
        <v>3.4927765635323682E-2</v>
      </c>
      <c r="AQ38" s="60">
        <v>0.70163865558372962</v>
      </c>
      <c r="AR38" s="54">
        <f t="shared" si="25"/>
        <v>4495872</v>
      </c>
      <c r="AS38" s="45">
        <f>SUMIF('Data By District'!$B$7:$B$441,$B38,'Data By District'!$O$7:$O$441)</f>
        <v>2601002</v>
      </c>
      <c r="AT38" s="45">
        <f>SUMIF('Data By District'!$B$7:$B$441,$B38,'Data By District'!$P$7:$P$441)</f>
        <v>1858868</v>
      </c>
      <c r="AU38" s="45">
        <f>SUMIF('Data By District'!$B$7:$B$441,$B38,'Data By District'!$Q$7:$Q$441)</f>
        <v>36002</v>
      </c>
      <c r="AV38" s="302">
        <f t="shared" si="9"/>
        <v>0.57853115035303493</v>
      </c>
      <c r="AW38" s="28">
        <f t="shared" si="10"/>
        <v>0.41346105938959116</v>
      </c>
      <c r="AX38" s="60">
        <f t="shared" si="11"/>
        <v>8.0077902573738747E-3</v>
      </c>
      <c r="AY38" s="29">
        <f>COUNTIF('Data By District'!$Y$7:$Y$441,$B38&amp;"-"&amp;AY$6)</f>
        <v>21</v>
      </c>
      <c r="AZ38" s="29">
        <f>COUNTIF('Data By District'!$Y$7:$Y$441,$B38&amp;"-"&amp;AZ$6)</f>
        <v>8</v>
      </c>
      <c r="BA38" s="29">
        <f>COUNTIF('Data By District'!$Y$7:$Y$441,$B38&amp;"-"&amp;BA$6)</f>
        <v>0</v>
      </c>
      <c r="BB38" s="298">
        <f t="shared" si="26"/>
        <v>0.72413793103448276</v>
      </c>
      <c r="BC38" s="28">
        <f t="shared" si="27"/>
        <v>0.27586206896551724</v>
      </c>
      <c r="BD38" s="60">
        <f t="shared" si="28"/>
        <v>0</v>
      </c>
      <c r="BE38" s="298">
        <f t="shared" si="12"/>
        <v>0.14560678068144783</v>
      </c>
      <c r="BF38" s="28">
        <f t="shared" si="13"/>
        <v>0.13759899042407392</v>
      </c>
      <c r="BG38" s="60">
        <f t="shared" si="14"/>
        <v>8.0077902573738747E-3</v>
      </c>
      <c r="BH38" s="54">
        <f t="shared" si="29"/>
        <v>2855665</v>
      </c>
      <c r="BI38" s="45">
        <f>'Data By District'!AE294</f>
        <v>1640207</v>
      </c>
      <c r="BJ38" s="45">
        <f>SUMIF('Data By District'!$B$7:$B$441,'Data By State'!$B38,'Data By District'!$AA$7:$AA$441)</f>
        <v>652131</v>
      </c>
      <c r="BK38" s="45">
        <f>SUMIF('Data By District'!$B$7:$B$441,'Data By State'!$B38,'Data By District'!$AB$7:$AB$441)</f>
        <v>952074</v>
      </c>
      <c r="BL38" s="54">
        <f>SUMIF('Data By District'!$B$7:$B$441,'Data By State'!$B38,'Data By District'!$AC$7:$AC$441)</f>
        <v>36002</v>
      </c>
      <c r="BM38" s="68">
        <f t="shared" si="30"/>
        <v>0.36482511067930762</v>
      </c>
      <c r="BN38" s="28">
        <f t="shared" si="32"/>
        <v>0.25072299060131442</v>
      </c>
      <c r="BO38" s="28">
        <f t="shared" si="33"/>
        <v>0.51217945545353405</v>
      </c>
      <c r="BP38" s="60">
        <f t="shared" si="34"/>
        <v>1</v>
      </c>
    </row>
    <row r="39" spans="1:68">
      <c r="A39" s="21" t="s">
        <v>98</v>
      </c>
      <c r="B39" s="30" t="s">
        <v>32</v>
      </c>
      <c r="C39" s="410">
        <v>2660079</v>
      </c>
      <c r="D39" s="410">
        <v>6760227</v>
      </c>
      <c r="E39" s="29">
        <f t="shared" ref="E39:E56" si="36">RANK(L39,L$7:L$56,1)</f>
        <v>17</v>
      </c>
      <c r="F39" s="29">
        <f t="shared" ref="F39:F56" si="37">RANK(M39,M$7:M$56)</f>
        <v>14</v>
      </c>
      <c r="G39" s="77">
        <f t="shared" si="18"/>
        <v>17</v>
      </c>
      <c r="H39" s="29">
        <f t="shared" si="19"/>
        <v>14</v>
      </c>
      <c r="I39" s="29">
        <f t="shared" si="20"/>
        <v>34</v>
      </c>
      <c r="J39" s="29">
        <f t="shared" si="21"/>
        <v>14</v>
      </c>
      <c r="K39" s="72">
        <f t="shared" si="22"/>
        <v>34</v>
      </c>
      <c r="L39" s="71">
        <f t="shared" ref="L39:L56" si="38">AVERAGE(G39,H39,I39,I39,J39)</f>
        <v>22.6</v>
      </c>
      <c r="M39" s="68">
        <f t="shared" si="23"/>
        <v>0.54014020604362201</v>
      </c>
      <c r="N39" s="37">
        <f>AVERAGE('Data By District'!V295:'Data By District'!V307)</f>
        <v>0.23885143000126266</v>
      </c>
      <c r="O39" s="33">
        <f t="shared" ref="O39:O57" si="39">(W39+X39+Y39)/S39</f>
        <v>0.46153846153846156</v>
      </c>
      <c r="P39" s="33">
        <f>SUMIF('Data By District'!$B$7:$B$441,B39,'Data By District'!$T$7:$T$441)/D39</f>
        <v>0.24196154951601478</v>
      </c>
      <c r="Q39" s="33">
        <f t="shared" ref="Q39:Q57" si="40">(BF39+BE39)/2</f>
        <v>8.2832177274195035E-2</v>
      </c>
      <c r="R39" s="74">
        <f t="shared" ref="R39:R56" si="41">AR39/D39</f>
        <v>0.39385496966300099</v>
      </c>
      <c r="S39" s="73">
        <f t="shared" ref="S39:S56" si="42">SUM(T39:Y39)</f>
        <v>13</v>
      </c>
      <c r="T39" s="29">
        <f>COUNTIF('Data By District'!$Z$7:$Z$441,$B39&amp;"-"&amp;T$6)</f>
        <v>1</v>
      </c>
      <c r="U39" s="29">
        <f>COUNTIF('Data By District'!$Z$7:$Z$441,$B39&amp;"-"&amp;U$6)</f>
        <v>3</v>
      </c>
      <c r="V39" s="29">
        <f>COUNTIF('Data By District'!$Z$7:$Z$441,$B39&amp;"-"&amp;V$6)</f>
        <v>3</v>
      </c>
      <c r="W39" s="29">
        <f>COUNTIF('Data By District'!$Z$7:$Z$441,$B39&amp;"-"&amp;W$6)</f>
        <v>3</v>
      </c>
      <c r="X39" s="29">
        <f>COUNTIF('Data By District'!$Z$7:$Z$441,$B39&amp;"-"&amp;X$6)-(Y39)</f>
        <v>3</v>
      </c>
      <c r="Y39" s="29">
        <f>COUNTIF('Data By District'!$X$7:$X$441,$B39&amp;"-"&amp;"Yes")</f>
        <v>0</v>
      </c>
      <c r="Z39" s="402">
        <f t="shared" ref="Z39:Z57" si="43">Y39/S39</f>
        <v>0</v>
      </c>
      <c r="AA39" s="404">
        <f>COUNTIF('Data By District'!$L$7:$L$441, $B39&amp;"-"&amp;1)</f>
        <v>1</v>
      </c>
      <c r="AB39" s="376">
        <f>COUNTIFS('Data By District'!$J$7:$J$441,$B39&amp;"-"&amp;"Yes",'Data By District'!$Z$7:$Z$441,$B39&amp;"-"&amp;X$6)+COUNTIFS('Data By District'!$J$7:$J$441,$B39&amp;"-"&amp;"Yes",'Data By District'!$Z$7:$Z$441,$B39&amp;"-"&amp;W$6)</f>
        <v>6</v>
      </c>
      <c r="AC39" s="373">
        <f t="shared" si="31"/>
        <v>0.5</v>
      </c>
      <c r="AD39" s="377">
        <f>COUNTIF('Data By District'!$J$7:$J$441,$B39&amp;"-"&amp;"Yes")</f>
        <v>12</v>
      </c>
      <c r="AE39" s="377">
        <f t="shared" si="24"/>
        <v>1</v>
      </c>
      <c r="AF39" s="377">
        <f>COUNTIF('Data By District'!$I$7:$I$441,$B39&amp;"-"&amp;"Yes")</f>
        <v>13</v>
      </c>
      <c r="AG39" s="377">
        <f>COUNTIFS('Data By District'!$J$7:$J$441,$B39&amp;"-"&amp;"Yes",'Data By District'!$Y$7:$Y$441,$B39&amp;"-"&amp;"Dem")</f>
        <v>7</v>
      </c>
      <c r="AH39" s="377">
        <f>COUNTIFS('Data By District'!$J$7:$J$441,$B39&amp;"-"&amp;"Yes",'Data By District'!$Y$7:$Y$441,$B39&amp;"-"&amp;"Rep")</f>
        <v>5</v>
      </c>
      <c r="AI39" s="377">
        <f>COUNTIFS('Data By District'!$J$7:$J$441,$B39&amp;"-"&amp;"Yes",'Data By District'!$Y$7:$Y$441,$B39&amp;"-"&amp;"Dem",'Data By District'!$J$7:$J$441,$B39&amp;"-"&amp;"Yes",'Data By District'!$Z$7:$Z$441,$B39&amp;"-"&amp;W$6)+COUNTIFS('Data By District'!$J$7:$J$441,$B39&amp;"-"&amp;"Yes",'Data By District'!$Y$7:$Y$441,$B39&amp;"-"&amp;"Dem",'Data By District'!$J$7:$J$441,$B39&amp;"-"&amp;"Yes",'Data By District'!$Z$7:$Z$441,$B39&amp;"-"&amp;X$6)</f>
        <v>1</v>
      </c>
      <c r="AJ39" s="377">
        <f>COUNTIFS('Data By District'!$J$7:$J$441,$B39&amp;"-"&amp;"Yes",'Data By District'!$Y$7:$Y$441,$B39&amp;"-"&amp;"Rep",'Data By District'!$J$7:$J$441,$B39&amp;"-"&amp;"Yes",'Data By District'!$Z$7:$Z$441,$B39&amp;"-"&amp;W$6)+COUNTIFS('Data By District'!$J$7:$J$441,$B39&amp;"-"&amp;"Yes",'Data By District'!$Y$7:$Y$441,$B39&amp;"-"&amp;"Rep",'Data By District'!$J$7:$J$441,$B39&amp;"-"&amp;"Yes",'Data By District'!$Z$7:$Z$441,$B39&amp;"-"&amp;X$6)</f>
        <v>5</v>
      </c>
      <c r="AK39" s="376">
        <f>COUNTIF('Data By District'!$D$7:$D$441,$B39&amp;"-"&amp;"Yes")</f>
        <v>3</v>
      </c>
      <c r="AL39" s="377">
        <f>COUNTIF('Data By District'!$E$7:$E$441,$B39&amp;"-"&amp;"Yes")</f>
        <v>2</v>
      </c>
      <c r="AM39" s="377">
        <f>COUNTIF('Data By District'!$F$7:$F$441,$B39&amp;"-"&amp;"Yes")</f>
        <v>0</v>
      </c>
      <c r="AN39" s="377">
        <f>COUNTIF('Data By District'!$G$7:$G$441,$B39&amp;"-"&amp;"Yes")</f>
        <v>0</v>
      </c>
      <c r="AO39" s="377">
        <f>COUNTIF('Data By District'!$H$7:$H$441,$B39&amp;"-"&amp;"Yes")</f>
        <v>0</v>
      </c>
      <c r="AP39" s="74">
        <f t="shared" ref="AP39:AP57" si="44">(C39-AR39)/C39</f>
        <v>-9.2854385151719182E-4</v>
      </c>
      <c r="AQ39" s="60">
        <v>0.6436133323918547</v>
      </c>
      <c r="AR39" s="54">
        <f t="shared" si="25"/>
        <v>2662549</v>
      </c>
      <c r="AS39" s="45">
        <f>SUMIF('Data By District'!$B$7:$B$441,$B39,'Data By District'!$O$7:$O$441)</f>
        <v>1204635</v>
      </c>
      <c r="AT39" s="45">
        <f>SUMIF('Data By District'!$B$7:$B$441,$B39,'Data By District'!$P$7:$P$441)</f>
        <v>1440913</v>
      </c>
      <c r="AU39" s="45">
        <f>SUMIF('Data By District'!$B$7:$B$441,$B39,'Data By District'!$Q$7:$Q$441)</f>
        <v>17001</v>
      </c>
      <c r="AV39" s="302">
        <f t="shared" ref="AV39:AV57" si="45">AS39/AR39</f>
        <v>0.45243674388715477</v>
      </c>
      <c r="AW39" s="28">
        <f t="shared" ref="AW39:AW57" si="46">AT39/AR39</f>
        <v>0.54117802151246797</v>
      </c>
      <c r="AX39" s="60">
        <f t="shared" ref="AX39:AX57" si="47">AU39/AR39</f>
        <v>6.3852346003773078E-3</v>
      </c>
      <c r="AY39" s="29">
        <f>COUNTIF('Data By District'!$Y$7:$Y$441,$B39&amp;"-"&amp;AY$6)</f>
        <v>7</v>
      </c>
      <c r="AZ39" s="29">
        <f>COUNTIF('Data By District'!$Y$7:$Y$441,$B39&amp;"-"&amp;AZ$6)</f>
        <v>6</v>
      </c>
      <c r="BA39" s="29">
        <f>COUNTIF('Data By District'!$Y$7:$Y$441,$B39&amp;"-"&amp;BA$6)</f>
        <v>0</v>
      </c>
      <c r="BB39" s="298">
        <f t="shared" si="26"/>
        <v>0.53846153846153844</v>
      </c>
      <c r="BC39" s="28">
        <f t="shared" si="27"/>
        <v>0.46153846153846156</v>
      </c>
      <c r="BD39" s="60">
        <f t="shared" si="28"/>
        <v>0</v>
      </c>
      <c r="BE39" s="298">
        <f t="shared" ref="BE39:BE57" si="48">ABS((AS39/$AR39)-(AY39/$S39))</f>
        <v>8.6024794574383667E-2</v>
      </c>
      <c r="BF39" s="28">
        <f t="shared" ref="BF39:BF57" si="49">ABS((AT39/$AR39)-(AZ39/$S39))</f>
        <v>7.9639559974006402E-2</v>
      </c>
      <c r="BG39" s="60">
        <f t="shared" ref="BG39:BG57" si="50">ABS((AU39/$AR39)-(BA39/$S39))</f>
        <v>6.3852346003773078E-3</v>
      </c>
      <c r="BH39" s="54">
        <f t="shared" si="29"/>
        <v>1635715</v>
      </c>
      <c r="BI39" s="45">
        <f>'Data By District'!AE307</f>
        <v>1026834</v>
      </c>
      <c r="BJ39" s="45">
        <f>SUMIF('Data By District'!$B$7:$B$441,'Data By State'!$B39,'Data By District'!$AA$7:$AA$441)</f>
        <v>392401</v>
      </c>
      <c r="BK39" s="45">
        <f>SUMIF('Data By District'!$B$7:$B$441,'Data By State'!$B39,'Data By District'!$AB$7:$AB$441)</f>
        <v>617432</v>
      </c>
      <c r="BL39" s="54">
        <f>SUMIF('Data By District'!$B$7:$B$441,'Data By State'!$B39,'Data By District'!$AC$7:$AC$441)</f>
        <v>17001</v>
      </c>
      <c r="BM39" s="68">
        <f t="shared" si="30"/>
        <v>0.38565825455231056</v>
      </c>
      <c r="BN39" s="28">
        <f t="shared" si="32"/>
        <v>0.32574265233867522</v>
      </c>
      <c r="BO39" s="28">
        <f t="shared" si="33"/>
        <v>0.42850054097645035</v>
      </c>
      <c r="BP39" s="60">
        <f t="shared" si="34"/>
        <v>1</v>
      </c>
    </row>
    <row r="40" spans="1:68">
      <c r="A40" s="21" t="s">
        <v>99</v>
      </c>
      <c r="B40" s="30" t="s">
        <v>33</v>
      </c>
      <c r="C40" s="410">
        <v>238812</v>
      </c>
      <c r="D40" s="410">
        <v>496664</v>
      </c>
      <c r="E40" s="29">
        <f t="shared" si="36"/>
        <v>9</v>
      </c>
      <c r="F40" s="29">
        <f t="shared" si="37"/>
        <v>5</v>
      </c>
      <c r="G40" s="77">
        <f t="shared" si="18"/>
        <v>4</v>
      </c>
      <c r="H40" s="29">
        <f t="shared" si="19"/>
        <v>1</v>
      </c>
      <c r="I40" s="29">
        <f t="shared" si="20"/>
        <v>25</v>
      </c>
      <c r="J40" s="29">
        <f t="shared" si="21"/>
        <v>48</v>
      </c>
      <c r="K40" s="72">
        <f t="shared" si="22"/>
        <v>14</v>
      </c>
      <c r="L40" s="71">
        <f t="shared" si="38"/>
        <v>20.6</v>
      </c>
      <c r="M40" s="68">
        <f t="shared" si="23"/>
        <v>0.59466458709198466</v>
      </c>
      <c r="N40" s="37">
        <f>('Data By District'!V308)</f>
        <v>9.8415868395220527E-2</v>
      </c>
      <c r="O40" s="33">
        <f t="shared" si="39"/>
        <v>0</v>
      </c>
      <c r="P40" s="33">
        <f>SUMIF('Data By District'!$B$7:$B$441,B40,'Data By District'!$T$7:$T$441)/D40</f>
        <v>0.26134771193402379</v>
      </c>
      <c r="Q40" s="33">
        <f t="shared" si="40"/>
        <v>0.45095662001290393</v>
      </c>
      <c r="R40" s="74">
        <f t="shared" si="41"/>
        <v>0.47745961052139879</v>
      </c>
      <c r="S40" s="73">
        <f t="shared" si="42"/>
        <v>1</v>
      </c>
      <c r="T40" s="29">
        <f>COUNTIF('Data By District'!$Z$7:$Z$441,$B40&amp;"-"&amp;T$6)</f>
        <v>0</v>
      </c>
      <c r="U40" s="29">
        <f>COUNTIF('Data By District'!$Z$7:$Z$441,$B40&amp;"-"&amp;U$6)</f>
        <v>1</v>
      </c>
      <c r="V40" s="29">
        <f>COUNTIF('Data By District'!$Z$7:$Z$441,$B40&amp;"-"&amp;V$6)</f>
        <v>0</v>
      </c>
      <c r="W40" s="29">
        <f>COUNTIF('Data By District'!$Z$7:$Z$441,$B40&amp;"-"&amp;W$6)</f>
        <v>0</v>
      </c>
      <c r="X40" s="29">
        <f>COUNTIF('Data By District'!$Z$7:$Z$441,$B40&amp;"-"&amp;X$6)-(Y40)</f>
        <v>0</v>
      </c>
      <c r="Y40" s="29">
        <f>COUNTIF('Data By District'!$X$7:$X$441,$B40&amp;"-"&amp;"Yes")</f>
        <v>0</v>
      </c>
      <c r="Z40" s="402">
        <f t="shared" si="43"/>
        <v>0</v>
      </c>
      <c r="AA40" s="404">
        <f>COUNTIF('Data By District'!$L$7:$L$441, $B40&amp;"-"&amp;1)</f>
        <v>1</v>
      </c>
      <c r="AB40" s="376">
        <f>COUNTIFS('Data By District'!$J$7:$J$441,$B40&amp;"-"&amp;"Yes",'Data By District'!$Z$7:$Z$441,$B40&amp;"-"&amp;X$6)+COUNTIFS('Data By District'!$J$7:$J$441,$B40&amp;"-"&amp;"Yes",'Data By District'!$Z$7:$Z$441,$B40&amp;"-"&amp;W$6)</f>
        <v>0</v>
      </c>
      <c r="AC40" s="373" t="e">
        <f t="shared" si="31"/>
        <v>#DIV/0!</v>
      </c>
      <c r="AD40" s="377">
        <f>COUNTIF('Data By District'!$J$7:$J$441,$B40&amp;"-"&amp;"Yes")</f>
        <v>0</v>
      </c>
      <c r="AE40" s="377">
        <f t="shared" si="24"/>
        <v>1</v>
      </c>
      <c r="AF40" s="377">
        <f>COUNTIF('Data By District'!$I$7:$I$441,$B40&amp;"-"&amp;"Yes")</f>
        <v>1</v>
      </c>
      <c r="AG40" s="377">
        <f>COUNTIFS('Data By District'!$J$7:$J$441,$B40&amp;"-"&amp;"Yes",'Data By District'!$Y$7:$Y$441,$B40&amp;"-"&amp;"Dem")</f>
        <v>0</v>
      </c>
      <c r="AH40" s="377">
        <f>COUNTIFS('Data By District'!$J$7:$J$441,$B40&amp;"-"&amp;"Yes",'Data By District'!$Y$7:$Y$441,$B40&amp;"-"&amp;"Rep")</f>
        <v>0</v>
      </c>
      <c r="AI40" s="377">
        <f>COUNTIFS('Data By District'!$J$7:$J$441,$B40&amp;"-"&amp;"Yes",'Data By District'!$Y$7:$Y$441,$B40&amp;"-"&amp;"Dem",'Data By District'!$J$7:$J$441,$B40&amp;"-"&amp;"Yes",'Data By District'!$Z$7:$Z$441,$B40&amp;"-"&amp;W$6)+COUNTIFS('Data By District'!$J$7:$J$441,$B40&amp;"-"&amp;"Yes",'Data By District'!$Y$7:$Y$441,$B40&amp;"-"&amp;"Dem",'Data By District'!$J$7:$J$441,$B40&amp;"-"&amp;"Yes",'Data By District'!$Z$7:$Z$441,$B40&amp;"-"&amp;X$6)</f>
        <v>0</v>
      </c>
      <c r="AJ40" s="377">
        <f>COUNTIFS('Data By District'!$J$7:$J$441,$B40&amp;"-"&amp;"Yes",'Data By District'!$Y$7:$Y$441,$B40&amp;"-"&amp;"Rep",'Data By District'!$J$7:$J$441,$B40&amp;"-"&amp;"Yes",'Data By District'!$Z$7:$Z$441,$B40&amp;"-"&amp;W$6)+COUNTIFS('Data By District'!$J$7:$J$441,$B40&amp;"-"&amp;"Yes",'Data By District'!$Y$7:$Y$441,$B40&amp;"-"&amp;"Rep",'Data By District'!$J$7:$J$441,$B40&amp;"-"&amp;"Yes",'Data By District'!$Z$7:$Z$441,$B40&amp;"-"&amp;X$6)</f>
        <v>0</v>
      </c>
      <c r="AK40" s="376">
        <f>COUNTIF('Data By District'!$D$7:$D$441,$B40&amp;"-"&amp;"Yes")</f>
        <v>0</v>
      </c>
      <c r="AL40" s="377">
        <f>COUNTIF('Data By District'!$E$7:$E$441,$B40&amp;"-"&amp;"Yes")</f>
        <v>0</v>
      </c>
      <c r="AM40" s="377">
        <f>COUNTIF('Data By District'!$F$7:$F$441,$B40&amp;"-"&amp;"Yes")</f>
        <v>0</v>
      </c>
      <c r="AN40" s="377">
        <f>COUNTIF('Data By District'!$G$7:$G$441,$B40&amp;"-"&amp;"Yes")</f>
        <v>0</v>
      </c>
      <c r="AO40" s="377">
        <f>COUNTIF('Data By District'!$H$7:$H$441,$B40&amp;"-"&amp;"Yes")</f>
        <v>0</v>
      </c>
      <c r="AP40" s="74">
        <f t="shared" si="44"/>
        <v>7.0138853993936649E-3</v>
      </c>
      <c r="AQ40" s="60">
        <v>0.59562954049688877</v>
      </c>
      <c r="AR40" s="54">
        <f t="shared" si="25"/>
        <v>237137</v>
      </c>
      <c r="AS40" s="45">
        <f>SUMIF('Data By District'!$B$7:$B$441,$B40,'Data By District'!$O$7:$O$441)</f>
        <v>106542</v>
      </c>
      <c r="AT40" s="45">
        <f>SUMIF('Data By District'!$B$7:$B$441,$B40,'Data By District'!$P$7:$P$441)</f>
        <v>129802</v>
      </c>
      <c r="AU40" s="45">
        <f>SUMIF('Data By District'!$B$7:$B$441,$B40,'Data By District'!$Q$7:$Q$441)</f>
        <v>793</v>
      </c>
      <c r="AV40" s="302">
        <f t="shared" si="45"/>
        <v>0.44928459076398874</v>
      </c>
      <c r="AW40" s="28">
        <f t="shared" si="46"/>
        <v>0.54737135073818088</v>
      </c>
      <c r="AX40" s="60">
        <f t="shared" si="47"/>
        <v>3.3440584978303681E-3</v>
      </c>
      <c r="AY40" s="29">
        <f>COUNTIF('Data By District'!$Y$7:$Y$441,$B40&amp;"-"&amp;AY$6)</f>
        <v>0</v>
      </c>
      <c r="AZ40" s="29">
        <f>COUNTIF('Data By District'!$Y$7:$Y$441,$B40&amp;"-"&amp;AZ$6)</f>
        <v>1</v>
      </c>
      <c r="BA40" s="29">
        <f>COUNTIF('Data By District'!$Y$7:$Y$441,$B40&amp;"-"&amp;BA$6)</f>
        <v>0</v>
      </c>
      <c r="BB40" s="298">
        <f t="shared" si="26"/>
        <v>0</v>
      </c>
      <c r="BC40" s="28">
        <f t="shared" si="27"/>
        <v>1</v>
      </c>
      <c r="BD40" s="60">
        <f t="shared" si="28"/>
        <v>0</v>
      </c>
      <c r="BE40" s="298">
        <f t="shared" si="48"/>
        <v>0.44928459076398874</v>
      </c>
      <c r="BF40" s="28">
        <f t="shared" si="49"/>
        <v>0.45262864926181912</v>
      </c>
      <c r="BG40" s="60">
        <f t="shared" si="50"/>
        <v>3.3440584978303681E-3</v>
      </c>
      <c r="BH40" s="54">
        <f t="shared" si="29"/>
        <v>129802</v>
      </c>
      <c r="BI40" s="45">
        <f>'Data By District'!AE308</f>
        <v>107335</v>
      </c>
      <c r="BJ40" s="45">
        <f>SUMIF('Data By District'!$B$7:$B$441,'Data By State'!$B40,'Data By District'!$AA$7:$AA$441)</f>
        <v>106542</v>
      </c>
      <c r="BK40" s="45">
        <f>SUMIF('Data By District'!$B$7:$B$441,'Data By State'!$B40,'Data By District'!$AB$7:$AB$441)</f>
        <v>0</v>
      </c>
      <c r="BL40" s="54">
        <f>SUMIF('Data By District'!$B$7:$B$441,'Data By State'!$B40,'Data By District'!$AC$7:$AC$441)</f>
        <v>793</v>
      </c>
      <c r="BM40" s="68">
        <f t="shared" si="30"/>
        <v>0.45262864926181912</v>
      </c>
      <c r="BN40" s="28">
        <f t="shared" si="32"/>
        <v>1</v>
      </c>
      <c r="BO40" s="28">
        <f t="shared" si="33"/>
        <v>0</v>
      </c>
      <c r="BP40" s="60" t="s">
        <v>236</v>
      </c>
    </row>
    <row r="41" spans="1:68">
      <c r="A41" s="21" t="s">
        <v>100</v>
      </c>
      <c r="B41" s="30" t="s">
        <v>34</v>
      </c>
      <c r="C41" s="410">
        <v>3852453</v>
      </c>
      <c r="D41" s="410">
        <v>8637282</v>
      </c>
      <c r="E41" s="29">
        <f t="shared" si="36"/>
        <v>14</v>
      </c>
      <c r="F41" s="29">
        <f t="shared" si="37"/>
        <v>17</v>
      </c>
      <c r="G41" s="77">
        <f t="shared" si="18"/>
        <v>21</v>
      </c>
      <c r="H41" s="29">
        <f t="shared" si="19"/>
        <v>15</v>
      </c>
      <c r="I41" s="29">
        <f t="shared" si="20"/>
        <v>23</v>
      </c>
      <c r="J41" s="29">
        <f t="shared" si="21"/>
        <v>28</v>
      </c>
      <c r="K41" s="72">
        <f t="shared" si="22"/>
        <v>20</v>
      </c>
      <c r="L41" s="71">
        <f t="shared" si="38"/>
        <v>22</v>
      </c>
      <c r="M41" s="68">
        <f t="shared" si="23"/>
        <v>0.52239385874478272</v>
      </c>
      <c r="N41" s="37">
        <f>AVERAGE('Data By District'!V309:'Data By District'!V326)</f>
        <v>0.25378783242139868</v>
      </c>
      <c r="O41" s="33">
        <f t="shared" si="39"/>
        <v>0.5</v>
      </c>
      <c r="P41" s="33">
        <f>SUMIF('Data By District'!$B$7:$B$441,B41,'Data By District'!$T$7:$T$441)/D41</f>
        <v>0.26510527270037032</v>
      </c>
      <c r="Q41" s="33">
        <f t="shared" si="40"/>
        <v>0.16445341925542817</v>
      </c>
      <c r="R41" s="74">
        <f t="shared" si="41"/>
        <v>0.44287936876438677</v>
      </c>
      <c r="S41" s="73">
        <f t="shared" si="42"/>
        <v>18</v>
      </c>
      <c r="T41" s="29">
        <f>COUNTIF('Data By District'!$Z$7:$Z$441,$B41&amp;"-"&amp;T$6)</f>
        <v>0</v>
      </c>
      <c r="U41" s="29">
        <f>COUNTIF('Data By District'!$Z$7:$Z$441,$B41&amp;"-"&amp;U$6)</f>
        <v>3</v>
      </c>
      <c r="V41" s="29">
        <f>COUNTIF('Data By District'!$Z$7:$Z$441,$B41&amp;"-"&amp;V$6)</f>
        <v>6</v>
      </c>
      <c r="W41" s="29">
        <f>COUNTIF('Data By District'!$Z$7:$Z$441,$B41&amp;"-"&amp;W$6)</f>
        <v>6</v>
      </c>
      <c r="X41" s="29">
        <f>COUNTIF('Data By District'!$Z$7:$Z$441,$B41&amp;"-"&amp;X$6)-(Y41)</f>
        <v>3</v>
      </c>
      <c r="Y41" s="29">
        <f>COUNTIF('Data By District'!$X$7:$X$441,$B41&amp;"-"&amp;"Yes")</f>
        <v>0</v>
      </c>
      <c r="Z41" s="402">
        <f t="shared" si="43"/>
        <v>0</v>
      </c>
      <c r="AA41" s="404">
        <f>COUNTIF('Data By District'!$L$7:$L$441, $B41&amp;"-"&amp;1)</f>
        <v>5</v>
      </c>
      <c r="AB41" s="376">
        <f>COUNTIFS('Data By District'!$J$7:$J$441,$B41&amp;"-"&amp;"Yes",'Data By District'!$Z$7:$Z$441,$B41&amp;"-"&amp;X$6)+COUNTIFS('Data By District'!$J$7:$J$441,$B41&amp;"-"&amp;"Yes",'Data By District'!$Z$7:$Z$441,$B41&amp;"-"&amp;W$6)</f>
        <v>9</v>
      </c>
      <c r="AC41" s="373">
        <f t="shared" si="31"/>
        <v>0.69230769230769229</v>
      </c>
      <c r="AD41" s="377">
        <f>COUNTIF('Data By District'!$J$7:$J$441,$B41&amp;"-"&amp;"Yes")</f>
        <v>13</v>
      </c>
      <c r="AE41" s="377">
        <f t="shared" si="24"/>
        <v>5</v>
      </c>
      <c r="AF41" s="377">
        <f>COUNTIF('Data By District'!$I$7:$I$441,$B41&amp;"-"&amp;"Yes")</f>
        <v>18</v>
      </c>
      <c r="AG41" s="377">
        <f>COUNTIFS('Data By District'!$J$7:$J$441,$B41&amp;"-"&amp;"Yes",'Data By District'!$Y$7:$Y$441,$B41&amp;"-"&amp;"Dem")</f>
        <v>5</v>
      </c>
      <c r="AH41" s="377">
        <f>COUNTIFS('Data By District'!$J$7:$J$441,$B41&amp;"-"&amp;"Yes",'Data By District'!$Y$7:$Y$441,$B41&amp;"-"&amp;"Rep")</f>
        <v>8</v>
      </c>
      <c r="AI41" s="377">
        <f>COUNTIFS('Data By District'!$J$7:$J$441,$B41&amp;"-"&amp;"Yes",'Data By District'!$Y$7:$Y$441,$B41&amp;"-"&amp;"Dem",'Data By District'!$J$7:$J$441,$B41&amp;"-"&amp;"Yes",'Data By District'!$Z$7:$Z$441,$B41&amp;"-"&amp;W$6)+COUNTIFS('Data By District'!$J$7:$J$441,$B41&amp;"-"&amp;"Yes",'Data By District'!$Y$7:$Y$441,$B41&amp;"-"&amp;"Dem",'Data By District'!$J$7:$J$441,$B41&amp;"-"&amp;"Yes",'Data By District'!$Z$7:$Z$441,$B41&amp;"-"&amp;X$6)</f>
        <v>2</v>
      </c>
      <c r="AJ41" s="377">
        <f>COUNTIFS('Data By District'!$J$7:$J$441,$B41&amp;"-"&amp;"Yes",'Data By District'!$Y$7:$Y$441,$B41&amp;"-"&amp;"Rep",'Data By District'!$J$7:$J$441,$B41&amp;"-"&amp;"Yes",'Data By District'!$Z$7:$Z$441,$B41&amp;"-"&amp;W$6)+COUNTIFS('Data By District'!$J$7:$J$441,$B41&amp;"-"&amp;"Yes",'Data By District'!$Y$7:$Y$441,$B41&amp;"-"&amp;"Rep",'Data By District'!$J$7:$J$441,$B41&amp;"-"&amp;"Yes",'Data By District'!$Z$7:$Z$441,$B41&amp;"-"&amp;X$6)</f>
        <v>7</v>
      </c>
      <c r="AK41" s="376">
        <f>COUNTIF('Data By District'!$D$7:$D$441,$B41&amp;"-"&amp;"Yes")</f>
        <v>4</v>
      </c>
      <c r="AL41" s="377">
        <f>COUNTIF('Data By District'!$E$7:$E$441,$B41&amp;"-"&amp;"Yes")</f>
        <v>1</v>
      </c>
      <c r="AM41" s="377">
        <f>COUNTIF('Data By District'!$F$7:$F$441,$B41&amp;"-"&amp;"Yes")</f>
        <v>0</v>
      </c>
      <c r="AN41" s="377">
        <f>COUNTIF('Data By District'!$G$7:$G$441,$B41&amp;"-"&amp;"Yes")</f>
        <v>1</v>
      </c>
      <c r="AO41" s="377">
        <f>COUNTIF('Data By District'!$H$7:$H$441,$B41&amp;"-"&amp;"Yes")</f>
        <v>0</v>
      </c>
      <c r="AP41" s="74">
        <f t="shared" si="44"/>
        <v>7.05498548587095E-3</v>
      </c>
      <c r="AQ41" s="60">
        <v>0.68202108847133469</v>
      </c>
      <c r="AR41" s="54">
        <f t="shared" si="25"/>
        <v>3825274</v>
      </c>
      <c r="AS41" s="45">
        <f>SUMIF('Data By District'!$B$7:$B$441,$B41,'Data By District'!$O$7:$O$441)</f>
        <v>1611112</v>
      </c>
      <c r="AT41" s="45">
        <f>SUMIF('Data By District'!$B$7:$B$441,$B41,'Data By District'!$P$7:$P$441)</f>
        <v>2053075</v>
      </c>
      <c r="AU41" s="45">
        <f>SUMIF('Data By District'!$B$7:$B$441,$B41,'Data By District'!$Q$7:$Q$441)</f>
        <v>161087</v>
      </c>
      <c r="AV41" s="302">
        <f t="shared" si="45"/>
        <v>0.42117558114791254</v>
      </c>
      <c r="AW41" s="28">
        <f t="shared" si="46"/>
        <v>0.53671318708150062</v>
      </c>
      <c r="AX41" s="60">
        <f t="shared" si="47"/>
        <v>4.2111231770586892E-2</v>
      </c>
      <c r="AY41" s="29">
        <f>COUNTIF('Data By District'!$Y$7:$Y$441,$B41&amp;"-"&amp;AY$6)</f>
        <v>5</v>
      </c>
      <c r="AZ41" s="29">
        <f>COUNTIF('Data By District'!$Y$7:$Y$441,$B41&amp;"-"&amp;AZ$6)</f>
        <v>13</v>
      </c>
      <c r="BA41" s="29">
        <f>COUNTIF('Data By District'!$Y$7:$Y$441,$B41&amp;"-"&amp;BA$6)</f>
        <v>0</v>
      </c>
      <c r="BB41" s="298">
        <f t="shared" si="26"/>
        <v>0.27777777777777779</v>
      </c>
      <c r="BC41" s="28">
        <f t="shared" si="27"/>
        <v>0.72222222222222221</v>
      </c>
      <c r="BD41" s="60">
        <f t="shared" si="28"/>
        <v>0</v>
      </c>
      <c r="BE41" s="298">
        <f t="shared" si="48"/>
        <v>0.14339780337013475</v>
      </c>
      <c r="BF41" s="28">
        <f t="shared" si="49"/>
        <v>0.18550903514072159</v>
      </c>
      <c r="BG41" s="60">
        <f t="shared" si="50"/>
        <v>4.2111231770586892E-2</v>
      </c>
      <c r="BH41" s="54">
        <f t="shared" si="29"/>
        <v>2289789</v>
      </c>
      <c r="BI41" s="45">
        <f>'Data By District'!AE326</f>
        <v>1535485</v>
      </c>
      <c r="BJ41" s="45">
        <f>SUMIF('Data By District'!$B$7:$B$441,'Data By State'!$B41,'Data By District'!$AA$7:$AA$441)</f>
        <v>1026693</v>
      </c>
      <c r="BK41" s="45">
        <f>SUMIF('Data By District'!$B$7:$B$441,'Data By State'!$B41,'Data By District'!$AB$7:$AB$441)</f>
        <v>347705</v>
      </c>
      <c r="BL41" s="54">
        <f>SUMIF('Data By District'!$B$7:$B$441,'Data By State'!$B41,'Data By District'!$AC$7:$AC$441)</f>
        <v>161087</v>
      </c>
      <c r="BM41" s="68">
        <f t="shared" si="30"/>
        <v>0.40140523267091455</v>
      </c>
      <c r="BN41" s="28">
        <f t="shared" si="32"/>
        <v>0.63725737254765658</v>
      </c>
      <c r="BO41" s="28">
        <f t="shared" si="33"/>
        <v>0.16935815788512354</v>
      </c>
      <c r="BP41" s="60">
        <f t="shared" si="34"/>
        <v>1</v>
      </c>
    </row>
    <row r="42" spans="1:68">
      <c r="A42" s="21" t="s">
        <v>101</v>
      </c>
      <c r="B42" s="30" t="s">
        <v>35</v>
      </c>
      <c r="C42" s="410">
        <v>1034767</v>
      </c>
      <c r="D42" s="410">
        <v>2653821</v>
      </c>
      <c r="E42" s="29">
        <f t="shared" si="36"/>
        <v>50</v>
      </c>
      <c r="F42" s="29">
        <f t="shared" si="37"/>
        <v>46</v>
      </c>
      <c r="G42" s="77">
        <f t="shared" si="18"/>
        <v>50</v>
      </c>
      <c r="H42" s="29">
        <f t="shared" si="19"/>
        <v>41</v>
      </c>
      <c r="I42" s="29">
        <f t="shared" si="20"/>
        <v>49</v>
      </c>
      <c r="J42" s="29">
        <f t="shared" si="21"/>
        <v>17</v>
      </c>
      <c r="K42" s="72">
        <f t="shared" si="22"/>
        <v>50</v>
      </c>
      <c r="L42" s="71">
        <f t="shared" si="38"/>
        <v>41.2</v>
      </c>
      <c r="M42" s="68">
        <f t="shared" si="23"/>
        <v>0.38045791290394887</v>
      </c>
      <c r="N42" s="37">
        <f>AVERAGE('Data By District'!V327:'Data By District'!V331)</f>
        <v>0.59573700350769587</v>
      </c>
      <c r="O42" s="33">
        <f t="shared" si="39"/>
        <v>0.8</v>
      </c>
      <c r="P42" s="33">
        <f>SUMIF('Data By District'!$B$7:$B$441,B42,'Data By District'!$T$7:$T$441)/D42</f>
        <v>0.20519093036041239</v>
      </c>
      <c r="Q42" s="33">
        <f t="shared" si="40"/>
        <v>0.11235529269338446</v>
      </c>
      <c r="R42" s="74">
        <f t="shared" si="41"/>
        <v>0.29880689014066886</v>
      </c>
      <c r="S42" s="73">
        <f t="shared" si="42"/>
        <v>5</v>
      </c>
      <c r="T42" s="29">
        <f>COUNTIF('Data By District'!$Z$7:$Z$441,$B42&amp;"-"&amp;T$6)</f>
        <v>0</v>
      </c>
      <c r="U42" s="29">
        <f>COUNTIF('Data By District'!$Z$7:$Z$441,$B42&amp;"-"&amp;U$6)</f>
        <v>0</v>
      </c>
      <c r="V42" s="29">
        <f>COUNTIF('Data By District'!$Z$7:$Z$441,$B42&amp;"-"&amp;V$6)</f>
        <v>1</v>
      </c>
      <c r="W42" s="29">
        <f>COUNTIF('Data By District'!$Z$7:$Z$441,$B42&amp;"-"&amp;W$6)</f>
        <v>1</v>
      </c>
      <c r="X42" s="29">
        <f>COUNTIF('Data By District'!$Z$7:$Z$441,$B42&amp;"-"&amp;X$6)-(Y42)</f>
        <v>1</v>
      </c>
      <c r="Y42" s="29">
        <f>COUNTIF('Data By District'!$X$7:$X$441,$B42&amp;"-"&amp;"Yes")</f>
        <v>2</v>
      </c>
      <c r="Z42" s="402">
        <f t="shared" si="43"/>
        <v>0.4</v>
      </c>
      <c r="AA42" s="404">
        <f>COUNTIF('Data By District'!$L$7:$L$441, $B42&amp;"-"&amp;1)</f>
        <v>0</v>
      </c>
      <c r="AB42" s="376">
        <f>COUNTIFS('Data By District'!$J$7:$J$441,$B42&amp;"-"&amp;"Yes",'Data By District'!$Z$7:$Z$441,$B42&amp;"-"&amp;X$6)+COUNTIFS('Data By District'!$J$7:$J$441,$B42&amp;"-"&amp;"Yes",'Data By District'!$Z$7:$Z$441,$B42&amp;"-"&amp;W$6)</f>
        <v>3</v>
      </c>
      <c r="AC42" s="373">
        <f t="shared" si="31"/>
        <v>0.75</v>
      </c>
      <c r="AD42" s="377">
        <f>COUNTIF('Data By District'!$J$7:$J$441,$B42&amp;"-"&amp;"Yes")</f>
        <v>4</v>
      </c>
      <c r="AE42" s="377">
        <f t="shared" si="24"/>
        <v>0</v>
      </c>
      <c r="AF42" s="377">
        <f>COUNTIF('Data By District'!$I$7:$I$441,$B42&amp;"-"&amp;"Yes")</f>
        <v>4</v>
      </c>
      <c r="AG42" s="377">
        <f>COUNTIFS('Data By District'!$J$7:$J$441,$B42&amp;"-"&amp;"Yes",'Data By District'!$Y$7:$Y$441,$B42&amp;"-"&amp;"Dem")</f>
        <v>1</v>
      </c>
      <c r="AH42" s="377">
        <f>COUNTIFS('Data By District'!$J$7:$J$441,$B42&amp;"-"&amp;"Yes",'Data By District'!$Y$7:$Y$441,$B42&amp;"-"&amp;"Rep")</f>
        <v>3</v>
      </c>
      <c r="AI42" s="377">
        <f>COUNTIFS('Data By District'!$J$7:$J$441,$B42&amp;"-"&amp;"Yes",'Data By District'!$Y$7:$Y$441,$B42&amp;"-"&amp;"Dem",'Data By District'!$J$7:$J$441,$B42&amp;"-"&amp;"Yes",'Data By District'!$Z$7:$Z$441,$B42&amp;"-"&amp;W$6)+COUNTIFS('Data By District'!$J$7:$J$441,$B42&amp;"-"&amp;"Yes",'Data By District'!$Y$7:$Y$441,$B42&amp;"-"&amp;"Dem",'Data By District'!$J$7:$J$441,$B42&amp;"-"&amp;"Yes",'Data By District'!$Z$7:$Z$441,$B42&amp;"-"&amp;X$6)</f>
        <v>0</v>
      </c>
      <c r="AJ42" s="377">
        <f>COUNTIFS('Data By District'!$J$7:$J$441,$B42&amp;"-"&amp;"Yes",'Data By District'!$Y$7:$Y$441,$B42&amp;"-"&amp;"Rep",'Data By District'!$J$7:$J$441,$B42&amp;"-"&amp;"Yes",'Data By District'!$Z$7:$Z$441,$B42&amp;"-"&amp;W$6)+COUNTIFS('Data By District'!$J$7:$J$441,$B42&amp;"-"&amp;"Yes",'Data By District'!$Y$7:$Y$441,$B42&amp;"-"&amp;"Rep",'Data By District'!$J$7:$J$441,$B42&amp;"-"&amp;"Yes",'Data By District'!$Z$7:$Z$441,$B42&amp;"-"&amp;X$6)</f>
        <v>3</v>
      </c>
      <c r="AK42" s="376">
        <f>COUNTIF('Data By District'!$D$7:$D$441,$B42&amp;"-"&amp;"Yes")</f>
        <v>0</v>
      </c>
      <c r="AL42" s="377">
        <f>COUNTIF('Data By District'!$E$7:$E$441,$B42&amp;"-"&amp;"Yes")</f>
        <v>0</v>
      </c>
      <c r="AM42" s="377">
        <f>COUNTIF('Data By District'!$F$7:$F$441,$B42&amp;"-"&amp;"Yes")</f>
        <v>0</v>
      </c>
      <c r="AN42" s="377">
        <f>COUNTIF('Data By District'!$G$7:$G$441,$B42&amp;"-"&amp;"Yes")</f>
        <v>0</v>
      </c>
      <c r="AO42" s="377">
        <f>COUNTIF('Data By District'!$H$7:$H$441,$B42&amp;"-"&amp;"Yes")</f>
        <v>1</v>
      </c>
      <c r="AP42" s="74">
        <f t="shared" si="44"/>
        <v>0.23366323046637552</v>
      </c>
      <c r="AQ42" s="60">
        <v>0.69957951709939548</v>
      </c>
      <c r="AR42" s="54">
        <f t="shared" si="25"/>
        <v>792980</v>
      </c>
      <c r="AS42" s="45">
        <f>SUMIF('Data By District'!$B$7:$B$441,$B42,'Data By District'!$O$7:$O$441)</f>
        <v>221966</v>
      </c>
      <c r="AT42" s="45">
        <f>SUMIF('Data By District'!$B$7:$B$441,$B42,'Data By District'!$P$7:$P$441)</f>
        <v>519563</v>
      </c>
      <c r="AU42" s="45">
        <f>SUMIF('Data By District'!$B$7:$B$441,$B42,'Data By District'!$Q$7:$Q$441)</f>
        <v>51451</v>
      </c>
      <c r="AV42" s="302">
        <f t="shared" si="45"/>
        <v>0.27991374309566447</v>
      </c>
      <c r="AW42" s="28">
        <f t="shared" si="46"/>
        <v>0.65520315770889559</v>
      </c>
      <c r="AX42" s="60">
        <f t="shared" si="47"/>
        <v>6.4883099195439983E-2</v>
      </c>
      <c r="AY42" s="29">
        <f>COUNTIF('Data By District'!$Y$7:$Y$441,$B42&amp;"-"&amp;AY$6)</f>
        <v>1</v>
      </c>
      <c r="AZ42" s="29">
        <f>COUNTIF('Data By District'!$Y$7:$Y$441,$B42&amp;"-"&amp;AZ$6)</f>
        <v>4</v>
      </c>
      <c r="BA42" s="29">
        <f>COUNTIF('Data By District'!$Y$7:$Y$441,$B42&amp;"-"&amp;BA$6)</f>
        <v>0</v>
      </c>
      <c r="BB42" s="298">
        <f t="shared" si="26"/>
        <v>0.2</v>
      </c>
      <c r="BC42" s="28">
        <f t="shared" si="27"/>
        <v>0.8</v>
      </c>
      <c r="BD42" s="60">
        <f t="shared" si="28"/>
        <v>0</v>
      </c>
      <c r="BE42" s="298">
        <f t="shared" si="48"/>
        <v>7.9913743095664458E-2</v>
      </c>
      <c r="BF42" s="28">
        <f t="shared" si="49"/>
        <v>0.14479684229110446</v>
      </c>
      <c r="BG42" s="60">
        <f t="shared" si="50"/>
        <v>6.4883099195439983E-2</v>
      </c>
      <c r="BH42" s="54">
        <f t="shared" si="29"/>
        <v>544540</v>
      </c>
      <c r="BI42" s="45">
        <f>'Data By District'!AE331</f>
        <v>248440</v>
      </c>
      <c r="BJ42" s="45">
        <f>SUMIF('Data By District'!$B$7:$B$441,'Data By State'!$B42,'Data By District'!$AA$7:$AA$441)</f>
        <v>113763</v>
      </c>
      <c r="BK42" s="45">
        <f>SUMIF('Data By District'!$B$7:$B$441,'Data By State'!$B42,'Data By District'!$AB$7:$AB$441)</f>
        <v>83226</v>
      </c>
      <c r="BL42" s="54">
        <f>SUMIF('Data By District'!$B$7:$B$441,'Data By State'!$B42,'Data By District'!$AC$7:$AC$441)</f>
        <v>51451</v>
      </c>
      <c r="BM42" s="68">
        <f t="shared" si="30"/>
        <v>0.31329920048424931</v>
      </c>
      <c r="BN42" s="28">
        <f t="shared" si="32"/>
        <v>0.51252444068010417</v>
      </c>
      <c r="BO42" s="28">
        <f t="shared" si="33"/>
        <v>0.16018461668748543</v>
      </c>
      <c r="BP42" s="60">
        <f t="shared" si="34"/>
        <v>1</v>
      </c>
    </row>
    <row r="43" spans="1:68">
      <c r="A43" s="21" t="s">
        <v>102</v>
      </c>
      <c r="B43" s="30" t="s">
        <v>36</v>
      </c>
      <c r="C43" s="410">
        <v>1453548</v>
      </c>
      <c r="D43" s="410">
        <v>2780456</v>
      </c>
      <c r="E43" s="29">
        <f t="shared" si="36"/>
        <v>7</v>
      </c>
      <c r="F43" s="29">
        <f t="shared" si="37"/>
        <v>15</v>
      </c>
      <c r="G43" s="77">
        <f t="shared" si="18"/>
        <v>20</v>
      </c>
      <c r="H43" s="29">
        <f t="shared" si="19"/>
        <v>10</v>
      </c>
      <c r="I43" s="29">
        <f t="shared" si="20"/>
        <v>5</v>
      </c>
      <c r="J43" s="29">
        <f t="shared" si="21"/>
        <v>34</v>
      </c>
      <c r="K43" s="72">
        <f t="shared" si="22"/>
        <v>7</v>
      </c>
      <c r="L43" s="71">
        <f t="shared" si="38"/>
        <v>14.8</v>
      </c>
      <c r="M43" s="68">
        <f t="shared" si="23"/>
        <v>0.53971601230081367</v>
      </c>
      <c r="N43" s="37">
        <f>AVERAGE('Data By District'!V332:'Data By District'!V336)</f>
        <v>0.25209522267024259</v>
      </c>
      <c r="O43" s="33">
        <f t="shared" si="39"/>
        <v>0.4</v>
      </c>
      <c r="P43" s="33">
        <f>SUMIF('Data By District'!$B$7:$B$441,B43,'Data By District'!$T$7:$T$441)/D43</f>
        <v>0.31197796332687877</v>
      </c>
      <c r="Q43" s="33">
        <f t="shared" si="40"/>
        <v>0.27328064247944667</v>
      </c>
      <c r="R43" s="74">
        <f t="shared" si="41"/>
        <v>0.51393152777817741</v>
      </c>
      <c r="S43" s="73">
        <f t="shared" si="42"/>
        <v>5</v>
      </c>
      <c r="T43" s="29">
        <f>COUNTIF('Data By District'!$Z$7:$Z$441,$B43&amp;"-"&amp;T$6)</f>
        <v>0</v>
      </c>
      <c r="U43" s="29">
        <f>COUNTIF('Data By District'!$Z$7:$Z$441,$B43&amp;"-"&amp;U$6)</f>
        <v>1</v>
      </c>
      <c r="V43" s="29">
        <f>COUNTIF('Data By District'!$Z$7:$Z$441,$B43&amp;"-"&amp;V$6)</f>
        <v>2</v>
      </c>
      <c r="W43" s="29">
        <f>COUNTIF('Data By District'!$Z$7:$Z$441,$B43&amp;"-"&amp;W$6)</f>
        <v>0</v>
      </c>
      <c r="X43" s="29">
        <f>COUNTIF('Data By District'!$Z$7:$Z$441,$B43&amp;"-"&amp;X$6)-(Y43)</f>
        <v>2</v>
      </c>
      <c r="Y43" s="29">
        <f>COUNTIF('Data By District'!$X$7:$X$441,$B43&amp;"-"&amp;"Yes")</f>
        <v>0</v>
      </c>
      <c r="Z43" s="402">
        <f t="shared" si="43"/>
        <v>0</v>
      </c>
      <c r="AA43" s="404">
        <f>COUNTIF('Data By District'!$L$7:$L$441, $B43&amp;"-"&amp;1)</f>
        <v>0</v>
      </c>
      <c r="AB43" s="376">
        <f>COUNTIFS('Data By District'!$J$7:$J$441,$B43&amp;"-"&amp;"Yes",'Data By District'!$Z$7:$Z$441,$B43&amp;"-"&amp;X$6)+COUNTIFS('Data By District'!$J$7:$J$441,$B43&amp;"-"&amp;"Yes",'Data By District'!$Z$7:$Z$441,$B43&amp;"-"&amp;W$6)</f>
        <v>2</v>
      </c>
      <c r="AC43" s="373">
        <f t="shared" si="31"/>
        <v>0.4</v>
      </c>
      <c r="AD43" s="377">
        <f>COUNTIF('Data By District'!$J$7:$J$441,$B43&amp;"-"&amp;"Yes")</f>
        <v>5</v>
      </c>
      <c r="AE43" s="377">
        <f t="shared" si="24"/>
        <v>0</v>
      </c>
      <c r="AF43" s="377">
        <f>COUNTIF('Data By District'!$I$7:$I$441,$B43&amp;"-"&amp;"Yes")</f>
        <v>5</v>
      </c>
      <c r="AG43" s="377">
        <f>COUNTIFS('Data By District'!$J$7:$J$441,$B43&amp;"-"&amp;"Yes",'Data By District'!$Y$7:$Y$441,$B43&amp;"-"&amp;"Dem")</f>
        <v>4</v>
      </c>
      <c r="AH43" s="377">
        <f>COUNTIFS('Data By District'!$J$7:$J$441,$B43&amp;"-"&amp;"Yes",'Data By District'!$Y$7:$Y$441,$B43&amp;"-"&amp;"Rep")</f>
        <v>1</v>
      </c>
      <c r="AI43" s="377">
        <f>COUNTIFS('Data By District'!$J$7:$J$441,$B43&amp;"-"&amp;"Yes",'Data By District'!$Y$7:$Y$441,$B43&amp;"-"&amp;"Dem",'Data By District'!$J$7:$J$441,$B43&amp;"-"&amp;"Yes",'Data By District'!$Z$7:$Z$441,$B43&amp;"-"&amp;W$6)+COUNTIFS('Data By District'!$J$7:$J$441,$B43&amp;"-"&amp;"Yes",'Data By District'!$Y$7:$Y$441,$B43&amp;"-"&amp;"Dem",'Data By District'!$J$7:$J$441,$B43&amp;"-"&amp;"Yes",'Data By District'!$Z$7:$Z$441,$B43&amp;"-"&amp;X$6)</f>
        <v>1</v>
      </c>
      <c r="AJ43" s="377">
        <f>COUNTIFS('Data By District'!$J$7:$J$441,$B43&amp;"-"&amp;"Yes",'Data By District'!$Y$7:$Y$441,$B43&amp;"-"&amp;"Rep",'Data By District'!$J$7:$J$441,$B43&amp;"-"&amp;"Yes",'Data By District'!$Z$7:$Z$441,$B43&amp;"-"&amp;W$6)+COUNTIFS('Data By District'!$J$7:$J$441,$B43&amp;"-"&amp;"Yes",'Data By District'!$Y$7:$Y$441,$B43&amp;"-"&amp;"Rep",'Data By District'!$J$7:$J$441,$B43&amp;"-"&amp;"Yes",'Data By District'!$Z$7:$Z$441,$B43&amp;"-"&amp;X$6)</f>
        <v>1</v>
      </c>
      <c r="AK43" s="376">
        <f>COUNTIF('Data By District'!$D$7:$D$441,$B43&amp;"-"&amp;"Yes")</f>
        <v>0</v>
      </c>
      <c r="AL43" s="377">
        <f>COUNTIF('Data By District'!$E$7:$E$441,$B43&amp;"-"&amp;"Yes")</f>
        <v>0</v>
      </c>
      <c r="AM43" s="377">
        <f>COUNTIF('Data By District'!$F$7:$F$441,$B43&amp;"-"&amp;"Yes")</f>
        <v>0</v>
      </c>
      <c r="AN43" s="377">
        <f>COUNTIF('Data By District'!$G$7:$G$441,$B43&amp;"-"&amp;"Yes")</f>
        <v>1</v>
      </c>
      <c r="AO43" s="377">
        <f>COUNTIF('Data By District'!$H$7:$H$441,$B43&amp;"-"&amp;"Yes")</f>
        <v>0</v>
      </c>
      <c r="AP43" s="74">
        <f t="shared" si="44"/>
        <v>1.6913098157061206E-2</v>
      </c>
      <c r="AQ43" s="60">
        <v>0.62699951362800777</v>
      </c>
      <c r="AR43" s="54">
        <f t="shared" si="25"/>
        <v>1428964</v>
      </c>
      <c r="AS43" s="45">
        <f>SUMIF('Data By District'!$B$7:$B$441,$B43,'Data By District'!$O$7:$O$441)</f>
        <v>733369</v>
      </c>
      <c r="AT43" s="45">
        <f>SUMIF('Data By District'!$B$7:$B$441,$B43,'Data By District'!$P$7:$P$441)</f>
        <v>657007</v>
      </c>
      <c r="AU43" s="45">
        <f>SUMIF('Data By District'!$B$7:$B$441,$B43,'Data By District'!$Q$7:$Q$441)</f>
        <v>38588</v>
      </c>
      <c r="AV43" s="302">
        <f t="shared" si="45"/>
        <v>0.5132172678947825</v>
      </c>
      <c r="AW43" s="28">
        <f t="shared" si="46"/>
        <v>0.4597785528536758</v>
      </c>
      <c r="AX43" s="60">
        <f t="shared" si="47"/>
        <v>2.7004179251541676E-2</v>
      </c>
      <c r="AY43" s="29">
        <f>COUNTIF('Data By District'!$Y$7:$Y$441,$B43&amp;"-"&amp;AY$6)</f>
        <v>4</v>
      </c>
      <c r="AZ43" s="29">
        <f>COUNTIF('Data By District'!$Y$7:$Y$441,$B43&amp;"-"&amp;AZ$6)</f>
        <v>1</v>
      </c>
      <c r="BA43" s="29">
        <f>COUNTIF('Data By District'!$Y$7:$Y$441,$B43&amp;"-"&amp;BA$6)</f>
        <v>0</v>
      </c>
      <c r="BB43" s="298">
        <f t="shared" si="26"/>
        <v>0.8</v>
      </c>
      <c r="BC43" s="28">
        <f t="shared" si="27"/>
        <v>0.2</v>
      </c>
      <c r="BD43" s="60">
        <f t="shared" si="28"/>
        <v>0</v>
      </c>
      <c r="BE43" s="298">
        <f t="shared" si="48"/>
        <v>0.28678273210521754</v>
      </c>
      <c r="BF43" s="28">
        <f t="shared" si="49"/>
        <v>0.25977855285367579</v>
      </c>
      <c r="BG43" s="60">
        <f t="shared" si="50"/>
        <v>2.7004179251541676E-2</v>
      </c>
      <c r="BH43" s="54">
        <f t="shared" si="29"/>
        <v>867441</v>
      </c>
      <c r="BI43" s="45">
        <f>'Data By District'!AE336</f>
        <v>561523</v>
      </c>
      <c r="BJ43" s="45">
        <f>SUMIF('Data By District'!$B$7:$B$441,'Data By State'!$B43,'Data By District'!$AA$7:$AA$441)</f>
        <v>72173</v>
      </c>
      <c r="BK43" s="45">
        <f>SUMIF('Data By District'!$B$7:$B$441,'Data By State'!$B43,'Data By District'!$AB$7:$AB$441)</f>
        <v>450762</v>
      </c>
      <c r="BL43" s="54">
        <f>SUMIF('Data By District'!$B$7:$B$441,'Data By State'!$B43,'Data By District'!$AC$7:$AC$441)</f>
        <v>38588</v>
      </c>
      <c r="BM43" s="68">
        <f t="shared" si="30"/>
        <v>0.39295811510996775</v>
      </c>
      <c r="BN43" s="28">
        <f t="shared" si="32"/>
        <v>9.8412940825150771E-2</v>
      </c>
      <c r="BO43" s="28">
        <f t="shared" si="33"/>
        <v>0.68608401432557031</v>
      </c>
      <c r="BP43" s="60">
        <f t="shared" si="34"/>
        <v>1</v>
      </c>
    </row>
    <row r="44" spans="1:68">
      <c r="A44" s="21" t="s">
        <v>103</v>
      </c>
      <c r="B44" s="30" t="s">
        <v>37</v>
      </c>
      <c r="C44" s="410">
        <v>3987551</v>
      </c>
      <c r="D44" s="410">
        <v>9565259</v>
      </c>
      <c r="E44" s="29">
        <f t="shared" si="36"/>
        <v>18</v>
      </c>
      <c r="F44" s="29">
        <f t="shared" si="37"/>
        <v>13</v>
      </c>
      <c r="G44" s="77">
        <f t="shared" si="18"/>
        <v>27</v>
      </c>
      <c r="H44" s="29">
        <f t="shared" si="19"/>
        <v>13</v>
      </c>
      <c r="I44" s="29">
        <f t="shared" si="20"/>
        <v>28</v>
      </c>
      <c r="J44" s="29">
        <f t="shared" si="21"/>
        <v>18</v>
      </c>
      <c r="K44" s="72">
        <f t="shared" si="22"/>
        <v>31</v>
      </c>
      <c r="L44" s="71">
        <f t="shared" si="38"/>
        <v>22.8</v>
      </c>
      <c r="M44" s="68">
        <f t="shared" si="23"/>
        <v>0.54088278788244737</v>
      </c>
      <c r="N44" s="37">
        <f>AVERAGE('Data By District'!V337:'Data By District'!V355)</f>
        <v>0.27944991440053918</v>
      </c>
      <c r="O44" s="33">
        <f t="shared" si="39"/>
        <v>0.42105263157894735</v>
      </c>
      <c r="P44" s="33">
        <f>SUMIF('Data By District'!$B$7:$B$441,B44,'Data By District'!$T$7:$T$441)/D44</f>
        <v>0.25864662943261651</v>
      </c>
      <c r="Q44" s="33">
        <f t="shared" si="40"/>
        <v>0.11237677347350999</v>
      </c>
      <c r="R44" s="74">
        <f t="shared" si="41"/>
        <v>0.41362194165364474</v>
      </c>
      <c r="S44" s="73">
        <f t="shared" si="42"/>
        <v>19</v>
      </c>
      <c r="T44" s="29">
        <f>COUNTIF('Data By District'!$Z$7:$Z$441,$B44&amp;"-"&amp;T$6)</f>
        <v>2</v>
      </c>
      <c r="U44" s="29">
        <f>COUNTIF('Data By District'!$Z$7:$Z$441,$B44&amp;"-"&amp;U$6)</f>
        <v>2</v>
      </c>
      <c r="V44" s="29">
        <f>COUNTIF('Data By District'!$Z$7:$Z$441,$B44&amp;"-"&amp;V$6)</f>
        <v>7</v>
      </c>
      <c r="W44" s="29">
        <f>COUNTIF('Data By District'!$Z$7:$Z$441,$B44&amp;"-"&amp;W$6)</f>
        <v>2</v>
      </c>
      <c r="X44" s="29">
        <f>COUNTIF('Data By District'!$Z$7:$Z$441,$B44&amp;"-"&amp;X$6)-(Y44)</f>
        <v>5</v>
      </c>
      <c r="Y44" s="29">
        <f>COUNTIF('Data By District'!$X$7:$X$441,$B44&amp;"-"&amp;"Yes")</f>
        <v>1</v>
      </c>
      <c r="Z44" s="402">
        <f t="shared" si="43"/>
        <v>5.2631578947368418E-2</v>
      </c>
      <c r="AA44" s="404">
        <f>COUNTIF('Data By District'!$L$7:$L$441, $B44&amp;"-"&amp;1)</f>
        <v>5</v>
      </c>
      <c r="AB44" s="376">
        <f>COUNTIFS('Data By District'!$J$7:$J$441,$B44&amp;"-"&amp;"Yes",'Data By District'!$Z$7:$Z$441,$B44&amp;"-"&amp;X$6)+COUNTIFS('Data By District'!$J$7:$J$441,$B44&amp;"-"&amp;"Yes",'Data By District'!$Z$7:$Z$441,$B44&amp;"-"&amp;W$6)</f>
        <v>8</v>
      </c>
      <c r="AC44" s="373">
        <f t="shared" si="31"/>
        <v>0.61538461538461542</v>
      </c>
      <c r="AD44" s="377">
        <f>COUNTIF('Data By District'!$J$7:$J$441,$B44&amp;"-"&amp;"Yes")</f>
        <v>13</v>
      </c>
      <c r="AE44" s="377">
        <f t="shared" si="24"/>
        <v>4</v>
      </c>
      <c r="AF44" s="377">
        <f>COUNTIF('Data By District'!$I$7:$I$441,$B44&amp;"-"&amp;"Yes")</f>
        <v>17</v>
      </c>
      <c r="AG44" s="377">
        <f>COUNTIFS('Data By District'!$J$7:$J$441,$B44&amp;"-"&amp;"Yes",'Data By District'!$Y$7:$Y$441,$B44&amp;"-"&amp;"Dem")</f>
        <v>6</v>
      </c>
      <c r="AH44" s="377">
        <f>COUNTIFS('Data By District'!$J$7:$J$441,$B44&amp;"-"&amp;"Yes",'Data By District'!$Y$7:$Y$441,$B44&amp;"-"&amp;"Rep")</f>
        <v>7</v>
      </c>
      <c r="AI44" s="377">
        <f>COUNTIFS('Data By District'!$J$7:$J$441,$B44&amp;"-"&amp;"Yes",'Data By District'!$Y$7:$Y$441,$B44&amp;"-"&amp;"Dem",'Data By District'!$J$7:$J$441,$B44&amp;"-"&amp;"Yes",'Data By District'!$Z$7:$Z$441,$B44&amp;"-"&amp;W$6)+COUNTIFS('Data By District'!$J$7:$J$441,$B44&amp;"-"&amp;"Yes",'Data By District'!$Y$7:$Y$441,$B44&amp;"-"&amp;"Dem",'Data By District'!$J$7:$J$441,$B44&amp;"-"&amp;"Yes",'Data By District'!$Z$7:$Z$441,$B44&amp;"-"&amp;X$6)</f>
        <v>3</v>
      </c>
      <c r="AJ44" s="377">
        <f>COUNTIFS('Data By District'!$J$7:$J$441,$B44&amp;"-"&amp;"Yes",'Data By District'!$Y$7:$Y$441,$B44&amp;"-"&amp;"Rep",'Data By District'!$J$7:$J$441,$B44&amp;"-"&amp;"Yes",'Data By District'!$Z$7:$Z$441,$B44&amp;"-"&amp;W$6)+COUNTIFS('Data By District'!$J$7:$J$441,$B44&amp;"-"&amp;"Yes",'Data By District'!$Y$7:$Y$441,$B44&amp;"-"&amp;"Rep",'Data By District'!$J$7:$J$441,$B44&amp;"-"&amp;"Yes",'Data By District'!$Z$7:$Z$441,$B44&amp;"-"&amp;X$6)</f>
        <v>5</v>
      </c>
      <c r="AK44" s="376">
        <f>COUNTIF('Data By District'!$D$7:$D$441,$B44&amp;"-"&amp;"Yes")</f>
        <v>1</v>
      </c>
      <c r="AL44" s="377">
        <f>COUNTIF('Data By District'!$E$7:$E$441,$B44&amp;"-"&amp;"Yes")</f>
        <v>1</v>
      </c>
      <c r="AM44" s="377">
        <f>COUNTIF('Data By District'!$F$7:$F$441,$B44&amp;"-"&amp;"Yes")</f>
        <v>0</v>
      </c>
      <c r="AN44" s="377">
        <f>COUNTIF('Data By District'!$G$7:$G$441,$B44&amp;"-"&amp;"Yes")</f>
        <v>0</v>
      </c>
      <c r="AO44" s="377">
        <f>COUNTIF('Data By District'!$H$7:$H$441,$B44&amp;"-"&amp;"Yes")</f>
        <v>0</v>
      </c>
      <c r="AP44" s="74">
        <f t="shared" si="44"/>
        <v>7.8118123128707315E-3</v>
      </c>
      <c r="AQ44" s="60">
        <v>0.71119199017754098</v>
      </c>
      <c r="AR44" s="54">
        <f t="shared" si="25"/>
        <v>3956401</v>
      </c>
      <c r="AS44" s="45">
        <f>SUMIF('Data By District'!$B$7:$B$441,$B44,'Data By District'!$O$7:$O$441)</f>
        <v>1882202</v>
      </c>
      <c r="AT44" s="45">
        <f>SUMIF('Data By District'!$B$7:$B$441,$B44,'Data By District'!$P$7:$P$441)</f>
        <v>2034145</v>
      </c>
      <c r="AU44" s="45">
        <f>SUMIF('Data By District'!$B$7:$B$441,$B44,'Data By District'!$Q$7:$Q$441)</f>
        <v>40054</v>
      </c>
      <c r="AV44" s="302">
        <f t="shared" si="45"/>
        <v>0.47573590240220848</v>
      </c>
      <c r="AW44" s="28">
        <f t="shared" si="46"/>
        <v>0.51414025019203058</v>
      </c>
      <c r="AX44" s="60">
        <f t="shared" si="47"/>
        <v>1.0123847405760942E-2</v>
      </c>
      <c r="AY44" s="29">
        <f>COUNTIF('Data By District'!$Y$7:$Y$441,$B44&amp;"-"&amp;AY$6)</f>
        <v>7</v>
      </c>
      <c r="AZ44" s="29">
        <f>COUNTIF('Data By District'!$Y$7:$Y$441,$B44&amp;"-"&amp;AZ$6)</f>
        <v>12</v>
      </c>
      <c r="BA44" s="29">
        <f>COUNTIF('Data By District'!$Y$7:$Y$441,$B44&amp;"-"&amp;BA$6)</f>
        <v>0</v>
      </c>
      <c r="BB44" s="298">
        <f t="shared" si="26"/>
        <v>0.36842105263157893</v>
      </c>
      <c r="BC44" s="28">
        <f t="shared" si="27"/>
        <v>0.63157894736842102</v>
      </c>
      <c r="BD44" s="60">
        <f t="shared" si="28"/>
        <v>0</v>
      </c>
      <c r="BE44" s="298">
        <f t="shared" si="48"/>
        <v>0.10731484977062955</v>
      </c>
      <c r="BF44" s="28">
        <f t="shared" si="49"/>
        <v>0.11743869717639044</v>
      </c>
      <c r="BG44" s="60">
        <f t="shared" si="50"/>
        <v>1.0123847405760942E-2</v>
      </c>
      <c r="BH44" s="54">
        <f t="shared" si="29"/>
        <v>2474022</v>
      </c>
      <c r="BI44" s="45">
        <f>'Data By District'!AE355</f>
        <v>1482379</v>
      </c>
      <c r="BJ44" s="45">
        <f>SUMIF('Data By District'!$B$7:$B$441,'Data By State'!$B44,'Data By District'!$AA$7:$AA$441)</f>
        <v>975306</v>
      </c>
      <c r="BK44" s="45">
        <f>SUMIF('Data By District'!$B$7:$B$441,'Data By State'!$B44,'Data By District'!$AB$7:$AB$441)</f>
        <v>467019</v>
      </c>
      <c r="BL44" s="54">
        <f>SUMIF('Data By District'!$B$7:$B$441,'Data By State'!$B44,'Data By District'!$AC$7:$AC$441)</f>
        <v>40054</v>
      </c>
      <c r="BM44" s="68">
        <f t="shared" si="30"/>
        <v>0.37467865365517805</v>
      </c>
      <c r="BN44" s="28">
        <f t="shared" si="32"/>
        <v>0.51817286348649083</v>
      </c>
      <c r="BO44" s="28">
        <f t="shared" si="33"/>
        <v>0.22958982766715255</v>
      </c>
      <c r="BP44" s="60">
        <f t="shared" si="34"/>
        <v>1</v>
      </c>
    </row>
    <row r="45" spans="1:68">
      <c r="A45" s="21" t="s">
        <v>104</v>
      </c>
      <c r="B45" s="30" t="s">
        <v>38</v>
      </c>
      <c r="C45" s="410">
        <v>342290</v>
      </c>
      <c r="D45" s="410">
        <v>755179</v>
      </c>
      <c r="E45" s="29">
        <f t="shared" si="36"/>
        <v>32</v>
      </c>
      <c r="F45" s="29">
        <f t="shared" si="37"/>
        <v>26</v>
      </c>
      <c r="G45" s="77">
        <f t="shared" si="18"/>
        <v>10</v>
      </c>
      <c r="H45" s="29">
        <f t="shared" si="19"/>
        <v>15</v>
      </c>
      <c r="I45" s="29">
        <f t="shared" si="20"/>
        <v>32</v>
      </c>
      <c r="J45" s="29">
        <f t="shared" si="21"/>
        <v>45</v>
      </c>
      <c r="K45" s="72">
        <f t="shared" si="22"/>
        <v>19</v>
      </c>
      <c r="L45" s="71">
        <f t="shared" si="38"/>
        <v>26.8</v>
      </c>
      <c r="M45" s="68">
        <f t="shared" si="23"/>
        <v>0.47886713169718431</v>
      </c>
      <c r="N45" s="37">
        <f>AVERAGE('Data By District'!V356:'Data By District'!V357)</f>
        <v>0.18519784897710678</v>
      </c>
      <c r="O45" s="33">
        <f t="shared" si="39"/>
        <v>0.5</v>
      </c>
      <c r="P45" s="33">
        <f>SUMIF('Data By District'!$B$7:$B$441,B45,'Data By District'!$T$7:$T$441)/D45</f>
        <v>0.24591653104760594</v>
      </c>
      <c r="Q45" s="33">
        <f t="shared" si="40"/>
        <v>0.41229955463218348</v>
      </c>
      <c r="R45" s="74">
        <f t="shared" si="41"/>
        <v>0.44360873382337168</v>
      </c>
      <c r="S45" s="73">
        <f t="shared" si="42"/>
        <v>2</v>
      </c>
      <c r="T45" s="29">
        <f>COUNTIF('Data By District'!$Z$7:$Z$441,$B45&amp;"-"&amp;T$6)</f>
        <v>0</v>
      </c>
      <c r="U45" s="29">
        <f>COUNTIF('Data By District'!$Z$7:$Z$441,$B45&amp;"-"&amp;U$6)</f>
        <v>1</v>
      </c>
      <c r="V45" s="29">
        <f>COUNTIF('Data By District'!$Z$7:$Z$441,$B45&amp;"-"&amp;V$6)</f>
        <v>0</v>
      </c>
      <c r="W45" s="29">
        <f>COUNTIF('Data By District'!$Z$7:$Z$441,$B45&amp;"-"&amp;W$6)</f>
        <v>1</v>
      </c>
      <c r="X45" s="29">
        <f>COUNTIF('Data By District'!$Z$7:$Z$441,$B45&amp;"-"&amp;X$6)-(Y45)</f>
        <v>0</v>
      </c>
      <c r="Y45" s="11">
        <f>COUNTIF('Data By District'!$X$7:$X$441,$B45&amp;"-"&amp;"Yes")</f>
        <v>0</v>
      </c>
      <c r="Z45" s="402">
        <f t="shared" si="43"/>
        <v>0</v>
      </c>
      <c r="AA45" s="404">
        <f>COUNTIF('Data By District'!$L$7:$L$441, $B45&amp;"-"&amp;1)</f>
        <v>0</v>
      </c>
      <c r="AB45" s="376">
        <f>COUNTIFS('Data By District'!$J$7:$J$441,$B45&amp;"-"&amp;"Yes",'Data By District'!$Z$7:$Z$441,$B45&amp;"-"&amp;X$6)+COUNTIFS('Data By District'!$J$7:$J$441,$B45&amp;"-"&amp;"Yes",'Data By District'!$Z$7:$Z$441,$B45&amp;"-"&amp;W$6)</f>
        <v>1</v>
      </c>
      <c r="AC45" s="373">
        <f t="shared" si="31"/>
        <v>1</v>
      </c>
      <c r="AD45" s="377">
        <f>COUNTIF('Data By District'!$J$7:$J$441,$B45&amp;"-"&amp;"Yes")</f>
        <v>1</v>
      </c>
      <c r="AE45" s="377">
        <f t="shared" si="24"/>
        <v>0</v>
      </c>
      <c r="AF45" s="377">
        <f>COUNTIF('Data By District'!$I$7:$I$441,$B45&amp;"-"&amp;"Yes")</f>
        <v>1</v>
      </c>
      <c r="AG45" s="377">
        <f>COUNTIFS('Data By District'!$J$7:$J$441,$B45&amp;"-"&amp;"Yes",'Data By District'!$Y$7:$Y$441,$B45&amp;"-"&amp;"Dem")</f>
        <v>1</v>
      </c>
      <c r="AH45" s="377">
        <f>COUNTIFS('Data By District'!$J$7:$J$441,$B45&amp;"-"&amp;"Yes",'Data By District'!$Y$7:$Y$441,$B45&amp;"-"&amp;"Rep")</f>
        <v>0</v>
      </c>
      <c r="AI45" s="377">
        <f>COUNTIFS('Data By District'!$J$7:$J$441,$B45&amp;"-"&amp;"Yes",'Data By District'!$Y$7:$Y$441,$B45&amp;"-"&amp;"Dem",'Data By District'!$J$7:$J$441,$B45&amp;"-"&amp;"Yes",'Data By District'!$Z$7:$Z$441,$B45&amp;"-"&amp;W$6)+COUNTIFS('Data By District'!$J$7:$J$441,$B45&amp;"-"&amp;"Yes",'Data By District'!$Y$7:$Y$441,$B45&amp;"-"&amp;"Dem",'Data By District'!$J$7:$J$441,$B45&amp;"-"&amp;"Yes",'Data By District'!$Z$7:$Z$441,$B45&amp;"-"&amp;X$6)</f>
        <v>1</v>
      </c>
      <c r="AJ45" s="377">
        <f>COUNTIFS('Data By District'!$J$7:$J$441,$B45&amp;"-"&amp;"Yes",'Data By District'!$Y$7:$Y$441,$B45&amp;"-"&amp;"Rep",'Data By District'!$J$7:$J$441,$B45&amp;"-"&amp;"Yes",'Data By District'!$Z$7:$Z$441,$B45&amp;"-"&amp;W$6)+COUNTIFS('Data By District'!$J$7:$J$441,$B45&amp;"-"&amp;"Yes",'Data By District'!$Y$7:$Y$441,$B45&amp;"-"&amp;"Rep",'Data By District'!$J$7:$J$441,$B45&amp;"-"&amp;"Yes",'Data By District'!$Z$7:$Z$441,$B45&amp;"-"&amp;X$6)</f>
        <v>0</v>
      </c>
      <c r="AK45" s="376">
        <f>COUNTIF('Data By District'!$D$7:$D$441,$B45&amp;"-"&amp;"Yes")</f>
        <v>0</v>
      </c>
      <c r="AL45" s="377">
        <f>COUNTIF('Data By District'!$E$7:$E$441,$B45&amp;"-"&amp;"Yes")</f>
        <v>0</v>
      </c>
      <c r="AM45" s="377">
        <f>COUNTIF('Data By District'!$F$7:$F$441,$B45&amp;"-"&amp;"Yes")</f>
        <v>0</v>
      </c>
      <c r="AN45" s="377">
        <f>COUNTIF('Data By District'!$G$7:$G$441,$B45&amp;"-"&amp;"Yes")</f>
        <v>0</v>
      </c>
      <c r="AO45" s="377">
        <f>COUNTIF('Data By District'!$H$7:$H$441,$B45&amp;"-"&amp;"Yes")</f>
        <v>0</v>
      </c>
      <c r="AP45" s="74">
        <f t="shared" si="44"/>
        <v>2.1286043997779662E-2</v>
      </c>
      <c r="AQ45" s="60">
        <v>0.69451109591595694</v>
      </c>
      <c r="AR45" s="54">
        <f t="shared" si="25"/>
        <v>335004</v>
      </c>
      <c r="AS45" s="45">
        <f>SUMIF('Data By District'!$B$7:$B$441,$B45,'Data By District'!$O$7:$O$441)</f>
        <v>185711</v>
      </c>
      <c r="AT45" s="45">
        <f>SUMIF('Data By District'!$B$7:$B$441,$B45,'Data By District'!$P$7:$P$441)</f>
        <v>126951</v>
      </c>
      <c r="AU45" s="45">
        <f>SUMIF('Data By District'!$B$7:$B$441,$B45,'Data By District'!$Q$7:$Q$441)</f>
        <v>22342</v>
      </c>
      <c r="AV45" s="302">
        <f t="shared" si="45"/>
        <v>0.5543545748707478</v>
      </c>
      <c r="AW45" s="28">
        <f t="shared" si="46"/>
        <v>0.37895368413511482</v>
      </c>
      <c r="AX45" s="60">
        <f t="shared" si="47"/>
        <v>6.6691740994137383E-2</v>
      </c>
      <c r="AY45" s="29">
        <f>COUNTIF('Data By District'!$Y$7:$Y$441,$B45&amp;"-"&amp;AY$6)</f>
        <v>2</v>
      </c>
      <c r="AZ45" s="29">
        <f>COUNTIF('Data By District'!$Y$7:$Y$441,$B45&amp;"-"&amp;AZ$6)</f>
        <v>0</v>
      </c>
      <c r="BA45" s="29">
        <f>COUNTIF('Data By District'!$Y$7:$Y$441,$B45&amp;"-"&amp;BA$6)</f>
        <v>0</v>
      </c>
      <c r="BB45" s="298">
        <f t="shared" si="26"/>
        <v>1</v>
      </c>
      <c r="BC45" s="28">
        <f t="shared" si="27"/>
        <v>0</v>
      </c>
      <c r="BD45" s="60">
        <f t="shared" si="28"/>
        <v>0</v>
      </c>
      <c r="BE45" s="298">
        <f t="shared" si="48"/>
        <v>0.4456454251292522</v>
      </c>
      <c r="BF45" s="28">
        <f t="shared" si="49"/>
        <v>0.37895368413511482</v>
      </c>
      <c r="BG45" s="60">
        <f t="shared" si="50"/>
        <v>6.6691740994137383E-2</v>
      </c>
      <c r="BH45" s="54">
        <f t="shared" si="29"/>
        <v>185711</v>
      </c>
      <c r="BI45" s="45">
        <f>'Data By District'!AE357</f>
        <v>149293</v>
      </c>
      <c r="BJ45" s="45">
        <f>SUMIF('Data By District'!$B$7:$B$441,'Data By State'!$B45,'Data By District'!$AA$7:$AA$441)</f>
        <v>0</v>
      </c>
      <c r="BK45" s="45">
        <f>SUMIF('Data By District'!$B$7:$B$441,'Data By State'!$B45,'Data By District'!$AB$7:$AB$441)</f>
        <v>126951</v>
      </c>
      <c r="BL45" s="54">
        <f>SUMIF('Data By District'!$B$7:$B$441,'Data By State'!$B45,'Data By District'!$AC$7:$AC$441)</f>
        <v>22342</v>
      </c>
      <c r="BM45" s="68">
        <f t="shared" si="30"/>
        <v>0.4456454251292522</v>
      </c>
      <c r="BN45" s="28">
        <f t="shared" si="32"/>
        <v>0</v>
      </c>
      <c r="BO45" s="28">
        <f t="shared" si="33"/>
        <v>1</v>
      </c>
      <c r="BP45" s="60">
        <f t="shared" si="34"/>
        <v>1</v>
      </c>
    </row>
    <row r="46" spans="1:68">
      <c r="A46" s="21" t="s">
        <v>105</v>
      </c>
      <c r="B46" s="30" t="s">
        <v>39</v>
      </c>
      <c r="C46" s="410">
        <v>1344198</v>
      </c>
      <c r="D46" s="410">
        <v>3375958</v>
      </c>
      <c r="E46" s="29">
        <f t="shared" si="36"/>
        <v>38</v>
      </c>
      <c r="F46" s="29">
        <f t="shared" si="37"/>
        <v>36</v>
      </c>
      <c r="G46" s="77">
        <f t="shared" si="18"/>
        <v>19</v>
      </c>
      <c r="H46" s="29">
        <f t="shared" si="19"/>
        <v>28</v>
      </c>
      <c r="I46" s="29">
        <f t="shared" si="20"/>
        <v>35</v>
      </c>
      <c r="J46" s="29">
        <f t="shared" si="21"/>
        <v>33</v>
      </c>
      <c r="K46" s="72">
        <f t="shared" si="22"/>
        <v>33</v>
      </c>
      <c r="L46" s="71">
        <f t="shared" si="38"/>
        <v>30</v>
      </c>
      <c r="M46" s="68">
        <f t="shared" si="23"/>
        <v>0.46118587864612692</v>
      </c>
      <c r="N46" s="37">
        <f>AVERAGE('Data By District'!V358:'Data By District'!V363)</f>
        <v>0.25034843104852061</v>
      </c>
      <c r="O46" s="33">
        <f t="shared" si="39"/>
        <v>0.66666666666666663</v>
      </c>
      <c r="P46" s="33">
        <f>SUMIF('Data By District'!$B$7:$B$441,B46,'Data By District'!$T$7:$T$441)/D46</f>
        <v>0.23896328094129132</v>
      </c>
      <c r="Q46" s="33">
        <f t="shared" si="40"/>
        <v>0.25498207093676095</v>
      </c>
      <c r="R46" s="74">
        <f t="shared" si="41"/>
        <v>0.39698035342856752</v>
      </c>
      <c r="S46" s="73">
        <f t="shared" si="42"/>
        <v>6</v>
      </c>
      <c r="T46" s="29">
        <f>COUNTIF('Data By District'!$Z$7:$Z$441,$B46&amp;"-"&amp;T$6)</f>
        <v>0</v>
      </c>
      <c r="U46" s="29">
        <f>COUNTIF('Data By District'!$Z$7:$Z$441,$B46&amp;"-"&amp;U$6)</f>
        <v>1</v>
      </c>
      <c r="V46" s="29">
        <f>COUNTIF('Data By District'!$Z$7:$Z$441,$B46&amp;"-"&amp;V$6)</f>
        <v>1</v>
      </c>
      <c r="W46" s="29">
        <f>COUNTIF('Data By District'!$Z$7:$Z$441,$B46&amp;"-"&amp;W$6)</f>
        <v>4</v>
      </c>
      <c r="X46" s="29">
        <f>COUNTIF('Data By District'!$Z$7:$Z$441,$B46&amp;"-"&amp;X$6)-(Y46)</f>
        <v>0</v>
      </c>
      <c r="Y46" s="29">
        <f>COUNTIF('Data By District'!$X$7:$X$441,$B46&amp;"-"&amp;"Yes")</f>
        <v>0</v>
      </c>
      <c r="Z46" s="402">
        <f t="shared" si="43"/>
        <v>0</v>
      </c>
      <c r="AA46" s="404">
        <f>COUNTIF('Data By District'!$L$7:$L$441, $B46&amp;"-"&amp;1)</f>
        <v>1</v>
      </c>
      <c r="AB46" s="376">
        <f>COUNTIFS('Data By District'!$J$7:$J$441,$B46&amp;"-"&amp;"Yes",'Data By District'!$Z$7:$Z$441,$B46&amp;"-"&amp;X$6)+COUNTIFS('Data By District'!$J$7:$J$441,$B46&amp;"-"&amp;"Yes",'Data By District'!$Z$7:$Z$441,$B46&amp;"-"&amp;W$6)</f>
        <v>1</v>
      </c>
      <c r="AC46" s="373">
        <f t="shared" si="31"/>
        <v>0.5</v>
      </c>
      <c r="AD46" s="377">
        <f>COUNTIF('Data By District'!$J$7:$J$441,$B46&amp;"-"&amp;"Yes")</f>
        <v>2</v>
      </c>
      <c r="AE46" s="377">
        <f t="shared" si="24"/>
        <v>1</v>
      </c>
      <c r="AF46" s="377">
        <f>COUNTIF('Data By District'!$I$7:$I$441,$B46&amp;"-"&amp;"Yes")</f>
        <v>3</v>
      </c>
      <c r="AG46" s="377">
        <f>COUNTIFS('Data By District'!$J$7:$J$441,$B46&amp;"-"&amp;"Yes",'Data By District'!$Y$7:$Y$441,$B46&amp;"-"&amp;"Dem")</f>
        <v>1</v>
      </c>
      <c r="AH46" s="377">
        <f>COUNTIFS('Data By District'!$J$7:$J$441,$B46&amp;"-"&amp;"Yes",'Data By District'!$Y$7:$Y$441,$B46&amp;"-"&amp;"Rep")</f>
        <v>1</v>
      </c>
      <c r="AI46" s="377">
        <f>COUNTIFS('Data By District'!$J$7:$J$441,$B46&amp;"-"&amp;"Yes",'Data By District'!$Y$7:$Y$441,$B46&amp;"-"&amp;"Dem",'Data By District'!$J$7:$J$441,$B46&amp;"-"&amp;"Yes",'Data By District'!$Z$7:$Z$441,$B46&amp;"-"&amp;W$6)+COUNTIFS('Data By District'!$J$7:$J$441,$B46&amp;"-"&amp;"Yes",'Data By District'!$Y$7:$Y$441,$B46&amp;"-"&amp;"Dem",'Data By District'!$J$7:$J$441,$B46&amp;"-"&amp;"Yes",'Data By District'!$Z$7:$Z$441,$B46&amp;"-"&amp;X$6)</f>
        <v>1</v>
      </c>
      <c r="AJ46" s="377">
        <f>COUNTIFS('Data By District'!$J$7:$J$441,$B46&amp;"-"&amp;"Yes",'Data By District'!$Y$7:$Y$441,$B46&amp;"-"&amp;"Rep",'Data By District'!$J$7:$J$441,$B46&amp;"-"&amp;"Yes",'Data By District'!$Z$7:$Z$441,$B46&amp;"-"&amp;W$6)+COUNTIFS('Data By District'!$J$7:$J$441,$B46&amp;"-"&amp;"Yes",'Data By District'!$Y$7:$Y$441,$B46&amp;"-"&amp;"Rep",'Data By District'!$J$7:$J$441,$B46&amp;"-"&amp;"Yes",'Data By District'!$Z$7:$Z$441,$B46&amp;"-"&amp;X$6)</f>
        <v>0</v>
      </c>
      <c r="AK46" s="376">
        <f>COUNTIF('Data By District'!$D$7:$D$441,$B46&amp;"-"&amp;"Yes")</f>
        <v>0</v>
      </c>
      <c r="AL46" s="377">
        <f>COUNTIF('Data By District'!$E$7:$E$441,$B46&amp;"-"&amp;"Yes")</f>
        <v>2</v>
      </c>
      <c r="AM46" s="377">
        <f>COUNTIF('Data By District'!$F$7:$F$441,$B46&amp;"-"&amp;"Yes")</f>
        <v>0</v>
      </c>
      <c r="AN46" s="377">
        <f>COUNTIF('Data By District'!$G$7:$G$441,$B46&amp;"-"&amp;"Yes")</f>
        <v>0</v>
      </c>
      <c r="AO46" s="377">
        <f>COUNTIF('Data By District'!$H$7:$H$441,$B46&amp;"-"&amp;"Yes")</f>
        <v>0</v>
      </c>
      <c r="AP46" s="74">
        <f t="shared" si="44"/>
        <v>2.9824475263316862E-3</v>
      </c>
      <c r="AQ46" s="60">
        <v>0.73865450922023068</v>
      </c>
      <c r="AR46" s="54">
        <f t="shared" si="25"/>
        <v>1340189</v>
      </c>
      <c r="AS46" s="45">
        <f>SUMIF('Data By District'!$B$7:$B$441,$B46,'Data By District'!$O$7:$O$441)</f>
        <v>543921</v>
      </c>
      <c r="AT46" s="45">
        <f>SUMIF('Data By District'!$B$7:$B$441,$B46,'Data By District'!$P$7:$P$441)</f>
        <v>753932</v>
      </c>
      <c r="AU46" s="45">
        <f>SUMIF('Data By District'!$B$7:$B$441,$B46,'Data By District'!$Q$7:$Q$441)</f>
        <v>42336</v>
      </c>
      <c r="AV46" s="302">
        <f t="shared" si="45"/>
        <v>0.40585395045027234</v>
      </c>
      <c r="AW46" s="28">
        <f t="shared" si="46"/>
        <v>0.56255647524341712</v>
      </c>
      <c r="AX46" s="60">
        <f t="shared" si="47"/>
        <v>3.1589574306310528E-2</v>
      </c>
      <c r="AY46" s="29">
        <f>COUNTIF('Data By District'!$Y$7:$Y$441,$B46&amp;"-"&amp;AY$6)</f>
        <v>1</v>
      </c>
      <c r="AZ46" s="29">
        <f>COUNTIF('Data By District'!$Y$7:$Y$441,$B46&amp;"-"&amp;AZ$6)</f>
        <v>5</v>
      </c>
      <c r="BA46" s="29">
        <f>COUNTIF('Data By District'!$Y$7:$Y$441,$B46&amp;"-"&amp;BA$6)</f>
        <v>0</v>
      </c>
      <c r="BB46" s="298">
        <f t="shared" si="26"/>
        <v>0.16666666666666666</v>
      </c>
      <c r="BC46" s="28">
        <f t="shared" si="27"/>
        <v>0.83333333333333337</v>
      </c>
      <c r="BD46" s="60">
        <f t="shared" si="28"/>
        <v>0</v>
      </c>
      <c r="BE46" s="298">
        <f t="shared" si="48"/>
        <v>0.23918728378360568</v>
      </c>
      <c r="BF46" s="28">
        <f t="shared" si="49"/>
        <v>0.27077685808991625</v>
      </c>
      <c r="BG46" s="60">
        <f t="shared" si="50"/>
        <v>3.1589574306310528E-2</v>
      </c>
      <c r="BH46" s="54">
        <f t="shared" si="29"/>
        <v>806730</v>
      </c>
      <c r="BI46" s="45">
        <f>'Data By District'!AE363</f>
        <v>533459</v>
      </c>
      <c r="BJ46" s="45">
        <f>SUMIF('Data By District'!$B$7:$B$441,'Data By State'!$B46,'Data By District'!$AA$7:$AA$441)</f>
        <v>418462</v>
      </c>
      <c r="BK46" s="45">
        <f>SUMIF('Data By District'!$B$7:$B$441,'Data By State'!$B46,'Data By District'!$AB$7:$AB$441)</f>
        <v>72661</v>
      </c>
      <c r="BL46" s="54">
        <f>SUMIF('Data By District'!$B$7:$B$441,'Data By State'!$B46,'Data By District'!$AC$7:$AC$441)</f>
        <v>42336</v>
      </c>
      <c r="BM46" s="68">
        <f t="shared" si="30"/>
        <v>0.398047588810235</v>
      </c>
      <c r="BN46" s="28">
        <f t="shared" si="32"/>
        <v>0.7693433421397593</v>
      </c>
      <c r="BO46" s="28">
        <f t="shared" si="33"/>
        <v>9.6376065745982398E-2</v>
      </c>
      <c r="BP46" s="60">
        <f t="shared" si="34"/>
        <v>1</v>
      </c>
    </row>
    <row r="47" spans="1:68">
      <c r="A47" s="21" t="s">
        <v>106</v>
      </c>
      <c r="B47" s="30" t="s">
        <v>40</v>
      </c>
      <c r="C47" s="410">
        <v>317083</v>
      </c>
      <c r="D47" s="410">
        <v>600029</v>
      </c>
      <c r="E47" s="29">
        <f t="shared" si="36"/>
        <v>16</v>
      </c>
      <c r="F47" s="29">
        <f t="shared" si="37"/>
        <v>4</v>
      </c>
      <c r="G47" s="77">
        <f t="shared" si="18"/>
        <v>1</v>
      </c>
      <c r="H47" s="29">
        <f t="shared" si="19"/>
        <v>1</v>
      </c>
      <c r="I47" s="29">
        <f t="shared" si="20"/>
        <v>30</v>
      </c>
      <c r="J47" s="29">
        <f t="shared" si="21"/>
        <v>50</v>
      </c>
      <c r="K47" s="72">
        <f t="shared" si="22"/>
        <v>4</v>
      </c>
      <c r="L47" s="71">
        <f t="shared" si="38"/>
        <v>22.4</v>
      </c>
      <c r="M47" s="68">
        <f t="shared" si="23"/>
        <v>0.599952779190286</v>
      </c>
      <c r="N47" s="37">
        <f>('Data By District'!V364)</f>
        <v>2.369027479919545E-2</v>
      </c>
      <c r="O47" s="33">
        <f t="shared" si="39"/>
        <v>0</v>
      </c>
      <c r="P47" s="33">
        <f>SUMIF('Data By District'!$B$7:$B$441,B47,'Data By District'!$T$7:$T$441)/D47</f>
        <v>0.25615928563452767</v>
      </c>
      <c r="Q47" s="33">
        <f t="shared" si="40"/>
        <v>0.48886440051842994</v>
      </c>
      <c r="R47" s="74">
        <f t="shared" si="41"/>
        <v>0.53235093637140873</v>
      </c>
      <c r="S47" s="73">
        <f t="shared" si="42"/>
        <v>1</v>
      </c>
      <c r="T47" s="29">
        <f>COUNTIF('Data By District'!$Z$7:$Z$441,$B47&amp;"-"&amp;T$6)</f>
        <v>1</v>
      </c>
      <c r="U47" s="29">
        <f>COUNTIF('Data By District'!$Z$7:$Z$441,$B47&amp;"-"&amp;U$6)</f>
        <v>0</v>
      </c>
      <c r="V47" s="29">
        <f>COUNTIF('Data By District'!$Z$7:$Z$441,$B47&amp;"-"&amp;V$6)</f>
        <v>0</v>
      </c>
      <c r="W47" s="29">
        <f>COUNTIF('Data By District'!$Z$7:$Z$441,$B47&amp;"-"&amp;W$6)</f>
        <v>0</v>
      </c>
      <c r="X47" s="29">
        <f>COUNTIF('Data By District'!$Z$7:$Z$441,$B47&amp;"-"&amp;X$6)-(Y47)</f>
        <v>0</v>
      </c>
      <c r="Y47" s="29">
        <f>COUNTIF('Data By District'!$X$7:$X$441,$B47&amp;"-"&amp;"Yes")</f>
        <v>0</v>
      </c>
      <c r="Z47" s="402">
        <f t="shared" si="43"/>
        <v>0</v>
      </c>
      <c r="AA47" s="404">
        <f>COUNTIF('Data By District'!$L$7:$L$441, $B47&amp;"-"&amp;1)</f>
        <v>1</v>
      </c>
      <c r="AB47" s="376">
        <f>COUNTIFS('Data By District'!$J$7:$J$441,$B47&amp;"-"&amp;"Yes",'Data By District'!$Z$7:$Z$441,$B47&amp;"-"&amp;X$6)+COUNTIFS('Data By District'!$J$7:$J$441,$B47&amp;"-"&amp;"Yes",'Data By District'!$Z$7:$Z$441,$B47&amp;"-"&amp;W$6)</f>
        <v>0</v>
      </c>
      <c r="AC47" s="373" t="e">
        <f t="shared" si="31"/>
        <v>#DIV/0!</v>
      </c>
      <c r="AD47" s="377">
        <f>COUNTIF('Data By District'!$J$7:$J$441,$B47&amp;"-"&amp;"Yes")</f>
        <v>0</v>
      </c>
      <c r="AE47" s="377">
        <f t="shared" si="24"/>
        <v>1</v>
      </c>
      <c r="AF47" s="377">
        <f>COUNTIF('Data By District'!$I$7:$I$441,$B47&amp;"-"&amp;"Yes")</f>
        <v>1</v>
      </c>
      <c r="AG47" s="377">
        <f>COUNTIFS('Data By District'!$J$7:$J$441,$B47&amp;"-"&amp;"Yes",'Data By District'!$Y$7:$Y$441,$B47&amp;"-"&amp;"Dem")</f>
        <v>0</v>
      </c>
      <c r="AH47" s="377">
        <f>COUNTIFS('Data By District'!$J$7:$J$441,$B47&amp;"-"&amp;"Yes",'Data By District'!$Y$7:$Y$441,$B47&amp;"-"&amp;"Rep")</f>
        <v>0</v>
      </c>
      <c r="AI47" s="377">
        <f>COUNTIFS('Data By District'!$J$7:$J$441,$B47&amp;"-"&amp;"Yes",'Data By District'!$Y$7:$Y$441,$B47&amp;"-"&amp;"Dem",'Data By District'!$J$7:$J$441,$B47&amp;"-"&amp;"Yes",'Data By District'!$Z$7:$Z$441,$B47&amp;"-"&amp;W$6)+COUNTIFS('Data By District'!$J$7:$J$441,$B47&amp;"-"&amp;"Yes",'Data By District'!$Y$7:$Y$441,$B47&amp;"-"&amp;"Dem",'Data By District'!$J$7:$J$441,$B47&amp;"-"&amp;"Yes",'Data By District'!$Z$7:$Z$441,$B47&amp;"-"&amp;X$6)</f>
        <v>0</v>
      </c>
      <c r="AJ47" s="377">
        <f>COUNTIFS('Data By District'!$J$7:$J$441,$B47&amp;"-"&amp;"Yes",'Data By District'!$Y$7:$Y$441,$B47&amp;"-"&amp;"Rep",'Data By District'!$J$7:$J$441,$B47&amp;"-"&amp;"Yes",'Data By District'!$Z$7:$Z$441,$B47&amp;"-"&amp;W$6)+COUNTIFS('Data By District'!$J$7:$J$441,$B47&amp;"-"&amp;"Yes",'Data By District'!$Y$7:$Y$441,$B47&amp;"-"&amp;"Rep",'Data By District'!$J$7:$J$441,$B47&amp;"-"&amp;"Yes",'Data By District'!$Z$7:$Z$441,$B47&amp;"-"&amp;X$6)</f>
        <v>0</v>
      </c>
      <c r="AK47" s="376">
        <f>COUNTIF('Data By District'!$D$7:$D$441,$B47&amp;"-"&amp;"Yes")</f>
        <v>1</v>
      </c>
      <c r="AL47" s="377">
        <f>COUNTIF('Data By District'!$E$7:$E$441,$B47&amp;"-"&amp;"Yes")</f>
        <v>0</v>
      </c>
      <c r="AM47" s="377">
        <f>COUNTIF('Data By District'!$F$7:$F$441,$B47&amp;"-"&amp;"Yes")</f>
        <v>0</v>
      </c>
      <c r="AN47" s="377">
        <f>COUNTIF('Data By District'!$G$7:$G$441,$B47&amp;"-"&amp;"Yes")</f>
        <v>0</v>
      </c>
      <c r="AO47" s="377">
        <f>COUNTIF('Data By District'!$H$7:$H$441,$B47&amp;"-"&amp;"Yes")</f>
        <v>0</v>
      </c>
      <c r="AP47" s="74">
        <f t="shared" si="44"/>
        <v>-7.3892324722548983E-3</v>
      </c>
      <c r="AQ47" s="60">
        <v>0.53364332884858323</v>
      </c>
      <c r="AR47" s="54">
        <f t="shared" si="25"/>
        <v>319426</v>
      </c>
      <c r="AS47" s="45">
        <f>SUMIF('Data By District'!$B$7:$B$441,$B47,'Data By District'!$O$7:$O$441)</f>
        <v>146589</v>
      </c>
      <c r="AT47" s="45">
        <f>SUMIF('Data By District'!$B$7:$B$441,$B47,'Data By District'!$P$7:$P$441)</f>
        <v>153703</v>
      </c>
      <c r="AU47" s="45">
        <f>SUMIF('Data By District'!$B$7:$B$441,$B47,'Data By District'!$Q$7:$Q$441)</f>
        <v>19134</v>
      </c>
      <c r="AV47" s="302">
        <f t="shared" si="45"/>
        <v>0.45891380163167683</v>
      </c>
      <c r="AW47" s="28">
        <f t="shared" si="46"/>
        <v>0.48118500059481695</v>
      </c>
      <c r="AX47" s="60">
        <f t="shared" si="47"/>
        <v>5.9901197773506228E-2</v>
      </c>
      <c r="AY47" s="29">
        <f>COUNTIF('Data By District'!$Y$7:$Y$441,$B47&amp;"-"&amp;AY$6)</f>
        <v>0</v>
      </c>
      <c r="AZ47" s="29">
        <f>COUNTIF('Data By District'!$Y$7:$Y$441,$B47&amp;"-"&amp;AZ$6)</f>
        <v>1</v>
      </c>
      <c r="BA47" s="29">
        <f>COUNTIF('Data By District'!$Y$7:$Y$441,$B47&amp;"-"&amp;BA$6)</f>
        <v>0</v>
      </c>
      <c r="BB47" s="298">
        <f t="shared" si="26"/>
        <v>0</v>
      </c>
      <c r="BC47" s="28">
        <f t="shared" si="27"/>
        <v>1</v>
      </c>
      <c r="BD47" s="60">
        <f t="shared" si="28"/>
        <v>0</v>
      </c>
      <c r="BE47" s="298">
        <f t="shared" si="48"/>
        <v>0.45891380163167683</v>
      </c>
      <c r="BF47" s="28">
        <f t="shared" si="49"/>
        <v>0.51881499940518305</v>
      </c>
      <c r="BG47" s="60">
        <f t="shared" si="50"/>
        <v>5.9901197773506228E-2</v>
      </c>
      <c r="BH47" s="54">
        <f t="shared" si="29"/>
        <v>153703</v>
      </c>
      <c r="BI47" s="45">
        <f>'Data By District'!AE364</f>
        <v>165723</v>
      </c>
      <c r="BJ47" s="45">
        <f>SUMIF('Data By District'!$B$7:$B$441,'Data By State'!$B47,'Data By District'!$AA$7:$AA$441)</f>
        <v>146589</v>
      </c>
      <c r="BK47" s="45">
        <f>SUMIF('Data By District'!$B$7:$B$441,'Data By State'!$B47,'Data By District'!$AB$7:$AB$441)</f>
        <v>0</v>
      </c>
      <c r="BL47" s="54">
        <f>SUMIF('Data By District'!$B$7:$B$441,'Data By State'!$B47,'Data By District'!$AC$7:$AC$441)</f>
        <v>19134</v>
      </c>
      <c r="BM47" s="68">
        <f t="shared" si="30"/>
        <v>0.51881499940518305</v>
      </c>
      <c r="BN47" s="28">
        <f t="shared" si="32"/>
        <v>1</v>
      </c>
      <c r="BO47" s="28">
        <f t="shared" si="33"/>
        <v>0</v>
      </c>
      <c r="BP47" s="60">
        <f t="shared" si="34"/>
        <v>1</v>
      </c>
    </row>
    <row r="48" spans="1:68">
      <c r="A48" s="21" t="s">
        <v>107</v>
      </c>
      <c r="B48" s="30" t="s">
        <v>41</v>
      </c>
      <c r="C48" s="410">
        <v>1601549</v>
      </c>
      <c r="D48" s="410">
        <v>4659865</v>
      </c>
      <c r="E48" s="29">
        <f t="shared" si="36"/>
        <v>48</v>
      </c>
      <c r="F48" s="29">
        <f t="shared" si="37"/>
        <v>41</v>
      </c>
      <c r="G48" s="77">
        <f t="shared" si="18"/>
        <v>42</v>
      </c>
      <c r="H48" s="29">
        <f t="shared" si="19"/>
        <v>38</v>
      </c>
      <c r="I48" s="29">
        <f t="shared" si="20"/>
        <v>41</v>
      </c>
      <c r="J48" s="29">
        <f t="shared" si="21"/>
        <v>23</v>
      </c>
      <c r="K48" s="72">
        <f t="shared" si="22"/>
        <v>47</v>
      </c>
      <c r="L48" s="71">
        <f t="shared" si="38"/>
        <v>37</v>
      </c>
      <c r="M48" s="68">
        <f t="shared" si="23"/>
        <v>0.4251140313184073</v>
      </c>
      <c r="N48" s="37">
        <f>AVERAGE('Data By District'!V365:'Data By District'!V373)</f>
        <v>0.40061364273307287</v>
      </c>
      <c r="O48" s="33">
        <f t="shared" si="39"/>
        <v>0.77777777777777779</v>
      </c>
      <c r="P48" s="33">
        <f>SUMIF('Data By District'!$B$7:$B$441,B48,'Data By District'!$T$7:$T$441)/D48</f>
        <v>0.22446658862434857</v>
      </c>
      <c r="Q48" s="33">
        <f t="shared" si="40"/>
        <v>0.14497160014581009</v>
      </c>
      <c r="R48" s="74">
        <f t="shared" si="41"/>
        <v>0.33412384264351008</v>
      </c>
      <c r="S48" s="73">
        <f t="shared" si="42"/>
        <v>9</v>
      </c>
      <c r="T48" s="29">
        <f>COUNTIF('Data By District'!$Z$7:$Z$441,$B48&amp;"-"&amp;T$6)</f>
        <v>0</v>
      </c>
      <c r="U48" s="29">
        <f>COUNTIF('Data By District'!$Z$7:$Z$441,$B48&amp;"-"&amp;U$6)</f>
        <v>0</v>
      </c>
      <c r="V48" s="29">
        <f>COUNTIF('Data By District'!$Z$7:$Z$441,$B48&amp;"-"&amp;V$6)</f>
        <v>2</v>
      </c>
      <c r="W48" s="29">
        <f>COUNTIF('Data By District'!$Z$7:$Z$441,$B48&amp;"-"&amp;W$6)</f>
        <v>3</v>
      </c>
      <c r="X48" s="29">
        <f>COUNTIF('Data By District'!$Z$7:$Z$441,$B48&amp;"-"&amp;X$6)-(Y48)</f>
        <v>4</v>
      </c>
      <c r="Y48" s="29">
        <f>COUNTIF('Data By District'!$X$7:$X$441,$B48&amp;"-"&amp;"Yes")</f>
        <v>0</v>
      </c>
      <c r="Z48" s="402">
        <f t="shared" si="43"/>
        <v>0</v>
      </c>
      <c r="AA48" s="404">
        <f>COUNTIF('Data By District'!$L$7:$L$441, $B48&amp;"-"&amp;1)</f>
        <v>3</v>
      </c>
      <c r="AB48" s="376">
        <f>COUNTIFS('Data By District'!$J$7:$J$441,$B48&amp;"-"&amp;"Yes",'Data By District'!$Z$7:$Z$441,$B48&amp;"-"&amp;X$6)+COUNTIFS('Data By District'!$J$7:$J$441,$B48&amp;"-"&amp;"Yes",'Data By District'!$Z$7:$Z$441,$B48&amp;"-"&amp;W$6)</f>
        <v>4</v>
      </c>
      <c r="AC48" s="373">
        <f t="shared" si="31"/>
        <v>0.8</v>
      </c>
      <c r="AD48" s="377">
        <f>COUNTIF('Data By District'!$J$7:$J$441,$B48&amp;"-"&amp;"Yes")</f>
        <v>5</v>
      </c>
      <c r="AE48" s="377">
        <f t="shared" si="24"/>
        <v>1</v>
      </c>
      <c r="AF48" s="377">
        <f>COUNTIF('Data By District'!$I$7:$I$441,$B48&amp;"-"&amp;"Yes")</f>
        <v>6</v>
      </c>
      <c r="AG48" s="377">
        <f>COUNTIFS('Data By District'!$J$7:$J$441,$B48&amp;"-"&amp;"Yes",'Data By District'!$Y$7:$Y$441,$B48&amp;"-"&amp;"Dem")</f>
        <v>2</v>
      </c>
      <c r="AH48" s="377">
        <f>COUNTIFS('Data By District'!$J$7:$J$441,$B48&amp;"-"&amp;"Yes",'Data By District'!$Y$7:$Y$441,$B48&amp;"-"&amp;"Rep")</f>
        <v>3</v>
      </c>
      <c r="AI48" s="377">
        <f>COUNTIFS('Data By District'!$J$7:$J$441,$B48&amp;"-"&amp;"Yes",'Data By District'!$Y$7:$Y$441,$B48&amp;"-"&amp;"Dem",'Data By District'!$J$7:$J$441,$B48&amp;"-"&amp;"Yes",'Data By District'!$Z$7:$Z$441,$B48&amp;"-"&amp;W$6)+COUNTIFS('Data By District'!$J$7:$J$441,$B48&amp;"-"&amp;"Yes",'Data By District'!$Y$7:$Y$441,$B48&amp;"-"&amp;"Dem",'Data By District'!$J$7:$J$441,$B48&amp;"-"&amp;"Yes",'Data By District'!$Z$7:$Z$441,$B48&amp;"-"&amp;X$6)</f>
        <v>1</v>
      </c>
      <c r="AJ48" s="377">
        <f>COUNTIFS('Data By District'!$J$7:$J$441,$B48&amp;"-"&amp;"Yes",'Data By District'!$Y$7:$Y$441,$B48&amp;"-"&amp;"Rep",'Data By District'!$J$7:$J$441,$B48&amp;"-"&amp;"Yes",'Data By District'!$Z$7:$Z$441,$B48&amp;"-"&amp;W$6)+COUNTIFS('Data By District'!$J$7:$J$441,$B48&amp;"-"&amp;"Yes",'Data By District'!$Y$7:$Y$441,$B48&amp;"-"&amp;"Rep",'Data By District'!$J$7:$J$441,$B48&amp;"-"&amp;"Yes",'Data By District'!$Z$7:$Z$441,$B48&amp;"-"&amp;X$6)</f>
        <v>3</v>
      </c>
      <c r="AK48" s="376">
        <f>COUNTIF('Data By District'!$D$7:$D$441,$B48&amp;"-"&amp;"Yes")</f>
        <v>2</v>
      </c>
      <c r="AL48" s="377">
        <f>COUNTIF('Data By District'!$E$7:$E$441,$B48&amp;"-"&amp;"Yes")</f>
        <v>0</v>
      </c>
      <c r="AM48" s="377">
        <f>COUNTIF('Data By District'!$F$7:$F$441,$B48&amp;"-"&amp;"Yes")</f>
        <v>0</v>
      </c>
      <c r="AN48" s="377">
        <f>COUNTIF('Data By District'!$G$7:$G$441,$B48&amp;"-"&amp;"Yes")</f>
        <v>0</v>
      </c>
      <c r="AO48" s="377">
        <f>COUNTIF('Data By District'!$H$7:$H$441,$B48&amp;"-"&amp;"Yes")</f>
        <v>0</v>
      </c>
      <c r="AP48" s="74">
        <f t="shared" si="44"/>
        <v>2.7833678519982842E-2</v>
      </c>
      <c r="AQ48" s="60">
        <v>0.73286886509358018</v>
      </c>
      <c r="AR48" s="54">
        <f t="shared" si="25"/>
        <v>1556972</v>
      </c>
      <c r="AS48" s="45">
        <f>SUMIF('Data By District'!$B$7:$B$441,$B48,'Data By District'!$O$7:$O$441)</f>
        <v>541527</v>
      </c>
      <c r="AT48" s="45">
        <f>SUMIF('Data By District'!$B$7:$B$441,$B48,'Data By District'!$P$7:$P$441)</f>
        <v>955078</v>
      </c>
      <c r="AU48" s="45">
        <f>SUMIF('Data By District'!$B$7:$B$441,$B48,'Data By District'!$Q$7:$Q$441)</f>
        <v>60367</v>
      </c>
      <c r="AV48" s="302">
        <f t="shared" si="45"/>
        <v>0.34780779615818397</v>
      </c>
      <c r="AW48" s="28">
        <f t="shared" si="46"/>
        <v>0.61342015142211936</v>
      </c>
      <c r="AX48" s="60">
        <f t="shared" si="47"/>
        <v>3.8772052419696695E-2</v>
      </c>
      <c r="AY48" s="29">
        <f>COUNTIF('Data By District'!$Y$7:$Y$441,$B48&amp;"-"&amp;AY$6)</f>
        <v>2</v>
      </c>
      <c r="AZ48" s="29">
        <f>COUNTIF('Data By District'!$Y$7:$Y$441,$B48&amp;"-"&amp;AZ$6)</f>
        <v>7</v>
      </c>
      <c r="BA48" s="29">
        <f>COUNTIF('Data By District'!$Y$7:$Y$441,$B48&amp;"-"&amp;BA$6)</f>
        <v>0</v>
      </c>
      <c r="BB48" s="298">
        <f t="shared" si="26"/>
        <v>0.22222222222222221</v>
      </c>
      <c r="BC48" s="28">
        <f t="shared" si="27"/>
        <v>0.77777777777777779</v>
      </c>
      <c r="BD48" s="60">
        <f t="shared" si="28"/>
        <v>0</v>
      </c>
      <c r="BE48" s="298">
        <f t="shared" si="48"/>
        <v>0.12558557393596176</v>
      </c>
      <c r="BF48" s="28">
        <f t="shared" si="49"/>
        <v>0.16435762635565843</v>
      </c>
      <c r="BG48" s="60">
        <f t="shared" si="50"/>
        <v>3.8772052419696695E-2</v>
      </c>
      <c r="BH48" s="54">
        <f t="shared" si="29"/>
        <v>1045984</v>
      </c>
      <c r="BI48" s="45">
        <f>'Data By District'!AE373</f>
        <v>510988</v>
      </c>
      <c r="BJ48" s="45">
        <f>SUMIF('Data By District'!$B$7:$B$441,'Data By State'!$B48,'Data By District'!$AA$7:$AA$441)</f>
        <v>342538</v>
      </c>
      <c r="BK48" s="45">
        <f>SUMIF('Data By District'!$B$7:$B$441,'Data By State'!$B48,'Data By District'!$AB$7:$AB$441)</f>
        <v>108083</v>
      </c>
      <c r="BL48" s="54">
        <f>SUMIF('Data By District'!$B$7:$B$441,'Data By State'!$B48,'Data By District'!$AC$7:$AC$441)</f>
        <v>60367</v>
      </c>
      <c r="BM48" s="68">
        <f t="shared" si="30"/>
        <v>0.32819344214282592</v>
      </c>
      <c r="BN48" s="28">
        <f t="shared" si="32"/>
        <v>0.63254094440351083</v>
      </c>
      <c r="BO48" s="28">
        <f t="shared" si="33"/>
        <v>0.11316667329788771</v>
      </c>
      <c r="BP48" s="60">
        <f t="shared" si="34"/>
        <v>1</v>
      </c>
    </row>
    <row r="49" spans="1:70">
      <c r="A49" s="21" t="s">
        <v>108</v>
      </c>
      <c r="B49" s="30" t="s">
        <v>42</v>
      </c>
      <c r="C49" s="410">
        <v>4979870</v>
      </c>
      <c r="D49" s="410">
        <v>15407666</v>
      </c>
      <c r="E49" s="29">
        <f t="shared" si="36"/>
        <v>49</v>
      </c>
      <c r="F49" s="29">
        <f t="shared" si="37"/>
        <v>42</v>
      </c>
      <c r="G49" s="77">
        <f t="shared" si="18"/>
        <v>46</v>
      </c>
      <c r="H49" s="29">
        <f t="shared" si="19"/>
        <v>42</v>
      </c>
      <c r="I49" s="29">
        <f t="shared" si="20"/>
        <v>46</v>
      </c>
      <c r="J49" s="29">
        <f t="shared" si="21"/>
        <v>8</v>
      </c>
      <c r="K49" s="72">
        <f t="shared" si="22"/>
        <v>49</v>
      </c>
      <c r="L49" s="71">
        <f t="shared" si="38"/>
        <v>37.6</v>
      </c>
      <c r="M49" s="68">
        <f t="shared" si="23"/>
        <v>0.41133347974682921</v>
      </c>
      <c r="N49" s="37">
        <f>AVERAGE('Data By District'!V374:'Data By District'!V405)</f>
        <v>0.48289641720739002</v>
      </c>
      <c r="O49" s="33">
        <f t="shared" si="39"/>
        <v>0.84375</v>
      </c>
      <c r="P49" s="33">
        <f>SUMIF('Data By District'!$B$7:$B$441,B49,'Data By District'!$T$7:$T$441)/D49</f>
        <v>0.21637352471165977</v>
      </c>
      <c r="Q49" s="33">
        <f t="shared" si="40"/>
        <v>4.9433233481783662E-2</v>
      </c>
      <c r="R49" s="74">
        <f t="shared" si="41"/>
        <v>0.30771727528361531</v>
      </c>
      <c r="S49" s="73">
        <f t="shared" si="42"/>
        <v>32</v>
      </c>
      <c r="T49" s="29">
        <f>COUNTIF('Data By District'!$Z$7:$Z$441,$B49&amp;"-"&amp;T$6)</f>
        <v>1</v>
      </c>
      <c r="U49" s="29">
        <f>COUNTIF('Data By District'!$Z$7:$Z$441,$B49&amp;"-"&amp;U$6)</f>
        <v>2</v>
      </c>
      <c r="V49" s="29">
        <f>COUNTIF('Data By District'!$Z$7:$Z$441,$B49&amp;"-"&amp;V$6)</f>
        <v>2</v>
      </c>
      <c r="W49" s="29">
        <f>COUNTIF('Data By District'!$Z$7:$Z$441,$B49&amp;"-"&amp;W$6)</f>
        <v>10</v>
      </c>
      <c r="X49" s="29">
        <f>COUNTIF('Data By District'!$Z$7:$Z$441,$B49&amp;"-"&amp;X$6)-(Y49)</f>
        <v>11</v>
      </c>
      <c r="Y49" s="29">
        <f>COUNTIF('Data By District'!$X$7:$X$441,$B49&amp;"-"&amp;"Yes")</f>
        <v>6</v>
      </c>
      <c r="Z49" s="402">
        <f t="shared" si="43"/>
        <v>0.1875</v>
      </c>
      <c r="AA49" s="404">
        <f>COUNTIF('Data By District'!$L$7:$L$441, $B49&amp;"-"&amp;1)</f>
        <v>3</v>
      </c>
      <c r="AB49" s="376">
        <f>COUNTIFS('Data By District'!$J$7:$J$441,$B49&amp;"-"&amp;"Yes",'Data By District'!$Z$7:$Z$441,$B49&amp;"-"&amp;X$6)+COUNTIFS('Data By District'!$J$7:$J$441,$B49&amp;"-"&amp;"Yes",'Data By District'!$Z$7:$Z$441,$B49&amp;"-"&amp;W$6)</f>
        <v>26</v>
      </c>
      <c r="AC49" s="373">
        <f t="shared" si="31"/>
        <v>0.89655172413793105</v>
      </c>
      <c r="AD49" s="377">
        <f>COUNTIF('Data By District'!$J$7:$J$441,$B49&amp;"-"&amp;"Yes")</f>
        <v>29</v>
      </c>
      <c r="AE49" s="377">
        <f t="shared" si="24"/>
        <v>3</v>
      </c>
      <c r="AF49" s="377">
        <f>COUNTIF('Data By District'!$I$7:$I$441,$B49&amp;"-"&amp;"Yes")</f>
        <v>32</v>
      </c>
      <c r="AG49" s="377">
        <f>COUNTIFS('Data By District'!$J$7:$J$441,$B49&amp;"-"&amp;"Yes",'Data By District'!$Y$7:$Y$441,$B49&amp;"-"&amp;"Dem")</f>
        <v>9</v>
      </c>
      <c r="AH49" s="377">
        <f>COUNTIFS('Data By District'!$J$7:$J$441,$B49&amp;"-"&amp;"Yes",'Data By District'!$Y$7:$Y$441,$B49&amp;"-"&amp;"Rep")</f>
        <v>20</v>
      </c>
      <c r="AI49" s="377">
        <f>COUNTIFS('Data By District'!$J$7:$J$441,$B49&amp;"-"&amp;"Yes",'Data By District'!$Y$7:$Y$441,$B49&amp;"-"&amp;"Dem",'Data By District'!$J$7:$J$441,$B49&amp;"-"&amp;"Yes",'Data By District'!$Z$7:$Z$441,$B49&amp;"-"&amp;W$6)+COUNTIFS('Data By District'!$J$7:$J$441,$B49&amp;"-"&amp;"Yes",'Data By District'!$Y$7:$Y$441,$B49&amp;"-"&amp;"Dem",'Data By District'!$J$7:$J$441,$B49&amp;"-"&amp;"Yes",'Data By District'!$Z$7:$Z$441,$B49&amp;"-"&amp;X$6)</f>
        <v>6</v>
      </c>
      <c r="AJ49" s="377">
        <f>COUNTIFS('Data By District'!$J$7:$J$441,$B49&amp;"-"&amp;"Yes",'Data By District'!$Y$7:$Y$441,$B49&amp;"-"&amp;"Rep",'Data By District'!$J$7:$J$441,$B49&amp;"-"&amp;"Yes",'Data By District'!$Z$7:$Z$441,$B49&amp;"-"&amp;W$6)+COUNTIFS('Data By District'!$J$7:$J$441,$B49&amp;"-"&amp;"Yes",'Data By District'!$Y$7:$Y$441,$B49&amp;"-"&amp;"Rep",'Data By District'!$J$7:$J$441,$B49&amp;"-"&amp;"Yes",'Data By District'!$Z$7:$Z$441,$B49&amp;"-"&amp;X$6)</f>
        <v>20</v>
      </c>
      <c r="AK49" s="376">
        <f>COUNTIF('Data By District'!$D$7:$D$441,$B49&amp;"-"&amp;"Yes")</f>
        <v>3</v>
      </c>
      <c r="AL49" s="377">
        <f>COUNTIF('Data By District'!$E$7:$E$441,$B49&amp;"-"&amp;"Yes")</f>
        <v>3</v>
      </c>
      <c r="AM49" s="377">
        <f>COUNTIF('Data By District'!$F$7:$F$441,$B49&amp;"-"&amp;"Yes")</f>
        <v>6</v>
      </c>
      <c r="AN49" s="377">
        <f>COUNTIF('Data By District'!$G$7:$G$441,$B49&amp;"-"&amp;"Yes")</f>
        <v>0</v>
      </c>
      <c r="AO49" s="377">
        <f>COUNTIF('Data By District'!$H$7:$H$441,$B49&amp;"-"&amp;"Yes")</f>
        <v>0</v>
      </c>
      <c r="AP49" s="74">
        <f t="shared" si="44"/>
        <v>4.7925949874193505E-2</v>
      </c>
      <c r="AQ49" s="60">
        <v>0.68162532048458579</v>
      </c>
      <c r="AR49" s="54">
        <f t="shared" si="25"/>
        <v>4741205</v>
      </c>
      <c r="AS49" s="45">
        <f>SUMIF('Data By District'!$B$7:$B$441,$B49,'Data By District'!$O$7:$O$441)</f>
        <v>1449261</v>
      </c>
      <c r="AT49" s="45">
        <f>SUMIF('Data By District'!$B$7:$B$441,$B49,'Data By District'!$P$7:$P$441)</f>
        <v>3054792</v>
      </c>
      <c r="AU49" s="45">
        <f>SUMIF('Data By District'!$B$7:$B$441,$B49,'Data By District'!$Q$7:$Q$441)</f>
        <v>237152</v>
      </c>
      <c r="AV49" s="302">
        <f t="shared" si="45"/>
        <v>0.30567355767152021</v>
      </c>
      <c r="AW49" s="28">
        <f t="shared" si="46"/>
        <v>0.64430709070795289</v>
      </c>
      <c r="AX49" s="60">
        <f t="shared" si="47"/>
        <v>5.0019351620526849E-2</v>
      </c>
      <c r="AY49" s="29">
        <f>COUNTIF('Data By District'!$Y$7:$Y$441,$B49&amp;"-"&amp;AY$6)</f>
        <v>9</v>
      </c>
      <c r="AZ49" s="29">
        <f>COUNTIF('Data By District'!$Y$7:$Y$441,$B49&amp;"-"&amp;AZ$6)</f>
        <v>23</v>
      </c>
      <c r="BA49" s="29">
        <f>COUNTIF('Data By District'!$Y$7:$Y$441,$B49&amp;"-"&amp;BA$6)</f>
        <v>0</v>
      </c>
      <c r="BB49" s="298">
        <f t="shared" si="26"/>
        <v>0.28125</v>
      </c>
      <c r="BC49" s="28">
        <f t="shared" si="27"/>
        <v>0.71875</v>
      </c>
      <c r="BD49" s="60">
        <f t="shared" si="28"/>
        <v>0</v>
      </c>
      <c r="BE49" s="298">
        <f t="shared" si="48"/>
        <v>2.4423557671520213E-2</v>
      </c>
      <c r="BF49" s="28">
        <f t="shared" si="49"/>
        <v>7.444290929204711E-2</v>
      </c>
      <c r="BG49" s="60">
        <f t="shared" si="50"/>
        <v>5.0019351620526849E-2</v>
      </c>
      <c r="BH49" s="54">
        <f t="shared" si="29"/>
        <v>3333811</v>
      </c>
      <c r="BI49" s="45">
        <f>'Data By District'!AE405</f>
        <v>1407394</v>
      </c>
      <c r="BJ49" s="45">
        <f>SUMIF('Data By District'!$B$7:$B$441,'Data By State'!$B49,'Data By District'!$AA$7:$AA$441)</f>
        <v>831878</v>
      </c>
      <c r="BK49" s="45">
        <f>SUMIF('Data By District'!$B$7:$B$441,'Data By State'!$B49,'Data By District'!$AB$7:$AB$441)</f>
        <v>338364</v>
      </c>
      <c r="BL49" s="54">
        <f>SUMIF('Data By District'!$B$7:$B$441,'Data By State'!$B49,'Data By District'!$AC$7:$AC$441)</f>
        <v>237152</v>
      </c>
      <c r="BM49" s="68">
        <f t="shared" si="30"/>
        <v>0.2968431021227726</v>
      </c>
      <c r="BN49" s="28">
        <f t="shared" si="32"/>
        <v>0.57400150835494779</v>
      </c>
      <c r="BO49" s="28">
        <f t="shared" si="33"/>
        <v>0.11076498825451946</v>
      </c>
      <c r="BP49" s="60">
        <f t="shared" si="34"/>
        <v>1</v>
      </c>
    </row>
    <row r="50" spans="1:70">
      <c r="A50" s="21" t="s">
        <v>109</v>
      </c>
      <c r="B50" s="30" t="s">
        <v>43</v>
      </c>
      <c r="C50" s="410">
        <v>643307</v>
      </c>
      <c r="D50" s="410">
        <v>1843282</v>
      </c>
      <c r="E50" s="29">
        <f t="shared" si="36"/>
        <v>44</v>
      </c>
      <c r="F50" s="29">
        <f t="shared" si="37"/>
        <v>28</v>
      </c>
      <c r="G50" s="77">
        <f t="shared" si="18"/>
        <v>37</v>
      </c>
      <c r="H50" s="29">
        <f t="shared" si="19"/>
        <v>28</v>
      </c>
      <c r="I50" s="29">
        <f t="shared" si="20"/>
        <v>50</v>
      </c>
      <c r="J50" s="29">
        <f t="shared" si="21"/>
        <v>4</v>
      </c>
      <c r="K50" s="72">
        <f t="shared" si="22"/>
        <v>48</v>
      </c>
      <c r="L50" s="71">
        <f t="shared" si="38"/>
        <v>33.799999999999997</v>
      </c>
      <c r="M50" s="68">
        <f t="shared" si="23"/>
        <v>0.47088971797051737</v>
      </c>
      <c r="N50" s="37">
        <f>AVERAGE('Data By District'!V406:'Data By District'!V408)</f>
        <v>0.3532093784123676</v>
      </c>
      <c r="O50" s="33">
        <f t="shared" si="39"/>
        <v>0.66666666666666663</v>
      </c>
      <c r="P50" s="33">
        <f>SUMIF('Data By District'!$B$7:$B$441,B50,'Data By District'!$T$7:$T$441)/D50</f>
        <v>0.20233746111555367</v>
      </c>
      <c r="Q50" s="33">
        <f t="shared" si="40"/>
        <v>3.0350287299486273E-2</v>
      </c>
      <c r="R50" s="74">
        <f t="shared" si="41"/>
        <v>0.32091834022140941</v>
      </c>
      <c r="S50" s="73">
        <f t="shared" si="42"/>
        <v>3</v>
      </c>
      <c r="T50" s="29">
        <f>COUNTIF('Data By District'!$Z$7:$Z$441,$B50&amp;"-"&amp;T$6)</f>
        <v>1</v>
      </c>
      <c r="U50" s="29">
        <f>COUNTIF('Data By District'!$Z$7:$Z$441,$B50&amp;"-"&amp;U$6)</f>
        <v>0</v>
      </c>
      <c r="V50" s="29">
        <f>COUNTIF('Data By District'!$Z$7:$Z$441,$B50&amp;"-"&amp;V$6)</f>
        <v>0</v>
      </c>
      <c r="W50" s="29">
        <f>COUNTIF('Data By District'!$Z$7:$Z$441,$B50&amp;"-"&amp;W$6)</f>
        <v>0</v>
      </c>
      <c r="X50" s="29">
        <f>COUNTIF('Data By District'!$Z$7:$Z$441,$B50&amp;"-"&amp;X$6)-(Y50)</f>
        <v>2</v>
      </c>
      <c r="Y50" s="29">
        <f>COUNTIF('Data By District'!$X$7:$X$441,$B50&amp;"-"&amp;"Yes")</f>
        <v>0</v>
      </c>
      <c r="Z50" s="402">
        <f t="shared" si="43"/>
        <v>0</v>
      </c>
      <c r="AA50" s="404">
        <f>COUNTIF('Data By District'!$L$7:$L$441, $B50&amp;"-"&amp;1)</f>
        <v>0</v>
      </c>
      <c r="AB50" s="376">
        <f>COUNTIFS('Data By District'!$J$7:$J$441,$B50&amp;"-"&amp;"Yes",'Data By District'!$Z$7:$Z$441,$B50&amp;"-"&amp;X$6)+COUNTIFS('Data By District'!$J$7:$J$441,$B50&amp;"-"&amp;"Yes",'Data By District'!$Z$7:$Z$441,$B50&amp;"-"&amp;W$6)</f>
        <v>2</v>
      </c>
      <c r="AC50" s="373">
        <f t="shared" si="31"/>
        <v>0.66666666666666663</v>
      </c>
      <c r="AD50" s="377">
        <f>COUNTIF('Data By District'!$J$7:$J$441,$B50&amp;"-"&amp;"Yes")</f>
        <v>3</v>
      </c>
      <c r="AE50" s="377">
        <f t="shared" si="24"/>
        <v>0</v>
      </c>
      <c r="AF50" s="377">
        <f>COUNTIF('Data By District'!$I$7:$I$441,$B50&amp;"-"&amp;"Yes")</f>
        <v>3</v>
      </c>
      <c r="AG50" s="377">
        <f>COUNTIFS('Data By District'!$J$7:$J$441,$B50&amp;"-"&amp;"Yes",'Data By District'!$Y$7:$Y$441,$B50&amp;"-"&amp;"Dem")</f>
        <v>1</v>
      </c>
      <c r="AH50" s="377">
        <f>COUNTIFS('Data By District'!$J$7:$J$441,$B50&amp;"-"&amp;"Yes",'Data By District'!$Y$7:$Y$441,$B50&amp;"-"&amp;"Rep")</f>
        <v>2</v>
      </c>
      <c r="AI50" s="377">
        <f>COUNTIFS('Data By District'!$J$7:$J$441,$B50&amp;"-"&amp;"Yes",'Data By District'!$Y$7:$Y$441,$B50&amp;"-"&amp;"Dem",'Data By District'!$J$7:$J$441,$B50&amp;"-"&amp;"Yes",'Data By District'!$Z$7:$Z$441,$B50&amp;"-"&amp;W$6)+COUNTIFS('Data By District'!$J$7:$J$441,$B50&amp;"-"&amp;"Yes",'Data By District'!$Y$7:$Y$441,$B50&amp;"-"&amp;"Dem",'Data By District'!$J$7:$J$441,$B50&amp;"-"&amp;"Yes",'Data By District'!$Z$7:$Z$441,$B50&amp;"-"&amp;X$6)</f>
        <v>0</v>
      </c>
      <c r="AJ50" s="377">
        <f>COUNTIFS('Data By District'!$J$7:$J$441,$B50&amp;"-"&amp;"Yes",'Data By District'!$Y$7:$Y$441,$B50&amp;"-"&amp;"Rep",'Data By District'!$J$7:$J$441,$B50&amp;"-"&amp;"Yes",'Data By District'!$Z$7:$Z$441,$B50&amp;"-"&amp;W$6)+COUNTIFS('Data By District'!$J$7:$J$441,$B50&amp;"-"&amp;"Yes",'Data By District'!$Y$7:$Y$441,$B50&amp;"-"&amp;"Rep",'Data By District'!$J$7:$J$441,$B50&amp;"-"&amp;"Yes",'Data By District'!$Z$7:$Z$441,$B50&amp;"-"&amp;X$6)</f>
        <v>2</v>
      </c>
      <c r="AK50" s="376">
        <f>COUNTIF('Data By District'!$D$7:$D$441,$B50&amp;"-"&amp;"Yes")</f>
        <v>0</v>
      </c>
      <c r="AL50" s="377">
        <f>COUNTIF('Data By District'!$E$7:$E$441,$B50&amp;"-"&amp;"Yes")</f>
        <v>0</v>
      </c>
      <c r="AM50" s="377">
        <f>COUNTIF('Data By District'!$F$7:$F$441,$B50&amp;"-"&amp;"Yes")</f>
        <v>0</v>
      </c>
      <c r="AN50" s="377">
        <f>COUNTIF('Data By District'!$G$7:$G$441,$B50&amp;"-"&amp;"Yes")</f>
        <v>0</v>
      </c>
      <c r="AO50" s="377">
        <f>COUNTIF('Data By District'!$H$7:$H$441,$B50&amp;"-"&amp;"Yes")</f>
        <v>0</v>
      </c>
      <c r="AP50" s="74">
        <f t="shared" si="44"/>
        <v>8.0465469830112213E-2</v>
      </c>
      <c r="AQ50" s="60">
        <v>0.61602100220386702</v>
      </c>
      <c r="AR50" s="54">
        <f t="shared" si="25"/>
        <v>591543</v>
      </c>
      <c r="AS50" s="45">
        <f>SUMIF('Data By District'!$B$7:$B$441,$B50,'Data By District'!$O$7:$O$441)</f>
        <v>200842</v>
      </c>
      <c r="AT50" s="45">
        <f>SUMIF('Data By District'!$B$7:$B$441,$B50,'Data By District'!$P$7:$P$441)</f>
        <v>362116</v>
      </c>
      <c r="AU50" s="45">
        <f>SUMIF('Data By District'!$B$7:$B$441,$B50,'Data By District'!$Q$7:$Q$441)</f>
        <v>28585</v>
      </c>
      <c r="AV50" s="302">
        <f t="shared" si="45"/>
        <v>0.33952223253423675</v>
      </c>
      <c r="AW50" s="28">
        <f t="shared" si="46"/>
        <v>0.61215499126859751</v>
      </c>
      <c r="AX50" s="60">
        <f t="shared" si="47"/>
        <v>4.8322776197165719E-2</v>
      </c>
      <c r="AY50" s="29">
        <f>COUNTIF('Data By District'!$Y$7:$Y$441,$B50&amp;"-"&amp;AY$6)</f>
        <v>1</v>
      </c>
      <c r="AZ50" s="29">
        <f>COUNTIF('Data By District'!$Y$7:$Y$441,$B50&amp;"-"&amp;AZ$6)</f>
        <v>2</v>
      </c>
      <c r="BA50" s="29">
        <f>COUNTIF('Data By District'!$Y$7:$Y$441,$B50&amp;"-"&amp;BA$6)</f>
        <v>0</v>
      </c>
      <c r="BB50" s="298">
        <f t="shared" si="26"/>
        <v>0.33333333333333331</v>
      </c>
      <c r="BC50" s="28">
        <f t="shared" si="27"/>
        <v>0.66666666666666663</v>
      </c>
      <c r="BD50" s="60">
        <f t="shared" si="28"/>
        <v>0</v>
      </c>
      <c r="BE50" s="298">
        <f t="shared" si="48"/>
        <v>6.1888992009034305E-3</v>
      </c>
      <c r="BF50" s="28">
        <f t="shared" si="49"/>
        <v>5.4511675398069115E-2</v>
      </c>
      <c r="BG50" s="60">
        <f t="shared" si="50"/>
        <v>4.8322776197165719E-2</v>
      </c>
      <c r="BH50" s="54">
        <f t="shared" si="29"/>
        <v>372965</v>
      </c>
      <c r="BI50" s="45">
        <f>'Data By District'!AE408</f>
        <v>218578</v>
      </c>
      <c r="BJ50" s="45">
        <f>SUMIF('Data By District'!$B$7:$B$441,'Data By State'!$B50,'Data By District'!$AA$7:$AA$441)</f>
        <v>84323</v>
      </c>
      <c r="BK50" s="45">
        <f>SUMIF('Data By District'!$B$7:$B$441,'Data By State'!$B50,'Data By District'!$AB$7:$AB$441)</f>
        <v>105670</v>
      </c>
      <c r="BL50" s="54">
        <f>SUMIF('Data By District'!$B$7:$B$441,'Data By State'!$B50,'Data By District'!$AC$7:$AC$441)</f>
        <v>28585</v>
      </c>
      <c r="BM50" s="68">
        <f t="shared" si="30"/>
        <v>0.36950483734910228</v>
      </c>
      <c r="BN50" s="28">
        <f t="shared" si="32"/>
        <v>0.41984744226805149</v>
      </c>
      <c r="BO50" s="28">
        <f t="shared" si="33"/>
        <v>0.29181256834826408</v>
      </c>
      <c r="BP50" s="60">
        <f t="shared" si="34"/>
        <v>1</v>
      </c>
    </row>
    <row r="51" spans="1:70" s="82" customFormat="1">
      <c r="A51" s="85" t="s">
        <v>110</v>
      </c>
      <c r="B51" s="30" t="s">
        <v>44</v>
      </c>
      <c r="C51" s="410">
        <v>241605</v>
      </c>
      <c r="D51" s="410">
        <v>493696</v>
      </c>
      <c r="E51" s="172">
        <f t="shared" si="36"/>
        <v>26</v>
      </c>
      <c r="F51" s="172">
        <f t="shared" si="37"/>
        <v>44</v>
      </c>
      <c r="G51" s="173">
        <f t="shared" si="18"/>
        <v>34</v>
      </c>
      <c r="H51" s="172">
        <f t="shared" si="19"/>
        <v>44</v>
      </c>
      <c r="I51" s="172">
        <f t="shared" si="20"/>
        <v>6</v>
      </c>
      <c r="J51" s="172">
        <f t="shared" si="21"/>
        <v>38</v>
      </c>
      <c r="K51" s="173">
        <f t="shared" si="22"/>
        <v>12</v>
      </c>
      <c r="L51" s="174">
        <f t="shared" si="38"/>
        <v>25.6</v>
      </c>
      <c r="M51" s="175">
        <f t="shared" si="23"/>
        <v>0.38995199782021051</v>
      </c>
      <c r="N51" s="37">
        <f>('Data By District'!V409)</f>
        <v>0.336805419927173</v>
      </c>
      <c r="O51" s="177">
        <f t="shared" si="39"/>
        <v>1</v>
      </c>
      <c r="P51" s="177">
        <f>SUMIF('Data By District'!$B$7:$B$441,B51,'Data By District'!$T$7:$T$441)/D51</f>
        <v>0.31194500259268859</v>
      </c>
      <c r="Q51" s="33">
        <f t="shared" si="40"/>
        <v>0.33732459615715182</v>
      </c>
      <c r="R51" s="178">
        <f t="shared" si="41"/>
        <v>0.48313334521648948</v>
      </c>
      <c r="S51" s="173">
        <f t="shared" si="42"/>
        <v>1</v>
      </c>
      <c r="T51" s="173">
        <f>COUNTIF('Data By District'!$Z$7:$Z$441,$B51&amp;"-"&amp;T$6)</f>
        <v>0</v>
      </c>
      <c r="U51" s="172">
        <f>COUNTIF('Data By District'!$Z$7:$Z$441,$B51&amp;"-"&amp;U$6)</f>
        <v>0</v>
      </c>
      <c r="V51" s="172">
        <f>COUNTIF('Data By District'!$Z$7:$Z$441,$B51&amp;"-"&amp;V$6)</f>
        <v>0</v>
      </c>
      <c r="W51" s="172">
        <f>COUNTIF('Data By District'!$Z$7:$Z$441,$B51&amp;"-"&amp;W$6)</f>
        <v>1</v>
      </c>
      <c r="X51" s="172">
        <f>COUNTIF('Data By District'!$Z$7:$Z$441,$B51&amp;"-"&amp;X$6)-(Y51)</f>
        <v>0</v>
      </c>
      <c r="Y51" s="172">
        <f>COUNTIF('Data By District'!$X$7:$X$441,$B51&amp;"-"&amp;"Yes")</f>
        <v>0</v>
      </c>
      <c r="Z51" s="403">
        <f t="shared" si="43"/>
        <v>0</v>
      </c>
      <c r="AA51" s="404">
        <f>COUNTIF('Data By District'!$L$7:$L$441, $B51&amp;"-"&amp;1)</f>
        <v>0</v>
      </c>
      <c r="AB51" s="376">
        <f>COUNTIFS('Data By District'!$J$7:$J$441,$B51&amp;"-"&amp;"Yes",'Data By District'!$Z$7:$Z$441,$B51&amp;"-"&amp;X$6)+COUNTIFS('Data By District'!$J$7:$J$441,$B51&amp;"-"&amp;"Yes",'Data By District'!$Z$7:$Z$441,$B51&amp;"-"&amp;W$6)</f>
        <v>1</v>
      </c>
      <c r="AC51" s="373">
        <f t="shared" si="31"/>
        <v>1</v>
      </c>
      <c r="AD51" s="377">
        <f>COUNTIF('Data By District'!$J$7:$J$441,$B51&amp;"-"&amp;"Yes")</f>
        <v>1</v>
      </c>
      <c r="AE51" s="377">
        <f t="shared" si="24"/>
        <v>0</v>
      </c>
      <c r="AF51" s="377">
        <f>COUNTIF('Data By District'!$I$7:$I$441,$B51&amp;"-"&amp;"Yes")</f>
        <v>1</v>
      </c>
      <c r="AG51" s="377">
        <f>COUNTIFS('Data By District'!$J$7:$J$441,$B51&amp;"-"&amp;"Yes",'Data By District'!$Y$7:$Y$441,$B51&amp;"-"&amp;"Dem")</f>
        <v>1</v>
      </c>
      <c r="AH51" s="377">
        <f>COUNTIFS('Data By District'!$J$7:$J$441,$B51&amp;"-"&amp;"Yes",'Data By District'!$Y$7:$Y$441,$B51&amp;"-"&amp;"Rep")</f>
        <v>0</v>
      </c>
      <c r="AI51" s="377">
        <f>COUNTIFS('Data By District'!$J$7:$J$441,$B51&amp;"-"&amp;"Yes",'Data By District'!$Y$7:$Y$441,$B51&amp;"-"&amp;"Dem",'Data By District'!$J$7:$J$441,$B51&amp;"-"&amp;"Yes",'Data By District'!$Z$7:$Z$441,$B51&amp;"-"&amp;W$6)+COUNTIFS('Data By District'!$J$7:$J$441,$B51&amp;"-"&amp;"Yes",'Data By District'!$Y$7:$Y$441,$B51&amp;"-"&amp;"Dem",'Data By District'!$J$7:$J$441,$B51&amp;"-"&amp;"Yes",'Data By District'!$Z$7:$Z$441,$B51&amp;"-"&amp;X$6)</f>
        <v>1</v>
      </c>
      <c r="AJ51" s="377">
        <f>COUNTIFS('Data By District'!$J$7:$J$441,$B51&amp;"-"&amp;"Yes",'Data By District'!$Y$7:$Y$441,$B51&amp;"-"&amp;"Rep",'Data By District'!$J$7:$J$441,$B51&amp;"-"&amp;"Yes",'Data By District'!$Z$7:$Z$441,$B51&amp;"-"&amp;W$6)+COUNTIFS('Data By District'!$J$7:$J$441,$B51&amp;"-"&amp;"Yes",'Data By District'!$Y$7:$Y$441,$B51&amp;"-"&amp;"Rep",'Data By District'!$J$7:$J$441,$B51&amp;"-"&amp;"Yes",'Data By District'!$Z$7:$Z$441,$B51&amp;"-"&amp;X$6)</f>
        <v>0</v>
      </c>
      <c r="AK51" s="376">
        <f>COUNTIF('Data By District'!$D$7:$D$441,$B51&amp;"-"&amp;"Yes")</f>
        <v>0</v>
      </c>
      <c r="AL51" s="377">
        <f>COUNTIF('Data By District'!$E$7:$E$441,$B51&amp;"-"&amp;"Yes")</f>
        <v>0</v>
      </c>
      <c r="AM51" s="377">
        <f>COUNTIF('Data By District'!$F$7:$F$441,$B51&amp;"-"&amp;"Yes")</f>
        <v>0</v>
      </c>
      <c r="AN51" s="377">
        <f>COUNTIF('Data By District'!$G$7:$G$441,$B51&amp;"-"&amp;"Yes")</f>
        <v>0</v>
      </c>
      <c r="AO51" s="377">
        <f>COUNTIF('Data By District'!$H$7:$H$441,$B51&amp;"-"&amp;"Yes")</f>
        <v>0</v>
      </c>
      <c r="AP51" s="380">
        <f t="shared" si="44"/>
        <v>1.2764636493450053E-2</v>
      </c>
      <c r="AQ51" s="300">
        <v>0.67465115669097209</v>
      </c>
      <c r="AR51" s="54">
        <f t="shared" si="25"/>
        <v>238521</v>
      </c>
      <c r="AS51" s="180">
        <f>SUMIF('Data By District'!$B$7:$B$441,$B51,'Data By District'!$O$7:$O$441)</f>
        <v>154006</v>
      </c>
      <c r="AT51" s="180">
        <f>SUMIF('Data By District'!$B$7:$B$441,$B51,'Data By District'!$P$7:$P$441)</f>
        <v>76403</v>
      </c>
      <c r="AU51" s="180">
        <f>SUMIF('Data By District'!$B$7:$B$441,$B51,'Data By District'!$Q$7:$Q$441)</f>
        <v>8112</v>
      </c>
      <c r="AV51" s="178">
        <f t="shared" si="45"/>
        <v>0.64567061181195784</v>
      </c>
      <c r="AW51" s="181">
        <f t="shared" si="46"/>
        <v>0.32031980412626143</v>
      </c>
      <c r="AX51" s="300">
        <f t="shared" si="47"/>
        <v>3.4009584061780722E-2</v>
      </c>
      <c r="AY51" s="172">
        <f>COUNTIF('Data By District'!$Y$7:$Y$441,$B51&amp;"-"&amp;AY$6)</f>
        <v>1</v>
      </c>
      <c r="AZ51" s="172">
        <f>COUNTIF('Data By District'!$Y$7:$Y$441,$B51&amp;"-"&amp;AZ$6)</f>
        <v>0</v>
      </c>
      <c r="BA51" s="172">
        <f>COUNTIF('Data By District'!$Y$7:$Y$441,$B51&amp;"-"&amp;BA$6)</f>
        <v>0</v>
      </c>
      <c r="BB51" s="299">
        <f t="shared" si="26"/>
        <v>1</v>
      </c>
      <c r="BC51" s="181">
        <f t="shared" si="27"/>
        <v>0</v>
      </c>
      <c r="BD51" s="300">
        <f t="shared" si="28"/>
        <v>0</v>
      </c>
      <c r="BE51" s="299">
        <f t="shared" si="48"/>
        <v>0.35432938818804216</v>
      </c>
      <c r="BF51" s="181">
        <f t="shared" si="49"/>
        <v>0.32031980412626143</v>
      </c>
      <c r="BG51" s="300">
        <f t="shared" si="50"/>
        <v>3.4009584061780722E-2</v>
      </c>
      <c r="BH51" s="54">
        <f t="shared" si="29"/>
        <v>158839</v>
      </c>
      <c r="BI51" s="180">
        <f>'Data By District'!AE409</f>
        <v>79682</v>
      </c>
      <c r="BJ51" s="180">
        <f>SUMIF('Data By District'!$B$7:$B$441,'Data By State'!$B51,'Data By District'!$AA$7:$AA$441)</f>
        <v>0</v>
      </c>
      <c r="BK51" s="180">
        <f>SUMIF('Data By District'!$B$7:$B$441,'Data By State'!$B51,'Data By District'!$AB$7:$AB$441)</f>
        <v>76403</v>
      </c>
      <c r="BL51" s="180">
        <f>SUMIF('Data By District'!$B$7:$B$441,'Data By State'!$B51,'Data By District'!$AC$7:$AC$441)</f>
        <v>3279</v>
      </c>
      <c r="BM51" s="182">
        <f t="shared" si="30"/>
        <v>0.33406702135241761</v>
      </c>
      <c r="BN51" s="181">
        <f t="shared" si="32"/>
        <v>0</v>
      </c>
      <c r="BO51" s="181">
        <f t="shared" si="33"/>
        <v>1</v>
      </c>
      <c r="BP51" s="179">
        <f t="shared" si="34"/>
        <v>0.40421597633136097</v>
      </c>
      <c r="BQ51" s="130"/>
      <c r="BR51" s="81"/>
    </row>
    <row r="52" spans="1:70">
      <c r="A52" s="21" t="s">
        <v>111</v>
      </c>
      <c r="B52" s="30" t="s">
        <v>45</v>
      </c>
      <c r="C52" s="410">
        <v>2189841</v>
      </c>
      <c r="D52" s="410">
        <v>5689910</v>
      </c>
      <c r="E52" s="29">
        <f t="shared" si="36"/>
        <v>40</v>
      </c>
      <c r="F52" s="29">
        <f t="shared" si="37"/>
        <v>27</v>
      </c>
      <c r="G52" s="77">
        <f t="shared" si="18"/>
        <v>24</v>
      </c>
      <c r="H52" s="29">
        <f t="shared" si="19"/>
        <v>27</v>
      </c>
      <c r="I52" s="29">
        <f t="shared" si="20"/>
        <v>38</v>
      </c>
      <c r="J52" s="29">
        <f t="shared" si="21"/>
        <v>29</v>
      </c>
      <c r="K52" s="72">
        <f t="shared" si="22"/>
        <v>37</v>
      </c>
      <c r="L52" s="71">
        <f t="shared" si="38"/>
        <v>31.2</v>
      </c>
      <c r="M52" s="68">
        <f t="shared" si="23"/>
        <v>0.47709237826300316</v>
      </c>
      <c r="N52" s="37">
        <f>AVERAGE('Data By District'!V410:'Data By District'!V420)</f>
        <v>0.27152927019257245</v>
      </c>
      <c r="O52" s="33">
        <f t="shared" si="39"/>
        <v>0.63636363636363635</v>
      </c>
      <c r="P52" s="33">
        <f>SUMIF('Data By District'!$B$7:$B$441,B52,'Data By District'!$T$7:$T$441)/D52</f>
        <v>0.22892084409067981</v>
      </c>
      <c r="Q52" s="33">
        <f t="shared" si="40"/>
        <v>0.16448689031013505</v>
      </c>
      <c r="R52" s="74">
        <f t="shared" si="41"/>
        <v>0.38486390821647443</v>
      </c>
      <c r="S52" s="73">
        <f t="shared" si="42"/>
        <v>11</v>
      </c>
      <c r="T52" s="29">
        <f>COUNTIF('Data By District'!$Z$7:$Z$441,$B52&amp;"-"&amp;T$6)</f>
        <v>3</v>
      </c>
      <c r="U52" s="29">
        <f>COUNTIF('Data By District'!$Z$7:$Z$441,$B52&amp;"-"&amp;U$6)</f>
        <v>0</v>
      </c>
      <c r="V52" s="29">
        <f>COUNTIF('Data By District'!$Z$7:$Z$441,$B52&amp;"-"&amp;V$6)</f>
        <v>1</v>
      </c>
      <c r="W52" s="29">
        <f>COUNTIF('Data By District'!$Z$7:$Z$441,$B52&amp;"-"&amp;W$6)</f>
        <v>5</v>
      </c>
      <c r="X52" s="29">
        <f>COUNTIF('Data By District'!$Z$7:$Z$441,$B52&amp;"-"&amp;X$6)-(Y52)</f>
        <v>1</v>
      </c>
      <c r="Y52" s="29">
        <f>COUNTIF('Data By District'!$X$7:$X$441,$B52&amp;"-"&amp;"Yes")</f>
        <v>1</v>
      </c>
      <c r="Z52" s="402">
        <f t="shared" si="43"/>
        <v>9.0909090909090912E-2</v>
      </c>
      <c r="AA52" s="404">
        <f>COUNTIF('Data By District'!$L$7:$L$441, $B52&amp;"-"&amp;1)</f>
        <v>3</v>
      </c>
      <c r="AB52" s="376">
        <f>COUNTIFS('Data By District'!$J$7:$J$441,$B52&amp;"-"&amp;"Yes",'Data By District'!$Z$7:$Z$441,$B52&amp;"-"&amp;X$6)+COUNTIFS('Data By District'!$J$7:$J$441,$B52&amp;"-"&amp;"Yes",'Data By District'!$Z$7:$Z$441,$B52&amp;"-"&amp;W$6)</f>
        <v>7</v>
      </c>
      <c r="AC52" s="373">
        <f t="shared" si="31"/>
        <v>0.875</v>
      </c>
      <c r="AD52" s="377">
        <f>COUNTIF('Data By District'!$J$7:$J$441,$B52&amp;"-"&amp;"Yes")</f>
        <v>8</v>
      </c>
      <c r="AE52" s="377">
        <f t="shared" si="24"/>
        <v>3</v>
      </c>
      <c r="AF52" s="377">
        <f>COUNTIF('Data By District'!$I$7:$I$441,$B52&amp;"-"&amp;"Yes")</f>
        <v>11</v>
      </c>
      <c r="AG52" s="377">
        <f>COUNTIFS('Data By District'!$J$7:$J$441,$B52&amp;"-"&amp;"Yes",'Data By District'!$Y$7:$Y$441,$B52&amp;"-"&amp;"Dem")</f>
        <v>3</v>
      </c>
      <c r="AH52" s="377">
        <f>COUNTIFS('Data By District'!$J$7:$J$441,$B52&amp;"-"&amp;"Yes",'Data By District'!$Y$7:$Y$441,$B52&amp;"-"&amp;"Rep")</f>
        <v>5</v>
      </c>
      <c r="AI52" s="377">
        <f>COUNTIFS('Data By District'!$J$7:$J$441,$B52&amp;"-"&amp;"Yes",'Data By District'!$Y$7:$Y$441,$B52&amp;"-"&amp;"Dem",'Data By District'!$J$7:$J$441,$B52&amp;"-"&amp;"Yes",'Data By District'!$Z$7:$Z$441,$B52&amp;"-"&amp;W$6)+COUNTIFS('Data By District'!$J$7:$J$441,$B52&amp;"-"&amp;"Yes",'Data By District'!$Y$7:$Y$441,$B52&amp;"-"&amp;"Dem",'Data By District'!$J$7:$J$441,$B52&amp;"-"&amp;"Yes",'Data By District'!$Z$7:$Z$441,$B52&amp;"-"&amp;X$6)</f>
        <v>2</v>
      </c>
      <c r="AJ52" s="377">
        <f>COUNTIFS('Data By District'!$J$7:$J$441,$B52&amp;"-"&amp;"Yes",'Data By District'!$Y$7:$Y$441,$B52&amp;"-"&amp;"Rep",'Data By District'!$J$7:$J$441,$B52&amp;"-"&amp;"Yes",'Data By District'!$Z$7:$Z$441,$B52&amp;"-"&amp;W$6)+COUNTIFS('Data By District'!$J$7:$J$441,$B52&amp;"-"&amp;"Yes",'Data By District'!$Y$7:$Y$441,$B52&amp;"-"&amp;"Rep",'Data By District'!$J$7:$J$441,$B52&amp;"-"&amp;"Yes",'Data By District'!$Z$7:$Z$441,$B52&amp;"-"&amp;X$6)</f>
        <v>5</v>
      </c>
      <c r="AK52" s="376">
        <f>COUNTIF('Data By District'!$D$7:$D$441,$B52&amp;"-"&amp;"Yes")</f>
        <v>0</v>
      </c>
      <c r="AL52" s="377">
        <f>COUNTIF('Data By District'!$E$7:$E$441,$B52&amp;"-"&amp;"Yes")</f>
        <v>1</v>
      </c>
      <c r="AM52" s="377">
        <f>COUNTIF('Data By District'!$F$7:$F$441,$B52&amp;"-"&amp;"Yes")</f>
        <v>0</v>
      </c>
      <c r="AN52" s="377">
        <f>COUNTIF('Data By District'!$G$7:$G$441,$B52&amp;"-"&amp;"Yes")</f>
        <v>1</v>
      </c>
      <c r="AO52" s="377">
        <f>COUNTIF('Data By District'!$H$7:$H$441,$B52&amp;"-"&amp;"Yes")</f>
        <v>0</v>
      </c>
      <c r="AP52" s="74">
        <f t="shared" si="44"/>
        <v>0</v>
      </c>
      <c r="AQ52" s="60">
        <v>0.67373211846710079</v>
      </c>
      <c r="AR52" s="54">
        <f t="shared" si="25"/>
        <v>2189841</v>
      </c>
      <c r="AS52" s="45">
        <f>SUMIF('Data By District'!$B$7:$B$441,$B52,'Data By District'!$O$7:$O$441)</f>
        <v>911116</v>
      </c>
      <c r="AT52" s="45">
        <f>SUMIF('Data By District'!$B$7:$B$441,$B52,'Data By District'!$P$7:$P$441)</f>
        <v>1186098</v>
      </c>
      <c r="AU52" s="45">
        <f>SUMIF('Data By District'!$B$7:$B$441,$B52,'Data By District'!$Q$7:$Q$441)</f>
        <v>92627</v>
      </c>
      <c r="AV52" s="302">
        <f t="shared" si="45"/>
        <v>0.416064910648764</v>
      </c>
      <c r="AW52" s="28">
        <f t="shared" si="46"/>
        <v>0.54163658457394848</v>
      </c>
      <c r="AX52" s="60">
        <f t="shared" si="47"/>
        <v>4.2298504777287485E-2</v>
      </c>
      <c r="AY52" s="29">
        <f>COUNTIF('Data By District'!$Y$7:$Y$441,$B52&amp;"-"&amp;AY$6)</f>
        <v>3</v>
      </c>
      <c r="AZ52" s="29">
        <f>COUNTIF('Data By District'!$Y$7:$Y$441,$B52&amp;"-"&amp;AZ$6)</f>
        <v>8</v>
      </c>
      <c r="BA52" s="29">
        <f>COUNTIF('Data By District'!$Y$7:$Y$441,$B52&amp;"-"&amp;BA$6)</f>
        <v>0</v>
      </c>
      <c r="BB52" s="298">
        <f t="shared" si="26"/>
        <v>0.27272727272727271</v>
      </c>
      <c r="BC52" s="28">
        <f t="shared" si="27"/>
        <v>0.72727272727272729</v>
      </c>
      <c r="BD52" s="60">
        <f t="shared" si="28"/>
        <v>0</v>
      </c>
      <c r="BE52" s="298">
        <f t="shared" si="48"/>
        <v>0.14333763792149129</v>
      </c>
      <c r="BF52" s="28">
        <f t="shared" si="49"/>
        <v>0.18563614269877882</v>
      </c>
      <c r="BG52" s="60">
        <f t="shared" si="50"/>
        <v>4.2298504777287485E-2</v>
      </c>
      <c r="BH52" s="54">
        <f t="shared" si="29"/>
        <v>1302539</v>
      </c>
      <c r="BI52" s="45">
        <f>'Data By District'!AE420</f>
        <v>887302</v>
      </c>
      <c r="BJ52" s="45">
        <f>SUMIF('Data By District'!$B$7:$B$441,'Data By State'!$B52,'Data By District'!$AA$7:$AA$441)</f>
        <v>568238</v>
      </c>
      <c r="BK52" s="45">
        <f>SUMIF('Data By District'!$B$7:$B$441,'Data By State'!$B52,'Data By District'!$AB$7:$AB$441)</f>
        <v>226437</v>
      </c>
      <c r="BL52" s="54">
        <f>SUMIF('Data By District'!$B$7:$B$441,'Data By State'!$B52,'Data By District'!$AC$7:$AC$441)</f>
        <v>92627</v>
      </c>
      <c r="BM52" s="68">
        <f t="shared" si="30"/>
        <v>0.40519014850849899</v>
      </c>
      <c r="BN52" s="28">
        <f t="shared" si="32"/>
        <v>0.62367250712313249</v>
      </c>
      <c r="BO52" s="28">
        <f t="shared" si="33"/>
        <v>0.19090918288370776</v>
      </c>
      <c r="BP52" s="60">
        <f t="shared" si="34"/>
        <v>1</v>
      </c>
    </row>
    <row r="53" spans="1:70">
      <c r="A53" s="21" t="s">
        <v>112</v>
      </c>
      <c r="B53" s="30" t="s">
        <v>46</v>
      </c>
      <c r="C53" s="410">
        <v>2511094</v>
      </c>
      <c r="D53" s="410">
        <v>4728332</v>
      </c>
      <c r="E53" s="29">
        <f t="shared" si="36"/>
        <v>1</v>
      </c>
      <c r="F53" s="29">
        <f t="shared" si="37"/>
        <v>3</v>
      </c>
      <c r="G53" s="77">
        <f t="shared" si="18"/>
        <v>18</v>
      </c>
      <c r="H53" s="29">
        <f t="shared" si="19"/>
        <v>7</v>
      </c>
      <c r="I53" s="29">
        <f t="shared" si="20"/>
        <v>4</v>
      </c>
      <c r="J53" s="29">
        <f t="shared" si="21"/>
        <v>2</v>
      </c>
      <c r="K53" s="72">
        <f t="shared" si="22"/>
        <v>5</v>
      </c>
      <c r="L53" s="71">
        <f t="shared" si="38"/>
        <v>7</v>
      </c>
      <c r="M53" s="68">
        <f t="shared" si="23"/>
        <v>0.60630438315549706</v>
      </c>
      <c r="N53" s="37">
        <f>AVERAGE('Data By District'!V421:'Data By District'!V429)</f>
        <v>0.23991615591632171</v>
      </c>
      <c r="O53" s="33">
        <f t="shared" si="39"/>
        <v>0.33333333333333331</v>
      </c>
      <c r="P53" s="33">
        <f>SUMIF('Data By District'!$B$7:$B$441,B53,'Data By District'!$T$7:$T$441)/D53</f>
        <v>0.31389589394314948</v>
      </c>
      <c r="Q53" s="33">
        <f t="shared" si="40"/>
        <v>2.3020382859159E-2</v>
      </c>
      <c r="R53" s="74">
        <f t="shared" si="41"/>
        <v>0.5243728655263632</v>
      </c>
      <c r="S53" s="73">
        <f t="shared" si="42"/>
        <v>9</v>
      </c>
      <c r="T53" s="29">
        <f>COUNTIF('Data By District'!$Z$7:$Z$441,$B53&amp;"-"&amp;T$6)</f>
        <v>2</v>
      </c>
      <c r="U53" s="29">
        <f>COUNTIF('Data By District'!$Z$7:$Z$441,$B53&amp;"-"&amp;U$6)</f>
        <v>2</v>
      </c>
      <c r="V53" s="29">
        <f>COUNTIF('Data By District'!$Z$7:$Z$441,$B53&amp;"-"&amp;V$6)</f>
        <v>2</v>
      </c>
      <c r="W53" s="29">
        <f>COUNTIF('Data By District'!$Z$7:$Z$441,$B53&amp;"-"&amp;W$6)</f>
        <v>2</v>
      </c>
      <c r="X53" s="29">
        <f>COUNTIF('Data By District'!$Z$7:$Z$441,$B53&amp;"-"&amp;X$6)-(Y53)</f>
        <v>0</v>
      </c>
      <c r="Y53" s="29">
        <f>COUNTIF('Data By District'!$X$7:$X$441,$B53&amp;"-"&amp;"Yes")</f>
        <v>1</v>
      </c>
      <c r="Z53" s="402">
        <f t="shared" si="43"/>
        <v>0.1111111111111111</v>
      </c>
      <c r="AA53" s="404">
        <f>COUNTIF('Data By District'!$L$7:$L$441, $B53&amp;"-"&amp;1)</f>
        <v>1</v>
      </c>
      <c r="AB53" s="376">
        <f>COUNTIFS('Data By District'!$J$7:$J$441,$B53&amp;"-"&amp;"Yes",'Data By District'!$Z$7:$Z$441,$B53&amp;"-"&amp;X$6)+COUNTIFS('Data By District'!$J$7:$J$441,$B53&amp;"-"&amp;"Yes",'Data By District'!$Z$7:$Z$441,$B53&amp;"-"&amp;W$6)</f>
        <v>3</v>
      </c>
      <c r="AC53" s="373">
        <f t="shared" si="31"/>
        <v>0.375</v>
      </c>
      <c r="AD53" s="377">
        <f>COUNTIF('Data By District'!$J$7:$J$441,$B53&amp;"-"&amp;"Yes")</f>
        <v>8</v>
      </c>
      <c r="AE53" s="377">
        <f t="shared" si="24"/>
        <v>0</v>
      </c>
      <c r="AF53" s="377">
        <f>COUNTIF('Data By District'!$I$7:$I$441,$B53&amp;"-"&amp;"Yes")</f>
        <v>8</v>
      </c>
      <c r="AG53" s="377">
        <f>COUNTIFS('Data By District'!$J$7:$J$441,$B53&amp;"-"&amp;"Yes",'Data By District'!$Y$7:$Y$441,$B53&amp;"-"&amp;"Dem")</f>
        <v>5</v>
      </c>
      <c r="AH53" s="377">
        <f>COUNTIFS('Data By District'!$J$7:$J$441,$B53&amp;"-"&amp;"Yes",'Data By District'!$Y$7:$Y$441,$B53&amp;"-"&amp;"Rep")</f>
        <v>3</v>
      </c>
      <c r="AI53" s="377">
        <f>COUNTIFS('Data By District'!$J$7:$J$441,$B53&amp;"-"&amp;"Yes",'Data By District'!$Y$7:$Y$441,$B53&amp;"-"&amp;"Dem",'Data By District'!$J$7:$J$441,$B53&amp;"-"&amp;"Yes",'Data By District'!$Z$7:$Z$441,$B53&amp;"-"&amp;W$6)+COUNTIFS('Data By District'!$J$7:$J$441,$B53&amp;"-"&amp;"Yes",'Data By District'!$Y$7:$Y$441,$B53&amp;"-"&amp;"Dem",'Data By District'!$J$7:$J$441,$B53&amp;"-"&amp;"Yes",'Data By District'!$Z$7:$Z$441,$B53&amp;"-"&amp;X$6)</f>
        <v>1</v>
      </c>
      <c r="AJ53" s="377">
        <f>COUNTIFS('Data By District'!$J$7:$J$441,$B53&amp;"-"&amp;"Yes",'Data By District'!$Y$7:$Y$441,$B53&amp;"-"&amp;"Rep",'Data By District'!$J$7:$J$441,$B53&amp;"-"&amp;"Yes",'Data By District'!$Z$7:$Z$441,$B53&amp;"-"&amp;W$6)+COUNTIFS('Data By District'!$J$7:$J$441,$B53&amp;"-"&amp;"Yes",'Data By District'!$Y$7:$Y$441,$B53&amp;"-"&amp;"Rep",'Data By District'!$J$7:$J$441,$B53&amp;"-"&amp;"Yes",'Data By District'!$Z$7:$Z$441,$B53&amp;"-"&amp;X$6)</f>
        <v>2</v>
      </c>
      <c r="AK53" s="376">
        <f>COUNTIF('Data By District'!$D$7:$D$441,$B53&amp;"-"&amp;"Yes")</f>
        <v>2</v>
      </c>
      <c r="AL53" s="377">
        <f>COUNTIF('Data By District'!$E$7:$E$441,$B53&amp;"-"&amp;"Yes")</f>
        <v>0</v>
      </c>
      <c r="AM53" s="377">
        <f>COUNTIF('Data By District'!$F$7:$F$441,$B53&amp;"-"&amp;"Yes")</f>
        <v>1</v>
      </c>
      <c r="AN53" s="377">
        <f>COUNTIF('Data By District'!$G$7:$G$441,$B53&amp;"-"&amp;"Yes")</f>
        <v>0</v>
      </c>
      <c r="AO53" s="377">
        <f>COUNTIF('Data By District'!$H$7:$H$441,$B53&amp;"-"&amp;"Yes")</f>
        <v>0</v>
      </c>
      <c r="AP53" s="74">
        <f t="shared" si="44"/>
        <v>1.2618006335087415E-2</v>
      </c>
      <c r="AQ53" s="60">
        <v>0.63930849690200897</v>
      </c>
      <c r="AR53" s="54">
        <f t="shared" si="25"/>
        <v>2479409</v>
      </c>
      <c r="AS53" s="45">
        <f>SUMIF('Data By District'!$B$7:$B$441,$B53,'Data By District'!$O$7:$O$441)</f>
        <v>1296502</v>
      </c>
      <c r="AT53" s="45">
        <f>SUMIF('Data By District'!$B$7:$B$441,$B53,'Data By District'!$P$7:$P$441)</f>
        <v>1135166</v>
      </c>
      <c r="AU53" s="45">
        <f>SUMIF('Data By District'!$B$7:$B$441,$B53,'Data By District'!$Q$7:$Q$441)</f>
        <v>47741</v>
      </c>
      <c r="AV53" s="302">
        <f t="shared" si="45"/>
        <v>0.52290767678910577</v>
      </c>
      <c r="AW53" s="28">
        <f t="shared" si="46"/>
        <v>0.45783733139631261</v>
      </c>
      <c r="AX53" s="60">
        <f t="shared" si="47"/>
        <v>1.925499181458162E-2</v>
      </c>
      <c r="AY53" s="29">
        <f>COUNTIF('Data By District'!$Y$7:$Y$441,$B53&amp;"-"&amp;AY$6)</f>
        <v>5</v>
      </c>
      <c r="AZ53" s="29">
        <f>COUNTIF('Data By District'!$Y$7:$Y$441,$B53&amp;"-"&amp;AZ$6)</f>
        <v>4</v>
      </c>
      <c r="BA53" s="29">
        <f>COUNTIF('Data By District'!$Y$7:$Y$441,$B53&amp;"-"&amp;BA$6)</f>
        <v>0</v>
      </c>
      <c r="BB53" s="298">
        <f t="shared" si="26"/>
        <v>0.55555555555555558</v>
      </c>
      <c r="BC53" s="28">
        <f t="shared" si="27"/>
        <v>0.44444444444444442</v>
      </c>
      <c r="BD53" s="60">
        <f t="shared" si="28"/>
        <v>0</v>
      </c>
      <c r="BE53" s="298">
        <f t="shared" si="48"/>
        <v>3.2647878766449812E-2</v>
      </c>
      <c r="BF53" s="28">
        <f t="shared" si="49"/>
        <v>1.3392886951868188E-2</v>
      </c>
      <c r="BG53" s="60">
        <f t="shared" si="50"/>
        <v>1.925499181458162E-2</v>
      </c>
      <c r="BH53" s="54">
        <f t="shared" si="29"/>
        <v>1484204</v>
      </c>
      <c r="BI53" s="45">
        <f>'Data By District'!AE429</f>
        <v>995205</v>
      </c>
      <c r="BJ53" s="45">
        <f>SUMIF('Data By District'!$B$7:$B$441,'Data By State'!$B53,'Data By District'!$AA$7:$AA$441)</f>
        <v>460354</v>
      </c>
      <c r="BK53" s="45">
        <f>SUMIF('Data By District'!$B$7:$B$441,'Data By State'!$B53,'Data By District'!$AB$7:$AB$441)</f>
        <v>487110</v>
      </c>
      <c r="BL53" s="54">
        <f>SUMIF('Data By District'!$B$7:$B$441,'Data By State'!$B53,'Data By District'!$AC$7:$AC$441)</f>
        <v>47741</v>
      </c>
      <c r="BM53" s="68">
        <f t="shared" si="30"/>
        <v>0.40138799205778475</v>
      </c>
      <c r="BN53" s="28">
        <f t="shared" si="32"/>
        <v>0.35507388341861407</v>
      </c>
      <c r="BO53" s="28">
        <f t="shared" si="33"/>
        <v>0.42910904660639942</v>
      </c>
      <c r="BP53" s="60">
        <f t="shared" si="34"/>
        <v>1</v>
      </c>
    </row>
    <row r="54" spans="1:70">
      <c r="A54" s="21" t="s">
        <v>113</v>
      </c>
      <c r="B54" s="30" t="s">
        <v>47</v>
      </c>
      <c r="C54" s="410">
        <v>529948</v>
      </c>
      <c r="D54" s="410">
        <v>1418691</v>
      </c>
      <c r="E54" s="29">
        <f t="shared" si="36"/>
        <v>28</v>
      </c>
      <c r="F54" s="29">
        <f t="shared" si="37"/>
        <v>11</v>
      </c>
      <c r="G54" s="77">
        <f t="shared" si="18"/>
        <v>8</v>
      </c>
      <c r="H54" s="29">
        <f t="shared" si="19"/>
        <v>7</v>
      </c>
      <c r="I54" s="29">
        <f t="shared" si="20"/>
        <v>48</v>
      </c>
      <c r="J54" s="29">
        <f t="shared" si="21"/>
        <v>19</v>
      </c>
      <c r="K54" s="72">
        <f t="shared" si="22"/>
        <v>44</v>
      </c>
      <c r="L54" s="71">
        <f t="shared" si="38"/>
        <v>26</v>
      </c>
      <c r="M54" s="68">
        <f t="shared" si="23"/>
        <v>0.56071782231798017</v>
      </c>
      <c r="N54" s="37">
        <f>AVERAGE('Data By District'!V430:'Data By District'!V432)</f>
        <v>0.17458556529112546</v>
      </c>
      <c r="O54" s="33">
        <f t="shared" si="39"/>
        <v>0.33333333333333331</v>
      </c>
      <c r="P54" s="33">
        <f>SUMIF('Data By District'!$B$7:$B$441,B54,'Data By District'!$T$7:$T$441)/D54</f>
        <v>0.21224494974592775</v>
      </c>
      <c r="Q54" s="33">
        <f t="shared" si="40"/>
        <v>0.11298188927749578</v>
      </c>
      <c r="R54" s="74">
        <f t="shared" si="41"/>
        <v>0.36256873413590418</v>
      </c>
      <c r="S54" s="73">
        <f t="shared" si="42"/>
        <v>3</v>
      </c>
      <c r="T54" s="29">
        <f>COUNTIF('Data By District'!$Z$7:$Z$441,$B54&amp;"-"&amp;T$6)</f>
        <v>1</v>
      </c>
      <c r="U54" s="29">
        <f>COUNTIF('Data By District'!$Z$7:$Z$441,$B54&amp;"-"&amp;U$6)</f>
        <v>0</v>
      </c>
      <c r="V54" s="29">
        <f>COUNTIF('Data By District'!$Z$7:$Z$441,$B54&amp;"-"&amp;V$6)</f>
        <v>1</v>
      </c>
      <c r="W54" s="29">
        <f>COUNTIF('Data By District'!$Z$7:$Z$441,$B54&amp;"-"&amp;W$6)</f>
        <v>1</v>
      </c>
      <c r="X54" s="29">
        <f>COUNTIF('Data By District'!$Z$7:$Z$441,$B54&amp;"-"&amp;X$6)-(Y54)</f>
        <v>0</v>
      </c>
      <c r="Y54" s="29">
        <f>COUNTIF('Data By District'!$X$7:$X$441,$B54&amp;"-"&amp;"Yes")</f>
        <v>0</v>
      </c>
      <c r="Z54" s="402">
        <f t="shared" si="43"/>
        <v>0</v>
      </c>
      <c r="AA54" s="404">
        <f>COUNTIF('Data By District'!$L$7:$L$441, $B54&amp;"-"&amp;1)</f>
        <v>1</v>
      </c>
      <c r="AB54" s="376">
        <f>COUNTIFS('Data By District'!$J$7:$J$441,$B54&amp;"-"&amp;"Yes",'Data By District'!$Z$7:$Z$441,$B54&amp;"-"&amp;X$6)+COUNTIFS('Data By District'!$J$7:$J$441,$B54&amp;"-"&amp;"Yes",'Data By District'!$Z$7:$Z$441,$B54&amp;"-"&amp;W$6)</f>
        <v>1</v>
      </c>
      <c r="AC54" s="373">
        <f t="shared" si="31"/>
        <v>0.5</v>
      </c>
      <c r="AD54" s="377">
        <f>COUNTIF('Data By District'!$J$7:$J$441,$B54&amp;"-"&amp;"Yes")</f>
        <v>2</v>
      </c>
      <c r="AE54" s="377">
        <f t="shared" si="24"/>
        <v>0</v>
      </c>
      <c r="AF54" s="377">
        <f>COUNTIF('Data By District'!$I$7:$I$441,$B54&amp;"-"&amp;"Yes")</f>
        <v>2</v>
      </c>
      <c r="AG54" s="377">
        <f>COUNTIFS('Data By District'!$J$7:$J$441,$B54&amp;"-"&amp;"Yes",'Data By District'!$Y$7:$Y$441,$B54&amp;"-"&amp;"Dem")</f>
        <v>1</v>
      </c>
      <c r="AH54" s="377">
        <f>COUNTIFS('Data By District'!$J$7:$J$441,$B54&amp;"-"&amp;"Yes",'Data By District'!$Y$7:$Y$441,$B54&amp;"-"&amp;"Rep")</f>
        <v>1</v>
      </c>
      <c r="AI54" s="377">
        <f>COUNTIFS('Data By District'!$J$7:$J$441,$B54&amp;"-"&amp;"Yes",'Data By District'!$Y$7:$Y$441,$B54&amp;"-"&amp;"Dem",'Data By District'!$J$7:$J$441,$B54&amp;"-"&amp;"Yes",'Data By District'!$Z$7:$Z$441,$B54&amp;"-"&amp;W$6)+COUNTIFS('Data By District'!$J$7:$J$441,$B54&amp;"-"&amp;"Yes",'Data By District'!$Y$7:$Y$441,$B54&amp;"-"&amp;"Dem",'Data By District'!$J$7:$J$441,$B54&amp;"-"&amp;"Yes",'Data By District'!$Z$7:$Z$441,$B54&amp;"-"&amp;X$6)</f>
        <v>0</v>
      </c>
      <c r="AJ54" s="377">
        <f>COUNTIFS('Data By District'!$J$7:$J$441,$B54&amp;"-"&amp;"Yes",'Data By District'!$Y$7:$Y$441,$B54&amp;"-"&amp;"Rep",'Data By District'!$J$7:$J$441,$B54&amp;"-"&amp;"Yes",'Data By District'!$Z$7:$Z$441,$B54&amp;"-"&amp;W$6)+COUNTIFS('Data By District'!$J$7:$J$441,$B54&amp;"-"&amp;"Yes",'Data By District'!$Y$7:$Y$441,$B54&amp;"-"&amp;"Rep",'Data By District'!$J$7:$J$441,$B54&amp;"-"&amp;"Yes",'Data By District'!$Z$7:$Z$441,$B54&amp;"-"&amp;X$6)</f>
        <v>1</v>
      </c>
      <c r="AK54" s="376">
        <f>COUNTIF('Data By District'!$D$7:$D$441,$B54&amp;"-"&amp;"Yes")</f>
        <v>1</v>
      </c>
      <c r="AL54" s="377">
        <f>COUNTIF('Data By District'!$E$7:$E$441,$B54&amp;"-"&amp;"Yes")</f>
        <v>0</v>
      </c>
      <c r="AM54" s="377">
        <f>COUNTIF('Data By District'!$F$7:$F$441,$B54&amp;"-"&amp;"Yes")</f>
        <v>0</v>
      </c>
      <c r="AN54" s="377">
        <f>COUNTIF('Data By District'!$G$7:$G$441,$B54&amp;"-"&amp;"Yes")</f>
        <v>0</v>
      </c>
      <c r="AO54" s="377">
        <f>COUNTIF('Data By District'!$H$7:$H$441,$B54&amp;"-"&amp;"Yes")</f>
        <v>0</v>
      </c>
      <c r="AP54" s="74">
        <f t="shared" si="44"/>
        <v>2.9389675968208202E-2</v>
      </c>
      <c r="AQ54" s="60">
        <v>0.62969368405966464</v>
      </c>
      <c r="AR54" s="54">
        <f t="shared" si="25"/>
        <v>514373</v>
      </c>
      <c r="AS54" s="45">
        <f>SUMIF('Data By District'!$B$7:$B$441,$B54,'Data By District'!$O$7:$O$441)</f>
        <v>227857</v>
      </c>
      <c r="AT54" s="45">
        <f>SUMIF('Data By District'!$B$7:$B$441,$B54,'Data By District'!$P$7:$P$441)</f>
        <v>283085</v>
      </c>
      <c r="AU54" s="45">
        <f>SUMIF('Data By District'!$B$7:$B$441,$B54,'Data By District'!$Q$7:$Q$441)</f>
        <v>3431</v>
      </c>
      <c r="AV54" s="302">
        <f t="shared" si="45"/>
        <v>0.44298009421178797</v>
      </c>
      <c r="AW54" s="28">
        <f t="shared" si="46"/>
        <v>0.55034964899012973</v>
      </c>
      <c r="AX54" s="60">
        <f t="shared" si="47"/>
        <v>6.6702567980823253E-3</v>
      </c>
      <c r="AY54" s="29">
        <f>COUNTIF('Data By District'!$Y$7:$Y$441,$B54&amp;"-"&amp;AY$6)</f>
        <v>1</v>
      </c>
      <c r="AZ54" s="29">
        <f>COUNTIF('Data By District'!$Y$7:$Y$441,$B54&amp;"-"&amp;AZ$6)</f>
        <v>2</v>
      </c>
      <c r="BA54" s="29">
        <f>COUNTIF('Data By District'!$Y$7:$Y$441,$B54&amp;"-"&amp;BA$6)</f>
        <v>0</v>
      </c>
      <c r="BB54" s="298">
        <f t="shared" si="26"/>
        <v>0.33333333333333331</v>
      </c>
      <c r="BC54" s="28">
        <f t="shared" si="27"/>
        <v>0.66666666666666663</v>
      </c>
      <c r="BD54" s="60">
        <f t="shared" si="28"/>
        <v>0</v>
      </c>
      <c r="BE54" s="298">
        <f t="shared" si="48"/>
        <v>0.10964676087845465</v>
      </c>
      <c r="BF54" s="28">
        <f t="shared" si="49"/>
        <v>0.1163170176765369</v>
      </c>
      <c r="BG54" s="60">
        <f t="shared" si="50"/>
        <v>6.6702567980823253E-3</v>
      </c>
      <c r="BH54" s="54">
        <f t="shared" si="29"/>
        <v>301110</v>
      </c>
      <c r="BI54" s="45">
        <f>'Data By District'!AE432</f>
        <v>213263</v>
      </c>
      <c r="BJ54" s="45">
        <f>SUMIF('Data By District'!$B$7:$B$441,'Data By State'!$B54,'Data By District'!$AA$7:$AA$441)</f>
        <v>144221</v>
      </c>
      <c r="BK54" s="45">
        <f>SUMIF('Data By District'!$B$7:$B$441,'Data By State'!$B54,'Data By District'!$AB$7:$AB$441)</f>
        <v>65611</v>
      </c>
      <c r="BL54" s="54">
        <f>SUMIF('Data By District'!$B$7:$B$441,'Data By State'!$B54,'Data By District'!$AC$7:$AC$441)</f>
        <v>3431</v>
      </c>
      <c r="BM54" s="68">
        <f t="shared" si="30"/>
        <v>0.41460768741749665</v>
      </c>
      <c r="BN54" s="28">
        <f t="shared" si="32"/>
        <v>0.63294522441706857</v>
      </c>
      <c r="BO54" s="28">
        <f t="shared" si="33"/>
        <v>0.231771376088454</v>
      </c>
      <c r="BP54" s="60">
        <f t="shared" si="34"/>
        <v>1</v>
      </c>
    </row>
    <row r="55" spans="1:70">
      <c r="A55" s="21" t="s">
        <v>114</v>
      </c>
      <c r="B55" s="30" t="s">
        <v>48</v>
      </c>
      <c r="C55" s="410">
        <v>2171331</v>
      </c>
      <c r="D55" s="410">
        <v>4203366</v>
      </c>
      <c r="E55" s="29">
        <f t="shared" si="36"/>
        <v>4</v>
      </c>
      <c r="F55" s="29">
        <f t="shared" si="37"/>
        <v>16</v>
      </c>
      <c r="G55" s="77">
        <f t="shared" si="18"/>
        <v>23</v>
      </c>
      <c r="H55" s="29">
        <f t="shared" si="19"/>
        <v>26</v>
      </c>
      <c r="I55" s="29">
        <f t="shared" si="20"/>
        <v>3</v>
      </c>
      <c r="J55" s="29">
        <f t="shared" si="21"/>
        <v>12</v>
      </c>
      <c r="K55" s="72">
        <f t="shared" si="22"/>
        <v>3</v>
      </c>
      <c r="L55" s="71">
        <f t="shared" si="38"/>
        <v>13.4</v>
      </c>
      <c r="M55" s="68">
        <f t="shared" si="23"/>
        <v>0.53446572009446169</v>
      </c>
      <c r="N55" s="37">
        <f>AVERAGE('Data By District'!V433:'Data By District'!V440)</f>
        <v>0.26091074039446299</v>
      </c>
      <c r="O55" s="33">
        <f t="shared" si="39"/>
        <v>0.625</v>
      </c>
      <c r="P55" s="33">
        <f>SUMIF('Data By District'!$B$7:$B$441,B55,'Data By District'!$T$7:$T$441)/D55</f>
        <v>0.31647945955693602</v>
      </c>
      <c r="Q55" s="33">
        <f t="shared" si="40"/>
        <v>7.4719578247100571E-2</v>
      </c>
      <c r="R55" s="74">
        <f t="shared" si="41"/>
        <v>0.53727988473999166</v>
      </c>
      <c r="S55" s="73">
        <f t="shared" si="42"/>
        <v>8</v>
      </c>
      <c r="T55" s="29">
        <f>COUNTIF('Data By District'!$Z$7:$Z$441,$B55&amp;"-"&amp;T$6)</f>
        <v>1</v>
      </c>
      <c r="U55" s="29">
        <f>COUNTIF('Data By District'!$Z$7:$Z$441,$B55&amp;"-"&amp;U$6)</f>
        <v>2</v>
      </c>
      <c r="V55" s="29">
        <f>COUNTIF('Data By District'!$Z$7:$Z$441,$B55&amp;"-"&amp;V$6)</f>
        <v>0</v>
      </c>
      <c r="W55" s="29">
        <f>COUNTIF('Data By District'!$Z$7:$Z$441,$B55&amp;"-"&amp;W$6)</f>
        <v>3</v>
      </c>
      <c r="X55" s="29">
        <f>COUNTIF('Data By District'!$Z$7:$Z$441,$B55&amp;"-"&amp;X$6)-(Y55)</f>
        <v>2</v>
      </c>
      <c r="Y55" s="29">
        <f>COUNTIF('Data By District'!$X$7:$X$441,$B55&amp;"-"&amp;"Yes")</f>
        <v>0</v>
      </c>
      <c r="Z55" s="402">
        <f t="shared" si="43"/>
        <v>0</v>
      </c>
      <c r="AA55" s="404">
        <f>COUNTIF('Data By District'!$L$7:$L$441, $B55&amp;"-"&amp;1)</f>
        <v>2</v>
      </c>
      <c r="AB55" s="376">
        <f>COUNTIFS('Data By District'!$J$7:$J$441,$B55&amp;"-"&amp;"Yes",'Data By District'!$Z$7:$Z$441,$B55&amp;"-"&amp;X$6)+COUNTIFS('Data By District'!$J$7:$J$441,$B55&amp;"-"&amp;"Yes",'Data By District'!$Z$7:$Z$441,$B55&amp;"-"&amp;W$6)</f>
        <v>5</v>
      </c>
      <c r="AC55" s="373">
        <f t="shared" si="31"/>
        <v>0.83333333333333337</v>
      </c>
      <c r="AD55" s="377">
        <f>COUNTIF('Data By District'!$J$7:$J$441,$B55&amp;"-"&amp;"Yes")</f>
        <v>6</v>
      </c>
      <c r="AE55" s="377">
        <f t="shared" si="24"/>
        <v>1</v>
      </c>
      <c r="AF55" s="377">
        <f>COUNTIF('Data By District'!$I$7:$I$441,$B55&amp;"-"&amp;"Yes")</f>
        <v>7</v>
      </c>
      <c r="AG55" s="377">
        <f>COUNTIFS('Data By District'!$J$7:$J$441,$B55&amp;"-"&amp;"Yes",'Data By District'!$Y$7:$Y$441,$B55&amp;"-"&amp;"Dem")</f>
        <v>3</v>
      </c>
      <c r="AH55" s="377">
        <f>COUNTIFS('Data By District'!$J$7:$J$441,$B55&amp;"-"&amp;"Yes",'Data By District'!$Y$7:$Y$441,$B55&amp;"-"&amp;"Rep")</f>
        <v>3</v>
      </c>
      <c r="AI55" s="377">
        <f>COUNTIFS('Data By District'!$J$7:$J$441,$B55&amp;"-"&amp;"Yes",'Data By District'!$Y$7:$Y$441,$B55&amp;"-"&amp;"Dem",'Data By District'!$J$7:$J$441,$B55&amp;"-"&amp;"Yes",'Data By District'!$Z$7:$Z$441,$B55&amp;"-"&amp;W$6)+COUNTIFS('Data By District'!$J$7:$J$441,$B55&amp;"-"&amp;"Yes",'Data By District'!$Y$7:$Y$441,$B55&amp;"-"&amp;"Dem",'Data By District'!$J$7:$J$441,$B55&amp;"-"&amp;"Yes",'Data By District'!$Z$7:$Z$441,$B55&amp;"-"&amp;X$6)</f>
        <v>2</v>
      </c>
      <c r="AJ55" s="377">
        <f>COUNTIFS('Data By District'!$J$7:$J$441,$B55&amp;"-"&amp;"Yes",'Data By District'!$Y$7:$Y$441,$B55&amp;"-"&amp;"Rep",'Data By District'!$J$7:$J$441,$B55&amp;"-"&amp;"Yes",'Data By District'!$Z$7:$Z$441,$B55&amp;"-"&amp;W$6)+COUNTIFS('Data By District'!$J$7:$J$441,$B55&amp;"-"&amp;"Yes",'Data By District'!$Y$7:$Y$441,$B55&amp;"-"&amp;"Rep",'Data By District'!$J$7:$J$441,$B55&amp;"-"&amp;"Yes",'Data By District'!$Z$7:$Z$441,$B55&amp;"-"&amp;X$6)</f>
        <v>3</v>
      </c>
      <c r="AK55" s="376">
        <f>COUNTIF('Data By District'!$D$7:$D$441,$B55&amp;"-"&amp;"Yes")</f>
        <v>2</v>
      </c>
      <c r="AL55" s="377">
        <f>COUNTIF('Data By District'!$E$7:$E$441,$B55&amp;"-"&amp;"Yes")</f>
        <v>1</v>
      </c>
      <c r="AM55" s="377">
        <f>COUNTIF('Data By District'!$F$7:$F$441,$B55&amp;"-"&amp;"Yes")</f>
        <v>0</v>
      </c>
      <c r="AN55" s="377">
        <f>COUNTIF('Data By District'!$G$7:$G$441,$B55&amp;"-"&amp;"Yes")</f>
        <v>0</v>
      </c>
      <c r="AO55" s="377">
        <f>COUNTIF('Data By District'!$H$7:$H$441,$B55&amp;"-"&amp;"Yes")</f>
        <v>0</v>
      </c>
      <c r="AP55" s="74">
        <f t="shared" si="44"/>
        <v>-4.0091998870738728E-2</v>
      </c>
      <c r="AQ55" s="60">
        <v>0.67386845750994195</v>
      </c>
      <c r="AR55" s="54">
        <f t="shared" si="25"/>
        <v>2258384</v>
      </c>
      <c r="AS55" s="45">
        <f>SUMIF('Data By District'!$B$7:$B$441,$B55,'Data By District'!$O$7:$O$441)</f>
        <v>938581</v>
      </c>
      <c r="AT55" s="45">
        <f>SUMIF('Data By District'!$B$7:$B$441,$B55,'Data By District'!$P$7:$P$441)</f>
        <v>1165686</v>
      </c>
      <c r="AU55" s="45">
        <f>SUMIF('Data By District'!$B$7:$B$441,$B55,'Data By District'!$Q$7:$Q$441)</f>
        <v>154117</v>
      </c>
      <c r="AV55" s="302">
        <f t="shared" si="45"/>
        <v>0.41559849874954835</v>
      </c>
      <c r="AW55" s="28">
        <f t="shared" si="46"/>
        <v>0.51615934225534721</v>
      </c>
      <c r="AX55" s="60">
        <f t="shared" si="47"/>
        <v>6.8242158995104468E-2</v>
      </c>
      <c r="AY55" s="29">
        <f>COUNTIF('Data By District'!$Y$7:$Y$441,$B55&amp;"-"&amp;AY$6)</f>
        <v>3</v>
      </c>
      <c r="AZ55" s="29">
        <f>COUNTIF('Data By District'!$Y$7:$Y$441,$B55&amp;"-"&amp;AZ$6)</f>
        <v>5</v>
      </c>
      <c r="BA55" s="29">
        <f>COUNTIF('Data By District'!$Y$7:$Y$441,$B55&amp;"-"&amp;BA$6)</f>
        <v>0</v>
      </c>
      <c r="BB55" s="298">
        <f t="shared" si="26"/>
        <v>0.375</v>
      </c>
      <c r="BC55" s="28">
        <f t="shared" si="27"/>
        <v>0.625</v>
      </c>
      <c r="BD55" s="60">
        <f t="shared" si="28"/>
        <v>0</v>
      </c>
      <c r="BE55" s="298">
        <f t="shared" si="48"/>
        <v>4.0598498749548351E-2</v>
      </c>
      <c r="BF55" s="28">
        <f t="shared" si="49"/>
        <v>0.10884065774465279</v>
      </c>
      <c r="BG55" s="60">
        <f t="shared" si="50"/>
        <v>6.8242158995104468E-2</v>
      </c>
      <c r="BH55" s="54">
        <f t="shared" si="29"/>
        <v>1330279</v>
      </c>
      <c r="BI55" s="45">
        <f>'Data By District'!AE440</f>
        <v>928105</v>
      </c>
      <c r="BJ55" s="45">
        <f>SUMIF('Data By District'!$B$7:$B$441,'Data By State'!$B55,'Data By District'!$AA$7:$AA$441)</f>
        <v>477540</v>
      </c>
      <c r="BK55" s="45">
        <f>SUMIF('Data By District'!$B$7:$B$441,'Data By State'!$B55,'Data By District'!$AB$7:$AB$441)</f>
        <v>296448</v>
      </c>
      <c r="BL55" s="54">
        <f>SUMIF('Data By District'!$B$7:$B$441,'Data By State'!$B55,'Data By District'!$AC$7:$AC$441)</f>
        <v>154117</v>
      </c>
      <c r="BM55" s="68">
        <f t="shared" si="30"/>
        <v>0.41095978363289859</v>
      </c>
      <c r="BN55" s="28">
        <f t="shared" si="32"/>
        <v>0.50878933198093723</v>
      </c>
      <c r="BO55" s="28">
        <f t="shared" si="33"/>
        <v>0.25431205316011346</v>
      </c>
      <c r="BP55" s="60">
        <f t="shared" si="34"/>
        <v>1</v>
      </c>
    </row>
    <row r="56" spans="1:70" ht="16" thickBot="1">
      <c r="A56" s="21" t="s">
        <v>115</v>
      </c>
      <c r="B56" s="31" t="s">
        <v>49</v>
      </c>
      <c r="C56" s="410">
        <v>188463</v>
      </c>
      <c r="D56" s="410">
        <v>405861</v>
      </c>
      <c r="E56" s="29">
        <f t="shared" si="36"/>
        <v>28</v>
      </c>
      <c r="F56" s="29">
        <f t="shared" si="37"/>
        <v>47</v>
      </c>
      <c r="G56" s="77">
        <f t="shared" si="18"/>
        <v>47</v>
      </c>
      <c r="H56" s="29">
        <f t="shared" si="19"/>
        <v>44</v>
      </c>
      <c r="I56" s="29">
        <f t="shared" si="20"/>
        <v>2</v>
      </c>
      <c r="J56" s="29">
        <f t="shared" si="21"/>
        <v>35</v>
      </c>
      <c r="K56" s="72">
        <f t="shared" si="22"/>
        <v>15</v>
      </c>
      <c r="L56" s="71">
        <f t="shared" si="38"/>
        <v>26</v>
      </c>
      <c r="M56" s="68">
        <f t="shared" si="23"/>
        <v>0.37795222867641665</v>
      </c>
      <c r="N56" s="37">
        <f>('Data By District'!V441)</f>
        <v>0.48409786449791187</v>
      </c>
      <c r="O56" s="33">
        <f t="shared" si="39"/>
        <v>1</v>
      </c>
      <c r="P56" s="33">
        <f>SUMIF('Data By District'!$B$7:$B$441,B56,'Data By District'!$T$7:$T$441)/D56</f>
        <v>0.32439924013393751</v>
      </c>
      <c r="Q56" s="33">
        <f t="shared" si="40"/>
        <v>0.27493947238787975</v>
      </c>
      <c r="R56" s="74">
        <f t="shared" si="41"/>
        <v>0.47016589423472566</v>
      </c>
      <c r="S56" s="73">
        <f t="shared" si="42"/>
        <v>1</v>
      </c>
      <c r="T56" s="29">
        <f>COUNTIF('Data By District'!$Z$7:$Z$441,$B56&amp;"-"&amp;T$6)</f>
        <v>0</v>
      </c>
      <c r="U56" s="29">
        <f>COUNTIF('Data By District'!$Z$7:$Z$441,$B56&amp;"-"&amp;U$6)</f>
        <v>0</v>
      </c>
      <c r="V56" s="29">
        <f>COUNTIF('Data By District'!$Z$7:$Z$441,$B56&amp;"-"&amp;V$6)</f>
        <v>0</v>
      </c>
      <c r="W56" s="29">
        <f>COUNTIF('Data By District'!$Z$7:$Z$441,$B56&amp;"-"&amp;W$6)</f>
        <v>0</v>
      </c>
      <c r="X56" s="29">
        <f>COUNTIF('Data By District'!$Z$7:$Z$441,$B56&amp;"-"&amp;X$6)-(Y56)</f>
        <v>1</v>
      </c>
      <c r="Y56" s="29">
        <f>COUNTIF('Data By District'!$X$7:$X$441,$B56&amp;"-"&amp;"Yes")</f>
        <v>0</v>
      </c>
      <c r="Z56" s="402">
        <f t="shared" si="43"/>
        <v>0</v>
      </c>
      <c r="AA56" s="404">
        <f>COUNTIF('Data By District'!$L$7:$L$441, $B56&amp;"-"&amp;1)</f>
        <v>0</v>
      </c>
      <c r="AB56" s="376">
        <f>COUNTIFS('Data By District'!$J$7:$J$441,$B56&amp;"-"&amp;"Yes",'Data By District'!$Z$7:$Z$441,$B56&amp;"-"&amp;X$6)+COUNTIFS('Data By District'!$J$7:$J$441,$B56&amp;"-"&amp;"Yes",'Data By District'!$Z$7:$Z$441,$B56&amp;"-"&amp;W$6)</f>
        <v>1</v>
      </c>
      <c r="AC56" s="373">
        <f>AB56/AD56</f>
        <v>1</v>
      </c>
      <c r="AD56" s="377">
        <f>COUNTIF('Data By District'!$J$7:$J$441,$B56&amp;"-"&amp;"Yes")</f>
        <v>1</v>
      </c>
      <c r="AE56" s="377">
        <f t="shared" si="24"/>
        <v>0</v>
      </c>
      <c r="AF56" s="377">
        <f>COUNTIF('Data By District'!$I$7:$I$441,$B56&amp;"-"&amp;"Yes")</f>
        <v>1</v>
      </c>
      <c r="AG56" s="377">
        <f>COUNTIFS('Data By District'!$J$7:$J$441,$B56&amp;"-"&amp;"Yes",'Data By District'!$Y$7:$Y$441,$B56&amp;"-"&amp;"Dem")</f>
        <v>0</v>
      </c>
      <c r="AH56" s="377">
        <f>COUNTIFS('Data By District'!$J$7:$J$441,$B56&amp;"-"&amp;"Yes",'Data By District'!$Y$7:$Y$441,$B56&amp;"-"&amp;"Rep")</f>
        <v>1</v>
      </c>
      <c r="AI56" s="377">
        <f>COUNTIFS('Data By District'!$J$7:$J$441,$B56&amp;"-"&amp;"Yes",'Data By District'!$Y$7:$Y$441,$B56&amp;"-"&amp;"Dem",'Data By District'!$J$7:$J$441,$B56&amp;"-"&amp;"Yes",'Data By District'!$Z$7:$Z$441,$B56&amp;"-"&amp;W$6)+COUNTIFS('Data By District'!$J$7:$J$441,$B56&amp;"-"&amp;"Yes",'Data By District'!$Y$7:$Y$441,$B56&amp;"-"&amp;"Dem",'Data By District'!$J$7:$J$441,$B56&amp;"-"&amp;"Yes",'Data By District'!$Z$7:$Z$441,$B56&amp;"-"&amp;X$6)</f>
        <v>0</v>
      </c>
      <c r="AJ56" s="377">
        <f>COUNTIFS('Data By District'!$J$7:$J$441,$B56&amp;"-"&amp;"Yes",'Data By District'!$Y$7:$Y$441,$B56&amp;"-"&amp;"Rep",'Data By District'!$J$7:$J$441,$B56&amp;"-"&amp;"Yes",'Data By District'!$Z$7:$Z$441,$B56&amp;"-"&amp;W$6)+COUNTIFS('Data By District'!$J$7:$J$441,$B56&amp;"-"&amp;"Yes",'Data By District'!$Y$7:$Y$441,$B56&amp;"-"&amp;"Rep",'Data By District'!$J$7:$J$441,$B56&amp;"-"&amp;"Yes",'Data By District'!$Z$7:$Z$441,$B56&amp;"-"&amp;X$6)</f>
        <v>1</v>
      </c>
      <c r="AK56" s="376">
        <f>COUNTIF('Data By District'!$D$7:$D$441,$B56&amp;"-"&amp;"Yes")</f>
        <v>1</v>
      </c>
      <c r="AL56" s="377">
        <f>COUNTIF('Data By District'!$E$7:$E$441,$B56&amp;"-"&amp;"Yes")</f>
        <v>0</v>
      </c>
      <c r="AM56" s="377">
        <f>COUNTIF('Data By District'!$F$7:$F$441,$B56&amp;"-"&amp;"Yes")</f>
        <v>0</v>
      </c>
      <c r="AN56" s="377">
        <f>COUNTIF('Data By District'!$G$7:$G$441,$B56&amp;"-"&amp;"Yes")</f>
        <v>0</v>
      </c>
      <c r="AO56" s="377">
        <f>COUNTIF('Data By District'!$H$7:$H$441,$B56&amp;"-"&amp;"Yes")</f>
        <v>0</v>
      </c>
      <c r="AP56" s="74">
        <f t="shared" si="44"/>
        <v>-1.2517045786175535E-2</v>
      </c>
      <c r="AQ56" s="60">
        <v>0.55267033141728794</v>
      </c>
      <c r="AR56" s="54">
        <f t="shared" si="25"/>
        <v>190822</v>
      </c>
      <c r="AS56" s="45">
        <f>SUMIF('Data By District'!$B$7:$B$441,$B56,'Data By District'!$O$7:$O$441)</f>
        <v>45768</v>
      </c>
      <c r="AT56" s="45">
        <f>SUMIF('Data By District'!$B$7:$B$441,$B56,'Data By District'!$P$7:$P$441)</f>
        <v>131661</v>
      </c>
      <c r="AU56" s="45">
        <f>SUMIF('Data By District'!$B$7:$B$441,$B56,'Data By District'!$Q$7:$Q$441)</f>
        <v>13393</v>
      </c>
      <c r="AV56" s="302">
        <f t="shared" si="45"/>
        <v>0.23984655857291087</v>
      </c>
      <c r="AW56" s="28">
        <f t="shared" si="46"/>
        <v>0.68996761379715132</v>
      </c>
      <c r="AX56" s="60">
        <f t="shared" si="47"/>
        <v>7.0185827629937844E-2</v>
      </c>
      <c r="AY56" s="29">
        <f>COUNTIF('Data By District'!$Y$7:$Y$441,$B56&amp;"-"&amp;AY$6)</f>
        <v>0</v>
      </c>
      <c r="AZ56" s="29">
        <f>COUNTIF('Data By District'!$Y$7:$Y$441,$B56&amp;"-"&amp;AZ$6)</f>
        <v>1</v>
      </c>
      <c r="BA56" s="29">
        <f>COUNTIF('Data By District'!$Y$7:$Y$441,$B56&amp;"-"&amp;BA$6)</f>
        <v>0</v>
      </c>
      <c r="BB56" s="298">
        <f t="shared" si="26"/>
        <v>0</v>
      </c>
      <c r="BC56" s="28">
        <f t="shared" si="27"/>
        <v>1</v>
      </c>
      <c r="BD56" s="60">
        <f t="shared" si="28"/>
        <v>0</v>
      </c>
      <c r="BE56" s="298">
        <f t="shared" si="48"/>
        <v>0.23984655857291087</v>
      </c>
      <c r="BF56" s="28">
        <f t="shared" si="49"/>
        <v>0.31003238620284868</v>
      </c>
      <c r="BG56" s="60">
        <f t="shared" si="50"/>
        <v>7.0185827629937844E-2</v>
      </c>
      <c r="BH56" s="54">
        <f t="shared" si="29"/>
        <v>131661</v>
      </c>
      <c r="BI56" s="45">
        <f>'Data By District'!AE441</f>
        <v>59161</v>
      </c>
      <c r="BJ56" s="45">
        <f>SUMIF('Data By District'!$B$7:$B$441,'Data By State'!$B56,'Data By District'!$AA$7:$AA$441)</f>
        <v>45768</v>
      </c>
      <c r="BK56" s="45">
        <f>SUMIF('Data By District'!$B$7:$B$441,'Data By State'!$B56,'Data By District'!$AB$7:$AB$441)</f>
        <v>0</v>
      </c>
      <c r="BL56" s="54">
        <f>SUMIF('Data By District'!$B$7:$B$441,'Data By State'!$B56,'Data By District'!$AC$7:$AC$441)</f>
        <v>13393</v>
      </c>
      <c r="BM56" s="68">
        <f t="shared" si="30"/>
        <v>0.31003238620284873</v>
      </c>
      <c r="BN56" s="28">
        <f t="shared" si="32"/>
        <v>1</v>
      </c>
      <c r="BO56" s="28">
        <f t="shared" si="33"/>
        <v>0</v>
      </c>
      <c r="BP56" s="60">
        <f t="shared" si="34"/>
        <v>1</v>
      </c>
    </row>
    <row r="57" spans="1:70" ht="16" thickBot="1">
      <c r="A57" s="57" t="s">
        <v>121</v>
      </c>
      <c r="B57" s="196"/>
      <c r="C57" s="38">
        <f>SUM(C7:C56)</f>
        <v>88966820</v>
      </c>
      <c r="D57" s="363">
        <f>SUM(D7:D56)</f>
        <v>212821170</v>
      </c>
      <c r="E57" s="78"/>
      <c r="F57" s="76"/>
      <c r="G57" s="39"/>
      <c r="H57" s="39"/>
      <c r="I57" s="39"/>
      <c r="J57" s="39"/>
      <c r="K57" s="362"/>
      <c r="L57" s="78"/>
      <c r="M57" s="39">
        <f>AVERAGE(M7:M56)</f>
        <v>0.49113988561999405</v>
      </c>
      <c r="N57" s="364">
        <f>('Data By District'!V442)</f>
        <v>0.33004979823462394</v>
      </c>
      <c r="O57" s="39">
        <f t="shared" si="39"/>
        <v>0.64367816091954022</v>
      </c>
      <c r="P57" s="40">
        <f>BH57/D57</f>
        <v>0.25658261346838757</v>
      </c>
      <c r="Q57" s="39">
        <f t="shared" si="40"/>
        <v>2.1982221148974773E-2</v>
      </c>
      <c r="R57" s="75">
        <f>AVERAGE(R7:R56)</f>
        <v>0.42834049191846479</v>
      </c>
      <c r="S57" s="43">
        <f>SUM(S7:S56)</f>
        <v>435</v>
      </c>
      <c r="T57" s="42">
        <f t="shared" ref="T57:Y57" si="51">SUM(T7:T56)</f>
        <v>36</v>
      </c>
      <c r="U57" s="42">
        <f t="shared" si="51"/>
        <v>45</v>
      </c>
      <c r="V57" s="42">
        <f t="shared" si="51"/>
        <v>74</v>
      </c>
      <c r="W57" s="42">
        <f t="shared" si="51"/>
        <v>150</v>
      </c>
      <c r="X57" s="42">
        <f t="shared" si="51"/>
        <v>103</v>
      </c>
      <c r="Y57" s="42">
        <f t="shared" si="51"/>
        <v>27</v>
      </c>
      <c r="Z57" s="44">
        <f t="shared" si="43"/>
        <v>6.2068965517241378E-2</v>
      </c>
      <c r="AA57" s="405">
        <f>SUM(AA7:AA56)</f>
        <v>68</v>
      </c>
      <c r="AB57" s="87">
        <f>SUM(AB7:AB56)</f>
        <v>250</v>
      </c>
      <c r="AC57" s="378">
        <f t="shared" si="31"/>
        <v>0.74404761904761907</v>
      </c>
      <c r="AD57" s="105">
        <f t="shared" ref="AD57:AO57" si="52">SUM(AD7:AD56)</f>
        <v>336</v>
      </c>
      <c r="AE57" s="112">
        <f t="shared" si="52"/>
        <v>54</v>
      </c>
      <c r="AF57" s="112">
        <f t="shared" si="52"/>
        <v>390</v>
      </c>
      <c r="AG57" s="112">
        <f>SUM(AG7:AG56)</f>
        <v>183</v>
      </c>
      <c r="AH57" s="112">
        <f>SUM(AH7:AH56)</f>
        <v>153</v>
      </c>
      <c r="AI57" s="112">
        <f>SUM(AI7:AI56)</f>
        <v>112</v>
      </c>
      <c r="AJ57" s="112">
        <f>SUM(AJ7:AJ56)</f>
        <v>138</v>
      </c>
      <c r="AK57" s="398">
        <f t="shared" si="52"/>
        <v>72</v>
      </c>
      <c r="AL57" s="112">
        <f t="shared" si="52"/>
        <v>42</v>
      </c>
      <c r="AM57" s="112">
        <f t="shared" si="52"/>
        <v>24</v>
      </c>
      <c r="AN57" s="112">
        <f t="shared" si="52"/>
        <v>9</v>
      </c>
      <c r="AO57" s="112">
        <f t="shared" si="52"/>
        <v>1</v>
      </c>
      <c r="AP57" s="75">
        <f t="shared" si="44"/>
        <v>2.2013813689193341E-2</v>
      </c>
      <c r="AQ57" s="44">
        <f>BH57/AR57</f>
        <v>0.62759758345411587</v>
      </c>
      <c r="AR57" s="58">
        <f>SUM(AR7:AR56)</f>
        <v>87008321</v>
      </c>
      <c r="AS57" s="131">
        <f>SUM(AS7:AS56)</f>
        <v>38961402</v>
      </c>
      <c r="AT57" s="132">
        <f>SUM(AT7:AT56)</f>
        <v>44937067</v>
      </c>
      <c r="AU57" s="58">
        <f>SUM(AU7:AU56)</f>
        <v>3109852</v>
      </c>
      <c r="AV57" s="48">
        <f t="shared" si="45"/>
        <v>0.44778937867333402</v>
      </c>
      <c r="AW57" s="48">
        <f t="shared" si="46"/>
        <v>0.51646861453630399</v>
      </c>
      <c r="AX57" s="48">
        <f t="shared" si="47"/>
        <v>3.5742006790362039E-2</v>
      </c>
      <c r="AY57" s="47">
        <f>SUM(AY7:AY56)</f>
        <v>193</v>
      </c>
      <c r="AZ57" s="42">
        <f>SUM(AZ7:AZ56)</f>
        <v>242</v>
      </c>
      <c r="BA57" s="43">
        <f>SUM(BA7:BA56)</f>
        <v>0</v>
      </c>
      <c r="BB57" s="48">
        <f>AY57/$S57</f>
        <v>0.44367816091954021</v>
      </c>
      <c r="BC57" s="48">
        <f t="shared" si="27"/>
        <v>0.55632183908045973</v>
      </c>
      <c r="BD57" s="48">
        <f t="shared" si="28"/>
        <v>0</v>
      </c>
      <c r="BE57" s="388">
        <f t="shared" si="48"/>
        <v>4.1112177537938055E-3</v>
      </c>
      <c r="BF57" s="48">
        <f t="shared" si="49"/>
        <v>3.9853224544155741E-2</v>
      </c>
      <c r="BG57" s="48">
        <f t="shared" si="50"/>
        <v>3.5742006790362039E-2</v>
      </c>
      <c r="BH57" s="361">
        <f>SUM(BH7:BH56)</f>
        <v>54606212</v>
      </c>
      <c r="BI57" s="49">
        <f>SUM(BI7:BI56)</f>
        <v>32402109</v>
      </c>
      <c r="BJ57" s="49">
        <f>SUM(BJ7:BJ56)</f>
        <v>16732275</v>
      </c>
      <c r="BK57" s="49">
        <f>SUM(BK7:BK56)</f>
        <v>12564815</v>
      </c>
      <c r="BL57" s="55">
        <f>SUM(BL7:BL56)</f>
        <v>3105019</v>
      </c>
      <c r="BM57" s="304">
        <f t="shared" si="30"/>
        <v>0.37240241654588419</v>
      </c>
      <c r="BN57" s="48">
        <f t="shared" si="32"/>
        <v>0.42945772331293419</v>
      </c>
      <c r="BO57" s="48">
        <f t="shared" si="33"/>
        <v>0.27960914761081312</v>
      </c>
      <c r="BP57" s="44">
        <f>BL57/AU57</f>
        <v>0.99844590675054634</v>
      </c>
    </row>
    <row r="58" spans="1:70">
      <c r="N58" s="9"/>
      <c r="AB58" s="5"/>
      <c r="BI58" s="198"/>
    </row>
    <row r="59" spans="1:70">
      <c r="BM59"/>
      <c r="BN59"/>
      <c r="BO59"/>
    </row>
    <row r="60" spans="1:70">
      <c r="C60" s="7" t="s">
        <v>234</v>
      </c>
    </row>
    <row r="61" spans="1:70">
      <c r="C61" s="7" t="s">
        <v>757</v>
      </c>
    </row>
    <row r="62" spans="1:70">
      <c r="C62" s="7" t="s">
        <v>316</v>
      </c>
    </row>
    <row r="64" spans="1:70">
      <c r="C64" s="7" t="s">
        <v>239</v>
      </c>
      <c r="S64" s="5"/>
      <c r="Y64" s="7"/>
      <c r="BP64"/>
      <c r="BR64" s="7"/>
    </row>
    <row r="65" spans="3:70">
      <c r="C65" s="7" t="s">
        <v>240</v>
      </c>
      <c r="K65" s="5"/>
      <c r="L65" s="5"/>
      <c r="M65" s="5"/>
      <c r="N65" s="5"/>
      <c r="O65" s="5"/>
      <c r="P65" s="5"/>
      <c r="T65" s="7"/>
      <c r="U65" s="7"/>
      <c r="V65" s="7"/>
      <c r="W65" s="7"/>
      <c r="X65" s="7"/>
      <c r="Y65" s="7"/>
      <c r="BH65"/>
      <c r="BI65"/>
      <c r="BQ65" s="7"/>
      <c r="BR65" s="7"/>
    </row>
    <row r="66" spans="3:70">
      <c r="C66" s="7" t="s">
        <v>317</v>
      </c>
      <c r="L66" s="5"/>
      <c r="M66" s="5"/>
      <c r="N66" s="5"/>
      <c r="O66" s="5"/>
      <c r="P66" s="5"/>
      <c r="Q66" s="5"/>
      <c r="T66" s="7"/>
      <c r="U66" s="7"/>
      <c r="V66" s="7"/>
      <c r="W66" s="7"/>
      <c r="X66" s="7"/>
      <c r="Y66" s="7"/>
      <c r="BI66"/>
      <c r="BJ66"/>
      <c r="BQ66" s="7"/>
      <c r="BR66" s="7"/>
    </row>
    <row r="67" spans="3:70">
      <c r="L67" s="5"/>
      <c r="M67" s="5"/>
      <c r="N67" s="5"/>
      <c r="O67" s="5"/>
      <c r="P67" s="5"/>
      <c r="Q67" s="5"/>
      <c r="T67" s="7"/>
      <c r="U67" s="7"/>
      <c r="V67" s="7"/>
      <c r="W67" s="7"/>
      <c r="X67" s="7"/>
      <c r="Y67" s="7"/>
      <c r="BI67"/>
      <c r="BJ67"/>
      <c r="BQ67" s="7"/>
      <c r="BR67" s="7"/>
    </row>
    <row r="68" spans="3:70">
      <c r="L68" s="5"/>
      <c r="M68" s="5"/>
      <c r="N68" s="5"/>
      <c r="O68" s="5"/>
      <c r="P68" s="5"/>
      <c r="Q68" s="5"/>
      <c r="T68" s="7"/>
      <c r="U68" s="7"/>
      <c r="V68" s="7"/>
      <c r="W68" s="7"/>
      <c r="X68" s="7"/>
      <c r="Y68" s="7"/>
      <c r="BI68"/>
      <c r="BJ68"/>
      <c r="BQ68" s="7"/>
      <c r="BR68" s="7"/>
    </row>
    <row r="69" spans="3:70">
      <c r="L69" s="5"/>
      <c r="M69" s="5"/>
      <c r="N69" s="5"/>
      <c r="O69" s="5"/>
      <c r="P69" s="5"/>
      <c r="Q69" s="5"/>
      <c r="T69" s="7"/>
      <c r="U69" s="7"/>
      <c r="V69" s="7"/>
      <c r="W69" s="7"/>
      <c r="X69" s="7"/>
      <c r="Y69" s="7"/>
      <c r="BI69"/>
      <c r="BJ69"/>
      <c r="BQ69" s="7"/>
      <c r="BR69" s="7"/>
    </row>
    <row r="70" spans="3:70">
      <c r="L70" s="5"/>
      <c r="M70" s="5"/>
      <c r="N70" s="5"/>
      <c r="O70" s="5"/>
      <c r="P70" s="5"/>
      <c r="Q70" s="5"/>
      <c r="T70" s="7"/>
      <c r="U70" s="7"/>
      <c r="V70" s="7"/>
      <c r="W70" s="7"/>
      <c r="X70" s="7"/>
      <c r="Y70" s="7"/>
      <c r="BI70"/>
      <c r="BJ70"/>
      <c r="BQ70" s="7"/>
      <c r="BR70" s="7"/>
    </row>
    <row r="71" spans="3:70">
      <c r="L71" s="5"/>
      <c r="M71" s="5"/>
      <c r="N71" s="5"/>
      <c r="O71" s="5"/>
      <c r="P71" s="5"/>
      <c r="Q71" s="5"/>
      <c r="T71" s="7"/>
      <c r="U71" s="7"/>
      <c r="V71" s="7"/>
      <c r="W71" s="7"/>
      <c r="X71" s="7"/>
      <c r="Y71" s="7"/>
      <c r="BI71"/>
      <c r="BJ71"/>
      <c r="BQ71" s="7"/>
      <c r="BR71" s="7"/>
    </row>
    <row r="72" spans="3:70">
      <c r="L72" s="5"/>
      <c r="M72" s="5"/>
      <c r="N72" s="5"/>
      <c r="O72" s="5"/>
      <c r="P72" s="5"/>
      <c r="Q72" s="5"/>
      <c r="T72" s="7"/>
      <c r="U72" s="7"/>
      <c r="V72" s="7"/>
      <c r="W72" s="7"/>
      <c r="X72" s="7"/>
      <c r="Y72" s="7"/>
      <c r="BI72"/>
      <c r="BJ72"/>
      <c r="BQ72" s="7"/>
      <c r="BR72" s="7"/>
    </row>
  </sheetData>
  <phoneticPr fontId="0" type="noConversion"/>
  <pageMargins left="0.5" right="0.5" top="1" bottom="1" header="0.5" footer="0.5"/>
  <pageSetup scale="55" orientation="landscape"/>
  <headerFooter alignWithMargins="0">
    <oddHeader>&amp;L&amp;"Times New Roman,Regular"&amp;12&amp;D&amp;C&amp;"Times New Roman,Bold"&amp;12Dubious Democracy 2003 State Data&amp;R&amp;"Times New Roman,Regular"&amp;12&amp;P of 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60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A57" sqref="A57:XFD57"/>
    </sheetView>
  </sheetViews>
  <sheetFormatPr baseColWidth="10" defaultColWidth="8.83203125" defaultRowHeight="15" x14ac:dyDescent="0"/>
  <cols>
    <col min="1" max="1" width="16.5" style="7" bestFit="1" customWidth="1"/>
    <col min="2" max="2" width="11.83203125" style="7" bestFit="1" customWidth="1"/>
    <col min="3" max="3" width="7.33203125" style="7" bestFit="1" customWidth="1"/>
    <col min="4" max="4" width="10.33203125" style="7" bestFit="1" customWidth="1"/>
    <col min="5" max="5" width="7.33203125" style="7" bestFit="1" customWidth="1"/>
    <col min="6" max="6" width="9.5" style="7" bestFit="1" customWidth="1"/>
    <col min="7" max="7" width="11.5" style="7" bestFit="1" customWidth="1"/>
    <col min="8" max="8" width="5.6640625" style="7" customWidth="1"/>
    <col min="9" max="9" width="16.6640625" style="7" customWidth="1"/>
    <col min="10" max="10" width="11.83203125" style="7" bestFit="1" customWidth="1"/>
    <col min="11" max="11" width="6.5" style="7" bestFit="1" customWidth="1"/>
    <col min="12" max="12" width="10.33203125" style="7" bestFit="1" customWidth="1"/>
    <col min="13" max="13" width="7" style="7" bestFit="1" customWidth="1"/>
    <col min="14" max="14" width="9.5" style="7" bestFit="1" customWidth="1"/>
    <col min="15" max="15" width="9.1640625" style="7" bestFit="1"/>
    <col min="16" max="16" width="5.6640625" style="7" customWidth="1"/>
    <col min="17" max="17" width="8.83203125" style="7" customWidth="1"/>
    <col min="18" max="19" width="16.5" style="7" bestFit="1" customWidth="1"/>
    <col min="20" max="20" width="5.6640625" style="106" customWidth="1"/>
    <col min="21" max="21" width="5.5" style="7" customWidth="1"/>
    <col min="22" max="22" width="16.1640625" style="7" customWidth="1"/>
    <col min="23" max="23" width="7.6640625" style="7" bestFit="1" customWidth="1"/>
    <col min="24" max="24" width="5.6640625" style="7" customWidth="1"/>
    <col min="25" max="25" width="5.83203125" style="7" customWidth="1"/>
    <col min="26" max="26" width="16" style="7" customWidth="1"/>
    <col min="27" max="27" width="10.33203125" style="7" bestFit="1" customWidth="1"/>
    <col min="28" max="28" width="5.6640625" style="7" customWidth="1"/>
    <col min="29" max="29" width="6.6640625" style="7" customWidth="1"/>
    <col min="30" max="30" width="16.1640625" style="7" customWidth="1"/>
    <col min="31" max="31" width="10.5" style="7" customWidth="1"/>
    <col min="32" max="32" width="5.6640625" style="7" customWidth="1"/>
    <col min="33" max="33" width="8.83203125" style="7"/>
    <col min="34" max="34" width="16.1640625" style="7" customWidth="1"/>
    <col min="35" max="35" width="9.5" style="7" bestFit="1" customWidth="1"/>
    <col min="36" max="36" width="5.6640625" style="7" customWidth="1"/>
    <col min="37" max="37" width="8.83203125" style="7"/>
    <col min="38" max="38" width="16.5" style="7" customWidth="1"/>
    <col min="39" max="39" width="8.5" style="7" bestFit="1" customWidth="1"/>
    <col min="40" max="16384" width="8.83203125" style="7"/>
  </cols>
  <sheetData>
    <row r="1" spans="1:39">
      <c r="A1" s="8" t="s">
        <v>201</v>
      </c>
      <c r="D1" s="79"/>
      <c r="E1" s="7" t="s">
        <v>207</v>
      </c>
      <c r="H1" s="128"/>
      <c r="P1" s="128"/>
      <c r="T1" s="128"/>
      <c r="U1" s="128"/>
      <c r="V1" s="128"/>
      <c r="X1" s="128"/>
      <c r="AB1" s="128"/>
      <c r="AF1" s="128"/>
      <c r="AJ1" s="128"/>
    </row>
    <row r="2" spans="1:39">
      <c r="A2" s="7" t="s">
        <v>205</v>
      </c>
      <c r="D2" s="79"/>
      <c r="H2" s="128"/>
      <c r="P2" s="128"/>
      <c r="T2" s="128"/>
      <c r="U2" s="128"/>
      <c r="V2" s="128"/>
      <c r="X2" s="128"/>
      <c r="AB2" s="128"/>
      <c r="AF2" s="128"/>
      <c r="AJ2" s="128"/>
    </row>
    <row r="3" spans="1:39">
      <c r="D3" s="79"/>
      <c r="H3" s="128"/>
      <c r="P3" s="128"/>
      <c r="T3" s="128"/>
      <c r="U3" s="128"/>
      <c r="V3" s="128"/>
      <c r="X3" s="128"/>
      <c r="AB3" s="128"/>
      <c r="AF3" s="128"/>
      <c r="AJ3" s="128"/>
    </row>
    <row r="4" spans="1:39">
      <c r="A4" s="8" t="s">
        <v>208</v>
      </c>
      <c r="B4" s="8" t="s">
        <v>241</v>
      </c>
      <c r="C4" s="8"/>
      <c r="G4" s="102">
        <f ca="1">NOW()</f>
        <v>41465.98263402778</v>
      </c>
      <c r="H4" s="129"/>
      <c r="I4" s="8" t="s">
        <v>209</v>
      </c>
      <c r="L4" s="8"/>
      <c r="P4" s="128"/>
      <c r="Q4" s="8"/>
      <c r="T4" s="128"/>
      <c r="U4" s="129"/>
      <c r="V4" s="128"/>
      <c r="X4" s="128"/>
      <c r="Y4" s="8"/>
      <c r="AB4" s="128"/>
      <c r="AF4" s="128"/>
      <c r="AJ4" s="128"/>
    </row>
    <row r="5" spans="1:39" ht="16" thickBot="1">
      <c r="H5" s="128"/>
      <c r="P5" s="128"/>
      <c r="T5" s="128"/>
      <c r="X5" s="128"/>
      <c r="AB5" s="128"/>
      <c r="AF5" s="128"/>
      <c r="AJ5" s="128"/>
    </row>
    <row r="6" spans="1:39">
      <c r="A6" s="98"/>
      <c r="B6" s="50"/>
      <c r="C6" s="25"/>
      <c r="D6" s="50"/>
      <c r="E6" s="56"/>
      <c r="F6" s="50" t="s">
        <v>145</v>
      </c>
      <c r="G6" s="51" t="s">
        <v>140</v>
      </c>
      <c r="H6" s="63"/>
      <c r="I6" s="98"/>
      <c r="J6" s="50"/>
      <c r="K6" s="25"/>
      <c r="L6" s="50"/>
      <c r="M6" s="56"/>
      <c r="N6" s="50" t="s">
        <v>145</v>
      </c>
      <c r="O6" s="51" t="s">
        <v>140</v>
      </c>
      <c r="P6" s="93"/>
      <c r="Q6" s="24"/>
      <c r="R6" s="25"/>
      <c r="S6" s="51" t="s">
        <v>131</v>
      </c>
      <c r="T6" s="107"/>
      <c r="U6" s="25"/>
      <c r="V6" s="25"/>
      <c r="W6" s="26"/>
      <c r="X6" s="63"/>
      <c r="Y6" s="24"/>
      <c r="Z6" s="25"/>
      <c r="AA6" s="51" t="s">
        <v>62</v>
      </c>
      <c r="AB6" s="63"/>
      <c r="AC6" s="24"/>
      <c r="AD6" s="25"/>
      <c r="AE6" s="69" t="s">
        <v>190</v>
      </c>
      <c r="AF6" s="94"/>
      <c r="AG6" s="24"/>
      <c r="AH6" s="25"/>
      <c r="AI6" s="51" t="s">
        <v>145</v>
      </c>
      <c r="AJ6" s="96"/>
      <c r="AK6" s="24"/>
      <c r="AL6" s="25"/>
      <c r="AM6" s="51" t="s">
        <v>140</v>
      </c>
    </row>
    <row r="7" spans="1:39" ht="16" thickBot="1">
      <c r="A7" s="22" t="s">
        <v>51</v>
      </c>
      <c r="B7" s="32" t="s">
        <v>131</v>
      </c>
      <c r="C7" s="32" t="s">
        <v>129</v>
      </c>
      <c r="D7" s="32" t="s">
        <v>62</v>
      </c>
      <c r="E7" s="62" t="s">
        <v>202</v>
      </c>
      <c r="F7" s="32" t="s">
        <v>144</v>
      </c>
      <c r="G7" s="46" t="s">
        <v>204</v>
      </c>
      <c r="H7" s="63"/>
      <c r="I7" s="22" t="s">
        <v>51</v>
      </c>
      <c r="J7" s="32" t="s">
        <v>131</v>
      </c>
      <c r="K7" s="32" t="s">
        <v>129</v>
      </c>
      <c r="L7" s="32" t="s">
        <v>62</v>
      </c>
      <c r="M7" s="62" t="s">
        <v>202</v>
      </c>
      <c r="N7" s="32" t="s">
        <v>144</v>
      </c>
      <c r="O7" s="46" t="s">
        <v>204</v>
      </c>
      <c r="P7" s="93"/>
      <c r="Q7" s="22" t="s">
        <v>187</v>
      </c>
      <c r="R7" s="23" t="s">
        <v>51</v>
      </c>
      <c r="S7" s="46" t="s">
        <v>189</v>
      </c>
      <c r="T7" s="107"/>
      <c r="U7" s="23" t="s">
        <v>187</v>
      </c>
      <c r="V7" s="23" t="s">
        <v>51</v>
      </c>
      <c r="W7" s="46" t="s">
        <v>129</v>
      </c>
      <c r="X7" s="93"/>
      <c r="Y7" s="22" t="s">
        <v>187</v>
      </c>
      <c r="Z7" s="23" t="s">
        <v>51</v>
      </c>
      <c r="AA7" s="53" t="s">
        <v>189</v>
      </c>
      <c r="AB7" s="104"/>
      <c r="AC7" s="22" t="s">
        <v>187</v>
      </c>
      <c r="AD7" s="23" t="s">
        <v>51</v>
      </c>
      <c r="AE7" s="34" t="s">
        <v>189</v>
      </c>
      <c r="AF7" s="95"/>
      <c r="AG7" s="52" t="s">
        <v>187</v>
      </c>
      <c r="AH7" s="23" t="s">
        <v>51</v>
      </c>
      <c r="AI7" s="46" t="s">
        <v>144</v>
      </c>
      <c r="AJ7" s="95"/>
      <c r="AK7" s="22" t="s">
        <v>187</v>
      </c>
      <c r="AL7" s="23" t="s">
        <v>51</v>
      </c>
      <c r="AM7" s="46" t="s">
        <v>185</v>
      </c>
    </row>
    <row r="8" spans="1:39">
      <c r="A8" s="97" t="s">
        <v>66</v>
      </c>
      <c r="B8" s="70">
        <f t="shared" ref="B8:B39" si="0">S8</f>
        <v>24.6</v>
      </c>
      <c r="C8" s="68">
        <f>'Data By State'!N7</f>
        <v>0.5455859859262091</v>
      </c>
      <c r="D8" s="68">
        <f>AA8</f>
        <v>0.5714285714285714</v>
      </c>
      <c r="E8" s="68">
        <f>AE8</f>
        <v>0.28885956368767429</v>
      </c>
      <c r="F8" s="68">
        <f>AI8</f>
        <v>0.17461898541544557</v>
      </c>
      <c r="G8" s="119">
        <f>'Data By State'!R7</f>
        <v>0.39306263575641326</v>
      </c>
      <c r="H8" s="101"/>
      <c r="I8" s="97" t="s">
        <v>66</v>
      </c>
      <c r="J8" s="29">
        <f>Q8</f>
        <v>23</v>
      </c>
      <c r="K8" s="109">
        <f>U8</f>
        <v>48</v>
      </c>
      <c r="L8" s="109">
        <f>Y8</f>
        <v>22</v>
      </c>
      <c r="M8" s="109">
        <f>AC8</f>
        <v>11</v>
      </c>
      <c r="N8" s="109">
        <f>AG8</f>
        <v>31</v>
      </c>
      <c r="O8" s="110">
        <f>AK8</f>
        <v>35</v>
      </c>
      <c r="P8" s="28"/>
      <c r="Q8" s="84">
        <f t="shared" ref="Q8:Q39" si="1">RANK(S8,S$8:S$57,1)</f>
        <v>23</v>
      </c>
      <c r="R8" s="85" t="s">
        <v>66</v>
      </c>
      <c r="S8" s="86">
        <f>'Data By State'!L7</f>
        <v>24.6</v>
      </c>
      <c r="T8" s="41"/>
      <c r="U8" s="61">
        <f t="shared" ref="U8:U57" si="2">RANK(W8,W$8:W$57,1)</f>
        <v>48</v>
      </c>
      <c r="V8" s="89" t="s">
        <v>66</v>
      </c>
      <c r="W8" s="91">
        <f>'Data By State'!N7</f>
        <v>0.5455859859262091</v>
      </c>
      <c r="X8" s="37"/>
      <c r="Y8" s="84">
        <f t="shared" ref="Y8:Y57" si="3">RANK(AA8,AA$8:AA$57,1)</f>
        <v>22</v>
      </c>
      <c r="Z8" s="85" t="s">
        <v>66</v>
      </c>
      <c r="AA8" s="60">
        <f>'Data By State'!O7</f>
        <v>0.5714285714285714</v>
      </c>
      <c r="AB8" s="33"/>
      <c r="AC8" s="88">
        <f>RANK(AE8,AE$8:AE$57)</f>
        <v>11</v>
      </c>
      <c r="AD8" s="89" t="s">
        <v>66</v>
      </c>
      <c r="AE8" s="59">
        <f>'Data By State'!P7</f>
        <v>0.28885956368767429</v>
      </c>
      <c r="AF8" s="33"/>
      <c r="AG8" s="84">
        <f t="shared" ref="AG8:AG57" si="4">RANK(AI8,AI$8:AI$57,1)</f>
        <v>31</v>
      </c>
      <c r="AH8" s="89" t="s">
        <v>66</v>
      </c>
      <c r="AI8" s="60">
        <f>'Data By State'!Q7</f>
        <v>0.17461898541544557</v>
      </c>
      <c r="AJ8" s="33"/>
      <c r="AK8" s="84">
        <f>RANK(AM8,AM$8:AM$57)</f>
        <v>35</v>
      </c>
      <c r="AL8" s="85" t="s">
        <v>66</v>
      </c>
      <c r="AM8" s="60">
        <f>'Data By State'!R7</f>
        <v>0.39306263575641326</v>
      </c>
    </row>
    <row r="9" spans="1:39">
      <c r="A9" s="97" t="s">
        <v>67</v>
      </c>
      <c r="B9" s="70">
        <f t="shared" si="0"/>
        <v>24.8</v>
      </c>
      <c r="C9" s="68">
        <f>'Data By State'!N8</f>
        <v>0.38648958456856003</v>
      </c>
      <c r="D9" s="68">
        <f>'Data By State'!O8</f>
        <v>1</v>
      </c>
      <c r="E9" s="68">
        <f>'Data By State'!P8</f>
        <v>0.35524983187898529</v>
      </c>
      <c r="F9" s="68">
        <f>'Data By State'!Q8</f>
        <v>0.307777144317534</v>
      </c>
      <c r="G9" s="119">
        <f>'Data By State'!R8</f>
        <v>0.5151693768584461</v>
      </c>
      <c r="H9" s="101"/>
      <c r="I9" s="97" t="s">
        <v>67</v>
      </c>
      <c r="J9" s="29">
        <f t="shared" ref="J9:J57" si="5">Q9</f>
        <v>24</v>
      </c>
      <c r="K9" s="109">
        <f t="shared" ref="K9:K57" si="6">U9</f>
        <v>41</v>
      </c>
      <c r="L9" s="109">
        <f t="shared" ref="L9:L57" si="7">Y9</f>
        <v>44</v>
      </c>
      <c r="M9" s="109">
        <f t="shared" ref="M9:M57" si="8">AC9</f>
        <v>1</v>
      </c>
      <c r="N9" s="109">
        <f t="shared" ref="N9:N57" si="9">AG9</f>
        <v>37</v>
      </c>
      <c r="O9" s="111">
        <f t="shared" ref="O9:O57" si="10">AK9</f>
        <v>6</v>
      </c>
      <c r="P9" s="28"/>
      <c r="Q9" s="84">
        <f t="shared" si="1"/>
        <v>24</v>
      </c>
      <c r="R9" s="85" t="s">
        <v>67</v>
      </c>
      <c r="S9" s="86">
        <f>'Data By State'!L8</f>
        <v>24.8</v>
      </c>
      <c r="T9" s="41"/>
      <c r="U9" s="61">
        <f t="shared" si="2"/>
        <v>41</v>
      </c>
      <c r="V9" s="85" t="s">
        <v>67</v>
      </c>
      <c r="W9" s="91">
        <f>'Data By State'!N8</f>
        <v>0.38648958456856003</v>
      </c>
      <c r="X9" s="37"/>
      <c r="Y9" s="84">
        <f t="shared" si="3"/>
        <v>44</v>
      </c>
      <c r="Z9" s="85" t="s">
        <v>67</v>
      </c>
      <c r="AA9" s="60">
        <f>'Data By State'!O8</f>
        <v>1</v>
      </c>
      <c r="AB9" s="33"/>
      <c r="AC9" s="84">
        <f t="shared" ref="AC9:AC57" si="11">RANK(AE9,AE$8:AE$57)</f>
        <v>1</v>
      </c>
      <c r="AD9" s="85" t="s">
        <v>67</v>
      </c>
      <c r="AE9" s="60">
        <f>'Data By State'!P8</f>
        <v>0.35524983187898529</v>
      </c>
      <c r="AF9" s="33"/>
      <c r="AG9" s="84">
        <f t="shared" si="4"/>
        <v>37</v>
      </c>
      <c r="AH9" s="85" t="s">
        <v>67</v>
      </c>
      <c r="AI9" s="60">
        <f>'Data By State'!Q8</f>
        <v>0.307777144317534</v>
      </c>
      <c r="AJ9" s="33"/>
      <c r="AK9" s="84">
        <f t="shared" ref="AK9:AK57" si="12">RANK(AM9,AM$8:AM$57)</f>
        <v>6</v>
      </c>
      <c r="AL9" s="85" t="s">
        <v>67</v>
      </c>
      <c r="AM9" s="60">
        <f>'Data By State'!R8</f>
        <v>0.5151693768584461</v>
      </c>
    </row>
    <row r="10" spans="1:39">
      <c r="A10" s="97" t="s">
        <v>68</v>
      </c>
      <c r="B10" s="70">
        <f t="shared" si="0"/>
        <v>23.8</v>
      </c>
      <c r="C10" s="68">
        <f>'Data By State'!N9</f>
        <v>0.18925316626043787</v>
      </c>
      <c r="D10" s="68">
        <f>'Data By State'!O9</f>
        <v>0.375</v>
      </c>
      <c r="E10" s="68">
        <f>'Data By State'!P9</f>
        <v>0.2194073618875626</v>
      </c>
      <c r="F10" s="68">
        <f>'Data By State'!Q9</f>
        <v>6.9447323402889616E-2</v>
      </c>
      <c r="G10" s="119">
        <f>'Data By State'!R9</f>
        <v>0.39201371422978304</v>
      </c>
      <c r="H10" s="101"/>
      <c r="I10" s="97" t="s">
        <v>68</v>
      </c>
      <c r="J10" s="29">
        <f t="shared" si="5"/>
        <v>19</v>
      </c>
      <c r="K10" s="109">
        <f t="shared" si="6"/>
        <v>11</v>
      </c>
      <c r="L10" s="109">
        <f t="shared" si="7"/>
        <v>9</v>
      </c>
      <c r="M10" s="109">
        <f t="shared" si="8"/>
        <v>44</v>
      </c>
      <c r="N10" s="109">
        <f t="shared" si="9"/>
        <v>11</v>
      </c>
      <c r="O10" s="111">
        <f t="shared" si="10"/>
        <v>36</v>
      </c>
      <c r="P10" s="28"/>
      <c r="Q10" s="84">
        <f t="shared" si="1"/>
        <v>19</v>
      </c>
      <c r="R10" s="85" t="s">
        <v>68</v>
      </c>
      <c r="S10" s="86">
        <f>'Data By State'!L9</f>
        <v>23.8</v>
      </c>
      <c r="T10" s="41"/>
      <c r="U10" s="61">
        <f t="shared" si="2"/>
        <v>11</v>
      </c>
      <c r="V10" s="85" t="s">
        <v>68</v>
      </c>
      <c r="W10" s="91">
        <f>'Data By State'!N9</f>
        <v>0.18925316626043787</v>
      </c>
      <c r="X10" s="37"/>
      <c r="Y10" s="84">
        <f t="shared" si="3"/>
        <v>9</v>
      </c>
      <c r="Z10" s="85" t="s">
        <v>68</v>
      </c>
      <c r="AA10" s="60">
        <f>'Data By State'!O9</f>
        <v>0.375</v>
      </c>
      <c r="AB10" s="33"/>
      <c r="AC10" s="84">
        <f t="shared" si="11"/>
        <v>44</v>
      </c>
      <c r="AD10" s="85" t="s">
        <v>68</v>
      </c>
      <c r="AE10" s="60">
        <f>'Data By State'!P9</f>
        <v>0.2194073618875626</v>
      </c>
      <c r="AF10" s="33"/>
      <c r="AG10" s="84">
        <f t="shared" si="4"/>
        <v>11</v>
      </c>
      <c r="AH10" s="85" t="s">
        <v>68</v>
      </c>
      <c r="AI10" s="60">
        <f>'Data By State'!Q9</f>
        <v>6.9447323402889616E-2</v>
      </c>
      <c r="AJ10" s="33"/>
      <c r="AK10" s="84">
        <f t="shared" si="12"/>
        <v>36</v>
      </c>
      <c r="AL10" s="85" t="s">
        <v>68</v>
      </c>
      <c r="AM10" s="60">
        <f>'Data By State'!R9</f>
        <v>0.39201371422978304</v>
      </c>
    </row>
    <row r="11" spans="1:39">
      <c r="A11" s="97" t="s">
        <v>69</v>
      </c>
      <c r="B11" s="70">
        <f t="shared" si="0"/>
        <v>28.8</v>
      </c>
      <c r="C11" s="68">
        <f>'Data By State'!N10</f>
        <v>0.22949712364039687</v>
      </c>
      <c r="D11" s="68">
        <f>'Data By State'!O10</f>
        <v>0.5</v>
      </c>
      <c r="E11" s="68">
        <f>'Data By State'!P10</f>
        <v>0.22425680896806044</v>
      </c>
      <c r="F11" s="68">
        <f>'Data By State'!Q10</f>
        <v>0.17414209591474245</v>
      </c>
      <c r="G11" s="119">
        <f>'Data By State'!R10</f>
        <v>0.37223865396386985</v>
      </c>
      <c r="H11" s="101"/>
      <c r="I11" s="97" t="s">
        <v>69</v>
      </c>
      <c r="J11" s="29">
        <f t="shared" si="5"/>
        <v>34</v>
      </c>
      <c r="K11" s="109">
        <f t="shared" si="6"/>
        <v>15</v>
      </c>
      <c r="L11" s="109">
        <f t="shared" si="7"/>
        <v>15</v>
      </c>
      <c r="M11" s="109">
        <f t="shared" si="8"/>
        <v>42</v>
      </c>
      <c r="N11" s="109">
        <f t="shared" si="9"/>
        <v>30</v>
      </c>
      <c r="O11" s="111">
        <f t="shared" si="10"/>
        <v>41</v>
      </c>
      <c r="P11" s="28"/>
      <c r="Q11" s="84">
        <f t="shared" si="1"/>
        <v>34</v>
      </c>
      <c r="R11" s="85" t="s">
        <v>69</v>
      </c>
      <c r="S11" s="86">
        <f>'Data By State'!L10</f>
        <v>28.8</v>
      </c>
      <c r="T11" s="41"/>
      <c r="U11" s="61">
        <f t="shared" si="2"/>
        <v>15</v>
      </c>
      <c r="V11" s="85" t="s">
        <v>69</v>
      </c>
      <c r="W11" s="91">
        <f>'Data By State'!N10</f>
        <v>0.22949712364039687</v>
      </c>
      <c r="X11" s="37"/>
      <c r="Y11" s="84">
        <f t="shared" si="3"/>
        <v>15</v>
      </c>
      <c r="Z11" s="85" t="s">
        <v>69</v>
      </c>
      <c r="AA11" s="60">
        <f>'Data By State'!O10</f>
        <v>0.5</v>
      </c>
      <c r="AB11" s="33"/>
      <c r="AC11" s="84">
        <f t="shared" si="11"/>
        <v>42</v>
      </c>
      <c r="AD11" s="85" t="s">
        <v>69</v>
      </c>
      <c r="AE11" s="60">
        <f>'Data By State'!P10</f>
        <v>0.22425680896806044</v>
      </c>
      <c r="AF11" s="33"/>
      <c r="AG11" s="84">
        <f t="shared" si="4"/>
        <v>30</v>
      </c>
      <c r="AH11" s="85" t="s">
        <v>69</v>
      </c>
      <c r="AI11" s="60">
        <f>'Data By State'!Q10</f>
        <v>0.17414209591474245</v>
      </c>
      <c r="AJ11" s="33"/>
      <c r="AK11" s="84">
        <f t="shared" si="12"/>
        <v>41</v>
      </c>
      <c r="AL11" s="85" t="s">
        <v>69</v>
      </c>
      <c r="AM11" s="60">
        <f>'Data By State'!R10</f>
        <v>0.37223865396386985</v>
      </c>
    </row>
    <row r="12" spans="1:39">
      <c r="A12" s="116" t="s">
        <v>70</v>
      </c>
      <c r="B12" s="117">
        <f t="shared" si="0"/>
        <v>24.8</v>
      </c>
      <c r="C12" s="118">
        <f>'Data By State'!N11</f>
        <v>0.36145843388129217</v>
      </c>
      <c r="D12" s="118">
        <f>'Data By State'!O11</f>
        <v>0.79245283018867929</v>
      </c>
      <c r="E12" s="118">
        <f>'Data By State'!P11</f>
        <v>0.2748212479283324</v>
      </c>
      <c r="F12" s="118">
        <f>'Data By State'!Q11</f>
        <v>9.2120873178890589E-2</v>
      </c>
      <c r="G12" s="119">
        <f>'Data By State'!R11</f>
        <v>0.4216234025150713</v>
      </c>
      <c r="H12" s="101"/>
      <c r="I12" s="116" t="s">
        <v>70</v>
      </c>
      <c r="J12" s="120">
        <f t="shared" si="5"/>
        <v>24</v>
      </c>
      <c r="K12" s="121">
        <f t="shared" si="6"/>
        <v>39</v>
      </c>
      <c r="L12" s="121">
        <f t="shared" si="7"/>
        <v>40</v>
      </c>
      <c r="M12" s="121">
        <f t="shared" si="8"/>
        <v>15</v>
      </c>
      <c r="N12" s="121">
        <f t="shared" si="9"/>
        <v>15</v>
      </c>
      <c r="O12" s="122">
        <f t="shared" si="10"/>
        <v>26</v>
      </c>
      <c r="P12" s="28"/>
      <c r="Q12" s="123">
        <f t="shared" si="1"/>
        <v>24</v>
      </c>
      <c r="R12" s="124" t="s">
        <v>70</v>
      </c>
      <c r="S12" s="125">
        <f>'Data By State'!L11</f>
        <v>24.8</v>
      </c>
      <c r="T12" s="41"/>
      <c r="U12" s="126">
        <f t="shared" si="2"/>
        <v>39</v>
      </c>
      <c r="V12" s="124" t="s">
        <v>70</v>
      </c>
      <c r="W12" s="127">
        <f>'Data By State'!N11</f>
        <v>0.36145843388129217</v>
      </c>
      <c r="X12" s="37"/>
      <c r="Y12" s="123">
        <f t="shared" si="3"/>
        <v>40</v>
      </c>
      <c r="Z12" s="124" t="s">
        <v>70</v>
      </c>
      <c r="AA12" s="119">
        <f>'Data By State'!O11</f>
        <v>0.79245283018867929</v>
      </c>
      <c r="AB12" s="33"/>
      <c r="AC12" s="123">
        <f t="shared" si="11"/>
        <v>15</v>
      </c>
      <c r="AD12" s="124" t="s">
        <v>70</v>
      </c>
      <c r="AE12" s="119">
        <f>'Data By State'!P11</f>
        <v>0.2748212479283324</v>
      </c>
      <c r="AF12" s="33"/>
      <c r="AG12" s="123">
        <f t="shared" si="4"/>
        <v>15</v>
      </c>
      <c r="AH12" s="124" t="s">
        <v>70</v>
      </c>
      <c r="AI12" s="119">
        <f>'Data By State'!Q11</f>
        <v>9.2120873178890589E-2</v>
      </c>
      <c r="AJ12" s="33"/>
      <c r="AK12" s="123">
        <f t="shared" si="12"/>
        <v>26</v>
      </c>
      <c r="AL12" s="124" t="s">
        <v>70</v>
      </c>
      <c r="AM12" s="119">
        <f>'Data By State'!R11</f>
        <v>0.4216234025150713</v>
      </c>
    </row>
    <row r="13" spans="1:39">
      <c r="A13" s="97" t="s">
        <v>71</v>
      </c>
      <c r="B13" s="70">
        <f t="shared" si="0"/>
        <v>13</v>
      </c>
      <c r="C13" s="68">
        <f>'Data By State'!N12</f>
        <v>0.23280081449808956</v>
      </c>
      <c r="D13" s="68">
        <f>'Data By State'!O12</f>
        <v>0.5714285714285714</v>
      </c>
      <c r="E13" s="68">
        <f>'Data By State'!P12</f>
        <v>0.2904888370252634</v>
      </c>
      <c r="F13" s="68">
        <f>'Data By State'!Q12</f>
        <v>4.7853746342589071E-2</v>
      </c>
      <c r="G13" s="119">
        <f>'Data By State'!R12</f>
        <v>0.49269102915764085</v>
      </c>
      <c r="H13" s="101"/>
      <c r="I13" s="97" t="s">
        <v>71</v>
      </c>
      <c r="J13" s="29">
        <f t="shared" si="5"/>
        <v>3</v>
      </c>
      <c r="K13" s="109">
        <f t="shared" si="6"/>
        <v>16</v>
      </c>
      <c r="L13" s="109">
        <f t="shared" si="7"/>
        <v>22</v>
      </c>
      <c r="M13" s="109">
        <f t="shared" si="8"/>
        <v>10</v>
      </c>
      <c r="N13" s="109">
        <f t="shared" si="9"/>
        <v>7</v>
      </c>
      <c r="O13" s="111">
        <f t="shared" si="10"/>
        <v>10</v>
      </c>
      <c r="P13" s="28"/>
      <c r="Q13" s="84">
        <f t="shared" si="1"/>
        <v>3</v>
      </c>
      <c r="R13" s="85" t="s">
        <v>71</v>
      </c>
      <c r="S13" s="86">
        <f>'Data By State'!L12</f>
        <v>13</v>
      </c>
      <c r="T13" s="41"/>
      <c r="U13" s="61">
        <f t="shared" si="2"/>
        <v>16</v>
      </c>
      <c r="V13" s="85" t="s">
        <v>71</v>
      </c>
      <c r="W13" s="91">
        <f>'Data By State'!N12</f>
        <v>0.23280081449808956</v>
      </c>
      <c r="X13" s="37"/>
      <c r="Y13" s="84">
        <f t="shared" si="3"/>
        <v>22</v>
      </c>
      <c r="Z13" s="85" t="s">
        <v>71</v>
      </c>
      <c r="AA13" s="60">
        <f>'Data By State'!O12</f>
        <v>0.5714285714285714</v>
      </c>
      <c r="AB13" s="33"/>
      <c r="AC13" s="84">
        <f t="shared" si="11"/>
        <v>10</v>
      </c>
      <c r="AD13" s="85" t="s">
        <v>71</v>
      </c>
      <c r="AE13" s="60">
        <f>'Data By State'!P12</f>
        <v>0.2904888370252634</v>
      </c>
      <c r="AF13" s="33"/>
      <c r="AG13" s="84">
        <f t="shared" si="4"/>
        <v>7</v>
      </c>
      <c r="AH13" s="85" t="s">
        <v>71</v>
      </c>
      <c r="AI13" s="60">
        <f>'Data By State'!Q12</f>
        <v>4.7853746342589071E-2</v>
      </c>
      <c r="AJ13" s="33"/>
      <c r="AK13" s="84">
        <f t="shared" si="12"/>
        <v>10</v>
      </c>
      <c r="AL13" s="85" t="s">
        <v>71</v>
      </c>
      <c r="AM13" s="60">
        <f>'Data By State'!R12</f>
        <v>0.49269102915764085</v>
      </c>
    </row>
    <row r="14" spans="1:39">
      <c r="A14" s="97" t="s">
        <v>72</v>
      </c>
      <c r="B14" s="70">
        <f t="shared" si="0"/>
        <v>24.4</v>
      </c>
      <c r="C14" s="68">
        <f>'Data By State'!N13</f>
        <v>0.18398497916432768</v>
      </c>
      <c r="D14" s="68">
        <f>'Data By State'!O13</f>
        <v>0.6</v>
      </c>
      <c r="E14" s="68">
        <f>'Data By State'!P13</f>
        <v>0.26641569244317387</v>
      </c>
      <c r="F14" s="68">
        <f>'Data By State'!Q13</f>
        <v>0.40875579235558429</v>
      </c>
      <c r="G14" s="119">
        <f>'Data By State'!R13</f>
        <v>0.45393044937653948</v>
      </c>
      <c r="H14" s="101"/>
      <c r="I14" s="97" t="s">
        <v>72</v>
      </c>
      <c r="J14" s="29">
        <f t="shared" si="5"/>
        <v>22</v>
      </c>
      <c r="K14" s="109">
        <f t="shared" si="6"/>
        <v>9</v>
      </c>
      <c r="L14" s="109">
        <f t="shared" si="7"/>
        <v>25</v>
      </c>
      <c r="M14" s="109">
        <f t="shared" si="8"/>
        <v>22</v>
      </c>
      <c r="N14" s="109">
        <f t="shared" si="9"/>
        <v>44</v>
      </c>
      <c r="O14" s="111">
        <f t="shared" si="10"/>
        <v>17</v>
      </c>
      <c r="P14" s="28"/>
      <c r="Q14" s="84">
        <f t="shared" si="1"/>
        <v>22</v>
      </c>
      <c r="R14" s="85" t="s">
        <v>72</v>
      </c>
      <c r="S14" s="86">
        <f>'Data By State'!L13</f>
        <v>24.4</v>
      </c>
      <c r="T14" s="41"/>
      <c r="U14" s="61">
        <f t="shared" si="2"/>
        <v>9</v>
      </c>
      <c r="V14" s="85" t="s">
        <v>72</v>
      </c>
      <c r="W14" s="91">
        <f>'Data By State'!N13</f>
        <v>0.18398497916432768</v>
      </c>
      <c r="X14" s="37"/>
      <c r="Y14" s="84">
        <f t="shared" si="3"/>
        <v>25</v>
      </c>
      <c r="Z14" s="85" t="s">
        <v>72</v>
      </c>
      <c r="AA14" s="60">
        <f>'Data By State'!O13</f>
        <v>0.6</v>
      </c>
      <c r="AB14" s="33"/>
      <c r="AC14" s="84">
        <f t="shared" si="11"/>
        <v>22</v>
      </c>
      <c r="AD14" s="85" t="s">
        <v>72</v>
      </c>
      <c r="AE14" s="60">
        <f>'Data By State'!P13</f>
        <v>0.26641569244317387</v>
      </c>
      <c r="AF14" s="33"/>
      <c r="AG14" s="84">
        <f t="shared" si="4"/>
        <v>44</v>
      </c>
      <c r="AH14" s="85" t="s">
        <v>72</v>
      </c>
      <c r="AI14" s="60">
        <f>'Data By State'!Q13</f>
        <v>0.40875579235558429</v>
      </c>
      <c r="AJ14" s="33"/>
      <c r="AK14" s="84">
        <f t="shared" si="12"/>
        <v>17</v>
      </c>
      <c r="AL14" s="85" t="s">
        <v>72</v>
      </c>
      <c r="AM14" s="60">
        <f>'Data By State'!R13</f>
        <v>0.45393044937653948</v>
      </c>
    </row>
    <row r="15" spans="1:39">
      <c r="A15" s="97" t="s">
        <v>73</v>
      </c>
      <c r="B15" s="70">
        <f t="shared" si="0"/>
        <v>17.2</v>
      </c>
      <c r="C15" s="68">
        <f>'Data By State'!N14</f>
        <v>0.16088098065120324</v>
      </c>
      <c r="D15" s="68">
        <f>'Data By State'!O14</f>
        <v>0</v>
      </c>
      <c r="E15" s="68">
        <f>'Data By State'!P14</f>
        <v>0.27475246740992409</v>
      </c>
      <c r="F15" s="68">
        <f>'Data By State'!Q14</f>
        <v>0.42130998966090383</v>
      </c>
      <c r="G15" s="119">
        <f>'Data By State'!R14</f>
        <v>0.48388148833026723</v>
      </c>
      <c r="H15" s="101"/>
      <c r="I15" s="97" t="s">
        <v>73</v>
      </c>
      <c r="J15" s="29">
        <f t="shared" si="5"/>
        <v>8</v>
      </c>
      <c r="K15" s="109">
        <f t="shared" si="6"/>
        <v>7</v>
      </c>
      <c r="L15" s="109">
        <f t="shared" si="7"/>
        <v>1</v>
      </c>
      <c r="M15" s="109">
        <f t="shared" si="8"/>
        <v>16</v>
      </c>
      <c r="N15" s="109">
        <f t="shared" si="9"/>
        <v>46</v>
      </c>
      <c r="O15" s="111">
        <f t="shared" si="10"/>
        <v>11</v>
      </c>
      <c r="P15" s="28"/>
      <c r="Q15" s="84">
        <f t="shared" si="1"/>
        <v>8</v>
      </c>
      <c r="R15" s="85" t="s">
        <v>73</v>
      </c>
      <c r="S15" s="86">
        <f>'Data By State'!L14</f>
        <v>17.2</v>
      </c>
      <c r="T15" s="41"/>
      <c r="U15" s="61">
        <f t="shared" si="2"/>
        <v>7</v>
      </c>
      <c r="V15" s="85" t="s">
        <v>73</v>
      </c>
      <c r="W15" s="91">
        <f>'Data By State'!N14</f>
        <v>0.16088098065120324</v>
      </c>
      <c r="X15" s="37"/>
      <c r="Y15" s="84">
        <f t="shared" si="3"/>
        <v>1</v>
      </c>
      <c r="Z15" s="85" t="s">
        <v>73</v>
      </c>
      <c r="AA15" s="60">
        <f>'Data By State'!O14</f>
        <v>0</v>
      </c>
      <c r="AB15" s="33"/>
      <c r="AC15" s="84">
        <f t="shared" si="11"/>
        <v>16</v>
      </c>
      <c r="AD15" s="85" t="s">
        <v>73</v>
      </c>
      <c r="AE15" s="60">
        <f>'Data By State'!P14</f>
        <v>0.27475246740992409</v>
      </c>
      <c r="AF15" s="33"/>
      <c r="AG15" s="84">
        <f t="shared" si="4"/>
        <v>46</v>
      </c>
      <c r="AH15" s="85" t="s">
        <v>73</v>
      </c>
      <c r="AI15" s="60">
        <f>'Data By State'!Q14</f>
        <v>0.42130998966090383</v>
      </c>
      <c r="AJ15" s="33"/>
      <c r="AK15" s="84">
        <f t="shared" si="12"/>
        <v>11</v>
      </c>
      <c r="AL15" s="85" t="s">
        <v>73</v>
      </c>
      <c r="AM15" s="60">
        <f>'Data By State'!R14</f>
        <v>0.48388148833026723</v>
      </c>
    </row>
    <row r="16" spans="1:39">
      <c r="A16" s="97" t="s">
        <v>74</v>
      </c>
      <c r="B16" s="70">
        <f t="shared" si="0"/>
        <v>31.2</v>
      </c>
      <c r="C16" s="68">
        <f>'Data By State'!N15</f>
        <v>0.42513854159236364</v>
      </c>
      <c r="D16" s="68">
        <f>'Data By State'!O15</f>
        <v>0.72</v>
      </c>
      <c r="E16" s="68">
        <f>'Data By State'!P15</f>
        <v>0.26129093386442714</v>
      </c>
      <c r="F16" s="68">
        <f>'Data By State'!Q15</f>
        <v>0.14970666047059475</v>
      </c>
      <c r="G16" s="119">
        <f>'Data By State'!R15</f>
        <v>0.40710907731189477</v>
      </c>
      <c r="H16" s="101"/>
      <c r="I16" s="97" t="s">
        <v>74</v>
      </c>
      <c r="J16" s="29">
        <f t="shared" si="5"/>
        <v>40</v>
      </c>
      <c r="K16" s="109">
        <f t="shared" si="6"/>
        <v>44</v>
      </c>
      <c r="L16" s="109">
        <f t="shared" si="7"/>
        <v>35</v>
      </c>
      <c r="M16" s="109">
        <f t="shared" si="8"/>
        <v>26</v>
      </c>
      <c r="N16" s="109">
        <f t="shared" si="9"/>
        <v>25</v>
      </c>
      <c r="O16" s="111">
        <f t="shared" si="10"/>
        <v>32</v>
      </c>
      <c r="P16" s="28"/>
      <c r="Q16" s="84">
        <f t="shared" si="1"/>
        <v>40</v>
      </c>
      <c r="R16" s="85" t="s">
        <v>74</v>
      </c>
      <c r="S16" s="86">
        <f>'Data By State'!L15</f>
        <v>31.2</v>
      </c>
      <c r="T16" s="41"/>
      <c r="U16" s="61">
        <f t="shared" si="2"/>
        <v>44</v>
      </c>
      <c r="V16" s="85" t="s">
        <v>74</v>
      </c>
      <c r="W16" s="91">
        <f>'Data By State'!N15</f>
        <v>0.42513854159236364</v>
      </c>
      <c r="X16" s="37"/>
      <c r="Y16" s="84">
        <f t="shared" si="3"/>
        <v>35</v>
      </c>
      <c r="Z16" s="85" t="s">
        <v>74</v>
      </c>
      <c r="AA16" s="60">
        <f>'Data By State'!O15</f>
        <v>0.72</v>
      </c>
      <c r="AB16" s="33"/>
      <c r="AC16" s="84">
        <f t="shared" si="11"/>
        <v>26</v>
      </c>
      <c r="AD16" s="85" t="s">
        <v>74</v>
      </c>
      <c r="AE16" s="60">
        <f>'Data By State'!P15</f>
        <v>0.26129093386442714</v>
      </c>
      <c r="AF16" s="33"/>
      <c r="AG16" s="84">
        <f t="shared" si="4"/>
        <v>25</v>
      </c>
      <c r="AH16" s="85" t="s">
        <v>74</v>
      </c>
      <c r="AI16" s="60">
        <f>'Data By State'!Q15</f>
        <v>0.14970666047059475</v>
      </c>
      <c r="AJ16" s="33"/>
      <c r="AK16" s="84">
        <f t="shared" si="12"/>
        <v>32</v>
      </c>
      <c r="AL16" s="85" t="s">
        <v>74</v>
      </c>
      <c r="AM16" s="60">
        <f>'Data By State'!R15</f>
        <v>0.40710907731189477</v>
      </c>
    </row>
    <row r="17" spans="1:39">
      <c r="A17" s="116" t="s">
        <v>75</v>
      </c>
      <c r="B17" s="117">
        <f t="shared" si="0"/>
        <v>23.8</v>
      </c>
      <c r="C17" s="118">
        <f>'Data By State'!N16</f>
        <v>0.46780903870224194</v>
      </c>
      <c r="D17" s="118">
        <f>'Data By State'!O16</f>
        <v>0.76923076923076927</v>
      </c>
      <c r="E17" s="118">
        <f>'Data By State'!P16</f>
        <v>0.27351333028932068</v>
      </c>
      <c r="F17" s="118">
        <f>'Data By State'!Q16</f>
        <v>3.665848831078844E-3</v>
      </c>
      <c r="G17" s="119">
        <f>'Data By State'!R16</f>
        <v>0.37423770828292824</v>
      </c>
      <c r="H17" s="101"/>
      <c r="I17" s="116" t="s">
        <v>75</v>
      </c>
      <c r="J17" s="120">
        <f t="shared" si="5"/>
        <v>19</v>
      </c>
      <c r="K17" s="121">
        <f t="shared" si="6"/>
        <v>45</v>
      </c>
      <c r="L17" s="121">
        <f t="shared" si="7"/>
        <v>37</v>
      </c>
      <c r="M17" s="121">
        <f t="shared" si="8"/>
        <v>18</v>
      </c>
      <c r="N17" s="121">
        <f t="shared" si="9"/>
        <v>1</v>
      </c>
      <c r="O17" s="122">
        <f t="shared" si="10"/>
        <v>39</v>
      </c>
      <c r="P17" s="28"/>
      <c r="Q17" s="123">
        <f t="shared" si="1"/>
        <v>19</v>
      </c>
      <c r="R17" s="124" t="s">
        <v>75</v>
      </c>
      <c r="S17" s="125">
        <f>'Data By State'!L16</f>
        <v>23.8</v>
      </c>
      <c r="T17" s="41"/>
      <c r="U17" s="126">
        <f t="shared" si="2"/>
        <v>45</v>
      </c>
      <c r="V17" s="124" t="s">
        <v>75</v>
      </c>
      <c r="W17" s="127">
        <f>'Data By State'!N16</f>
        <v>0.46780903870224194</v>
      </c>
      <c r="X17" s="37"/>
      <c r="Y17" s="123">
        <f t="shared" si="3"/>
        <v>37</v>
      </c>
      <c r="Z17" s="124" t="s">
        <v>75</v>
      </c>
      <c r="AA17" s="119">
        <f>'Data By State'!O16</f>
        <v>0.76923076923076927</v>
      </c>
      <c r="AB17" s="33"/>
      <c r="AC17" s="123">
        <f t="shared" si="11"/>
        <v>18</v>
      </c>
      <c r="AD17" s="124" t="s">
        <v>75</v>
      </c>
      <c r="AE17" s="119">
        <f>'Data By State'!P16</f>
        <v>0.27351333028932068</v>
      </c>
      <c r="AF17" s="33"/>
      <c r="AG17" s="123">
        <f t="shared" si="4"/>
        <v>1</v>
      </c>
      <c r="AH17" s="124" t="s">
        <v>75</v>
      </c>
      <c r="AI17" s="119">
        <f>'Data By State'!Q16</f>
        <v>3.665848831078844E-3</v>
      </c>
      <c r="AJ17" s="33"/>
      <c r="AK17" s="123">
        <f t="shared" si="12"/>
        <v>39</v>
      </c>
      <c r="AL17" s="124" t="s">
        <v>75</v>
      </c>
      <c r="AM17" s="119">
        <f>'Data By State'!R16</f>
        <v>0.37423770828292824</v>
      </c>
    </row>
    <row r="18" spans="1:39">
      <c r="A18" s="97" t="s">
        <v>76</v>
      </c>
      <c r="B18" s="70">
        <f t="shared" si="0"/>
        <v>29.4</v>
      </c>
      <c r="C18" s="68">
        <f>'Data By State'!N17</f>
        <v>0.27259224192607984</v>
      </c>
      <c r="D18" s="68">
        <f>'Data By State'!O17</f>
        <v>0.5</v>
      </c>
      <c r="E18" s="68">
        <f>'Data By State'!P17</f>
        <v>0.24330986520872017</v>
      </c>
      <c r="F18" s="68">
        <f>'Data By State'!Q17</f>
        <v>0.37372430440199333</v>
      </c>
      <c r="G18" s="119">
        <f>'Data By State'!R17</f>
        <v>0.41400178804758958</v>
      </c>
      <c r="H18" s="101"/>
      <c r="I18" s="97" t="s">
        <v>76</v>
      </c>
      <c r="J18" s="29">
        <f t="shared" si="5"/>
        <v>35</v>
      </c>
      <c r="K18" s="109">
        <f t="shared" si="6"/>
        <v>25</v>
      </c>
      <c r="L18" s="109">
        <f t="shared" si="7"/>
        <v>15</v>
      </c>
      <c r="M18" s="109">
        <f t="shared" si="8"/>
        <v>33</v>
      </c>
      <c r="N18" s="109">
        <f t="shared" si="9"/>
        <v>41</v>
      </c>
      <c r="O18" s="111">
        <f t="shared" si="10"/>
        <v>29</v>
      </c>
      <c r="P18" s="28"/>
      <c r="Q18" s="84">
        <f t="shared" si="1"/>
        <v>35</v>
      </c>
      <c r="R18" s="85" t="s">
        <v>76</v>
      </c>
      <c r="S18" s="86">
        <f>'Data By State'!L17</f>
        <v>29.4</v>
      </c>
      <c r="T18" s="41"/>
      <c r="U18" s="61">
        <f t="shared" si="2"/>
        <v>25</v>
      </c>
      <c r="V18" s="85" t="s">
        <v>76</v>
      </c>
      <c r="W18" s="91">
        <f>'Data By State'!N17</f>
        <v>0.27259224192607984</v>
      </c>
      <c r="X18" s="37"/>
      <c r="Y18" s="84">
        <f t="shared" si="3"/>
        <v>15</v>
      </c>
      <c r="Z18" s="85" t="s">
        <v>76</v>
      </c>
      <c r="AA18" s="60">
        <f>'Data By State'!O17</f>
        <v>0.5</v>
      </c>
      <c r="AB18" s="33"/>
      <c r="AC18" s="84">
        <f t="shared" si="11"/>
        <v>33</v>
      </c>
      <c r="AD18" s="85" t="s">
        <v>76</v>
      </c>
      <c r="AE18" s="60">
        <f>'Data By State'!P17</f>
        <v>0.24330986520872017</v>
      </c>
      <c r="AF18" s="33"/>
      <c r="AG18" s="84">
        <f t="shared" si="4"/>
        <v>41</v>
      </c>
      <c r="AH18" s="85" t="s">
        <v>76</v>
      </c>
      <c r="AI18" s="60">
        <f>'Data By State'!Q17</f>
        <v>0.37372430440199333</v>
      </c>
      <c r="AJ18" s="33"/>
      <c r="AK18" s="84">
        <f t="shared" si="12"/>
        <v>29</v>
      </c>
      <c r="AL18" s="85" t="s">
        <v>76</v>
      </c>
      <c r="AM18" s="60">
        <f>'Data By State'!R17</f>
        <v>0.41400178804758958</v>
      </c>
    </row>
    <row r="19" spans="1:39">
      <c r="A19" s="97" t="s">
        <v>77</v>
      </c>
      <c r="B19" s="70">
        <f t="shared" si="0"/>
        <v>29.8</v>
      </c>
      <c r="C19" s="68">
        <f>'Data By State'!N18</f>
        <v>0.29097143485560639</v>
      </c>
      <c r="D19" s="68">
        <f>'Data By State'!O18</f>
        <v>0.5</v>
      </c>
      <c r="E19" s="68">
        <f>'Data By State'!P18</f>
        <v>0.25066969081102458</v>
      </c>
      <c r="F19" s="68">
        <f>'Data By State'!Q18</f>
        <v>0.37384936396328694</v>
      </c>
      <c r="G19" s="119">
        <f>'Data By State'!R18</f>
        <v>0.42505071398831534</v>
      </c>
      <c r="H19" s="101"/>
      <c r="I19" s="97" t="s">
        <v>77</v>
      </c>
      <c r="J19" s="29">
        <f t="shared" si="5"/>
        <v>36</v>
      </c>
      <c r="K19" s="109">
        <f t="shared" si="6"/>
        <v>30</v>
      </c>
      <c r="L19" s="109">
        <f t="shared" si="7"/>
        <v>15</v>
      </c>
      <c r="M19" s="109">
        <f t="shared" si="8"/>
        <v>31</v>
      </c>
      <c r="N19" s="109">
        <f t="shared" si="9"/>
        <v>42</v>
      </c>
      <c r="O19" s="111">
        <f t="shared" si="10"/>
        <v>24</v>
      </c>
      <c r="P19" s="28"/>
      <c r="Q19" s="84">
        <f t="shared" si="1"/>
        <v>36</v>
      </c>
      <c r="R19" s="85" t="s">
        <v>77</v>
      </c>
      <c r="S19" s="86">
        <f>'Data By State'!L18</f>
        <v>29.8</v>
      </c>
      <c r="T19" s="41"/>
      <c r="U19" s="61">
        <f t="shared" si="2"/>
        <v>30</v>
      </c>
      <c r="V19" s="85" t="s">
        <v>77</v>
      </c>
      <c r="W19" s="91">
        <f>'Data By State'!N18</f>
        <v>0.29097143485560639</v>
      </c>
      <c r="X19" s="37"/>
      <c r="Y19" s="84">
        <f t="shared" si="3"/>
        <v>15</v>
      </c>
      <c r="Z19" s="85" t="s">
        <v>77</v>
      </c>
      <c r="AA19" s="60">
        <f>'Data By State'!O18</f>
        <v>0.5</v>
      </c>
      <c r="AB19" s="33"/>
      <c r="AC19" s="84">
        <f t="shared" si="11"/>
        <v>31</v>
      </c>
      <c r="AD19" s="85" t="s">
        <v>77</v>
      </c>
      <c r="AE19" s="60">
        <f>'Data By State'!P18</f>
        <v>0.25066969081102458</v>
      </c>
      <c r="AF19" s="33"/>
      <c r="AG19" s="84">
        <f t="shared" si="4"/>
        <v>42</v>
      </c>
      <c r="AH19" s="85" t="s">
        <v>77</v>
      </c>
      <c r="AI19" s="60">
        <f>'Data By State'!Q18</f>
        <v>0.37384936396328694</v>
      </c>
      <c r="AJ19" s="33"/>
      <c r="AK19" s="84">
        <f t="shared" si="12"/>
        <v>24</v>
      </c>
      <c r="AL19" s="85" t="s">
        <v>77</v>
      </c>
      <c r="AM19" s="60">
        <f>'Data By State'!R18</f>
        <v>0.42505071398831534</v>
      </c>
    </row>
    <row r="20" spans="1:39">
      <c r="A20" s="97" t="s">
        <v>78</v>
      </c>
      <c r="B20" s="70">
        <f t="shared" si="0"/>
        <v>25.6</v>
      </c>
      <c r="C20" s="68">
        <f>'Data By State'!N19</f>
        <v>0.35253352592714138</v>
      </c>
      <c r="D20" s="68">
        <f>'Data By State'!O19</f>
        <v>0.73684210526315785</v>
      </c>
      <c r="E20" s="68">
        <f>'Data By State'!P19</f>
        <v>0.2675389229010019</v>
      </c>
      <c r="F20" s="68">
        <f>'Data By State'!Q19</f>
        <v>0.10009093935509528</v>
      </c>
      <c r="G20" s="119">
        <f>'Data By State'!R19</f>
        <v>0.41371493312344026</v>
      </c>
      <c r="H20" s="101"/>
      <c r="I20" s="97" t="s">
        <v>78</v>
      </c>
      <c r="J20" s="29">
        <f t="shared" si="5"/>
        <v>26</v>
      </c>
      <c r="K20" s="109">
        <f t="shared" si="6"/>
        <v>36</v>
      </c>
      <c r="L20" s="109">
        <f t="shared" si="7"/>
        <v>36</v>
      </c>
      <c r="M20" s="109">
        <f t="shared" si="8"/>
        <v>20</v>
      </c>
      <c r="N20" s="109">
        <f t="shared" si="9"/>
        <v>16</v>
      </c>
      <c r="O20" s="111">
        <f t="shared" si="10"/>
        <v>30</v>
      </c>
      <c r="P20" s="28"/>
      <c r="Q20" s="84">
        <f t="shared" si="1"/>
        <v>26</v>
      </c>
      <c r="R20" s="85" t="s">
        <v>78</v>
      </c>
      <c r="S20" s="86">
        <f>'Data By State'!L19</f>
        <v>25.6</v>
      </c>
      <c r="T20" s="41"/>
      <c r="U20" s="61">
        <f t="shared" si="2"/>
        <v>36</v>
      </c>
      <c r="V20" s="85" t="s">
        <v>78</v>
      </c>
      <c r="W20" s="91">
        <f>'Data By State'!N19</f>
        <v>0.35253352592714138</v>
      </c>
      <c r="X20" s="37"/>
      <c r="Y20" s="84">
        <f t="shared" si="3"/>
        <v>36</v>
      </c>
      <c r="Z20" s="85" t="s">
        <v>78</v>
      </c>
      <c r="AA20" s="60">
        <f>'Data By State'!O19</f>
        <v>0.73684210526315785</v>
      </c>
      <c r="AB20" s="33"/>
      <c r="AC20" s="84">
        <f t="shared" si="11"/>
        <v>20</v>
      </c>
      <c r="AD20" s="85" t="s">
        <v>78</v>
      </c>
      <c r="AE20" s="60">
        <f>'Data By State'!P19</f>
        <v>0.2675389229010019</v>
      </c>
      <c r="AF20" s="33"/>
      <c r="AG20" s="84">
        <f t="shared" si="4"/>
        <v>16</v>
      </c>
      <c r="AH20" s="85" t="s">
        <v>78</v>
      </c>
      <c r="AI20" s="60">
        <f>'Data By State'!Q19</f>
        <v>0.10009093935509528</v>
      </c>
      <c r="AJ20" s="33"/>
      <c r="AK20" s="84">
        <f t="shared" si="12"/>
        <v>30</v>
      </c>
      <c r="AL20" s="85" t="s">
        <v>78</v>
      </c>
      <c r="AM20" s="60">
        <f>'Data By State'!R19</f>
        <v>0.41371493312344026</v>
      </c>
    </row>
    <row r="21" spans="1:39">
      <c r="A21" s="97" t="s">
        <v>79</v>
      </c>
      <c r="B21" s="70">
        <f t="shared" si="0"/>
        <v>31.8</v>
      </c>
      <c r="C21" s="68">
        <f>'Data By State'!N20</f>
        <v>0.25669341865255851</v>
      </c>
      <c r="D21" s="68">
        <f>'Data By State'!O20</f>
        <v>0.77777777777777779</v>
      </c>
      <c r="E21" s="68">
        <f>'Data By State'!P20</f>
        <v>0.22224706272352443</v>
      </c>
      <c r="F21" s="68">
        <f>'Data By State'!Q20</f>
        <v>8.2783378725806572E-2</v>
      </c>
      <c r="G21" s="119">
        <f>'Data By State'!R20</f>
        <v>0.37354509409479775</v>
      </c>
      <c r="H21" s="101"/>
      <c r="I21" s="97" t="s">
        <v>79</v>
      </c>
      <c r="J21" s="29">
        <f t="shared" si="5"/>
        <v>42</v>
      </c>
      <c r="K21" s="109">
        <f t="shared" si="6"/>
        <v>22</v>
      </c>
      <c r="L21" s="109">
        <f t="shared" si="7"/>
        <v>38</v>
      </c>
      <c r="M21" s="109">
        <f t="shared" si="8"/>
        <v>43</v>
      </c>
      <c r="N21" s="109">
        <f t="shared" si="9"/>
        <v>13</v>
      </c>
      <c r="O21" s="111">
        <f t="shared" si="10"/>
        <v>40</v>
      </c>
      <c r="P21" s="28"/>
      <c r="Q21" s="84">
        <f t="shared" si="1"/>
        <v>42</v>
      </c>
      <c r="R21" s="85" t="s">
        <v>79</v>
      </c>
      <c r="S21" s="86">
        <f>'Data By State'!L20</f>
        <v>31.8</v>
      </c>
      <c r="T21" s="41"/>
      <c r="U21" s="61">
        <f t="shared" si="2"/>
        <v>22</v>
      </c>
      <c r="V21" s="85" t="s">
        <v>79</v>
      </c>
      <c r="W21" s="91">
        <f>'Data By State'!N20</f>
        <v>0.25669341865255851</v>
      </c>
      <c r="X21" s="37"/>
      <c r="Y21" s="84">
        <f t="shared" si="3"/>
        <v>38</v>
      </c>
      <c r="Z21" s="85" t="s">
        <v>79</v>
      </c>
      <c r="AA21" s="60">
        <f>'Data By State'!O20</f>
        <v>0.77777777777777779</v>
      </c>
      <c r="AB21" s="33"/>
      <c r="AC21" s="84">
        <f t="shared" si="11"/>
        <v>43</v>
      </c>
      <c r="AD21" s="85" t="s">
        <v>79</v>
      </c>
      <c r="AE21" s="60">
        <f>'Data By State'!P20</f>
        <v>0.22224706272352443</v>
      </c>
      <c r="AF21" s="33"/>
      <c r="AG21" s="84">
        <f t="shared" si="4"/>
        <v>13</v>
      </c>
      <c r="AH21" s="85" t="s">
        <v>79</v>
      </c>
      <c r="AI21" s="60">
        <f>'Data By State'!Q20</f>
        <v>8.2783378725806572E-2</v>
      </c>
      <c r="AJ21" s="33"/>
      <c r="AK21" s="84">
        <f t="shared" si="12"/>
        <v>40</v>
      </c>
      <c r="AL21" s="85" t="s">
        <v>79</v>
      </c>
      <c r="AM21" s="60">
        <f>'Data By State'!R20</f>
        <v>0.37354509409479775</v>
      </c>
    </row>
    <row r="22" spans="1:39">
      <c r="A22" s="116" t="s">
        <v>80</v>
      </c>
      <c r="B22" s="117">
        <f t="shared" si="0"/>
        <v>13.8</v>
      </c>
      <c r="C22" s="118">
        <f>'Data By State'!N21</f>
        <v>0.16041191138161143</v>
      </c>
      <c r="D22" s="118">
        <f>'Data By State'!O21</f>
        <v>0.4</v>
      </c>
      <c r="E22" s="118">
        <f>'Data By State'!P21</f>
        <v>0.28070425871272264</v>
      </c>
      <c r="F22" s="118">
        <f>'Data By State'!Q21</f>
        <v>0.15312220638388452</v>
      </c>
      <c r="G22" s="119">
        <f>'Data By State'!R21</f>
        <v>0.49817986795261715</v>
      </c>
      <c r="H22" s="101"/>
      <c r="I22" s="116" t="s">
        <v>80</v>
      </c>
      <c r="J22" s="120">
        <f t="shared" si="5"/>
        <v>5</v>
      </c>
      <c r="K22" s="121">
        <f t="shared" si="6"/>
        <v>6</v>
      </c>
      <c r="L22" s="121">
        <f t="shared" si="7"/>
        <v>10</v>
      </c>
      <c r="M22" s="121">
        <f t="shared" si="8"/>
        <v>13</v>
      </c>
      <c r="N22" s="121">
        <f t="shared" si="9"/>
        <v>27</v>
      </c>
      <c r="O22" s="122">
        <f t="shared" si="10"/>
        <v>9</v>
      </c>
      <c r="P22" s="28"/>
      <c r="Q22" s="123">
        <f t="shared" si="1"/>
        <v>5</v>
      </c>
      <c r="R22" s="124" t="s">
        <v>80</v>
      </c>
      <c r="S22" s="125">
        <f>'Data By State'!L21</f>
        <v>13.8</v>
      </c>
      <c r="T22" s="41"/>
      <c r="U22" s="126">
        <f t="shared" si="2"/>
        <v>6</v>
      </c>
      <c r="V22" s="124" t="s">
        <v>80</v>
      </c>
      <c r="W22" s="127">
        <f>'Data By State'!N21</f>
        <v>0.16041191138161143</v>
      </c>
      <c r="X22" s="37"/>
      <c r="Y22" s="123">
        <f t="shared" si="3"/>
        <v>10</v>
      </c>
      <c r="Z22" s="124" t="s">
        <v>80</v>
      </c>
      <c r="AA22" s="119">
        <f>'Data By State'!O21</f>
        <v>0.4</v>
      </c>
      <c r="AB22" s="33"/>
      <c r="AC22" s="123">
        <f t="shared" si="11"/>
        <v>13</v>
      </c>
      <c r="AD22" s="124" t="s">
        <v>80</v>
      </c>
      <c r="AE22" s="119">
        <f>'Data By State'!P21</f>
        <v>0.28070425871272264</v>
      </c>
      <c r="AF22" s="33"/>
      <c r="AG22" s="123">
        <f t="shared" si="4"/>
        <v>27</v>
      </c>
      <c r="AH22" s="124" t="s">
        <v>80</v>
      </c>
      <c r="AI22" s="119">
        <f>'Data By State'!Q21</f>
        <v>0.15312220638388452</v>
      </c>
      <c r="AJ22" s="33"/>
      <c r="AK22" s="123">
        <f t="shared" si="12"/>
        <v>9</v>
      </c>
      <c r="AL22" s="124" t="s">
        <v>80</v>
      </c>
      <c r="AM22" s="119">
        <f>'Data By State'!R21</f>
        <v>0.49817986795261715</v>
      </c>
    </row>
    <row r="23" spans="1:39">
      <c r="A23" s="97" t="s">
        <v>81</v>
      </c>
      <c r="B23" s="70">
        <f t="shared" si="0"/>
        <v>32.799999999999997</v>
      </c>
      <c r="C23" s="68">
        <f>'Data By State'!N22</f>
        <v>0.32190594915452853</v>
      </c>
      <c r="D23" s="68">
        <f>'Data By State'!O22</f>
        <v>1</v>
      </c>
      <c r="E23" s="68">
        <f>'Data By State'!P22</f>
        <v>0.2646068718946134</v>
      </c>
      <c r="F23" s="68">
        <f>'Data By State'!Q22</f>
        <v>0.34851273863624121</v>
      </c>
      <c r="G23" s="119">
        <f>'Data By State'!R22</f>
        <v>0.41861701354809067</v>
      </c>
      <c r="H23" s="101"/>
      <c r="I23" s="97" t="s">
        <v>81</v>
      </c>
      <c r="J23" s="29">
        <f t="shared" si="5"/>
        <v>43</v>
      </c>
      <c r="K23" s="109">
        <f t="shared" si="6"/>
        <v>33</v>
      </c>
      <c r="L23" s="109">
        <f t="shared" si="7"/>
        <v>44</v>
      </c>
      <c r="M23" s="109">
        <f t="shared" si="8"/>
        <v>24</v>
      </c>
      <c r="N23" s="109">
        <f t="shared" si="9"/>
        <v>39</v>
      </c>
      <c r="O23" s="111">
        <f t="shared" si="10"/>
        <v>27</v>
      </c>
      <c r="P23" s="28"/>
      <c r="Q23" s="84">
        <f t="shared" si="1"/>
        <v>43</v>
      </c>
      <c r="R23" s="85" t="s">
        <v>81</v>
      </c>
      <c r="S23" s="86">
        <f>'Data By State'!L22</f>
        <v>32.799999999999997</v>
      </c>
      <c r="T23" s="41"/>
      <c r="U23" s="61">
        <f t="shared" si="2"/>
        <v>33</v>
      </c>
      <c r="V23" s="85" t="s">
        <v>81</v>
      </c>
      <c r="W23" s="91">
        <f>'Data By State'!N22</f>
        <v>0.32190594915452853</v>
      </c>
      <c r="X23" s="37"/>
      <c r="Y23" s="84">
        <f t="shared" si="3"/>
        <v>44</v>
      </c>
      <c r="Z23" s="85" t="s">
        <v>81</v>
      </c>
      <c r="AA23" s="60">
        <f>'Data By State'!O22</f>
        <v>1</v>
      </c>
      <c r="AB23" s="33"/>
      <c r="AC23" s="84">
        <f t="shared" si="11"/>
        <v>24</v>
      </c>
      <c r="AD23" s="85" t="s">
        <v>81</v>
      </c>
      <c r="AE23" s="60">
        <f>'Data By State'!P22</f>
        <v>0.2646068718946134</v>
      </c>
      <c r="AF23" s="33"/>
      <c r="AG23" s="84">
        <f t="shared" si="4"/>
        <v>39</v>
      </c>
      <c r="AH23" s="85" t="s">
        <v>81</v>
      </c>
      <c r="AI23" s="60">
        <f>'Data By State'!Q22</f>
        <v>0.34851273863624121</v>
      </c>
      <c r="AJ23" s="33"/>
      <c r="AK23" s="84">
        <f t="shared" si="12"/>
        <v>27</v>
      </c>
      <c r="AL23" s="85" t="s">
        <v>81</v>
      </c>
      <c r="AM23" s="60">
        <f>'Data By State'!R22</f>
        <v>0.41861701354809067</v>
      </c>
    </row>
    <row r="24" spans="1:39">
      <c r="A24" s="97" t="s">
        <v>82</v>
      </c>
      <c r="B24" s="70">
        <f t="shared" si="0"/>
        <v>20.6</v>
      </c>
      <c r="C24" s="68">
        <f>'Data By State'!N23</f>
        <v>0.30525851227312567</v>
      </c>
      <c r="D24" s="68">
        <f>'Data By State'!O23</f>
        <v>0.66666666666666663</v>
      </c>
      <c r="E24" s="68">
        <f>'Data By State'!P23</f>
        <v>0.27270614807765264</v>
      </c>
      <c r="F24" s="68">
        <f>'Data By State'!Q23</f>
        <v>4.1891036768381074E-2</v>
      </c>
      <c r="G24" s="119">
        <f>'Data By State'!R23</f>
        <v>0.42339398856158506</v>
      </c>
      <c r="H24" s="101"/>
      <c r="I24" s="97" t="s">
        <v>82</v>
      </c>
      <c r="J24" s="29">
        <f t="shared" si="5"/>
        <v>9</v>
      </c>
      <c r="K24" s="109">
        <f t="shared" si="6"/>
        <v>32</v>
      </c>
      <c r="L24" s="109">
        <f t="shared" si="7"/>
        <v>28</v>
      </c>
      <c r="M24" s="109">
        <f t="shared" si="8"/>
        <v>19</v>
      </c>
      <c r="N24" s="109">
        <f t="shared" si="9"/>
        <v>5</v>
      </c>
      <c r="O24" s="111">
        <f t="shared" si="10"/>
        <v>25</v>
      </c>
      <c r="P24" s="28"/>
      <c r="Q24" s="84">
        <f t="shared" si="1"/>
        <v>9</v>
      </c>
      <c r="R24" s="85" t="s">
        <v>82</v>
      </c>
      <c r="S24" s="86">
        <f>'Data By State'!L23</f>
        <v>20.6</v>
      </c>
      <c r="T24" s="41"/>
      <c r="U24" s="61">
        <f t="shared" si="2"/>
        <v>32</v>
      </c>
      <c r="V24" s="85" t="s">
        <v>82</v>
      </c>
      <c r="W24" s="91">
        <f>'Data By State'!N23</f>
        <v>0.30525851227312567</v>
      </c>
      <c r="X24" s="37"/>
      <c r="Y24" s="84">
        <f t="shared" si="3"/>
        <v>28</v>
      </c>
      <c r="Z24" s="85" t="s">
        <v>82</v>
      </c>
      <c r="AA24" s="60">
        <f>'Data By State'!O23</f>
        <v>0.66666666666666663</v>
      </c>
      <c r="AB24" s="33"/>
      <c r="AC24" s="84">
        <f t="shared" si="11"/>
        <v>19</v>
      </c>
      <c r="AD24" s="85" t="s">
        <v>82</v>
      </c>
      <c r="AE24" s="60">
        <f>'Data By State'!P23</f>
        <v>0.27270614807765264</v>
      </c>
      <c r="AF24" s="33"/>
      <c r="AG24" s="84">
        <f t="shared" si="4"/>
        <v>5</v>
      </c>
      <c r="AH24" s="85" t="s">
        <v>82</v>
      </c>
      <c r="AI24" s="60">
        <f>'Data By State'!Q23</f>
        <v>4.1891036768381074E-2</v>
      </c>
      <c r="AJ24" s="33"/>
      <c r="AK24" s="84">
        <f t="shared" si="12"/>
        <v>25</v>
      </c>
      <c r="AL24" s="85" t="s">
        <v>82</v>
      </c>
      <c r="AM24" s="60">
        <f>'Data By State'!R23</f>
        <v>0.42339398856158506</v>
      </c>
    </row>
    <row r="25" spans="1:39">
      <c r="A25" s="97" t="s">
        <v>83</v>
      </c>
      <c r="B25" s="70">
        <f t="shared" si="0"/>
        <v>34.200000000000003</v>
      </c>
      <c r="C25" s="68">
        <f>'Data By State'!N24</f>
        <v>0.54702807572905754</v>
      </c>
      <c r="D25" s="68">
        <f>'Data By State'!O24</f>
        <v>1</v>
      </c>
      <c r="E25" s="68">
        <f>'Data By State'!P24</f>
        <v>0.25891218456340082</v>
      </c>
      <c r="F25" s="68">
        <f>'Data By State'!Q24</f>
        <v>0.14585361175620729</v>
      </c>
      <c r="G25" s="119">
        <f>'Data By State'!R24</f>
        <v>0.35724491246644929</v>
      </c>
      <c r="H25" s="101"/>
      <c r="I25" s="97" t="s">
        <v>83</v>
      </c>
      <c r="J25" s="29">
        <f t="shared" si="5"/>
        <v>45</v>
      </c>
      <c r="K25" s="109">
        <f t="shared" si="6"/>
        <v>49</v>
      </c>
      <c r="L25" s="109">
        <f t="shared" si="7"/>
        <v>44</v>
      </c>
      <c r="M25" s="109">
        <f t="shared" si="8"/>
        <v>27</v>
      </c>
      <c r="N25" s="109">
        <f t="shared" si="9"/>
        <v>24</v>
      </c>
      <c r="O25" s="111">
        <f t="shared" si="10"/>
        <v>45</v>
      </c>
      <c r="P25" s="28"/>
      <c r="Q25" s="84">
        <f t="shared" si="1"/>
        <v>45</v>
      </c>
      <c r="R25" s="85" t="s">
        <v>83</v>
      </c>
      <c r="S25" s="86">
        <f>'Data By State'!L24</f>
        <v>34.200000000000003</v>
      </c>
      <c r="T25" s="41"/>
      <c r="U25" s="61">
        <f t="shared" si="2"/>
        <v>49</v>
      </c>
      <c r="V25" s="85" t="s">
        <v>83</v>
      </c>
      <c r="W25" s="91">
        <f>'Data By State'!N24</f>
        <v>0.54702807572905754</v>
      </c>
      <c r="X25" s="37"/>
      <c r="Y25" s="84">
        <f t="shared" si="3"/>
        <v>44</v>
      </c>
      <c r="Z25" s="85" t="s">
        <v>83</v>
      </c>
      <c r="AA25" s="60">
        <f>'Data By State'!O24</f>
        <v>1</v>
      </c>
      <c r="AB25" s="33"/>
      <c r="AC25" s="84">
        <f t="shared" si="11"/>
        <v>27</v>
      </c>
      <c r="AD25" s="85" t="s">
        <v>83</v>
      </c>
      <c r="AE25" s="60">
        <f>'Data By State'!P24</f>
        <v>0.25891218456340082</v>
      </c>
      <c r="AF25" s="33"/>
      <c r="AG25" s="84">
        <f t="shared" si="4"/>
        <v>24</v>
      </c>
      <c r="AH25" s="85" t="s">
        <v>83</v>
      </c>
      <c r="AI25" s="60">
        <f>'Data By State'!Q24</f>
        <v>0.14585361175620729</v>
      </c>
      <c r="AJ25" s="33"/>
      <c r="AK25" s="84">
        <f t="shared" si="12"/>
        <v>45</v>
      </c>
      <c r="AL25" s="85" t="s">
        <v>83</v>
      </c>
      <c r="AM25" s="60">
        <f>'Data By State'!R24</f>
        <v>0.35724491246644929</v>
      </c>
    </row>
    <row r="26" spans="1:39">
      <c r="A26" s="97" t="s">
        <v>84</v>
      </c>
      <c r="B26" s="70">
        <f t="shared" si="0"/>
        <v>13.8</v>
      </c>
      <c r="C26" s="68">
        <f>'Data By State'!N25</f>
        <v>0.11954661167942202</v>
      </c>
      <c r="D26" s="68">
        <f>'Data By State'!O25</f>
        <v>0</v>
      </c>
      <c r="E26" s="68">
        <f>'Data By State'!P25</f>
        <v>0.30610948664820586</v>
      </c>
      <c r="F26" s="68">
        <f>'Data By State'!Q25</f>
        <v>0.43976802370084767</v>
      </c>
      <c r="G26" s="119">
        <f>'Data By State'!R25</f>
        <v>0.54643403497221199</v>
      </c>
      <c r="H26" s="101"/>
      <c r="I26" s="97" t="s">
        <v>84</v>
      </c>
      <c r="J26" s="29">
        <f t="shared" si="5"/>
        <v>5</v>
      </c>
      <c r="K26" s="109">
        <f t="shared" si="6"/>
        <v>5</v>
      </c>
      <c r="L26" s="109">
        <f t="shared" si="7"/>
        <v>1</v>
      </c>
      <c r="M26" s="109">
        <f t="shared" si="8"/>
        <v>8</v>
      </c>
      <c r="N26" s="109">
        <f t="shared" si="9"/>
        <v>47</v>
      </c>
      <c r="O26" s="111">
        <f t="shared" si="10"/>
        <v>2</v>
      </c>
      <c r="P26" s="28"/>
      <c r="Q26" s="84">
        <f t="shared" si="1"/>
        <v>5</v>
      </c>
      <c r="R26" s="85" t="s">
        <v>84</v>
      </c>
      <c r="S26" s="86">
        <f>'Data By State'!L25</f>
        <v>13.8</v>
      </c>
      <c r="T26" s="41"/>
      <c r="U26" s="61">
        <f t="shared" si="2"/>
        <v>5</v>
      </c>
      <c r="V26" s="85" t="s">
        <v>84</v>
      </c>
      <c r="W26" s="91">
        <f>'Data By State'!N25</f>
        <v>0.11954661167942202</v>
      </c>
      <c r="X26" s="37"/>
      <c r="Y26" s="84">
        <f t="shared" si="3"/>
        <v>1</v>
      </c>
      <c r="Z26" s="85" t="s">
        <v>84</v>
      </c>
      <c r="AA26" s="60">
        <f>'Data By State'!O25</f>
        <v>0</v>
      </c>
      <c r="AB26" s="33"/>
      <c r="AC26" s="84">
        <f t="shared" si="11"/>
        <v>8</v>
      </c>
      <c r="AD26" s="85" t="s">
        <v>84</v>
      </c>
      <c r="AE26" s="60">
        <f>'Data By State'!P25</f>
        <v>0.30610948664820586</v>
      </c>
      <c r="AF26" s="33"/>
      <c r="AG26" s="84">
        <f t="shared" si="4"/>
        <v>47</v>
      </c>
      <c r="AH26" s="85" t="s">
        <v>84</v>
      </c>
      <c r="AI26" s="60">
        <f>'Data By State'!Q25</f>
        <v>0.43976802370084767</v>
      </c>
      <c r="AJ26" s="33"/>
      <c r="AK26" s="84">
        <f t="shared" si="12"/>
        <v>2</v>
      </c>
      <c r="AL26" s="85" t="s">
        <v>84</v>
      </c>
      <c r="AM26" s="60">
        <f>'Data By State'!R25</f>
        <v>0.54643403497221199</v>
      </c>
    </row>
    <row r="27" spans="1:39">
      <c r="A27" s="116" t="s">
        <v>85</v>
      </c>
      <c r="B27" s="117">
        <f t="shared" si="0"/>
        <v>24.2</v>
      </c>
      <c r="C27" s="118">
        <f>'Data By State'!N26</f>
        <v>0.37451523955350019</v>
      </c>
      <c r="D27" s="118">
        <f>'Data By State'!O26</f>
        <v>0.875</v>
      </c>
      <c r="E27" s="118">
        <f>'Data By State'!P26</f>
        <v>0.3060692605437213</v>
      </c>
      <c r="F27" s="118">
        <f>'Data By State'!Q26</f>
        <v>0.13039350678190328</v>
      </c>
      <c r="G27" s="119">
        <f>'Data By State'!R26</f>
        <v>0.4555690331099902</v>
      </c>
      <c r="H27" s="101"/>
      <c r="I27" s="116" t="s">
        <v>85</v>
      </c>
      <c r="J27" s="120">
        <f t="shared" si="5"/>
        <v>21</v>
      </c>
      <c r="K27" s="121">
        <f t="shared" si="6"/>
        <v>40</v>
      </c>
      <c r="L27" s="121">
        <f t="shared" si="7"/>
        <v>43</v>
      </c>
      <c r="M27" s="121">
        <f t="shared" si="8"/>
        <v>9</v>
      </c>
      <c r="N27" s="121">
        <f t="shared" si="9"/>
        <v>20</v>
      </c>
      <c r="O27" s="122">
        <f t="shared" si="10"/>
        <v>16</v>
      </c>
      <c r="P27" s="28"/>
      <c r="Q27" s="123">
        <f t="shared" si="1"/>
        <v>21</v>
      </c>
      <c r="R27" s="124" t="s">
        <v>85</v>
      </c>
      <c r="S27" s="125">
        <f>'Data By State'!L26</f>
        <v>24.2</v>
      </c>
      <c r="T27" s="41"/>
      <c r="U27" s="126">
        <f t="shared" si="2"/>
        <v>40</v>
      </c>
      <c r="V27" s="124" t="s">
        <v>85</v>
      </c>
      <c r="W27" s="127">
        <f>'Data By State'!N26</f>
        <v>0.37451523955350019</v>
      </c>
      <c r="X27" s="37"/>
      <c r="Y27" s="123">
        <f t="shared" si="3"/>
        <v>43</v>
      </c>
      <c r="Z27" s="124" t="s">
        <v>85</v>
      </c>
      <c r="AA27" s="119">
        <f>'Data By State'!O26</f>
        <v>0.875</v>
      </c>
      <c r="AB27" s="33"/>
      <c r="AC27" s="123">
        <f t="shared" si="11"/>
        <v>9</v>
      </c>
      <c r="AD27" s="124" t="s">
        <v>85</v>
      </c>
      <c r="AE27" s="119">
        <f>'Data By State'!P26</f>
        <v>0.3060692605437213</v>
      </c>
      <c r="AF27" s="33"/>
      <c r="AG27" s="123">
        <f t="shared" si="4"/>
        <v>20</v>
      </c>
      <c r="AH27" s="124" t="s">
        <v>85</v>
      </c>
      <c r="AI27" s="119">
        <f>'Data By State'!Q26</f>
        <v>0.13039350678190328</v>
      </c>
      <c r="AJ27" s="33"/>
      <c r="AK27" s="123">
        <f t="shared" si="12"/>
        <v>16</v>
      </c>
      <c r="AL27" s="124" t="s">
        <v>85</v>
      </c>
      <c r="AM27" s="119">
        <f>'Data By State'!R26</f>
        <v>0.4555690331099902</v>
      </c>
    </row>
    <row r="28" spans="1:39">
      <c r="A28" s="97" t="s">
        <v>86</v>
      </c>
      <c r="B28" s="70">
        <f t="shared" si="0"/>
        <v>21.8</v>
      </c>
      <c r="C28" s="68">
        <f>'Data By State'!N27</f>
        <v>0.27972108384535993</v>
      </c>
      <c r="D28" s="68">
        <f>'Data By State'!O27</f>
        <v>0.4</v>
      </c>
      <c r="E28" s="68">
        <f>'Data By State'!P27</f>
        <v>0.27922001229561572</v>
      </c>
      <c r="F28" s="68">
        <f>'Data By State'!Q27</f>
        <v>0.3909883108089674</v>
      </c>
      <c r="G28" s="119">
        <f>'Data By State'!R27</f>
        <v>0.50569597219292783</v>
      </c>
      <c r="H28" s="101"/>
      <c r="I28" s="97" t="s">
        <v>86</v>
      </c>
      <c r="J28" s="29">
        <f t="shared" si="5"/>
        <v>13</v>
      </c>
      <c r="K28" s="109">
        <f t="shared" si="6"/>
        <v>28</v>
      </c>
      <c r="L28" s="109">
        <f t="shared" si="7"/>
        <v>10</v>
      </c>
      <c r="M28" s="109">
        <f t="shared" si="8"/>
        <v>14</v>
      </c>
      <c r="N28" s="109">
        <f t="shared" si="9"/>
        <v>43</v>
      </c>
      <c r="O28" s="111">
        <f t="shared" si="10"/>
        <v>8</v>
      </c>
      <c r="P28" s="28"/>
      <c r="Q28" s="84">
        <f t="shared" si="1"/>
        <v>13</v>
      </c>
      <c r="R28" s="85" t="s">
        <v>86</v>
      </c>
      <c r="S28" s="86">
        <f>'Data By State'!L27</f>
        <v>21.8</v>
      </c>
      <c r="T28" s="41"/>
      <c r="U28" s="61">
        <f t="shared" si="2"/>
        <v>28</v>
      </c>
      <c r="V28" s="85" t="s">
        <v>86</v>
      </c>
      <c r="W28" s="91">
        <f>'Data By State'!N27</f>
        <v>0.27972108384535993</v>
      </c>
      <c r="X28" s="37"/>
      <c r="Y28" s="84">
        <f t="shared" si="3"/>
        <v>10</v>
      </c>
      <c r="Z28" s="85" t="s">
        <v>86</v>
      </c>
      <c r="AA28" s="60">
        <f>'Data By State'!O27</f>
        <v>0.4</v>
      </c>
      <c r="AB28" s="33"/>
      <c r="AC28" s="84">
        <f t="shared" si="11"/>
        <v>14</v>
      </c>
      <c r="AD28" s="85" t="s">
        <v>86</v>
      </c>
      <c r="AE28" s="60">
        <f>'Data By State'!P27</f>
        <v>0.27922001229561572</v>
      </c>
      <c r="AF28" s="33"/>
      <c r="AG28" s="84">
        <f t="shared" si="4"/>
        <v>43</v>
      </c>
      <c r="AH28" s="85" t="s">
        <v>86</v>
      </c>
      <c r="AI28" s="60">
        <f>'Data By State'!Q27</f>
        <v>0.3909883108089674</v>
      </c>
      <c r="AJ28" s="33"/>
      <c r="AK28" s="84">
        <f t="shared" si="12"/>
        <v>8</v>
      </c>
      <c r="AL28" s="85" t="s">
        <v>86</v>
      </c>
      <c r="AM28" s="60">
        <f>'Data By State'!R27</f>
        <v>0.50569597219292783</v>
      </c>
    </row>
    <row r="29" spans="1:39">
      <c r="A29" s="97" t="s">
        <v>87</v>
      </c>
      <c r="B29" s="70">
        <f t="shared" si="0"/>
        <v>21</v>
      </c>
      <c r="C29" s="68">
        <f>'Data By State'!N28</f>
        <v>0.27878635261086399</v>
      </c>
      <c r="D29" s="68">
        <f>'Data By State'!O28</f>
        <v>0.66666666666666663</v>
      </c>
      <c r="E29" s="68">
        <f>'Data By State'!P28</f>
        <v>0.26713533308955545</v>
      </c>
      <c r="F29" s="68">
        <f>'Data By State'!Q28</f>
        <v>5.9858693587062639E-2</v>
      </c>
      <c r="G29" s="119">
        <f>'Data By State'!R28</f>
        <v>0.43837498482105308</v>
      </c>
      <c r="H29" s="101"/>
      <c r="I29" s="97" t="s">
        <v>87</v>
      </c>
      <c r="J29" s="29">
        <f t="shared" si="5"/>
        <v>12</v>
      </c>
      <c r="K29" s="109">
        <f t="shared" si="6"/>
        <v>26</v>
      </c>
      <c r="L29" s="109">
        <f t="shared" si="7"/>
        <v>28</v>
      </c>
      <c r="M29" s="109">
        <f t="shared" si="8"/>
        <v>21</v>
      </c>
      <c r="N29" s="109">
        <f t="shared" si="9"/>
        <v>9</v>
      </c>
      <c r="O29" s="111">
        <f t="shared" si="10"/>
        <v>21</v>
      </c>
      <c r="P29" s="28"/>
      <c r="Q29" s="84">
        <f t="shared" si="1"/>
        <v>12</v>
      </c>
      <c r="R29" s="85" t="s">
        <v>87</v>
      </c>
      <c r="S29" s="86">
        <f>'Data By State'!L28</f>
        <v>21</v>
      </c>
      <c r="T29" s="41"/>
      <c r="U29" s="61">
        <f t="shared" si="2"/>
        <v>26</v>
      </c>
      <c r="V29" s="85" t="s">
        <v>87</v>
      </c>
      <c r="W29" s="91">
        <f>'Data By State'!N28</f>
        <v>0.27878635261086399</v>
      </c>
      <c r="X29" s="37"/>
      <c r="Y29" s="84">
        <f t="shared" si="3"/>
        <v>28</v>
      </c>
      <c r="Z29" s="85" t="s">
        <v>87</v>
      </c>
      <c r="AA29" s="60">
        <f>'Data By State'!O28</f>
        <v>0.66666666666666663</v>
      </c>
      <c r="AB29" s="33"/>
      <c r="AC29" s="84">
        <f t="shared" si="11"/>
        <v>21</v>
      </c>
      <c r="AD29" s="85" t="s">
        <v>87</v>
      </c>
      <c r="AE29" s="60">
        <f>'Data By State'!P28</f>
        <v>0.26713533308955545</v>
      </c>
      <c r="AF29" s="33"/>
      <c r="AG29" s="84">
        <f t="shared" si="4"/>
        <v>9</v>
      </c>
      <c r="AH29" s="85" t="s">
        <v>87</v>
      </c>
      <c r="AI29" s="60">
        <f>'Data By State'!Q28</f>
        <v>5.9858693587062639E-2</v>
      </c>
      <c r="AJ29" s="33"/>
      <c r="AK29" s="84">
        <f t="shared" si="12"/>
        <v>21</v>
      </c>
      <c r="AL29" s="85" t="s">
        <v>87</v>
      </c>
      <c r="AM29" s="60">
        <f>'Data By State'!R28</f>
        <v>0.43837498482105308</v>
      </c>
    </row>
    <row r="30" spans="1:39">
      <c r="A30" s="97" t="s">
        <v>88</v>
      </c>
      <c r="B30" s="70">
        <f t="shared" si="0"/>
        <v>9.1999999999999993</v>
      </c>
      <c r="C30" s="68">
        <f>'Data By State'!N29</f>
        <v>0.20458425733316413</v>
      </c>
      <c r="D30" s="68">
        <f>'Data By State'!O29</f>
        <v>0.5</v>
      </c>
      <c r="E30" s="68">
        <f>'Data By State'!P29</f>
        <v>0.31124556763722427</v>
      </c>
      <c r="F30" s="68">
        <f>'Data By State'!Q29</f>
        <v>2.8179591321305791E-2</v>
      </c>
      <c r="G30" s="119">
        <f>'Data By State'!R29</f>
        <v>0.55025283418541382</v>
      </c>
      <c r="H30" s="101"/>
      <c r="I30" s="97" t="s">
        <v>88</v>
      </c>
      <c r="J30" s="29">
        <f t="shared" si="5"/>
        <v>2</v>
      </c>
      <c r="K30" s="109">
        <f t="shared" si="6"/>
        <v>14</v>
      </c>
      <c r="L30" s="109">
        <f t="shared" si="7"/>
        <v>15</v>
      </c>
      <c r="M30" s="109">
        <f t="shared" si="8"/>
        <v>7</v>
      </c>
      <c r="N30" s="109">
        <f t="shared" si="9"/>
        <v>3</v>
      </c>
      <c r="O30" s="111">
        <f t="shared" si="10"/>
        <v>1</v>
      </c>
      <c r="P30" s="28"/>
      <c r="Q30" s="84">
        <f t="shared" si="1"/>
        <v>2</v>
      </c>
      <c r="R30" s="85" t="s">
        <v>88</v>
      </c>
      <c r="S30" s="86">
        <f>'Data By State'!L29</f>
        <v>9.1999999999999993</v>
      </c>
      <c r="T30" s="41"/>
      <c r="U30" s="61">
        <f t="shared" si="2"/>
        <v>14</v>
      </c>
      <c r="V30" s="85" t="s">
        <v>88</v>
      </c>
      <c r="W30" s="91">
        <f>'Data By State'!N29</f>
        <v>0.20458425733316413</v>
      </c>
      <c r="X30" s="37"/>
      <c r="Y30" s="84">
        <f t="shared" si="3"/>
        <v>15</v>
      </c>
      <c r="Z30" s="85" t="s">
        <v>88</v>
      </c>
      <c r="AA30" s="60">
        <f>'Data By State'!O29</f>
        <v>0.5</v>
      </c>
      <c r="AB30" s="33"/>
      <c r="AC30" s="84">
        <f t="shared" si="11"/>
        <v>7</v>
      </c>
      <c r="AD30" s="85" t="s">
        <v>88</v>
      </c>
      <c r="AE30" s="60">
        <f>'Data By State'!P29</f>
        <v>0.31124556763722427</v>
      </c>
      <c r="AF30" s="33"/>
      <c r="AG30" s="84">
        <f t="shared" si="4"/>
        <v>3</v>
      </c>
      <c r="AH30" s="85" t="s">
        <v>88</v>
      </c>
      <c r="AI30" s="60">
        <f>'Data By State'!Q29</f>
        <v>2.8179591321305791E-2</v>
      </c>
      <c r="AJ30" s="33"/>
      <c r="AK30" s="84">
        <f t="shared" si="12"/>
        <v>1</v>
      </c>
      <c r="AL30" s="85" t="s">
        <v>88</v>
      </c>
      <c r="AM30" s="60">
        <f>'Data By State'!R29</f>
        <v>0.55025283418541382</v>
      </c>
    </row>
    <row r="31" spans="1:39">
      <c r="A31" s="97" t="s">
        <v>89</v>
      </c>
      <c r="B31" s="70">
        <f t="shared" si="0"/>
        <v>30</v>
      </c>
      <c r="C31" s="68">
        <f>'Data By State'!N30</f>
        <v>0.20340474848217971</v>
      </c>
      <c r="D31" s="68">
        <f>'Data By State'!O30</f>
        <v>0.5</v>
      </c>
      <c r="E31" s="68">
        <f>'Data By State'!P30</f>
        <v>0.21812443990208033</v>
      </c>
      <c r="F31" s="68">
        <f>'Data By State'!Q30</f>
        <v>0.20378600442077791</v>
      </c>
      <c r="G31" s="119">
        <f>'Data By State'!R30</f>
        <v>0.37036868298786524</v>
      </c>
      <c r="H31" s="101"/>
      <c r="I31" s="97" t="s">
        <v>89</v>
      </c>
      <c r="J31" s="29">
        <f t="shared" si="5"/>
        <v>38</v>
      </c>
      <c r="K31" s="109">
        <f t="shared" si="6"/>
        <v>13</v>
      </c>
      <c r="L31" s="109">
        <f t="shared" si="7"/>
        <v>15</v>
      </c>
      <c r="M31" s="109">
        <f t="shared" si="8"/>
        <v>45</v>
      </c>
      <c r="N31" s="109">
        <f t="shared" si="9"/>
        <v>32</v>
      </c>
      <c r="O31" s="111">
        <f t="shared" si="10"/>
        <v>42</v>
      </c>
      <c r="P31" s="28"/>
      <c r="Q31" s="84">
        <f t="shared" si="1"/>
        <v>38</v>
      </c>
      <c r="R31" s="85" t="s">
        <v>89</v>
      </c>
      <c r="S31" s="86">
        <f>'Data By State'!L30</f>
        <v>30</v>
      </c>
      <c r="T31" s="41"/>
      <c r="U31" s="61">
        <f t="shared" si="2"/>
        <v>13</v>
      </c>
      <c r="V31" s="85" t="s">
        <v>89</v>
      </c>
      <c r="W31" s="91">
        <f>'Data By State'!N30</f>
        <v>0.20340474848217971</v>
      </c>
      <c r="X31" s="37"/>
      <c r="Y31" s="84">
        <f t="shared" si="3"/>
        <v>15</v>
      </c>
      <c r="Z31" s="85" t="s">
        <v>89</v>
      </c>
      <c r="AA31" s="60">
        <f>'Data By State'!O30</f>
        <v>0.5</v>
      </c>
      <c r="AB31" s="33"/>
      <c r="AC31" s="84">
        <f t="shared" si="11"/>
        <v>45</v>
      </c>
      <c r="AD31" s="85" t="s">
        <v>89</v>
      </c>
      <c r="AE31" s="60">
        <f>'Data By State'!P30</f>
        <v>0.21812443990208033</v>
      </c>
      <c r="AF31" s="33"/>
      <c r="AG31" s="84">
        <f t="shared" si="4"/>
        <v>32</v>
      </c>
      <c r="AH31" s="85" t="s">
        <v>89</v>
      </c>
      <c r="AI31" s="60">
        <f>'Data By State'!Q30</f>
        <v>0.20378600442077791</v>
      </c>
      <c r="AJ31" s="33"/>
      <c r="AK31" s="84">
        <f t="shared" si="12"/>
        <v>42</v>
      </c>
      <c r="AL31" s="85" t="s">
        <v>89</v>
      </c>
      <c r="AM31" s="60">
        <f>'Data By State'!R30</f>
        <v>0.37036868298786524</v>
      </c>
    </row>
    <row r="32" spans="1:39">
      <c r="A32" s="116" t="s">
        <v>90</v>
      </c>
      <c r="B32" s="117">
        <f t="shared" si="0"/>
        <v>22</v>
      </c>
      <c r="C32" s="118">
        <f>'Data By State'!N31</f>
        <v>0.35755072889407608</v>
      </c>
      <c r="D32" s="118">
        <f>'Data By State'!O31</f>
        <v>0.66666666666666663</v>
      </c>
      <c r="E32" s="118">
        <f>'Data By State'!P31</f>
        <v>0.27465944639414558</v>
      </c>
      <c r="F32" s="118">
        <f>'Data By State'!Q31</f>
        <v>6.3779400471188491E-2</v>
      </c>
      <c r="G32" s="119">
        <f>'Data By State'!R31</f>
        <v>0.43322424580625035</v>
      </c>
      <c r="H32" s="101"/>
      <c r="I32" s="116" t="s">
        <v>90</v>
      </c>
      <c r="J32" s="120">
        <f t="shared" si="5"/>
        <v>14</v>
      </c>
      <c r="K32" s="121">
        <f t="shared" si="6"/>
        <v>38</v>
      </c>
      <c r="L32" s="121">
        <f t="shared" si="7"/>
        <v>28</v>
      </c>
      <c r="M32" s="121">
        <f t="shared" si="8"/>
        <v>17</v>
      </c>
      <c r="N32" s="121">
        <f t="shared" si="9"/>
        <v>10</v>
      </c>
      <c r="O32" s="122">
        <f t="shared" si="10"/>
        <v>22</v>
      </c>
      <c r="P32" s="28"/>
      <c r="Q32" s="123">
        <f t="shared" si="1"/>
        <v>14</v>
      </c>
      <c r="R32" s="124" t="s">
        <v>90</v>
      </c>
      <c r="S32" s="125">
        <f>'Data By State'!L31</f>
        <v>22</v>
      </c>
      <c r="T32" s="41"/>
      <c r="U32" s="126">
        <f t="shared" si="2"/>
        <v>38</v>
      </c>
      <c r="V32" s="124" t="s">
        <v>90</v>
      </c>
      <c r="W32" s="127">
        <f>'Data By State'!N31</f>
        <v>0.35755072889407608</v>
      </c>
      <c r="X32" s="37"/>
      <c r="Y32" s="123">
        <f t="shared" si="3"/>
        <v>28</v>
      </c>
      <c r="Z32" s="124" t="s">
        <v>90</v>
      </c>
      <c r="AA32" s="119">
        <f>'Data By State'!O31</f>
        <v>0.66666666666666663</v>
      </c>
      <c r="AB32" s="33"/>
      <c r="AC32" s="123">
        <f t="shared" si="11"/>
        <v>17</v>
      </c>
      <c r="AD32" s="124" t="s">
        <v>90</v>
      </c>
      <c r="AE32" s="119">
        <f>'Data By State'!P31</f>
        <v>0.27465944639414558</v>
      </c>
      <c r="AF32" s="33"/>
      <c r="AG32" s="123">
        <f t="shared" si="4"/>
        <v>10</v>
      </c>
      <c r="AH32" s="124" t="s">
        <v>90</v>
      </c>
      <c r="AI32" s="119">
        <f>'Data By State'!Q31</f>
        <v>6.3779400471188491E-2</v>
      </c>
      <c r="AJ32" s="33"/>
      <c r="AK32" s="123">
        <f t="shared" si="12"/>
        <v>22</v>
      </c>
      <c r="AL32" s="124" t="s">
        <v>90</v>
      </c>
      <c r="AM32" s="119">
        <f>'Data By State'!R31</f>
        <v>0.43322424580625035</v>
      </c>
    </row>
    <row r="33" spans="1:39">
      <c r="A33" s="97" t="s">
        <v>91</v>
      </c>
      <c r="B33" s="70">
        <f t="shared" si="0"/>
        <v>27.4</v>
      </c>
      <c r="C33" s="68">
        <f>'Data By State'!N32</f>
        <v>0.28188429265420284</v>
      </c>
      <c r="D33" s="68">
        <f>'Data By State'!O32</f>
        <v>1</v>
      </c>
      <c r="E33" s="68">
        <f>'Data By State'!P32</f>
        <v>0.28884943728388968</v>
      </c>
      <c r="F33" s="68">
        <f>'Data By State'!Q32</f>
        <v>0.36715083767875434</v>
      </c>
      <c r="G33" s="119">
        <f>'Data By State'!R32</f>
        <v>0.47811762770245708</v>
      </c>
      <c r="H33" s="101"/>
      <c r="I33" s="97" t="s">
        <v>91</v>
      </c>
      <c r="J33" s="29">
        <f t="shared" si="5"/>
        <v>33</v>
      </c>
      <c r="K33" s="109">
        <f t="shared" si="6"/>
        <v>29</v>
      </c>
      <c r="L33" s="109">
        <f t="shared" si="7"/>
        <v>44</v>
      </c>
      <c r="M33" s="109">
        <f t="shared" si="8"/>
        <v>12</v>
      </c>
      <c r="N33" s="109">
        <f t="shared" si="9"/>
        <v>40</v>
      </c>
      <c r="O33" s="111">
        <f t="shared" si="10"/>
        <v>13</v>
      </c>
      <c r="P33" s="28"/>
      <c r="Q33" s="84">
        <f t="shared" si="1"/>
        <v>33</v>
      </c>
      <c r="R33" s="85" t="s">
        <v>91</v>
      </c>
      <c r="S33" s="86">
        <f>'Data By State'!L32</f>
        <v>27.4</v>
      </c>
      <c r="T33" s="41"/>
      <c r="U33" s="61">
        <f t="shared" si="2"/>
        <v>29</v>
      </c>
      <c r="V33" s="85" t="s">
        <v>91</v>
      </c>
      <c r="W33" s="91">
        <f>'Data By State'!N32</f>
        <v>0.28188429265420284</v>
      </c>
      <c r="X33" s="37"/>
      <c r="Y33" s="84">
        <f t="shared" si="3"/>
        <v>44</v>
      </c>
      <c r="Z33" s="85" t="s">
        <v>91</v>
      </c>
      <c r="AA33" s="60">
        <f>'Data By State'!O32</f>
        <v>1</v>
      </c>
      <c r="AB33" s="33"/>
      <c r="AC33" s="84">
        <f t="shared" si="11"/>
        <v>12</v>
      </c>
      <c r="AD33" s="85" t="s">
        <v>91</v>
      </c>
      <c r="AE33" s="60">
        <f>'Data By State'!P32</f>
        <v>0.28884943728388968</v>
      </c>
      <c r="AF33" s="33"/>
      <c r="AG33" s="84">
        <f t="shared" si="4"/>
        <v>40</v>
      </c>
      <c r="AH33" s="85" t="s">
        <v>91</v>
      </c>
      <c r="AI33" s="60">
        <f>'Data By State'!Q32</f>
        <v>0.36715083767875434</v>
      </c>
      <c r="AJ33" s="33"/>
      <c r="AK33" s="84">
        <f t="shared" si="12"/>
        <v>13</v>
      </c>
      <c r="AL33" s="85" t="s">
        <v>91</v>
      </c>
      <c r="AM33" s="60">
        <f>'Data By State'!R32</f>
        <v>0.47811762770245708</v>
      </c>
    </row>
    <row r="34" spans="1:39">
      <c r="A34" s="97" t="s">
        <v>92</v>
      </c>
      <c r="B34" s="70">
        <f t="shared" si="0"/>
        <v>36.200000000000003</v>
      </c>
      <c r="C34" s="68">
        <f>'Data By State'!N33</f>
        <v>0.41163915512466581</v>
      </c>
      <c r="D34" s="68">
        <f>'Data By State'!O33</f>
        <v>1</v>
      </c>
      <c r="E34" s="68">
        <f>'Data By State'!P33</f>
        <v>0.2578759705159705</v>
      </c>
      <c r="F34" s="68">
        <f>'Data By State'!Q33</f>
        <v>0.30386822257829332</v>
      </c>
      <c r="G34" s="119">
        <f>'Data By State'!R33</f>
        <v>0.38175606879606877</v>
      </c>
      <c r="H34" s="101"/>
      <c r="I34" s="97" t="s">
        <v>92</v>
      </c>
      <c r="J34" s="29">
        <f t="shared" si="5"/>
        <v>47</v>
      </c>
      <c r="K34" s="109">
        <f t="shared" si="6"/>
        <v>43</v>
      </c>
      <c r="L34" s="109">
        <f t="shared" si="7"/>
        <v>44</v>
      </c>
      <c r="M34" s="109">
        <f t="shared" si="8"/>
        <v>29</v>
      </c>
      <c r="N34" s="109">
        <f t="shared" si="9"/>
        <v>36</v>
      </c>
      <c r="O34" s="111">
        <f t="shared" si="10"/>
        <v>38</v>
      </c>
      <c r="P34" s="28"/>
      <c r="Q34" s="84">
        <f t="shared" si="1"/>
        <v>47</v>
      </c>
      <c r="R34" s="85" t="s">
        <v>92</v>
      </c>
      <c r="S34" s="86">
        <f>'Data By State'!L33</f>
        <v>36.200000000000003</v>
      </c>
      <c r="T34" s="41"/>
      <c r="U34" s="61">
        <f t="shared" si="2"/>
        <v>43</v>
      </c>
      <c r="V34" s="85" t="s">
        <v>92</v>
      </c>
      <c r="W34" s="91">
        <f>'Data By State'!N33</f>
        <v>0.41163915512466581</v>
      </c>
      <c r="X34" s="37"/>
      <c r="Y34" s="84">
        <f t="shared" si="3"/>
        <v>44</v>
      </c>
      <c r="Z34" s="85" t="s">
        <v>92</v>
      </c>
      <c r="AA34" s="60">
        <f>'Data By State'!O33</f>
        <v>1</v>
      </c>
      <c r="AB34" s="33"/>
      <c r="AC34" s="84">
        <f t="shared" si="11"/>
        <v>29</v>
      </c>
      <c r="AD34" s="85" t="s">
        <v>92</v>
      </c>
      <c r="AE34" s="60">
        <f>'Data By State'!P33</f>
        <v>0.2578759705159705</v>
      </c>
      <c r="AF34" s="33"/>
      <c r="AG34" s="84">
        <f t="shared" si="4"/>
        <v>36</v>
      </c>
      <c r="AH34" s="85" t="s">
        <v>92</v>
      </c>
      <c r="AI34" s="60">
        <f>'Data By State'!Q33</f>
        <v>0.30386822257829332</v>
      </c>
      <c r="AJ34" s="33"/>
      <c r="AK34" s="84">
        <f t="shared" si="12"/>
        <v>38</v>
      </c>
      <c r="AL34" s="85" t="s">
        <v>92</v>
      </c>
      <c r="AM34" s="60">
        <f>'Data By State'!R33</f>
        <v>0.38175606879606877</v>
      </c>
    </row>
    <row r="35" spans="1:39">
      <c r="A35" s="97" t="s">
        <v>93</v>
      </c>
      <c r="B35" s="70">
        <f t="shared" si="0"/>
        <v>26.6</v>
      </c>
      <c r="C35" s="68">
        <f>'Data By State'!N34</f>
        <v>0.19964497592465916</v>
      </c>
      <c r="D35" s="68">
        <f>'Data By State'!O34</f>
        <v>0.66666666666666663</v>
      </c>
      <c r="E35" s="68">
        <f>'Data By State'!P34</f>
        <v>0.23729408407331407</v>
      </c>
      <c r="F35" s="68">
        <f>'Data By State'!Q34</f>
        <v>0.13854011925834439</v>
      </c>
      <c r="G35" s="119">
        <f>'Data By State'!R34</f>
        <v>0.41523687754025262</v>
      </c>
      <c r="H35" s="101"/>
      <c r="I35" s="97" t="s">
        <v>93</v>
      </c>
      <c r="J35" s="29">
        <f t="shared" si="5"/>
        <v>31</v>
      </c>
      <c r="K35" s="109">
        <f t="shared" si="6"/>
        <v>12</v>
      </c>
      <c r="L35" s="109">
        <f t="shared" si="7"/>
        <v>28</v>
      </c>
      <c r="M35" s="109">
        <f t="shared" si="8"/>
        <v>36</v>
      </c>
      <c r="N35" s="109">
        <f t="shared" si="9"/>
        <v>21</v>
      </c>
      <c r="O35" s="111">
        <f t="shared" si="10"/>
        <v>28</v>
      </c>
      <c r="P35" s="28"/>
      <c r="Q35" s="84">
        <f t="shared" si="1"/>
        <v>31</v>
      </c>
      <c r="R35" s="85" t="s">
        <v>93</v>
      </c>
      <c r="S35" s="86">
        <f>'Data By State'!L34</f>
        <v>26.6</v>
      </c>
      <c r="T35" s="41"/>
      <c r="U35" s="61">
        <f t="shared" si="2"/>
        <v>12</v>
      </c>
      <c r="V35" s="85" t="s">
        <v>93</v>
      </c>
      <c r="W35" s="91">
        <f>'Data By State'!N34</f>
        <v>0.19964497592465916</v>
      </c>
      <c r="X35" s="37"/>
      <c r="Y35" s="84">
        <f t="shared" si="3"/>
        <v>28</v>
      </c>
      <c r="Z35" s="85" t="s">
        <v>93</v>
      </c>
      <c r="AA35" s="60">
        <f>'Data By State'!O34</f>
        <v>0.66666666666666663</v>
      </c>
      <c r="AB35" s="33"/>
      <c r="AC35" s="84">
        <f t="shared" si="11"/>
        <v>36</v>
      </c>
      <c r="AD35" s="85" t="s">
        <v>93</v>
      </c>
      <c r="AE35" s="60">
        <f>'Data By State'!P34</f>
        <v>0.23729408407331407</v>
      </c>
      <c r="AF35" s="33"/>
      <c r="AG35" s="84">
        <f t="shared" si="4"/>
        <v>21</v>
      </c>
      <c r="AH35" s="85" t="s">
        <v>93</v>
      </c>
      <c r="AI35" s="60">
        <f>'Data By State'!Q34</f>
        <v>0.13854011925834439</v>
      </c>
      <c r="AJ35" s="33"/>
      <c r="AK35" s="84">
        <f t="shared" si="12"/>
        <v>28</v>
      </c>
      <c r="AL35" s="85" t="s">
        <v>93</v>
      </c>
      <c r="AM35" s="60">
        <f>'Data By State'!R34</f>
        <v>0.41523687754025262</v>
      </c>
    </row>
    <row r="36" spans="1:39">
      <c r="A36" s="97" t="s">
        <v>94</v>
      </c>
      <c r="B36" s="70">
        <f t="shared" si="0"/>
        <v>26.4</v>
      </c>
      <c r="C36" s="68">
        <f>'Data By State'!N35</f>
        <v>6.8521424598692024E-2</v>
      </c>
      <c r="D36" s="68">
        <f>'Data By State'!O35</f>
        <v>0</v>
      </c>
      <c r="E36" s="68">
        <f>'Data By State'!P35</f>
        <v>0.22773148720484609</v>
      </c>
      <c r="F36" s="68">
        <f>'Data By State'!Q35</f>
        <v>0.46700408366401086</v>
      </c>
      <c r="G36" s="119">
        <f>'Data By State'!R35</f>
        <v>0.44513388552355049</v>
      </c>
      <c r="H36" s="101"/>
      <c r="I36" s="97" t="s">
        <v>94</v>
      </c>
      <c r="J36" s="29">
        <f t="shared" si="5"/>
        <v>30</v>
      </c>
      <c r="K36" s="109">
        <f t="shared" si="6"/>
        <v>2</v>
      </c>
      <c r="L36" s="109">
        <f t="shared" si="7"/>
        <v>1</v>
      </c>
      <c r="M36" s="109">
        <f t="shared" si="8"/>
        <v>40</v>
      </c>
      <c r="N36" s="109">
        <f t="shared" si="9"/>
        <v>49</v>
      </c>
      <c r="O36" s="111">
        <f t="shared" si="10"/>
        <v>18</v>
      </c>
      <c r="P36" s="28"/>
      <c r="Q36" s="84">
        <f t="shared" si="1"/>
        <v>30</v>
      </c>
      <c r="R36" s="85" t="s">
        <v>94</v>
      </c>
      <c r="S36" s="86">
        <f>'Data By State'!L35</f>
        <v>26.4</v>
      </c>
      <c r="T36" s="41"/>
      <c r="U36" s="61">
        <f t="shared" si="2"/>
        <v>2</v>
      </c>
      <c r="V36" s="85" t="s">
        <v>94</v>
      </c>
      <c r="W36" s="91">
        <f>'Data By State'!N35</f>
        <v>6.8521424598692024E-2</v>
      </c>
      <c r="X36" s="37"/>
      <c r="Y36" s="84">
        <f t="shared" si="3"/>
        <v>1</v>
      </c>
      <c r="Z36" s="85" t="s">
        <v>94</v>
      </c>
      <c r="AA36" s="60">
        <f>'Data By State'!O35</f>
        <v>0</v>
      </c>
      <c r="AB36" s="33"/>
      <c r="AC36" s="84">
        <f t="shared" si="11"/>
        <v>40</v>
      </c>
      <c r="AD36" s="85" t="s">
        <v>94</v>
      </c>
      <c r="AE36" s="60">
        <f>'Data By State'!P35</f>
        <v>0.22773148720484609</v>
      </c>
      <c r="AF36" s="33"/>
      <c r="AG36" s="84">
        <f t="shared" si="4"/>
        <v>49</v>
      </c>
      <c r="AH36" s="85" t="s">
        <v>94</v>
      </c>
      <c r="AI36" s="60">
        <f>'Data By State'!Q35</f>
        <v>0.46700408366401086</v>
      </c>
      <c r="AJ36" s="33"/>
      <c r="AK36" s="84">
        <f t="shared" si="12"/>
        <v>18</v>
      </c>
      <c r="AL36" s="85" t="s">
        <v>94</v>
      </c>
      <c r="AM36" s="60">
        <f>'Data By State'!R35</f>
        <v>0.44513388552355049</v>
      </c>
    </row>
    <row r="37" spans="1:39">
      <c r="A37" s="116" t="s">
        <v>95</v>
      </c>
      <c r="B37" s="117">
        <f t="shared" si="0"/>
        <v>29.8</v>
      </c>
      <c r="C37" s="118">
        <f>'Data By State'!N36</f>
        <v>0.30333663204872108</v>
      </c>
      <c r="D37" s="118">
        <f>'Data By State'!O36</f>
        <v>0.69230769230769229</v>
      </c>
      <c r="E37" s="118">
        <f>'Data By State'!P36</f>
        <v>0.22838575980327211</v>
      </c>
      <c r="F37" s="118">
        <f>'Data By State'!Q36</f>
        <v>4.566582544711148E-2</v>
      </c>
      <c r="G37" s="119">
        <f>'Data By State'!R36</f>
        <v>0.36504225994797557</v>
      </c>
      <c r="H37" s="101"/>
      <c r="I37" s="116" t="s">
        <v>95</v>
      </c>
      <c r="J37" s="120">
        <f t="shared" si="5"/>
        <v>36</v>
      </c>
      <c r="K37" s="121">
        <f t="shared" si="6"/>
        <v>31</v>
      </c>
      <c r="L37" s="121">
        <f t="shared" si="7"/>
        <v>34</v>
      </c>
      <c r="M37" s="121">
        <f t="shared" si="8"/>
        <v>39</v>
      </c>
      <c r="N37" s="121">
        <f t="shared" si="9"/>
        <v>6</v>
      </c>
      <c r="O37" s="122">
        <f t="shared" si="10"/>
        <v>43</v>
      </c>
      <c r="P37" s="28"/>
      <c r="Q37" s="123">
        <f t="shared" si="1"/>
        <v>36</v>
      </c>
      <c r="R37" s="124" t="s">
        <v>95</v>
      </c>
      <c r="S37" s="125">
        <f>'Data By State'!L36</f>
        <v>29.8</v>
      </c>
      <c r="T37" s="41"/>
      <c r="U37" s="126">
        <f t="shared" si="2"/>
        <v>31</v>
      </c>
      <c r="V37" s="124" t="s">
        <v>95</v>
      </c>
      <c r="W37" s="127">
        <f>'Data By State'!N36</f>
        <v>0.30333663204872108</v>
      </c>
      <c r="X37" s="37"/>
      <c r="Y37" s="123">
        <f t="shared" si="3"/>
        <v>34</v>
      </c>
      <c r="Z37" s="124" t="s">
        <v>95</v>
      </c>
      <c r="AA37" s="119">
        <f>'Data By State'!O36</f>
        <v>0.69230769230769229</v>
      </c>
      <c r="AB37" s="33"/>
      <c r="AC37" s="123">
        <f t="shared" si="11"/>
        <v>39</v>
      </c>
      <c r="AD37" s="124" t="s">
        <v>95</v>
      </c>
      <c r="AE37" s="119">
        <f>'Data By State'!P36</f>
        <v>0.22838575980327211</v>
      </c>
      <c r="AF37" s="33"/>
      <c r="AG37" s="123">
        <f t="shared" si="4"/>
        <v>6</v>
      </c>
      <c r="AH37" s="124" t="s">
        <v>95</v>
      </c>
      <c r="AI37" s="119">
        <f>'Data By State'!Q36</f>
        <v>4.566582544711148E-2</v>
      </c>
      <c r="AJ37" s="33"/>
      <c r="AK37" s="123">
        <f t="shared" si="12"/>
        <v>43</v>
      </c>
      <c r="AL37" s="124" t="s">
        <v>95</v>
      </c>
      <c r="AM37" s="119">
        <f>'Data By State'!R36</f>
        <v>0.36504225994797557</v>
      </c>
    </row>
    <row r="38" spans="1:39">
      <c r="A38" s="97" t="s">
        <v>96</v>
      </c>
      <c r="B38" s="70">
        <f t="shared" si="0"/>
        <v>20.8</v>
      </c>
      <c r="C38" s="68">
        <f>'Data By State'!N37</f>
        <v>9.5118773372827037E-2</v>
      </c>
      <c r="D38" s="68">
        <f>'Data By State'!O37</f>
        <v>0</v>
      </c>
      <c r="E38" s="68">
        <f>'Data By State'!P37</f>
        <v>0.23340453658254398</v>
      </c>
      <c r="F38" s="68">
        <f>'Data By State'!Q37</f>
        <v>0.15055798156234837</v>
      </c>
      <c r="G38" s="119">
        <f>'Data By State'!R37</f>
        <v>0.42685526600519774</v>
      </c>
      <c r="H38" s="101"/>
      <c r="I38" s="97" t="s">
        <v>96</v>
      </c>
      <c r="J38" s="29">
        <f t="shared" si="5"/>
        <v>11</v>
      </c>
      <c r="K38" s="109">
        <f t="shared" si="6"/>
        <v>3</v>
      </c>
      <c r="L38" s="109">
        <f t="shared" si="7"/>
        <v>1</v>
      </c>
      <c r="M38" s="109">
        <f t="shared" si="8"/>
        <v>37</v>
      </c>
      <c r="N38" s="109">
        <f t="shared" si="9"/>
        <v>26</v>
      </c>
      <c r="O38" s="111">
        <f t="shared" si="10"/>
        <v>23</v>
      </c>
      <c r="P38" s="28"/>
      <c r="Q38" s="84">
        <f t="shared" si="1"/>
        <v>11</v>
      </c>
      <c r="R38" s="85" t="s">
        <v>96</v>
      </c>
      <c r="S38" s="86">
        <f>'Data By State'!L37</f>
        <v>20.8</v>
      </c>
      <c r="T38" s="41"/>
      <c r="U38" s="61">
        <f t="shared" si="2"/>
        <v>3</v>
      </c>
      <c r="V38" s="85" t="s">
        <v>96</v>
      </c>
      <c r="W38" s="91">
        <f>'Data By State'!N37</f>
        <v>9.5118773372827037E-2</v>
      </c>
      <c r="X38" s="37"/>
      <c r="Y38" s="84">
        <f t="shared" si="3"/>
        <v>1</v>
      </c>
      <c r="Z38" s="85" t="s">
        <v>96</v>
      </c>
      <c r="AA38" s="60">
        <f>'Data By State'!O37</f>
        <v>0</v>
      </c>
      <c r="AB38" s="33"/>
      <c r="AC38" s="84">
        <f t="shared" si="11"/>
        <v>37</v>
      </c>
      <c r="AD38" s="85" t="s">
        <v>96</v>
      </c>
      <c r="AE38" s="60">
        <f>'Data By State'!P37</f>
        <v>0.23340453658254398</v>
      </c>
      <c r="AF38" s="33"/>
      <c r="AG38" s="84">
        <f t="shared" si="4"/>
        <v>26</v>
      </c>
      <c r="AH38" s="85" t="s">
        <v>96</v>
      </c>
      <c r="AI38" s="60">
        <f>'Data By State'!Q37</f>
        <v>0.15055798156234837</v>
      </c>
      <c r="AJ38" s="33"/>
      <c r="AK38" s="84">
        <f t="shared" si="12"/>
        <v>23</v>
      </c>
      <c r="AL38" s="85" t="s">
        <v>96</v>
      </c>
      <c r="AM38" s="60">
        <f>'Data By State'!R37</f>
        <v>0.42685526600519774</v>
      </c>
    </row>
    <row r="39" spans="1:39">
      <c r="A39" s="97" t="s">
        <v>97</v>
      </c>
      <c r="B39" s="70">
        <f t="shared" si="0"/>
        <v>35</v>
      </c>
      <c r="C39" s="68">
        <f>'Data By State'!N38</f>
        <v>0.35151886989000591</v>
      </c>
      <c r="D39" s="68">
        <f>'Data By State'!O38</f>
        <v>0.58620689655172409</v>
      </c>
      <c r="E39" s="68">
        <f>'Data By State'!P38</f>
        <v>0.21381165176597997</v>
      </c>
      <c r="F39" s="68">
        <f>'Data By State'!Q38</f>
        <v>0.14160288555276088</v>
      </c>
      <c r="G39" s="119">
        <f>'Data By State'!R38</f>
        <v>0.33661855240317751</v>
      </c>
      <c r="H39" s="101"/>
      <c r="I39" s="97" t="s">
        <v>97</v>
      </c>
      <c r="J39" s="29">
        <f t="shared" si="5"/>
        <v>46</v>
      </c>
      <c r="K39" s="109">
        <f t="shared" si="6"/>
        <v>35</v>
      </c>
      <c r="L39" s="109">
        <f t="shared" si="7"/>
        <v>24</v>
      </c>
      <c r="M39" s="109">
        <f t="shared" si="8"/>
        <v>47</v>
      </c>
      <c r="N39" s="109">
        <f t="shared" si="9"/>
        <v>22</v>
      </c>
      <c r="O39" s="111">
        <f t="shared" si="10"/>
        <v>46</v>
      </c>
      <c r="P39" s="28"/>
      <c r="Q39" s="84">
        <f t="shared" si="1"/>
        <v>46</v>
      </c>
      <c r="R39" s="85" t="s">
        <v>97</v>
      </c>
      <c r="S39" s="86">
        <f>'Data By State'!L38</f>
        <v>35</v>
      </c>
      <c r="T39" s="41"/>
      <c r="U39" s="61">
        <f t="shared" si="2"/>
        <v>35</v>
      </c>
      <c r="V39" s="85" t="s">
        <v>97</v>
      </c>
      <c r="W39" s="91">
        <f>'Data By State'!N38</f>
        <v>0.35151886989000591</v>
      </c>
      <c r="X39" s="37"/>
      <c r="Y39" s="84">
        <f t="shared" si="3"/>
        <v>24</v>
      </c>
      <c r="Z39" s="85" t="s">
        <v>97</v>
      </c>
      <c r="AA39" s="60">
        <f>'Data By State'!O38</f>
        <v>0.58620689655172409</v>
      </c>
      <c r="AB39" s="33"/>
      <c r="AC39" s="84">
        <f t="shared" si="11"/>
        <v>47</v>
      </c>
      <c r="AD39" s="85" t="s">
        <v>97</v>
      </c>
      <c r="AE39" s="60">
        <f>'Data By State'!P38</f>
        <v>0.21381165176597997</v>
      </c>
      <c r="AF39" s="33"/>
      <c r="AG39" s="84">
        <f t="shared" si="4"/>
        <v>22</v>
      </c>
      <c r="AH39" s="85" t="s">
        <v>97</v>
      </c>
      <c r="AI39" s="60">
        <f>'Data By State'!Q38</f>
        <v>0.14160288555276088</v>
      </c>
      <c r="AJ39" s="33"/>
      <c r="AK39" s="84">
        <f t="shared" si="12"/>
        <v>46</v>
      </c>
      <c r="AL39" s="85" t="s">
        <v>97</v>
      </c>
      <c r="AM39" s="60">
        <f>'Data By State'!R38</f>
        <v>0.33661855240317751</v>
      </c>
    </row>
    <row r="40" spans="1:39">
      <c r="A40" s="97" t="s">
        <v>98</v>
      </c>
      <c r="B40" s="70">
        <f t="shared" ref="B40:B58" si="13">S40</f>
        <v>22.6</v>
      </c>
      <c r="C40" s="68">
        <f>'Data By State'!N39</f>
        <v>0.23885143000126266</v>
      </c>
      <c r="D40" s="68">
        <f>'Data By State'!O39</f>
        <v>0.46153846153846156</v>
      </c>
      <c r="E40" s="68">
        <f>'Data By State'!P39</f>
        <v>0.24196154951601478</v>
      </c>
      <c r="F40" s="68">
        <f>'Data By State'!Q39</f>
        <v>8.2832177274195035E-2</v>
      </c>
      <c r="G40" s="119">
        <f>'Data By State'!R39</f>
        <v>0.39385496966300099</v>
      </c>
      <c r="H40" s="101"/>
      <c r="I40" s="97" t="s">
        <v>98</v>
      </c>
      <c r="J40" s="29">
        <f t="shared" si="5"/>
        <v>17</v>
      </c>
      <c r="K40" s="109">
        <f t="shared" si="6"/>
        <v>17</v>
      </c>
      <c r="L40" s="109">
        <f t="shared" si="7"/>
        <v>14</v>
      </c>
      <c r="M40" s="109">
        <f t="shared" si="8"/>
        <v>34</v>
      </c>
      <c r="N40" s="109">
        <f t="shared" si="9"/>
        <v>14</v>
      </c>
      <c r="O40" s="111">
        <f t="shared" si="10"/>
        <v>34</v>
      </c>
      <c r="P40" s="28"/>
      <c r="Q40" s="84">
        <f t="shared" ref="Q40:Q57" si="14">RANK(S40,S$8:S$57,1)</f>
        <v>17</v>
      </c>
      <c r="R40" s="85" t="s">
        <v>98</v>
      </c>
      <c r="S40" s="86">
        <f>'Data By State'!L39</f>
        <v>22.6</v>
      </c>
      <c r="T40" s="41"/>
      <c r="U40" s="61">
        <f t="shared" si="2"/>
        <v>17</v>
      </c>
      <c r="V40" s="85" t="s">
        <v>98</v>
      </c>
      <c r="W40" s="91">
        <f>'Data By State'!N39</f>
        <v>0.23885143000126266</v>
      </c>
      <c r="X40" s="37"/>
      <c r="Y40" s="84">
        <f t="shared" si="3"/>
        <v>14</v>
      </c>
      <c r="Z40" s="85" t="s">
        <v>98</v>
      </c>
      <c r="AA40" s="60">
        <f>'Data By State'!O39</f>
        <v>0.46153846153846156</v>
      </c>
      <c r="AB40" s="33"/>
      <c r="AC40" s="84">
        <f t="shared" si="11"/>
        <v>34</v>
      </c>
      <c r="AD40" s="85" t="s">
        <v>98</v>
      </c>
      <c r="AE40" s="60">
        <f>'Data By State'!P39</f>
        <v>0.24196154951601478</v>
      </c>
      <c r="AF40" s="33"/>
      <c r="AG40" s="84">
        <f t="shared" si="4"/>
        <v>14</v>
      </c>
      <c r="AH40" s="85" t="s">
        <v>98</v>
      </c>
      <c r="AI40" s="60">
        <f>'Data By State'!Q39</f>
        <v>8.2832177274195035E-2</v>
      </c>
      <c r="AJ40" s="33"/>
      <c r="AK40" s="84">
        <f t="shared" si="12"/>
        <v>34</v>
      </c>
      <c r="AL40" s="85" t="s">
        <v>98</v>
      </c>
      <c r="AM40" s="60">
        <f>'Data By State'!R39</f>
        <v>0.39385496966300099</v>
      </c>
    </row>
    <row r="41" spans="1:39">
      <c r="A41" s="97" t="s">
        <v>99</v>
      </c>
      <c r="B41" s="70">
        <f t="shared" si="13"/>
        <v>20.6</v>
      </c>
      <c r="C41" s="68">
        <f>'Data By State'!N40</f>
        <v>9.8415868395220527E-2</v>
      </c>
      <c r="D41" s="68">
        <f>'Data By State'!O40</f>
        <v>0</v>
      </c>
      <c r="E41" s="68">
        <f>'Data By State'!P40</f>
        <v>0.26134771193402379</v>
      </c>
      <c r="F41" s="68">
        <f>'Data By State'!Q40</f>
        <v>0.45095662001290393</v>
      </c>
      <c r="G41" s="119">
        <f>'Data By State'!R40</f>
        <v>0.47745961052139879</v>
      </c>
      <c r="H41" s="101"/>
      <c r="I41" s="97" t="s">
        <v>99</v>
      </c>
      <c r="J41" s="29">
        <f t="shared" si="5"/>
        <v>9</v>
      </c>
      <c r="K41" s="109">
        <f t="shared" si="6"/>
        <v>4</v>
      </c>
      <c r="L41" s="109">
        <f t="shared" si="7"/>
        <v>1</v>
      </c>
      <c r="M41" s="109">
        <f t="shared" si="8"/>
        <v>25</v>
      </c>
      <c r="N41" s="109">
        <f t="shared" si="9"/>
        <v>48</v>
      </c>
      <c r="O41" s="111">
        <f t="shared" si="10"/>
        <v>14</v>
      </c>
      <c r="P41" s="28"/>
      <c r="Q41" s="84">
        <f t="shared" si="14"/>
        <v>9</v>
      </c>
      <c r="R41" s="85" t="s">
        <v>99</v>
      </c>
      <c r="S41" s="86">
        <f>'Data By State'!L40</f>
        <v>20.6</v>
      </c>
      <c r="T41" s="41"/>
      <c r="U41" s="61">
        <f t="shared" si="2"/>
        <v>4</v>
      </c>
      <c r="V41" s="85" t="s">
        <v>99</v>
      </c>
      <c r="W41" s="91">
        <f>'Data By State'!N40</f>
        <v>9.8415868395220527E-2</v>
      </c>
      <c r="X41" s="37"/>
      <c r="Y41" s="84">
        <f t="shared" si="3"/>
        <v>1</v>
      </c>
      <c r="Z41" s="85" t="s">
        <v>99</v>
      </c>
      <c r="AA41" s="60">
        <f>'Data By State'!O40</f>
        <v>0</v>
      </c>
      <c r="AB41" s="33"/>
      <c r="AC41" s="84">
        <f t="shared" si="11"/>
        <v>25</v>
      </c>
      <c r="AD41" s="85" t="s">
        <v>99</v>
      </c>
      <c r="AE41" s="60">
        <f>'Data By State'!P40</f>
        <v>0.26134771193402379</v>
      </c>
      <c r="AF41" s="33"/>
      <c r="AG41" s="84">
        <f t="shared" si="4"/>
        <v>48</v>
      </c>
      <c r="AH41" s="85" t="s">
        <v>99</v>
      </c>
      <c r="AI41" s="60">
        <f>'Data By State'!Q40</f>
        <v>0.45095662001290393</v>
      </c>
      <c r="AJ41" s="33"/>
      <c r="AK41" s="84">
        <f t="shared" si="12"/>
        <v>14</v>
      </c>
      <c r="AL41" s="85" t="s">
        <v>99</v>
      </c>
      <c r="AM41" s="60">
        <f>'Data By State'!R40</f>
        <v>0.47745961052139879</v>
      </c>
    </row>
    <row r="42" spans="1:39">
      <c r="A42" s="116" t="s">
        <v>100</v>
      </c>
      <c r="B42" s="117">
        <f t="shared" si="13"/>
        <v>22</v>
      </c>
      <c r="C42" s="118">
        <f>'Data By State'!N41</f>
        <v>0.25378783242139868</v>
      </c>
      <c r="D42" s="118">
        <f>'Data By State'!O41</f>
        <v>0.5</v>
      </c>
      <c r="E42" s="118">
        <f>'Data By State'!P41</f>
        <v>0.26510527270037032</v>
      </c>
      <c r="F42" s="118">
        <f>'Data By State'!Q41</f>
        <v>0.16445341925542817</v>
      </c>
      <c r="G42" s="119">
        <f>'Data By State'!R41</f>
        <v>0.44287936876438677</v>
      </c>
      <c r="H42" s="101"/>
      <c r="I42" s="116" t="s">
        <v>100</v>
      </c>
      <c r="J42" s="120">
        <f t="shared" si="5"/>
        <v>14</v>
      </c>
      <c r="K42" s="121">
        <f t="shared" si="6"/>
        <v>21</v>
      </c>
      <c r="L42" s="121">
        <f t="shared" si="7"/>
        <v>15</v>
      </c>
      <c r="M42" s="121">
        <f t="shared" si="8"/>
        <v>23</v>
      </c>
      <c r="N42" s="121">
        <f t="shared" si="9"/>
        <v>28</v>
      </c>
      <c r="O42" s="122">
        <f t="shared" si="10"/>
        <v>20</v>
      </c>
      <c r="P42" s="28"/>
      <c r="Q42" s="123">
        <f t="shared" si="14"/>
        <v>14</v>
      </c>
      <c r="R42" s="124" t="s">
        <v>100</v>
      </c>
      <c r="S42" s="125">
        <f>'Data By State'!L41</f>
        <v>22</v>
      </c>
      <c r="T42" s="41"/>
      <c r="U42" s="126">
        <f t="shared" si="2"/>
        <v>21</v>
      </c>
      <c r="V42" s="124" t="s">
        <v>100</v>
      </c>
      <c r="W42" s="127">
        <f>'Data By State'!N41</f>
        <v>0.25378783242139868</v>
      </c>
      <c r="X42" s="37"/>
      <c r="Y42" s="123">
        <f t="shared" si="3"/>
        <v>15</v>
      </c>
      <c r="Z42" s="124" t="s">
        <v>100</v>
      </c>
      <c r="AA42" s="119">
        <f>'Data By State'!O41</f>
        <v>0.5</v>
      </c>
      <c r="AB42" s="33"/>
      <c r="AC42" s="123">
        <f t="shared" si="11"/>
        <v>23</v>
      </c>
      <c r="AD42" s="124" t="s">
        <v>100</v>
      </c>
      <c r="AE42" s="119">
        <f>'Data By State'!P41</f>
        <v>0.26510527270037032</v>
      </c>
      <c r="AF42" s="33"/>
      <c r="AG42" s="123">
        <f t="shared" si="4"/>
        <v>28</v>
      </c>
      <c r="AH42" s="124" t="s">
        <v>100</v>
      </c>
      <c r="AI42" s="119">
        <f>'Data By State'!Q41</f>
        <v>0.16445341925542817</v>
      </c>
      <c r="AJ42" s="33"/>
      <c r="AK42" s="123">
        <f t="shared" si="12"/>
        <v>20</v>
      </c>
      <c r="AL42" s="124" t="s">
        <v>100</v>
      </c>
      <c r="AM42" s="119">
        <f>'Data By State'!R41</f>
        <v>0.44287936876438677</v>
      </c>
    </row>
    <row r="43" spans="1:39">
      <c r="A43" s="97" t="s">
        <v>101</v>
      </c>
      <c r="B43" s="70">
        <f t="shared" si="13"/>
        <v>41.2</v>
      </c>
      <c r="C43" s="68">
        <f>'Data By State'!N42</f>
        <v>0.59573700350769587</v>
      </c>
      <c r="D43" s="68">
        <f>'Data By State'!O42</f>
        <v>0.8</v>
      </c>
      <c r="E43" s="68">
        <f>'Data By State'!P42</f>
        <v>0.20519093036041239</v>
      </c>
      <c r="F43" s="68">
        <f>'Data By State'!Q42</f>
        <v>0.11235529269338446</v>
      </c>
      <c r="G43" s="119">
        <f>'Data By State'!R42</f>
        <v>0.29880689014066886</v>
      </c>
      <c r="H43" s="101"/>
      <c r="I43" s="97" t="s">
        <v>101</v>
      </c>
      <c r="J43" s="29">
        <f t="shared" si="5"/>
        <v>50</v>
      </c>
      <c r="K43" s="109">
        <f t="shared" si="6"/>
        <v>50</v>
      </c>
      <c r="L43" s="109">
        <f t="shared" si="7"/>
        <v>41</v>
      </c>
      <c r="M43" s="109">
        <f t="shared" si="8"/>
        <v>49</v>
      </c>
      <c r="N43" s="109">
        <f t="shared" si="9"/>
        <v>17</v>
      </c>
      <c r="O43" s="111">
        <f t="shared" si="10"/>
        <v>50</v>
      </c>
      <c r="P43" s="28"/>
      <c r="Q43" s="84">
        <f t="shared" si="14"/>
        <v>50</v>
      </c>
      <c r="R43" s="85" t="s">
        <v>101</v>
      </c>
      <c r="S43" s="86">
        <f>'Data By State'!L42</f>
        <v>41.2</v>
      </c>
      <c r="T43" s="41"/>
      <c r="U43" s="61">
        <f t="shared" si="2"/>
        <v>50</v>
      </c>
      <c r="V43" s="85" t="s">
        <v>101</v>
      </c>
      <c r="W43" s="91">
        <f>'Data By State'!N42</f>
        <v>0.59573700350769587</v>
      </c>
      <c r="X43" s="37"/>
      <c r="Y43" s="84">
        <f t="shared" si="3"/>
        <v>41</v>
      </c>
      <c r="Z43" s="85" t="s">
        <v>101</v>
      </c>
      <c r="AA43" s="60">
        <f>'Data By State'!O42</f>
        <v>0.8</v>
      </c>
      <c r="AB43" s="33"/>
      <c r="AC43" s="84">
        <f t="shared" si="11"/>
        <v>49</v>
      </c>
      <c r="AD43" s="85" t="s">
        <v>101</v>
      </c>
      <c r="AE43" s="60">
        <f>'Data By State'!P42</f>
        <v>0.20519093036041239</v>
      </c>
      <c r="AF43" s="33"/>
      <c r="AG43" s="84">
        <f t="shared" si="4"/>
        <v>17</v>
      </c>
      <c r="AH43" s="85" t="s">
        <v>101</v>
      </c>
      <c r="AI43" s="60">
        <f>'Data By State'!Q42</f>
        <v>0.11235529269338446</v>
      </c>
      <c r="AJ43" s="33"/>
      <c r="AK43" s="84">
        <f t="shared" si="12"/>
        <v>50</v>
      </c>
      <c r="AL43" s="85" t="s">
        <v>101</v>
      </c>
      <c r="AM43" s="60">
        <f>'Data By State'!R42</f>
        <v>0.29880689014066886</v>
      </c>
    </row>
    <row r="44" spans="1:39">
      <c r="A44" s="97" t="s">
        <v>102</v>
      </c>
      <c r="B44" s="70">
        <f t="shared" si="13"/>
        <v>14.8</v>
      </c>
      <c r="C44" s="68">
        <f>'Data By State'!N43</f>
        <v>0.25209522267024259</v>
      </c>
      <c r="D44" s="68">
        <f>'Data By State'!O43</f>
        <v>0.4</v>
      </c>
      <c r="E44" s="68">
        <f>'Data By State'!P43</f>
        <v>0.31197796332687877</v>
      </c>
      <c r="F44" s="68">
        <f>'Data By State'!Q43</f>
        <v>0.27328064247944667</v>
      </c>
      <c r="G44" s="119">
        <f>'Data By State'!R43</f>
        <v>0.51393152777817741</v>
      </c>
      <c r="H44" s="101"/>
      <c r="I44" s="97" t="s">
        <v>102</v>
      </c>
      <c r="J44" s="29">
        <f t="shared" si="5"/>
        <v>7</v>
      </c>
      <c r="K44" s="109">
        <f t="shared" si="6"/>
        <v>20</v>
      </c>
      <c r="L44" s="109">
        <f t="shared" si="7"/>
        <v>10</v>
      </c>
      <c r="M44" s="109">
        <f t="shared" si="8"/>
        <v>5</v>
      </c>
      <c r="N44" s="109">
        <f t="shared" si="9"/>
        <v>34</v>
      </c>
      <c r="O44" s="111">
        <f t="shared" si="10"/>
        <v>7</v>
      </c>
      <c r="P44" s="28"/>
      <c r="Q44" s="84">
        <f t="shared" si="14"/>
        <v>7</v>
      </c>
      <c r="R44" s="85" t="s">
        <v>102</v>
      </c>
      <c r="S44" s="86">
        <f>'Data By State'!L43</f>
        <v>14.8</v>
      </c>
      <c r="T44" s="41"/>
      <c r="U44" s="61">
        <f t="shared" si="2"/>
        <v>20</v>
      </c>
      <c r="V44" s="85" t="s">
        <v>102</v>
      </c>
      <c r="W44" s="91">
        <f>'Data By State'!N43</f>
        <v>0.25209522267024259</v>
      </c>
      <c r="X44" s="37"/>
      <c r="Y44" s="84">
        <f t="shared" si="3"/>
        <v>10</v>
      </c>
      <c r="Z44" s="85" t="s">
        <v>102</v>
      </c>
      <c r="AA44" s="60">
        <f>'Data By State'!O43</f>
        <v>0.4</v>
      </c>
      <c r="AB44" s="33"/>
      <c r="AC44" s="84">
        <f t="shared" si="11"/>
        <v>5</v>
      </c>
      <c r="AD44" s="85" t="s">
        <v>102</v>
      </c>
      <c r="AE44" s="60">
        <f>'Data By State'!P43</f>
        <v>0.31197796332687877</v>
      </c>
      <c r="AF44" s="33"/>
      <c r="AG44" s="84">
        <f t="shared" si="4"/>
        <v>34</v>
      </c>
      <c r="AH44" s="85" t="s">
        <v>102</v>
      </c>
      <c r="AI44" s="60">
        <f>'Data By State'!Q43</f>
        <v>0.27328064247944667</v>
      </c>
      <c r="AJ44" s="33"/>
      <c r="AK44" s="84">
        <f t="shared" si="12"/>
        <v>7</v>
      </c>
      <c r="AL44" s="85" t="s">
        <v>102</v>
      </c>
      <c r="AM44" s="60">
        <f>'Data By State'!R43</f>
        <v>0.51393152777817741</v>
      </c>
    </row>
    <row r="45" spans="1:39">
      <c r="A45" s="97" t="s">
        <v>103</v>
      </c>
      <c r="B45" s="70">
        <f t="shared" si="13"/>
        <v>22.8</v>
      </c>
      <c r="C45" s="68">
        <f>'Data By State'!N44</f>
        <v>0.27944991440053918</v>
      </c>
      <c r="D45" s="68">
        <f>'Data By State'!O44</f>
        <v>0.42105263157894735</v>
      </c>
      <c r="E45" s="68">
        <f>'Data By State'!P44</f>
        <v>0.25864662943261651</v>
      </c>
      <c r="F45" s="68">
        <f>'Data By State'!Q44</f>
        <v>0.11237677347350999</v>
      </c>
      <c r="G45" s="119">
        <f>'Data By State'!R44</f>
        <v>0.41362194165364474</v>
      </c>
      <c r="H45" s="101"/>
      <c r="I45" s="97" t="s">
        <v>103</v>
      </c>
      <c r="J45" s="29">
        <f t="shared" si="5"/>
        <v>18</v>
      </c>
      <c r="K45" s="109">
        <f t="shared" si="6"/>
        <v>27</v>
      </c>
      <c r="L45" s="109">
        <f t="shared" si="7"/>
        <v>13</v>
      </c>
      <c r="M45" s="109">
        <f t="shared" si="8"/>
        <v>28</v>
      </c>
      <c r="N45" s="109">
        <f t="shared" si="9"/>
        <v>18</v>
      </c>
      <c r="O45" s="111">
        <f t="shared" si="10"/>
        <v>31</v>
      </c>
      <c r="P45" s="28"/>
      <c r="Q45" s="84">
        <f t="shared" si="14"/>
        <v>18</v>
      </c>
      <c r="R45" s="85" t="s">
        <v>103</v>
      </c>
      <c r="S45" s="86">
        <f>'Data By State'!L44</f>
        <v>22.8</v>
      </c>
      <c r="T45" s="41"/>
      <c r="U45" s="61">
        <f t="shared" si="2"/>
        <v>27</v>
      </c>
      <c r="V45" s="85" t="s">
        <v>103</v>
      </c>
      <c r="W45" s="91">
        <f>'Data By State'!N44</f>
        <v>0.27944991440053918</v>
      </c>
      <c r="X45" s="37"/>
      <c r="Y45" s="84">
        <f t="shared" si="3"/>
        <v>13</v>
      </c>
      <c r="Z45" s="85" t="s">
        <v>103</v>
      </c>
      <c r="AA45" s="60">
        <f>'Data By State'!O44</f>
        <v>0.42105263157894735</v>
      </c>
      <c r="AB45" s="33"/>
      <c r="AC45" s="84">
        <f t="shared" si="11"/>
        <v>28</v>
      </c>
      <c r="AD45" s="85" t="s">
        <v>103</v>
      </c>
      <c r="AE45" s="60">
        <f>'Data By State'!P44</f>
        <v>0.25864662943261651</v>
      </c>
      <c r="AF45" s="33"/>
      <c r="AG45" s="84">
        <f t="shared" si="4"/>
        <v>18</v>
      </c>
      <c r="AH45" s="85" t="s">
        <v>103</v>
      </c>
      <c r="AI45" s="60">
        <f>'Data By State'!Q44</f>
        <v>0.11237677347350999</v>
      </c>
      <c r="AJ45" s="33"/>
      <c r="AK45" s="84">
        <f t="shared" si="12"/>
        <v>31</v>
      </c>
      <c r="AL45" s="85" t="s">
        <v>103</v>
      </c>
      <c r="AM45" s="60">
        <f>'Data By State'!R44</f>
        <v>0.41362194165364474</v>
      </c>
    </row>
    <row r="46" spans="1:39">
      <c r="A46" s="97" t="s">
        <v>104</v>
      </c>
      <c r="B46" s="70">
        <f t="shared" si="13"/>
        <v>26.8</v>
      </c>
      <c r="C46" s="68">
        <f>'Data By State'!N45</f>
        <v>0.18519784897710678</v>
      </c>
      <c r="D46" s="68">
        <f>'Data By State'!O45</f>
        <v>0.5</v>
      </c>
      <c r="E46" s="68">
        <f>'Data By State'!P45</f>
        <v>0.24591653104760594</v>
      </c>
      <c r="F46" s="68">
        <f>'Data By State'!Q45</f>
        <v>0.41229955463218348</v>
      </c>
      <c r="G46" s="119">
        <f>'Data By State'!R45</f>
        <v>0.44360873382337168</v>
      </c>
      <c r="H46" s="101"/>
      <c r="I46" s="97" t="s">
        <v>104</v>
      </c>
      <c r="J46" s="29">
        <f t="shared" si="5"/>
        <v>32</v>
      </c>
      <c r="K46" s="109">
        <f t="shared" si="6"/>
        <v>10</v>
      </c>
      <c r="L46" s="109">
        <f t="shared" si="7"/>
        <v>15</v>
      </c>
      <c r="M46" s="109">
        <f t="shared" si="8"/>
        <v>32</v>
      </c>
      <c r="N46" s="109">
        <f t="shared" si="9"/>
        <v>45</v>
      </c>
      <c r="O46" s="111">
        <f t="shared" si="10"/>
        <v>19</v>
      </c>
      <c r="P46" s="28"/>
      <c r="Q46" s="84">
        <f t="shared" si="14"/>
        <v>32</v>
      </c>
      <c r="R46" s="85" t="s">
        <v>104</v>
      </c>
      <c r="S46" s="86">
        <f>'Data By State'!L45</f>
        <v>26.8</v>
      </c>
      <c r="T46" s="41"/>
      <c r="U46" s="61">
        <f t="shared" si="2"/>
        <v>10</v>
      </c>
      <c r="V46" s="85" t="s">
        <v>104</v>
      </c>
      <c r="W46" s="91">
        <f>'Data By State'!N45</f>
        <v>0.18519784897710678</v>
      </c>
      <c r="X46" s="37"/>
      <c r="Y46" s="84">
        <f t="shared" si="3"/>
        <v>15</v>
      </c>
      <c r="Z46" s="85" t="s">
        <v>104</v>
      </c>
      <c r="AA46" s="60">
        <f>'Data By State'!O45</f>
        <v>0.5</v>
      </c>
      <c r="AB46" s="33"/>
      <c r="AC46" s="84">
        <f t="shared" si="11"/>
        <v>32</v>
      </c>
      <c r="AD46" s="85" t="s">
        <v>104</v>
      </c>
      <c r="AE46" s="60">
        <f>'Data By State'!P45</f>
        <v>0.24591653104760594</v>
      </c>
      <c r="AF46" s="33"/>
      <c r="AG46" s="84">
        <f t="shared" si="4"/>
        <v>45</v>
      </c>
      <c r="AH46" s="85" t="s">
        <v>104</v>
      </c>
      <c r="AI46" s="60">
        <f>'Data By State'!Q45</f>
        <v>0.41229955463218348</v>
      </c>
      <c r="AJ46" s="33"/>
      <c r="AK46" s="84">
        <f t="shared" si="12"/>
        <v>19</v>
      </c>
      <c r="AL46" s="85" t="s">
        <v>104</v>
      </c>
      <c r="AM46" s="60">
        <f>'Data By State'!R45</f>
        <v>0.44360873382337168</v>
      </c>
    </row>
    <row r="47" spans="1:39">
      <c r="A47" s="116" t="s">
        <v>105</v>
      </c>
      <c r="B47" s="117">
        <f t="shared" si="13"/>
        <v>30</v>
      </c>
      <c r="C47" s="118">
        <f>'Data By State'!N46</f>
        <v>0.25034843104852061</v>
      </c>
      <c r="D47" s="118">
        <f>'Data By State'!O46</f>
        <v>0.66666666666666663</v>
      </c>
      <c r="E47" s="118">
        <f>'Data By State'!P46</f>
        <v>0.23896328094129132</v>
      </c>
      <c r="F47" s="118">
        <f>'Data By State'!Q46</f>
        <v>0.25498207093676095</v>
      </c>
      <c r="G47" s="119">
        <f>'Data By State'!R46</f>
        <v>0.39698035342856752</v>
      </c>
      <c r="H47" s="101"/>
      <c r="I47" s="116" t="s">
        <v>105</v>
      </c>
      <c r="J47" s="120">
        <f t="shared" si="5"/>
        <v>38</v>
      </c>
      <c r="K47" s="121">
        <f t="shared" si="6"/>
        <v>19</v>
      </c>
      <c r="L47" s="121">
        <f t="shared" si="7"/>
        <v>28</v>
      </c>
      <c r="M47" s="121">
        <f t="shared" si="8"/>
        <v>35</v>
      </c>
      <c r="N47" s="121">
        <f t="shared" si="9"/>
        <v>33</v>
      </c>
      <c r="O47" s="122">
        <f t="shared" si="10"/>
        <v>33</v>
      </c>
      <c r="P47" s="28"/>
      <c r="Q47" s="123">
        <f t="shared" si="14"/>
        <v>38</v>
      </c>
      <c r="R47" s="124" t="s">
        <v>105</v>
      </c>
      <c r="S47" s="125">
        <f>'Data By State'!L46</f>
        <v>30</v>
      </c>
      <c r="T47" s="41"/>
      <c r="U47" s="126">
        <f t="shared" si="2"/>
        <v>19</v>
      </c>
      <c r="V47" s="124" t="s">
        <v>105</v>
      </c>
      <c r="W47" s="127">
        <f>'Data By State'!N46</f>
        <v>0.25034843104852061</v>
      </c>
      <c r="X47" s="37"/>
      <c r="Y47" s="123">
        <f t="shared" si="3"/>
        <v>28</v>
      </c>
      <c r="Z47" s="124" t="s">
        <v>105</v>
      </c>
      <c r="AA47" s="119">
        <f>'Data By State'!O46</f>
        <v>0.66666666666666663</v>
      </c>
      <c r="AB47" s="33"/>
      <c r="AC47" s="123">
        <f t="shared" si="11"/>
        <v>35</v>
      </c>
      <c r="AD47" s="124" t="s">
        <v>105</v>
      </c>
      <c r="AE47" s="119">
        <f>'Data By State'!P46</f>
        <v>0.23896328094129132</v>
      </c>
      <c r="AF47" s="33"/>
      <c r="AG47" s="123">
        <f t="shared" si="4"/>
        <v>33</v>
      </c>
      <c r="AH47" s="124" t="s">
        <v>105</v>
      </c>
      <c r="AI47" s="119">
        <f>'Data By State'!Q46</f>
        <v>0.25498207093676095</v>
      </c>
      <c r="AJ47" s="33"/>
      <c r="AK47" s="123">
        <f t="shared" si="12"/>
        <v>33</v>
      </c>
      <c r="AL47" s="124" t="s">
        <v>105</v>
      </c>
      <c r="AM47" s="119">
        <f>'Data By State'!R46</f>
        <v>0.39698035342856752</v>
      </c>
    </row>
    <row r="48" spans="1:39">
      <c r="A48" s="97" t="s">
        <v>106</v>
      </c>
      <c r="B48" s="70">
        <f t="shared" si="13"/>
        <v>22.4</v>
      </c>
      <c r="C48" s="68">
        <f>'Data By State'!N47</f>
        <v>2.369027479919545E-2</v>
      </c>
      <c r="D48" s="68">
        <f>'Data By State'!O47</f>
        <v>0</v>
      </c>
      <c r="E48" s="68">
        <f>'Data By State'!P47</f>
        <v>0.25615928563452767</v>
      </c>
      <c r="F48" s="68">
        <f>'Data By State'!Q47</f>
        <v>0.48886440051842994</v>
      </c>
      <c r="G48" s="119">
        <f>'Data By State'!R47</f>
        <v>0.53235093637140873</v>
      </c>
      <c r="H48" s="101"/>
      <c r="I48" s="97" t="s">
        <v>106</v>
      </c>
      <c r="J48" s="29">
        <f t="shared" si="5"/>
        <v>16</v>
      </c>
      <c r="K48" s="109">
        <f t="shared" si="6"/>
        <v>1</v>
      </c>
      <c r="L48" s="109">
        <f t="shared" si="7"/>
        <v>1</v>
      </c>
      <c r="M48" s="109">
        <f t="shared" si="8"/>
        <v>30</v>
      </c>
      <c r="N48" s="109">
        <f t="shared" si="9"/>
        <v>50</v>
      </c>
      <c r="O48" s="111">
        <f t="shared" si="10"/>
        <v>4</v>
      </c>
      <c r="P48" s="28"/>
      <c r="Q48" s="84">
        <f t="shared" si="14"/>
        <v>16</v>
      </c>
      <c r="R48" s="85" t="s">
        <v>106</v>
      </c>
      <c r="S48" s="86">
        <f>'Data By State'!L47</f>
        <v>22.4</v>
      </c>
      <c r="T48" s="41"/>
      <c r="U48" s="61">
        <f t="shared" si="2"/>
        <v>1</v>
      </c>
      <c r="V48" s="85" t="s">
        <v>106</v>
      </c>
      <c r="W48" s="91">
        <f>'Data By State'!N47</f>
        <v>2.369027479919545E-2</v>
      </c>
      <c r="X48" s="37"/>
      <c r="Y48" s="84">
        <f t="shared" si="3"/>
        <v>1</v>
      </c>
      <c r="Z48" s="85" t="s">
        <v>106</v>
      </c>
      <c r="AA48" s="60">
        <f>'Data By State'!O47</f>
        <v>0</v>
      </c>
      <c r="AB48" s="33"/>
      <c r="AC48" s="84">
        <f t="shared" si="11"/>
        <v>30</v>
      </c>
      <c r="AD48" s="85" t="s">
        <v>106</v>
      </c>
      <c r="AE48" s="60">
        <f>'Data By State'!P47</f>
        <v>0.25615928563452767</v>
      </c>
      <c r="AF48" s="33"/>
      <c r="AG48" s="84">
        <f t="shared" si="4"/>
        <v>50</v>
      </c>
      <c r="AH48" s="85" t="s">
        <v>106</v>
      </c>
      <c r="AI48" s="60">
        <f>'Data By State'!Q47</f>
        <v>0.48886440051842994</v>
      </c>
      <c r="AJ48" s="33"/>
      <c r="AK48" s="84">
        <f t="shared" si="12"/>
        <v>4</v>
      </c>
      <c r="AL48" s="85" t="s">
        <v>106</v>
      </c>
      <c r="AM48" s="60">
        <f>'Data By State'!R47</f>
        <v>0.53235093637140873</v>
      </c>
    </row>
    <row r="49" spans="1:39">
      <c r="A49" s="97" t="s">
        <v>107</v>
      </c>
      <c r="B49" s="70">
        <f t="shared" si="13"/>
        <v>37</v>
      </c>
      <c r="C49" s="68">
        <f>'Data By State'!N48</f>
        <v>0.40061364273307287</v>
      </c>
      <c r="D49" s="68">
        <f>'Data By State'!O48</f>
        <v>0.77777777777777779</v>
      </c>
      <c r="E49" s="68">
        <f>'Data By State'!P48</f>
        <v>0.22446658862434857</v>
      </c>
      <c r="F49" s="68">
        <f>'Data By State'!Q48</f>
        <v>0.14497160014581009</v>
      </c>
      <c r="G49" s="119">
        <f>'Data By State'!R48</f>
        <v>0.33412384264351008</v>
      </c>
      <c r="H49" s="101"/>
      <c r="I49" s="97" t="s">
        <v>107</v>
      </c>
      <c r="J49" s="29">
        <f t="shared" si="5"/>
        <v>48</v>
      </c>
      <c r="K49" s="109">
        <f t="shared" si="6"/>
        <v>42</v>
      </c>
      <c r="L49" s="109">
        <f t="shared" si="7"/>
        <v>38</v>
      </c>
      <c r="M49" s="109">
        <f t="shared" si="8"/>
        <v>41</v>
      </c>
      <c r="N49" s="109">
        <f t="shared" si="9"/>
        <v>23</v>
      </c>
      <c r="O49" s="111">
        <f t="shared" si="10"/>
        <v>47</v>
      </c>
      <c r="P49" s="28"/>
      <c r="Q49" s="84">
        <f t="shared" si="14"/>
        <v>48</v>
      </c>
      <c r="R49" s="85" t="s">
        <v>107</v>
      </c>
      <c r="S49" s="86">
        <f>'Data By State'!L48</f>
        <v>37</v>
      </c>
      <c r="T49" s="41"/>
      <c r="U49" s="61">
        <f t="shared" si="2"/>
        <v>42</v>
      </c>
      <c r="V49" s="85" t="s">
        <v>107</v>
      </c>
      <c r="W49" s="91">
        <f>'Data By State'!N48</f>
        <v>0.40061364273307287</v>
      </c>
      <c r="X49" s="37"/>
      <c r="Y49" s="84">
        <f t="shared" si="3"/>
        <v>38</v>
      </c>
      <c r="Z49" s="85" t="s">
        <v>107</v>
      </c>
      <c r="AA49" s="60">
        <f>'Data By State'!O48</f>
        <v>0.77777777777777779</v>
      </c>
      <c r="AB49" s="33"/>
      <c r="AC49" s="84">
        <f t="shared" si="11"/>
        <v>41</v>
      </c>
      <c r="AD49" s="85" t="s">
        <v>107</v>
      </c>
      <c r="AE49" s="60">
        <f>'Data By State'!P48</f>
        <v>0.22446658862434857</v>
      </c>
      <c r="AF49" s="33"/>
      <c r="AG49" s="84">
        <f t="shared" si="4"/>
        <v>23</v>
      </c>
      <c r="AH49" s="85" t="s">
        <v>107</v>
      </c>
      <c r="AI49" s="60">
        <f>'Data By State'!Q48</f>
        <v>0.14497160014581009</v>
      </c>
      <c r="AJ49" s="33"/>
      <c r="AK49" s="84">
        <f t="shared" si="12"/>
        <v>47</v>
      </c>
      <c r="AL49" s="85" t="s">
        <v>107</v>
      </c>
      <c r="AM49" s="60">
        <f>'Data By State'!R48</f>
        <v>0.33412384264351008</v>
      </c>
    </row>
    <row r="50" spans="1:39">
      <c r="A50" s="97" t="s">
        <v>108</v>
      </c>
      <c r="B50" s="70">
        <f t="shared" si="13"/>
        <v>37.6</v>
      </c>
      <c r="C50" s="68">
        <f>'Data By State'!N49</f>
        <v>0.48289641720739002</v>
      </c>
      <c r="D50" s="68">
        <f>'Data By State'!O49</f>
        <v>0.84375</v>
      </c>
      <c r="E50" s="68">
        <f>'Data By State'!P49</f>
        <v>0.21637352471165977</v>
      </c>
      <c r="F50" s="68">
        <f>'Data By State'!Q49</f>
        <v>4.9433233481783662E-2</v>
      </c>
      <c r="G50" s="119">
        <f>'Data By State'!R49</f>
        <v>0.30771727528361531</v>
      </c>
      <c r="H50" s="101"/>
      <c r="I50" s="97" t="s">
        <v>108</v>
      </c>
      <c r="J50" s="29">
        <f t="shared" si="5"/>
        <v>49</v>
      </c>
      <c r="K50" s="109">
        <f t="shared" si="6"/>
        <v>46</v>
      </c>
      <c r="L50" s="109">
        <f t="shared" si="7"/>
        <v>42</v>
      </c>
      <c r="M50" s="109">
        <f t="shared" si="8"/>
        <v>46</v>
      </c>
      <c r="N50" s="109">
        <f t="shared" si="9"/>
        <v>8</v>
      </c>
      <c r="O50" s="111">
        <f t="shared" si="10"/>
        <v>49</v>
      </c>
      <c r="P50" s="28"/>
      <c r="Q50" s="84">
        <f t="shared" si="14"/>
        <v>49</v>
      </c>
      <c r="R50" s="85" t="s">
        <v>108</v>
      </c>
      <c r="S50" s="86">
        <f>'Data By State'!L49</f>
        <v>37.6</v>
      </c>
      <c r="T50" s="41"/>
      <c r="U50" s="61">
        <f t="shared" si="2"/>
        <v>46</v>
      </c>
      <c r="V50" s="85" t="s">
        <v>108</v>
      </c>
      <c r="W50" s="91">
        <f>'Data By State'!N49</f>
        <v>0.48289641720739002</v>
      </c>
      <c r="X50" s="37"/>
      <c r="Y50" s="84">
        <f t="shared" si="3"/>
        <v>42</v>
      </c>
      <c r="Z50" s="85" t="s">
        <v>108</v>
      </c>
      <c r="AA50" s="60">
        <f>'Data By State'!O49</f>
        <v>0.84375</v>
      </c>
      <c r="AB50" s="33"/>
      <c r="AC50" s="84">
        <f t="shared" si="11"/>
        <v>46</v>
      </c>
      <c r="AD50" s="85" t="s">
        <v>108</v>
      </c>
      <c r="AE50" s="60">
        <f>'Data By State'!P49</f>
        <v>0.21637352471165977</v>
      </c>
      <c r="AF50" s="33"/>
      <c r="AG50" s="84">
        <f t="shared" si="4"/>
        <v>8</v>
      </c>
      <c r="AH50" s="85" t="s">
        <v>108</v>
      </c>
      <c r="AI50" s="60">
        <f>'Data By State'!Q49</f>
        <v>4.9433233481783662E-2</v>
      </c>
      <c r="AJ50" s="33"/>
      <c r="AK50" s="84">
        <f t="shared" si="12"/>
        <v>49</v>
      </c>
      <c r="AL50" s="85" t="s">
        <v>108</v>
      </c>
      <c r="AM50" s="60">
        <f>'Data By State'!R49</f>
        <v>0.30771727528361531</v>
      </c>
    </row>
    <row r="51" spans="1:39">
      <c r="A51" s="97" t="s">
        <v>109</v>
      </c>
      <c r="B51" s="70">
        <f t="shared" si="13"/>
        <v>33.799999999999997</v>
      </c>
      <c r="C51" s="68">
        <f>'Data By State'!N50</f>
        <v>0.3532093784123676</v>
      </c>
      <c r="D51" s="68">
        <f>'Data By State'!O50</f>
        <v>0.66666666666666663</v>
      </c>
      <c r="E51" s="68">
        <f>'Data By State'!P50</f>
        <v>0.20233746111555367</v>
      </c>
      <c r="F51" s="68">
        <f>'Data By State'!Q50</f>
        <v>3.0350287299486273E-2</v>
      </c>
      <c r="G51" s="119">
        <f>'Data By State'!R50</f>
        <v>0.32091834022140941</v>
      </c>
      <c r="H51" s="101"/>
      <c r="I51" s="97" t="s">
        <v>109</v>
      </c>
      <c r="J51" s="29">
        <f t="shared" si="5"/>
        <v>44</v>
      </c>
      <c r="K51" s="109">
        <f t="shared" si="6"/>
        <v>37</v>
      </c>
      <c r="L51" s="109">
        <f t="shared" si="7"/>
        <v>28</v>
      </c>
      <c r="M51" s="109">
        <f t="shared" si="8"/>
        <v>50</v>
      </c>
      <c r="N51" s="109">
        <f t="shared" si="9"/>
        <v>4</v>
      </c>
      <c r="O51" s="111">
        <f t="shared" si="10"/>
        <v>48</v>
      </c>
      <c r="P51" s="28"/>
      <c r="Q51" s="84">
        <f t="shared" si="14"/>
        <v>44</v>
      </c>
      <c r="R51" s="85" t="s">
        <v>109</v>
      </c>
      <c r="S51" s="86">
        <f>'Data By State'!L50</f>
        <v>33.799999999999997</v>
      </c>
      <c r="T51" s="41"/>
      <c r="U51" s="61">
        <f t="shared" si="2"/>
        <v>37</v>
      </c>
      <c r="V51" s="85" t="s">
        <v>109</v>
      </c>
      <c r="W51" s="91">
        <f>'Data By State'!N50</f>
        <v>0.3532093784123676</v>
      </c>
      <c r="X51" s="37"/>
      <c r="Y51" s="84">
        <f t="shared" si="3"/>
        <v>28</v>
      </c>
      <c r="Z51" s="85" t="s">
        <v>109</v>
      </c>
      <c r="AA51" s="60">
        <f>'Data By State'!O50</f>
        <v>0.66666666666666663</v>
      </c>
      <c r="AB51" s="33"/>
      <c r="AC51" s="84">
        <f t="shared" si="11"/>
        <v>50</v>
      </c>
      <c r="AD51" s="85" t="s">
        <v>109</v>
      </c>
      <c r="AE51" s="60">
        <f>'Data By State'!P50</f>
        <v>0.20233746111555367</v>
      </c>
      <c r="AF51" s="33"/>
      <c r="AG51" s="84">
        <f t="shared" si="4"/>
        <v>4</v>
      </c>
      <c r="AH51" s="85" t="s">
        <v>109</v>
      </c>
      <c r="AI51" s="60">
        <f>'Data By State'!Q50</f>
        <v>3.0350287299486273E-2</v>
      </c>
      <c r="AJ51" s="33"/>
      <c r="AK51" s="84">
        <f t="shared" si="12"/>
        <v>48</v>
      </c>
      <c r="AL51" s="85" t="s">
        <v>109</v>
      </c>
      <c r="AM51" s="60">
        <f>'Data By State'!R50</f>
        <v>0.32091834022140941</v>
      </c>
    </row>
    <row r="52" spans="1:39">
      <c r="A52" s="116" t="s">
        <v>110</v>
      </c>
      <c r="B52" s="186">
        <f t="shared" si="13"/>
        <v>25.6</v>
      </c>
      <c r="C52" s="187">
        <f>'Data By State'!N51</f>
        <v>0.336805419927173</v>
      </c>
      <c r="D52" s="187">
        <f>'Data By State'!O51</f>
        <v>1</v>
      </c>
      <c r="E52" s="187">
        <f>'Data By State'!P51</f>
        <v>0.31194500259268859</v>
      </c>
      <c r="F52" s="187">
        <f>'Data By State'!Q51</f>
        <v>0.33732459615715182</v>
      </c>
      <c r="G52" s="119">
        <f>'Data By State'!R51</f>
        <v>0.48313334521648948</v>
      </c>
      <c r="H52" s="189"/>
      <c r="I52" s="116" t="s">
        <v>110</v>
      </c>
      <c r="J52" s="183">
        <f t="shared" si="5"/>
        <v>26</v>
      </c>
      <c r="K52" s="184">
        <f t="shared" si="6"/>
        <v>34</v>
      </c>
      <c r="L52" s="184">
        <f t="shared" si="7"/>
        <v>44</v>
      </c>
      <c r="M52" s="184">
        <f t="shared" si="8"/>
        <v>6</v>
      </c>
      <c r="N52" s="184">
        <f t="shared" si="9"/>
        <v>38</v>
      </c>
      <c r="O52" s="185">
        <f t="shared" si="10"/>
        <v>12</v>
      </c>
      <c r="P52" s="181"/>
      <c r="Q52" s="190">
        <f t="shared" si="14"/>
        <v>26</v>
      </c>
      <c r="R52" s="124" t="s">
        <v>110</v>
      </c>
      <c r="S52" s="191">
        <f>'Data By State'!L51</f>
        <v>25.6</v>
      </c>
      <c r="T52" s="192"/>
      <c r="U52" s="193">
        <f t="shared" si="2"/>
        <v>34</v>
      </c>
      <c r="V52" s="124" t="s">
        <v>110</v>
      </c>
      <c r="W52" s="194">
        <f>'Data By State'!N51</f>
        <v>0.336805419927173</v>
      </c>
      <c r="X52" s="176"/>
      <c r="Y52" s="190">
        <f t="shared" si="3"/>
        <v>44</v>
      </c>
      <c r="Z52" s="124" t="s">
        <v>110</v>
      </c>
      <c r="AA52" s="188">
        <f>'Data By State'!O51</f>
        <v>1</v>
      </c>
      <c r="AB52" s="177"/>
      <c r="AC52" s="190">
        <f t="shared" si="11"/>
        <v>6</v>
      </c>
      <c r="AD52" s="124" t="s">
        <v>110</v>
      </c>
      <c r="AE52" s="188">
        <f>'Data By State'!P51</f>
        <v>0.31194500259268859</v>
      </c>
      <c r="AF52" s="177"/>
      <c r="AG52" s="190">
        <f t="shared" si="4"/>
        <v>38</v>
      </c>
      <c r="AH52" s="124" t="s">
        <v>110</v>
      </c>
      <c r="AI52" s="188">
        <f>'Data By State'!Q51</f>
        <v>0.33732459615715182</v>
      </c>
      <c r="AJ52" s="177"/>
      <c r="AK52" s="190">
        <f t="shared" si="12"/>
        <v>12</v>
      </c>
      <c r="AL52" s="124" t="s">
        <v>110</v>
      </c>
      <c r="AM52" s="188">
        <f>'Data By State'!R51</f>
        <v>0.48313334521648948</v>
      </c>
    </row>
    <row r="53" spans="1:39">
      <c r="A53" s="97" t="s">
        <v>111</v>
      </c>
      <c r="B53" s="70">
        <f t="shared" si="13"/>
        <v>31.2</v>
      </c>
      <c r="C53" s="68">
        <f>'Data By State'!N52</f>
        <v>0.27152927019257245</v>
      </c>
      <c r="D53" s="68">
        <f>'Data By State'!O52</f>
        <v>0.63636363636363635</v>
      </c>
      <c r="E53" s="68">
        <f>'Data By State'!P52</f>
        <v>0.22892084409067981</v>
      </c>
      <c r="F53" s="68">
        <f>'Data By State'!Q52</f>
        <v>0.16448689031013505</v>
      </c>
      <c r="G53" s="119">
        <f>'Data By State'!R52</f>
        <v>0.38486390821647443</v>
      </c>
      <c r="H53" s="101"/>
      <c r="I53" s="97" t="s">
        <v>111</v>
      </c>
      <c r="J53" s="29">
        <f t="shared" si="5"/>
        <v>40</v>
      </c>
      <c r="K53" s="109">
        <f t="shared" si="6"/>
        <v>24</v>
      </c>
      <c r="L53" s="109">
        <f t="shared" si="7"/>
        <v>27</v>
      </c>
      <c r="M53" s="109">
        <f t="shared" si="8"/>
        <v>38</v>
      </c>
      <c r="N53" s="109">
        <f t="shared" si="9"/>
        <v>29</v>
      </c>
      <c r="O53" s="111">
        <f t="shared" si="10"/>
        <v>37</v>
      </c>
      <c r="P53" s="28"/>
      <c r="Q53" s="84">
        <f t="shared" si="14"/>
        <v>40</v>
      </c>
      <c r="R53" s="85" t="s">
        <v>111</v>
      </c>
      <c r="S53" s="86">
        <f>'Data By State'!L52</f>
        <v>31.2</v>
      </c>
      <c r="T53" s="41"/>
      <c r="U53" s="61">
        <f t="shared" si="2"/>
        <v>24</v>
      </c>
      <c r="V53" s="85" t="s">
        <v>111</v>
      </c>
      <c r="W53" s="91">
        <f>'Data By State'!N52</f>
        <v>0.27152927019257245</v>
      </c>
      <c r="X53" s="37"/>
      <c r="Y53" s="84">
        <f t="shared" si="3"/>
        <v>27</v>
      </c>
      <c r="Z53" s="85" t="s">
        <v>111</v>
      </c>
      <c r="AA53" s="60">
        <f>'Data By State'!O52</f>
        <v>0.63636363636363635</v>
      </c>
      <c r="AB53" s="33"/>
      <c r="AC53" s="84">
        <f t="shared" si="11"/>
        <v>38</v>
      </c>
      <c r="AD53" s="85" t="s">
        <v>111</v>
      </c>
      <c r="AE53" s="60">
        <f>'Data By State'!P52</f>
        <v>0.22892084409067981</v>
      </c>
      <c r="AF53" s="33"/>
      <c r="AG53" s="84">
        <f t="shared" si="4"/>
        <v>29</v>
      </c>
      <c r="AH53" s="85" t="s">
        <v>111</v>
      </c>
      <c r="AI53" s="60">
        <f>'Data By State'!Q52</f>
        <v>0.16448689031013505</v>
      </c>
      <c r="AJ53" s="33"/>
      <c r="AK53" s="84">
        <f t="shared" si="12"/>
        <v>37</v>
      </c>
      <c r="AL53" s="85" t="s">
        <v>111</v>
      </c>
      <c r="AM53" s="60">
        <f>'Data By State'!R52</f>
        <v>0.38486390821647443</v>
      </c>
    </row>
    <row r="54" spans="1:39">
      <c r="A54" s="97" t="s">
        <v>112</v>
      </c>
      <c r="B54" s="70">
        <f t="shared" si="13"/>
        <v>7</v>
      </c>
      <c r="C54" s="68">
        <f>'Data By State'!N53</f>
        <v>0.23991615591632171</v>
      </c>
      <c r="D54" s="68">
        <f>'Data By State'!O53</f>
        <v>0.33333333333333331</v>
      </c>
      <c r="E54" s="68">
        <f>'Data By State'!P53</f>
        <v>0.31389589394314948</v>
      </c>
      <c r="F54" s="68">
        <f>'Data By State'!Q53</f>
        <v>2.3020382859159E-2</v>
      </c>
      <c r="G54" s="119">
        <f>'Data By State'!R53</f>
        <v>0.5243728655263632</v>
      </c>
      <c r="H54" s="101"/>
      <c r="I54" s="97" t="s">
        <v>112</v>
      </c>
      <c r="J54" s="29">
        <f t="shared" si="5"/>
        <v>1</v>
      </c>
      <c r="K54" s="109">
        <f t="shared" si="6"/>
        <v>18</v>
      </c>
      <c r="L54" s="109">
        <f t="shared" si="7"/>
        <v>7</v>
      </c>
      <c r="M54" s="109">
        <f t="shared" si="8"/>
        <v>4</v>
      </c>
      <c r="N54" s="109">
        <f t="shared" si="9"/>
        <v>2</v>
      </c>
      <c r="O54" s="111">
        <f t="shared" si="10"/>
        <v>5</v>
      </c>
      <c r="P54" s="28"/>
      <c r="Q54" s="84">
        <f t="shared" si="14"/>
        <v>1</v>
      </c>
      <c r="R54" s="85" t="s">
        <v>112</v>
      </c>
      <c r="S54" s="86">
        <f>'Data By State'!L53</f>
        <v>7</v>
      </c>
      <c r="T54" s="41"/>
      <c r="U54" s="61">
        <f t="shared" si="2"/>
        <v>18</v>
      </c>
      <c r="V54" s="85" t="s">
        <v>112</v>
      </c>
      <c r="W54" s="91">
        <f>'Data By State'!N53</f>
        <v>0.23991615591632171</v>
      </c>
      <c r="X54" s="37"/>
      <c r="Y54" s="84">
        <f t="shared" si="3"/>
        <v>7</v>
      </c>
      <c r="Z54" s="85" t="s">
        <v>112</v>
      </c>
      <c r="AA54" s="60">
        <f>'Data By State'!O53</f>
        <v>0.33333333333333331</v>
      </c>
      <c r="AB54" s="33"/>
      <c r="AC54" s="84">
        <f t="shared" si="11"/>
        <v>4</v>
      </c>
      <c r="AD54" s="85" t="s">
        <v>112</v>
      </c>
      <c r="AE54" s="60">
        <f>'Data By State'!P53</f>
        <v>0.31389589394314948</v>
      </c>
      <c r="AF54" s="33"/>
      <c r="AG54" s="84">
        <f t="shared" si="4"/>
        <v>2</v>
      </c>
      <c r="AH54" s="85" t="s">
        <v>112</v>
      </c>
      <c r="AI54" s="60">
        <f>'Data By State'!Q53</f>
        <v>2.3020382859159E-2</v>
      </c>
      <c r="AJ54" s="33"/>
      <c r="AK54" s="84">
        <f t="shared" si="12"/>
        <v>5</v>
      </c>
      <c r="AL54" s="85" t="s">
        <v>112</v>
      </c>
      <c r="AM54" s="60">
        <f>'Data By State'!R53</f>
        <v>0.5243728655263632</v>
      </c>
    </row>
    <row r="55" spans="1:39">
      <c r="A55" s="97" t="s">
        <v>113</v>
      </c>
      <c r="B55" s="70">
        <f t="shared" si="13"/>
        <v>26</v>
      </c>
      <c r="C55" s="68">
        <f>'Data By State'!N54</f>
        <v>0.17458556529112546</v>
      </c>
      <c r="D55" s="68">
        <f>'Data By State'!O54</f>
        <v>0.33333333333333331</v>
      </c>
      <c r="E55" s="68">
        <f>'Data By State'!P54</f>
        <v>0.21224494974592775</v>
      </c>
      <c r="F55" s="68">
        <f>'Data By State'!Q54</f>
        <v>0.11298188927749578</v>
      </c>
      <c r="G55" s="119">
        <f>'Data By State'!R54</f>
        <v>0.36256873413590418</v>
      </c>
      <c r="H55" s="101"/>
      <c r="I55" s="97" t="s">
        <v>113</v>
      </c>
      <c r="J55" s="29">
        <f t="shared" si="5"/>
        <v>28</v>
      </c>
      <c r="K55" s="109">
        <f t="shared" si="6"/>
        <v>8</v>
      </c>
      <c r="L55" s="109">
        <f t="shared" si="7"/>
        <v>7</v>
      </c>
      <c r="M55" s="109">
        <f t="shared" si="8"/>
        <v>48</v>
      </c>
      <c r="N55" s="109">
        <f t="shared" si="9"/>
        <v>19</v>
      </c>
      <c r="O55" s="111">
        <f t="shared" si="10"/>
        <v>44</v>
      </c>
      <c r="P55" s="28"/>
      <c r="Q55" s="84">
        <f t="shared" si="14"/>
        <v>28</v>
      </c>
      <c r="R55" s="85" t="s">
        <v>113</v>
      </c>
      <c r="S55" s="86">
        <f>'Data By State'!L54</f>
        <v>26</v>
      </c>
      <c r="T55" s="41"/>
      <c r="U55" s="61">
        <f t="shared" si="2"/>
        <v>8</v>
      </c>
      <c r="V55" s="85" t="s">
        <v>113</v>
      </c>
      <c r="W55" s="91">
        <f>'Data By State'!N54</f>
        <v>0.17458556529112546</v>
      </c>
      <c r="X55" s="37"/>
      <c r="Y55" s="84">
        <f t="shared" si="3"/>
        <v>7</v>
      </c>
      <c r="Z55" s="85" t="s">
        <v>113</v>
      </c>
      <c r="AA55" s="60">
        <f>'Data By State'!O54</f>
        <v>0.33333333333333331</v>
      </c>
      <c r="AB55" s="33"/>
      <c r="AC55" s="84">
        <f t="shared" si="11"/>
        <v>48</v>
      </c>
      <c r="AD55" s="85" t="s">
        <v>113</v>
      </c>
      <c r="AE55" s="60">
        <f>'Data By State'!P54</f>
        <v>0.21224494974592775</v>
      </c>
      <c r="AF55" s="33"/>
      <c r="AG55" s="84">
        <f t="shared" si="4"/>
        <v>19</v>
      </c>
      <c r="AH55" s="85" t="s">
        <v>113</v>
      </c>
      <c r="AI55" s="60">
        <f>'Data By State'!Q54</f>
        <v>0.11298188927749578</v>
      </c>
      <c r="AJ55" s="33"/>
      <c r="AK55" s="84">
        <f t="shared" si="12"/>
        <v>44</v>
      </c>
      <c r="AL55" s="85" t="s">
        <v>113</v>
      </c>
      <c r="AM55" s="60">
        <f>'Data By State'!R54</f>
        <v>0.36256873413590418</v>
      </c>
    </row>
    <row r="56" spans="1:39">
      <c r="A56" s="97" t="s">
        <v>114</v>
      </c>
      <c r="B56" s="70">
        <f t="shared" si="13"/>
        <v>13.4</v>
      </c>
      <c r="C56" s="68">
        <f>'Data By State'!N55</f>
        <v>0.26091074039446299</v>
      </c>
      <c r="D56" s="68">
        <f>'Data By State'!O55</f>
        <v>0.625</v>
      </c>
      <c r="E56" s="68">
        <f>'Data By State'!P55</f>
        <v>0.31647945955693602</v>
      </c>
      <c r="F56" s="68">
        <f>'Data By State'!Q55</f>
        <v>7.4719578247100571E-2</v>
      </c>
      <c r="G56" s="119">
        <f>'Data By State'!R55</f>
        <v>0.53727988473999166</v>
      </c>
      <c r="H56" s="101"/>
      <c r="I56" s="97" t="s">
        <v>114</v>
      </c>
      <c r="J56" s="29">
        <f t="shared" si="5"/>
        <v>4</v>
      </c>
      <c r="K56" s="109">
        <f t="shared" si="6"/>
        <v>23</v>
      </c>
      <c r="L56" s="109">
        <f t="shared" si="7"/>
        <v>26</v>
      </c>
      <c r="M56" s="109">
        <f t="shared" si="8"/>
        <v>3</v>
      </c>
      <c r="N56" s="109">
        <f t="shared" si="9"/>
        <v>12</v>
      </c>
      <c r="O56" s="111">
        <f t="shared" si="10"/>
        <v>3</v>
      </c>
      <c r="P56" s="28"/>
      <c r="Q56" s="84">
        <f t="shared" si="14"/>
        <v>4</v>
      </c>
      <c r="R56" s="85" t="s">
        <v>114</v>
      </c>
      <c r="S56" s="86">
        <f>'Data By State'!L55</f>
        <v>13.4</v>
      </c>
      <c r="T56" s="41"/>
      <c r="U56" s="61">
        <f t="shared" si="2"/>
        <v>23</v>
      </c>
      <c r="V56" s="85" t="s">
        <v>114</v>
      </c>
      <c r="W56" s="91">
        <f>'Data By State'!N55</f>
        <v>0.26091074039446299</v>
      </c>
      <c r="X56" s="37"/>
      <c r="Y56" s="84">
        <f t="shared" si="3"/>
        <v>26</v>
      </c>
      <c r="Z56" s="85" t="s">
        <v>114</v>
      </c>
      <c r="AA56" s="60">
        <f>'Data By State'!O55</f>
        <v>0.625</v>
      </c>
      <c r="AB56" s="33"/>
      <c r="AC56" s="84">
        <f t="shared" si="11"/>
        <v>3</v>
      </c>
      <c r="AD56" s="85" t="s">
        <v>114</v>
      </c>
      <c r="AE56" s="60">
        <f>'Data By State'!P55</f>
        <v>0.31647945955693602</v>
      </c>
      <c r="AF56" s="33"/>
      <c r="AG56" s="84">
        <f t="shared" si="4"/>
        <v>12</v>
      </c>
      <c r="AH56" s="85" t="s">
        <v>114</v>
      </c>
      <c r="AI56" s="60">
        <f>'Data By State'!Q55</f>
        <v>7.4719578247100571E-2</v>
      </c>
      <c r="AJ56" s="33"/>
      <c r="AK56" s="84">
        <f t="shared" si="12"/>
        <v>3</v>
      </c>
      <c r="AL56" s="85" t="s">
        <v>114</v>
      </c>
      <c r="AM56" s="60">
        <f>'Data By State'!R55</f>
        <v>0.53727988473999166</v>
      </c>
    </row>
    <row r="57" spans="1:39" ht="16" thickBot="1">
      <c r="A57" s="97" t="s">
        <v>115</v>
      </c>
      <c r="B57" s="70">
        <f t="shared" si="13"/>
        <v>26</v>
      </c>
      <c r="C57" s="68">
        <f>'Data By State'!N56</f>
        <v>0.48409786449791187</v>
      </c>
      <c r="D57" s="68">
        <f>'Data By State'!O56</f>
        <v>1</v>
      </c>
      <c r="E57" s="68">
        <f>'Data By State'!P56</f>
        <v>0.32439924013393751</v>
      </c>
      <c r="F57" s="68">
        <f>'Data By State'!Q56</f>
        <v>0.27493947238787975</v>
      </c>
      <c r="G57" s="119">
        <f>'Data By State'!R56</f>
        <v>0.47016589423472566</v>
      </c>
      <c r="H57" s="101"/>
      <c r="I57" s="97" t="s">
        <v>115</v>
      </c>
      <c r="J57" s="29">
        <f t="shared" si="5"/>
        <v>28</v>
      </c>
      <c r="K57" s="109">
        <f t="shared" si="6"/>
        <v>47</v>
      </c>
      <c r="L57" s="109">
        <f t="shared" si="7"/>
        <v>44</v>
      </c>
      <c r="M57" s="109">
        <f t="shared" si="8"/>
        <v>2</v>
      </c>
      <c r="N57" s="109">
        <f t="shared" si="9"/>
        <v>35</v>
      </c>
      <c r="O57" s="111">
        <f t="shared" si="10"/>
        <v>15</v>
      </c>
      <c r="P57" s="28"/>
      <c r="Q57" s="84">
        <f t="shared" si="14"/>
        <v>28</v>
      </c>
      <c r="R57" s="85" t="s">
        <v>115</v>
      </c>
      <c r="S57" s="86">
        <f>'Data By State'!L56</f>
        <v>26</v>
      </c>
      <c r="T57" s="41"/>
      <c r="U57" s="61">
        <f t="shared" si="2"/>
        <v>47</v>
      </c>
      <c r="V57" s="92" t="s">
        <v>115</v>
      </c>
      <c r="W57" s="91">
        <f>'Data By State'!N56</f>
        <v>0.48409786449791187</v>
      </c>
      <c r="X57" s="37"/>
      <c r="Y57" s="84">
        <f t="shared" si="3"/>
        <v>44</v>
      </c>
      <c r="Z57" s="85" t="s">
        <v>115</v>
      </c>
      <c r="AA57" s="60">
        <f>'Data By State'!O56</f>
        <v>1</v>
      </c>
      <c r="AB57" s="33"/>
      <c r="AC57" s="84">
        <f t="shared" si="11"/>
        <v>2</v>
      </c>
      <c r="AD57" s="85" t="s">
        <v>115</v>
      </c>
      <c r="AE57" s="60">
        <f>'Data By State'!P56</f>
        <v>0.32439924013393751</v>
      </c>
      <c r="AF57" s="33"/>
      <c r="AG57" s="84">
        <f t="shared" si="4"/>
        <v>35</v>
      </c>
      <c r="AH57" s="85" t="s">
        <v>115</v>
      </c>
      <c r="AI57" s="60">
        <f>'Data By State'!Q56</f>
        <v>0.27493947238787975</v>
      </c>
      <c r="AJ57" s="33"/>
      <c r="AK57" s="84">
        <f t="shared" si="12"/>
        <v>15</v>
      </c>
      <c r="AL57" s="85" t="s">
        <v>115</v>
      </c>
      <c r="AM57" s="60">
        <f>'Data By State'!R56</f>
        <v>0.47016589423472566</v>
      </c>
    </row>
    <row r="58" spans="1:39" ht="16" thickBot="1">
      <c r="A58" s="57" t="s">
        <v>121</v>
      </c>
      <c r="B58" s="99" t="str">
        <f t="shared" si="13"/>
        <v>n/a</v>
      </c>
      <c r="C58" s="100">
        <f>'Data By State'!N57</f>
        <v>0.33004979823462394</v>
      </c>
      <c r="D58" s="100">
        <f>'Data By State'!O57</f>
        <v>0.64367816091954022</v>
      </c>
      <c r="E58" s="100">
        <f>'Data By State'!P57</f>
        <v>0.25658261346838757</v>
      </c>
      <c r="F58" s="100">
        <f>'Data By State'!Q57</f>
        <v>2.1982221148974773E-2</v>
      </c>
      <c r="G58" s="395">
        <f>'Data By State'!R57</f>
        <v>0.42834049191846479</v>
      </c>
      <c r="H58" s="103"/>
      <c r="I58" s="57" t="s">
        <v>121</v>
      </c>
      <c r="J58" s="112"/>
      <c r="K58" s="113"/>
      <c r="L58" s="113"/>
      <c r="M58" s="113"/>
      <c r="N58" s="113"/>
      <c r="O58" s="114"/>
      <c r="P58" s="115"/>
      <c r="Q58" s="87" t="s">
        <v>188</v>
      </c>
      <c r="R58" s="83" t="s">
        <v>199</v>
      </c>
      <c r="S58" s="44" t="s">
        <v>200</v>
      </c>
      <c r="T58" s="108"/>
      <c r="U58" s="105" t="s">
        <v>188</v>
      </c>
      <c r="V58" s="83" t="s">
        <v>199</v>
      </c>
      <c r="W58" s="90">
        <f>'Data By State'!N57</f>
        <v>0.33004979823462394</v>
      </c>
      <c r="X58" s="66"/>
      <c r="Y58" s="87" t="s">
        <v>188</v>
      </c>
      <c r="Z58" s="83" t="s">
        <v>199</v>
      </c>
      <c r="AA58" s="44">
        <f>'Data By State'!O57</f>
        <v>0.64367816091954022</v>
      </c>
      <c r="AB58" s="65"/>
      <c r="AC58" s="87" t="s">
        <v>188</v>
      </c>
      <c r="AD58" s="83" t="s">
        <v>199</v>
      </c>
      <c r="AE58" s="44">
        <f>'Data By State'!P57</f>
        <v>0.25658261346838757</v>
      </c>
      <c r="AF58" s="67"/>
      <c r="AG58" s="87" t="s">
        <v>188</v>
      </c>
      <c r="AH58" s="83" t="s">
        <v>199</v>
      </c>
      <c r="AI58" s="44">
        <v>2.2639920668159674E-2</v>
      </c>
      <c r="AJ58" s="65"/>
      <c r="AK58" s="87" t="s">
        <v>188</v>
      </c>
      <c r="AL58" s="83" t="s">
        <v>199</v>
      </c>
      <c r="AM58" s="44">
        <f>'Data By State'!R57</f>
        <v>0.42834049191846479</v>
      </c>
    </row>
    <row r="60" spans="1:39">
      <c r="A60" s="8"/>
    </row>
  </sheetData>
  <phoneticPr fontId="0" type="noConversion"/>
  <pageMargins left="0.75" right="0.75" top="1" bottom="0.5" header="0.5" footer="0.5"/>
  <pageSetup scale="61" fitToWidth="0" orientation="landscape"/>
  <headerFooter alignWithMargins="0">
    <oddHeader>&amp;L&amp;"Times New Roman,Regular"&amp;12&amp;D&amp;C&amp;"Times New Roman,Regular"&amp;12Dubious Democracy 2003 Summary&amp;R&amp;"Times New Roman,Regular"&amp;12&amp;P of &amp;N</oddHeader>
  </headerFooter>
  <colBreaks count="1" manualBreakCount="1">
    <brk id="16" min="7" max="57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81"/>
  <sheetViews>
    <sheetView topLeftCell="A49" workbookViewId="0">
      <selection activeCell="B64" sqref="B64"/>
    </sheetView>
  </sheetViews>
  <sheetFormatPr baseColWidth="10" defaultColWidth="8.83203125" defaultRowHeight="15" x14ac:dyDescent="0"/>
  <cols>
    <col min="1" max="1" width="22" style="7" customWidth="1"/>
    <col min="2" max="7" width="8.83203125" style="7"/>
    <col min="8" max="8" width="8.33203125" style="7" customWidth="1"/>
    <col min="9" max="9" width="17.1640625" style="7" customWidth="1"/>
    <col min="10" max="16384" width="8.83203125" style="7"/>
  </cols>
  <sheetData>
    <row r="1" spans="1:9">
      <c r="A1" s="8" t="s">
        <v>758</v>
      </c>
    </row>
    <row r="3" spans="1:9">
      <c r="A3" s="8" t="s">
        <v>229</v>
      </c>
    </row>
    <row r="4" spans="1:9">
      <c r="A4" s="7" t="s">
        <v>230</v>
      </c>
      <c r="E4" s="393" t="s">
        <v>315</v>
      </c>
      <c r="F4" s="197"/>
    </row>
    <row r="5" spans="1:9">
      <c r="A5" s="7" t="s">
        <v>238</v>
      </c>
      <c r="I5" s="15"/>
    </row>
    <row r="6" spans="1:9">
      <c r="H6" s="15"/>
    </row>
    <row r="7" spans="1:9">
      <c r="I7" s="15"/>
    </row>
    <row r="8" spans="1:9">
      <c r="I8" s="15"/>
    </row>
    <row r="9" spans="1:9">
      <c r="A9" s="8" t="s">
        <v>57</v>
      </c>
    </row>
    <row r="10" spans="1:9">
      <c r="A10" s="7" t="s">
        <v>232</v>
      </c>
      <c r="I10" s="7" t="s">
        <v>231</v>
      </c>
    </row>
    <row r="11" spans="1:9" ht="16" thickBot="1"/>
    <row r="12" spans="1:9" ht="16" thickTop="1">
      <c r="A12" s="8" t="s">
        <v>134</v>
      </c>
      <c r="H12" s="16" t="s">
        <v>59</v>
      </c>
      <c r="I12" s="17"/>
    </row>
    <row r="13" spans="1:9">
      <c r="A13" s="11">
        <v>1</v>
      </c>
      <c r="B13" s="7" t="s">
        <v>815</v>
      </c>
      <c r="H13" s="18" t="s">
        <v>60</v>
      </c>
      <c r="I13" s="19"/>
    </row>
    <row r="14" spans="1:9">
      <c r="A14" s="11">
        <v>2</v>
      </c>
      <c r="B14" s="7" t="s">
        <v>816</v>
      </c>
      <c r="H14" s="138">
        <v>0.4</v>
      </c>
      <c r="I14" s="35" t="s">
        <v>61</v>
      </c>
    </row>
    <row r="15" spans="1:9">
      <c r="A15" s="11">
        <v>3</v>
      </c>
      <c r="B15" s="7" t="s">
        <v>817</v>
      </c>
      <c r="H15" s="138">
        <v>0.2</v>
      </c>
      <c r="I15" s="35" t="s">
        <v>62</v>
      </c>
    </row>
    <row r="16" spans="1:9">
      <c r="H16" s="138">
        <v>0.1</v>
      </c>
      <c r="I16" s="35" t="s">
        <v>63</v>
      </c>
    </row>
    <row r="17" spans="1:14">
      <c r="A17" s="8" t="s">
        <v>135</v>
      </c>
      <c r="H17" s="138">
        <v>0.05</v>
      </c>
      <c r="I17" s="35" t="s">
        <v>64</v>
      </c>
    </row>
    <row r="18" spans="1:14" ht="16" thickBot="1">
      <c r="A18" s="11">
        <v>1</v>
      </c>
      <c r="B18" s="7" t="s">
        <v>818</v>
      </c>
      <c r="H18" s="20"/>
      <c r="I18" s="36" t="s">
        <v>65</v>
      </c>
    </row>
    <row r="19" spans="1:14" ht="16" thickTop="1">
      <c r="A19" s="11">
        <v>2</v>
      </c>
      <c r="B19" s="7" t="s">
        <v>819</v>
      </c>
      <c r="K19" s="27"/>
    </row>
    <row r="20" spans="1:14">
      <c r="K20" s="27"/>
    </row>
    <row r="21" spans="1:14">
      <c r="A21" s="7" t="s">
        <v>58</v>
      </c>
      <c r="K21" s="27"/>
    </row>
    <row r="22" spans="1:14">
      <c r="K22" s="27"/>
      <c r="L22" s="27"/>
      <c r="M22" s="27"/>
      <c r="N22" s="27"/>
    </row>
    <row r="23" spans="1:14">
      <c r="A23" s="8" t="s">
        <v>228</v>
      </c>
      <c r="K23" s="27"/>
      <c r="L23" s="27"/>
      <c r="M23" s="27"/>
      <c r="N23" s="27"/>
    </row>
    <row r="24" spans="1:14">
      <c r="K24" s="27"/>
      <c r="L24" s="27"/>
      <c r="M24" s="27"/>
      <c r="N24" s="27"/>
    </row>
    <row r="25" spans="1:14">
      <c r="A25" s="8" t="s">
        <v>150</v>
      </c>
      <c r="K25" s="27"/>
      <c r="N25" s="27"/>
    </row>
    <row r="26" spans="1:14">
      <c r="A26" s="8"/>
      <c r="K26" s="27"/>
      <c r="N26" s="27"/>
    </row>
    <row r="27" spans="1:14">
      <c r="A27" s="8" t="s">
        <v>151</v>
      </c>
      <c r="B27" s="8" t="s">
        <v>152</v>
      </c>
      <c r="K27" s="27"/>
      <c r="N27" s="27"/>
    </row>
    <row r="28" spans="1:14">
      <c r="A28" s="7" t="s">
        <v>830</v>
      </c>
      <c r="B28" s="7" t="s">
        <v>845</v>
      </c>
      <c r="K28" s="27"/>
      <c r="N28" s="27"/>
    </row>
    <row r="29" spans="1:14">
      <c r="A29" s="7" t="s">
        <v>831</v>
      </c>
      <c r="B29" s="7" t="s">
        <v>832</v>
      </c>
      <c r="K29" s="27"/>
      <c r="N29" s="27"/>
    </row>
    <row r="30" spans="1:14">
      <c r="A30" s="7" t="s">
        <v>157</v>
      </c>
      <c r="B30" s="7" t="s">
        <v>846</v>
      </c>
      <c r="K30" s="27"/>
      <c r="N30" s="27"/>
    </row>
    <row r="31" spans="1:14">
      <c r="A31" s="7" t="s">
        <v>820</v>
      </c>
      <c r="B31" s="7" t="s">
        <v>821</v>
      </c>
      <c r="K31" s="27"/>
      <c r="N31" s="27"/>
    </row>
    <row r="32" spans="1:14">
      <c r="A32" s="7" t="s">
        <v>217</v>
      </c>
      <c r="B32" s="7" t="s">
        <v>153</v>
      </c>
      <c r="N32" s="27"/>
    </row>
    <row r="33" spans="1:14">
      <c r="A33" s="7" t="s">
        <v>822</v>
      </c>
      <c r="B33" s="7" t="s">
        <v>177</v>
      </c>
      <c r="N33" s="27"/>
    </row>
    <row r="34" spans="1:14">
      <c r="A34" s="7" t="s">
        <v>823</v>
      </c>
      <c r="B34" s="7" t="s">
        <v>154</v>
      </c>
    </row>
    <row r="35" spans="1:14">
      <c r="A35" s="7" t="s">
        <v>824</v>
      </c>
      <c r="B35" s="7" t="s">
        <v>155</v>
      </c>
    </row>
    <row r="36" spans="1:14">
      <c r="A36" s="7" t="s">
        <v>825</v>
      </c>
      <c r="B36" s="7" t="s">
        <v>156</v>
      </c>
    </row>
    <row r="37" spans="1:14">
      <c r="A37" s="7" t="s">
        <v>826</v>
      </c>
      <c r="B37" s="7" t="s">
        <v>178</v>
      </c>
    </row>
    <row r="38" spans="1:14">
      <c r="A38" s="7" t="s">
        <v>827</v>
      </c>
      <c r="B38" s="7" t="s">
        <v>179</v>
      </c>
    </row>
    <row r="39" spans="1:14">
      <c r="A39" s="7" t="s">
        <v>828</v>
      </c>
      <c r="B39" s="7" t="s">
        <v>180</v>
      </c>
    </row>
    <row r="40" spans="1:14">
      <c r="A40" s="7" t="s">
        <v>829</v>
      </c>
      <c r="B40" s="7" t="s">
        <v>159</v>
      </c>
    </row>
    <row r="42" spans="1:14">
      <c r="A42" s="8" t="s">
        <v>135</v>
      </c>
    </row>
    <row r="44" spans="1:14">
      <c r="A44" s="8" t="s">
        <v>151</v>
      </c>
      <c r="B44" s="8" t="s">
        <v>152</v>
      </c>
    </row>
    <row r="45" spans="1:14">
      <c r="A45" s="7" t="s">
        <v>160</v>
      </c>
      <c r="B45" s="7" t="s">
        <v>242</v>
      </c>
    </row>
    <row r="46" spans="1:14">
      <c r="A46" s="7" t="s">
        <v>161</v>
      </c>
      <c r="B46" s="7" t="s">
        <v>237</v>
      </c>
    </row>
    <row r="47" spans="1:14">
      <c r="A47" s="7" t="s">
        <v>211</v>
      </c>
      <c r="B47" s="7" t="s">
        <v>243</v>
      </c>
    </row>
    <row r="48" spans="1:14">
      <c r="A48" s="7" t="s">
        <v>220</v>
      </c>
      <c r="B48" s="7" t="s">
        <v>235</v>
      </c>
    </row>
    <row r="49" spans="1:11">
      <c r="A49" s="7" t="s">
        <v>212</v>
      </c>
      <c r="B49" s="7" t="s">
        <v>213</v>
      </c>
    </row>
    <row r="50" spans="1:11">
      <c r="A50" s="7" t="s">
        <v>214</v>
      </c>
      <c r="B50" s="7" t="s">
        <v>215</v>
      </c>
    </row>
    <row r="51" spans="1:11">
      <c r="A51" s="7" t="s">
        <v>158</v>
      </c>
      <c r="B51" s="7" t="s">
        <v>297</v>
      </c>
      <c r="K51" s="8"/>
    </row>
    <row r="52" spans="1:11">
      <c r="A52" s="7" t="s">
        <v>210</v>
      </c>
      <c r="B52" s="7" t="s">
        <v>162</v>
      </c>
    </row>
    <row r="53" spans="1:11">
      <c r="A53" s="7" t="s">
        <v>216</v>
      </c>
      <c r="B53" s="7" t="s">
        <v>244</v>
      </c>
    </row>
    <row r="54" spans="1:11">
      <c r="A54" s="7" t="s">
        <v>217</v>
      </c>
      <c r="B54" s="7" t="s">
        <v>181</v>
      </c>
    </row>
    <row r="55" spans="1:11">
      <c r="A55" s="7" t="s">
        <v>163</v>
      </c>
      <c r="B55" s="7" t="s">
        <v>245</v>
      </c>
    </row>
    <row r="56" spans="1:11">
      <c r="A56" s="7" t="s">
        <v>164</v>
      </c>
      <c r="B56" s="7" t="s">
        <v>165</v>
      </c>
    </row>
    <row r="57" spans="1:11">
      <c r="A57" s="7" t="s">
        <v>218</v>
      </c>
      <c r="B57" s="7" t="s">
        <v>166</v>
      </c>
    </row>
    <row r="58" spans="1:11">
      <c r="A58" s="7" t="s">
        <v>219</v>
      </c>
      <c r="B58" s="7" t="s">
        <v>167</v>
      </c>
    </row>
    <row r="59" spans="1:11">
      <c r="A59" s="7" t="s">
        <v>221</v>
      </c>
      <c r="B59" s="7" t="s">
        <v>853</v>
      </c>
    </row>
    <row r="60" spans="1:11">
      <c r="A60" s="7" t="s">
        <v>851</v>
      </c>
      <c r="B60" s="7" t="s">
        <v>852</v>
      </c>
    </row>
    <row r="61" spans="1:11">
      <c r="A61" s="7" t="s">
        <v>222</v>
      </c>
      <c r="B61" s="7" t="s">
        <v>850</v>
      </c>
    </row>
    <row r="62" spans="1:11">
      <c r="A62" s="7" t="s">
        <v>848</v>
      </c>
      <c r="B62" s="7" t="s">
        <v>849</v>
      </c>
    </row>
    <row r="63" spans="1:11">
      <c r="A63" s="7" t="s">
        <v>844</v>
      </c>
      <c r="B63" s="7" t="s">
        <v>847</v>
      </c>
    </row>
    <row r="64" spans="1:11">
      <c r="A64" s="7" t="s">
        <v>833</v>
      </c>
      <c r="B64" s="7" t="s">
        <v>855</v>
      </c>
    </row>
    <row r="65" spans="1:2">
      <c r="A65" s="7" t="s">
        <v>834</v>
      </c>
      <c r="B65" s="7" t="s">
        <v>168</v>
      </c>
    </row>
    <row r="66" spans="1:2">
      <c r="A66" s="7" t="s">
        <v>3</v>
      </c>
      <c r="B66" s="7" t="s">
        <v>169</v>
      </c>
    </row>
    <row r="67" spans="1:2">
      <c r="A67" s="7" t="s">
        <v>835</v>
      </c>
      <c r="B67" s="7" t="s">
        <v>182</v>
      </c>
    </row>
    <row r="68" spans="1:2">
      <c r="A68" s="7" t="s">
        <v>836</v>
      </c>
      <c r="B68" s="7" t="s">
        <v>183</v>
      </c>
    </row>
    <row r="69" spans="1:2">
      <c r="A69" s="7" t="s">
        <v>227</v>
      </c>
      <c r="B69" s="7" t="s">
        <v>170</v>
      </c>
    </row>
    <row r="70" spans="1:2">
      <c r="A70" s="7" t="s">
        <v>837</v>
      </c>
      <c r="B70" s="7" t="s">
        <v>184</v>
      </c>
    </row>
    <row r="71" spans="1:2">
      <c r="A71" s="7" t="s">
        <v>838</v>
      </c>
      <c r="B71" s="7" t="s">
        <v>224</v>
      </c>
    </row>
    <row r="72" spans="1:2">
      <c r="B72" s="7" t="s">
        <v>171</v>
      </c>
    </row>
    <row r="73" spans="1:2">
      <c r="B73" s="7" t="s">
        <v>172</v>
      </c>
    </row>
    <row r="74" spans="1:2">
      <c r="B74" s="7" t="s">
        <v>854</v>
      </c>
    </row>
    <row r="75" spans="1:2">
      <c r="B75" s="7" t="s">
        <v>173</v>
      </c>
    </row>
    <row r="76" spans="1:2">
      <c r="A76" s="7" t="s">
        <v>839</v>
      </c>
      <c r="B76" s="7" t="s">
        <v>223</v>
      </c>
    </row>
    <row r="77" spans="1:2">
      <c r="A77" s="7" t="s">
        <v>840</v>
      </c>
      <c r="B77" s="7" t="s">
        <v>174</v>
      </c>
    </row>
    <row r="78" spans="1:2">
      <c r="B78" s="7" t="s">
        <v>175</v>
      </c>
    </row>
    <row r="79" spans="1:2">
      <c r="A79" s="7" t="s">
        <v>841</v>
      </c>
      <c r="B79" s="7" t="s">
        <v>225</v>
      </c>
    </row>
    <row r="80" spans="1:2">
      <c r="A80" s="7" t="s">
        <v>842</v>
      </c>
      <c r="B80" s="7" t="s">
        <v>226</v>
      </c>
    </row>
    <row r="81" spans="1:2">
      <c r="A81" s="7" t="s">
        <v>843</v>
      </c>
      <c r="B81" s="7" t="s">
        <v>176</v>
      </c>
    </row>
  </sheetData>
  <phoneticPr fontId="0" type="noConversion"/>
  <hyperlinks>
    <hyperlink ref="E4" r:id="rId1"/>
  </hyperlinks>
  <pageMargins left="0.75" right="0.5" top="1" bottom="1" header="0.5" footer="0.5"/>
  <pageSetup scale="64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10" workbookViewId="0">
      <selection activeCell="B40" sqref="B40"/>
    </sheetView>
  </sheetViews>
  <sheetFormatPr baseColWidth="10" defaultColWidth="8.83203125" defaultRowHeight="12" x14ac:dyDescent="0"/>
  <cols>
    <col min="1" max="1" width="20.6640625" customWidth="1"/>
    <col min="2" max="2" width="13.6640625" customWidth="1"/>
    <col min="3" max="3" width="5" customWidth="1"/>
    <col min="4" max="4" width="4.83203125" customWidth="1"/>
    <col min="5" max="5" width="15.5" bestFit="1" customWidth="1"/>
    <col min="6" max="6" width="5.5" customWidth="1"/>
  </cols>
  <sheetData>
    <row r="1" spans="1:8">
      <c r="A1" s="328" t="s">
        <v>254</v>
      </c>
      <c r="B1" s="308">
        <f>SUM('Data By State'!C7:'Data By State'!C56)</f>
        <v>88966820</v>
      </c>
      <c r="C1" s="293"/>
      <c r="D1" s="289"/>
      <c r="E1" s="295"/>
    </row>
    <row r="2" spans="1:8">
      <c r="A2" s="349" t="s">
        <v>185</v>
      </c>
      <c r="B2" s="339"/>
      <c r="C2" s="282"/>
      <c r="D2" s="282"/>
      <c r="E2" s="295"/>
    </row>
    <row r="3" spans="1:8">
      <c r="A3" s="350" t="s">
        <v>255</v>
      </c>
      <c r="B3" s="353">
        <f>SUM('Data By State'!D7:'Data By State'!D56)</f>
        <v>212821170</v>
      </c>
      <c r="C3" s="290"/>
      <c r="D3" s="290"/>
      <c r="E3" s="290"/>
      <c r="F3" s="290"/>
      <c r="G3" s="290"/>
      <c r="H3" s="288"/>
    </row>
    <row r="4" spans="1:8">
      <c r="A4" s="350" t="s">
        <v>314</v>
      </c>
      <c r="B4" s="309">
        <f>'Data By District'!V442</f>
        <v>0.33004979823462394</v>
      </c>
    </row>
    <row r="5" spans="1:8">
      <c r="A5" s="350" t="s">
        <v>190</v>
      </c>
      <c r="B5" s="309">
        <f>'Data By State'!P57</f>
        <v>0.25658261346838757</v>
      </c>
    </row>
    <row r="6" spans="1:8">
      <c r="A6" s="350" t="s">
        <v>62</v>
      </c>
      <c r="B6" s="309">
        <f>'Data By State'!O57</f>
        <v>0.64367816091954022</v>
      </c>
    </row>
    <row r="7" spans="1:8">
      <c r="A7" s="351" t="s">
        <v>281</v>
      </c>
      <c r="B7" s="309">
        <f>'Data By State'!Q57</f>
        <v>2.1982221148974773E-2</v>
      </c>
    </row>
    <row r="8" spans="1:8">
      <c r="A8" s="350" t="s">
        <v>282</v>
      </c>
      <c r="B8" s="354">
        <f>'Data By State'!R57</f>
        <v>0.42834049191846479</v>
      </c>
    </row>
    <row r="9" spans="1:8">
      <c r="A9" s="350" t="s">
        <v>280</v>
      </c>
      <c r="B9" s="355">
        <f>SUM('Data By State'!S7:'Data By State'!S56)</f>
        <v>435</v>
      </c>
    </row>
    <row r="10" spans="1:8">
      <c r="A10" s="352" t="s">
        <v>275</v>
      </c>
      <c r="B10" s="355">
        <f>SUM('Data By State'!T7:'Data By State'!T56)</f>
        <v>36</v>
      </c>
    </row>
    <row r="11" spans="1:8">
      <c r="A11" s="352" t="s">
        <v>276</v>
      </c>
      <c r="B11" s="355">
        <f>SUM('Data By State'!U7:'Data By State'!U56)</f>
        <v>45</v>
      </c>
    </row>
    <row r="12" spans="1:8">
      <c r="A12" s="352" t="s">
        <v>308</v>
      </c>
      <c r="B12" s="355">
        <f>SUM('Data By State'!V7:'Data By State'!V56)</f>
        <v>74</v>
      </c>
    </row>
    <row r="13" spans="1:8">
      <c r="A13" s="352" t="s">
        <v>277</v>
      </c>
      <c r="B13" s="355">
        <f>SUM('Data By State'!W7:'Data By State'!W56)</f>
        <v>150</v>
      </c>
    </row>
    <row r="14" spans="1:8">
      <c r="A14" s="352" t="s">
        <v>278</v>
      </c>
      <c r="B14" s="355">
        <f>SUM('Data By State'!X7:'Data By State'!X56)</f>
        <v>103</v>
      </c>
    </row>
    <row r="15" spans="1:8">
      <c r="A15" s="352" t="s">
        <v>279</v>
      </c>
      <c r="B15" s="355">
        <f>SUM('Data By State'!Y7:'Data By State'!Y56)</f>
        <v>27</v>
      </c>
    </row>
    <row r="16" spans="1:8">
      <c r="A16" s="352" t="s">
        <v>257</v>
      </c>
      <c r="B16" s="309">
        <f>'Data By State'!Y57/'Data By State'!S57</f>
        <v>6.2068965517241378E-2</v>
      </c>
    </row>
    <row r="17" spans="1:27">
      <c r="A17" s="350" t="s">
        <v>283</v>
      </c>
      <c r="B17" s="309">
        <f>('Data By State'!C57-'Data By State'!AR57)/'Data By State'!C57</f>
        <v>2.2013813689193341E-2</v>
      </c>
    </row>
    <row r="18" spans="1:27" ht="13" thickBot="1">
      <c r="A18" s="351" t="s">
        <v>284</v>
      </c>
      <c r="B18" s="309">
        <f>'Data By State'!BH57/'Data By State'!AR57</f>
        <v>0.62759758345411587</v>
      </c>
    </row>
    <row r="19" spans="1:27">
      <c r="A19" s="356" t="s">
        <v>285</v>
      </c>
      <c r="B19" s="292">
        <f>SUM('Data By State'!AR7:'Data By State'!AR56)</f>
        <v>87008321</v>
      </c>
    </row>
    <row r="20" spans="1:27">
      <c r="A20" s="345" t="s">
        <v>291</v>
      </c>
      <c r="B20" s="292">
        <f>SUM('Data By State'!AS7:'Data By State'!AS56)</f>
        <v>38961402</v>
      </c>
    </row>
    <row r="21" spans="1:27">
      <c r="A21" s="345" t="s">
        <v>292</v>
      </c>
      <c r="B21" s="357">
        <f>SUM('Data By State'!AT7:'Data By State'!AT56)</f>
        <v>44937067</v>
      </c>
    </row>
    <row r="22" spans="1:27">
      <c r="A22" s="345" t="s">
        <v>286</v>
      </c>
      <c r="B22" s="292">
        <f>SUM('Data By State'!AU7:'Data By State'!AU56)</f>
        <v>3109852</v>
      </c>
    </row>
    <row r="23" spans="1:27">
      <c r="A23" s="345" t="s">
        <v>287</v>
      </c>
      <c r="B23" s="306">
        <f>('Data By State'!AS57)/('Data By State'!AR57)</f>
        <v>0.44778937867333402</v>
      </c>
    </row>
    <row r="24" spans="1:27">
      <c r="A24" s="345" t="s">
        <v>288</v>
      </c>
      <c r="B24" s="306">
        <f>('Data By State'!AT57)/('Data By State'!AR57)</f>
        <v>0.51646861453630399</v>
      </c>
    </row>
    <row r="25" spans="1:27" ht="13" thickBot="1">
      <c r="A25" s="346" t="s">
        <v>289</v>
      </c>
      <c r="B25" s="306">
        <f>('Data By State'!AU57)/('Data By State'!AR57)</f>
        <v>3.5742006790362039E-2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</row>
    <row r="26" spans="1:27">
      <c r="A26" s="328" t="s">
        <v>290</v>
      </c>
      <c r="B26" s="307">
        <f>SUM(B27:B29)</f>
        <v>435</v>
      </c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</row>
    <row r="27" spans="1:27">
      <c r="A27" s="347" t="s">
        <v>291</v>
      </c>
      <c r="B27" s="358">
        <f>SUM('Data By State'!AY7:'Data By State'!AY56)</f>
        <v>193</v>
      </c>
    </row>
    <row r="28" spans="1:27">
      <c r="A28" s="347" t="s">
        <v>292</v>
      </c>
      <c r="B28" s="358">
        <f>SUM('Data By State'!AZ7:'Data By State'!AZ56)</f>
        <v>242</v>
      </c>
      <c r="F28" s="394"/>
    </row>
    <row r="29" spans="1:27">
      <c r="A29" s="347" t="s">
        <v>293</v>
      </c>
      <c r="B29" s="358">
        <f>SUM('Data By State'!BA7:'Data By State'!BA56)</f>
        <v>0</v>
      </c>
    </row>
    <row r="30" spans="1:27">
      <c r="A30" s="347" t="s">
        <v>287</v>
      </c>
      <c r="B30" s="309">
        <f>('Data By State'!AY57)/('Data By State'!$S57)</f>
        <v>0.44367816091954021</v>
      </c>
    </row>
    <row r="31" spans="1:27">
      <c r="A31" s="347" t="s">
        <v>288</v>
      </c>
      <c r="B31" s="309">
        <f>('Data By State'!AZ57)/('Data By State'!$S57)</f>
        <v>0.55632183908045973</v>
      </c>
    </row>
    <row r="32" spans="1:27" ht="13" thickBot="1">
      <c r="A32" s="348" t="s">
        <v>289</v>
      </c>
      <c r="B32" s="309">
        <f>('Data By State'!BA57)/('Data By State'!$S57)</f>
        <v>0</v>
      </c>
    </row>
    <row r="33" spans="1:2">
      <c r="A33" s="347" t="s">
        <v>296</v>
      </c>
      <c r="B33" s="359">
        <f>ABS(('Data By State'!AS57/'Data By State'!$AR57)-('Data By State'!AY57/'Data By State'!$S57))</f>
        <v>4.1112177537938055E-3</v>
      </c>
    </row>
    <row r="34" spans="1:2">
      <c r="A34" s="347" t="s">
        <v>295</v>
      </c>
      <c r="B34" s="359">
        <f>ABS(('Data By State'!AT57/'Data By State'!$AR57)-('Data By State'!AZ57/'Data By State'!$S57))</f>
        <v>3.9853224544155741E-2</v>
      </c>
    </row>
    <row r="35" spans="1:2" ht="13" thickBot="1">
      <c r="A35" s="347" t="s">
        <v>294</v>
      </c>
      <c r="B35" s="359">
        <f>ABS(('Data By State'!AU57/'Data By State'!$AR57)-('Data By State'!BA57/'Data By State'!$S57))</f>
        <v>3.5742006790362039E-2</v>
      </c>
    </row>
    <row r="36" spans="1:2">
      <c r="A36" s="328" t="s">
        <v>256</v>
      </c>
      <c r="B36" s="360">
        <f>('Data By State'!BI57)/('Data By State'!AR57)</f>
        <v>0.37240241654588419</v>
      </c>
    </row>
    <row r="37" spans="1:2">
      <c r="A37" s="347" t="s">
        <v>118</v>
      </c>
      <c r="B37" s="309">
        <f>'Data By State'!BJ57/'Data By State'!AS57</f>
        <v>0.42945772331293419</v>
      </c>
    </row>
    <row r="38" spans="1:2">
      <c r="A38" s="347" t="s">
        <v>119</v>
      </c>
      <c r="B38" s="309">
        <f>'Data By State'!BK57/'Data By State'!AT57</f>
        <v>0.27960914761081312</v>
      </c>
    </row>
    <row r="39" spans="1:2" ht="13" thickBot="1">
      <c r="A39" s="348" t="s">
        <v>120</v>
      </c>
      <c r="B39" s="309">
        <f>'Data By State'!BL57/'Data By State'!AU57</f>
        <v>0.99844590675054634</v>
      </c>
    </row>
    <row r="40" spans="1:2">
      <c r="B40" s="295"/>
    </row>
    <row r="41" spans="1:2">
      <c r="B41" s="295"/>
    </row>
    <row r="42" spans="1:2">
      <c r="B42" s="295"/>
    </row>
    <row r="43" spans="1:2">
      <c r="B43" s="295"/>
    </row>
    <row r="44" spans="1:2">
      <c r="B44" s="295"/>
    </row>
    <row r="45" spans="1:2">
      <c r="B45" s="295"/>
    </row>
    <row r="46" spans="1:2">
      <c r="B46" s="295"/>
    </row>
    <row r="47" spans="1:2">
      <c r="B47" s="295"/>
    </row>
    <row r="48" spans="1:2">
      <c r="B48" s="295"/>
    </row>
    <row r="49" spans="2:2">
      <c r="B49" s="295"/>
    </row>
    <row r="50" spans="2:2">
      <c r="B50" s="295"/>
    </row>
    <row r="51" spans="2:2">
      <c r="B51" s="295"/>
    </row>
    <row r="52" spans="2:2">
      <c r="B52" s="295"/>
    </row>
    <row r="53" spans="2:2">
      <c r="B53" s="295"/>
    </row>
    <row r="54" spans="2:2">
      <c r="B54" s="295"/>
    </row>
    <row r="55" spans="2:2">
      <c r="B55" s="295"/>
    </row>
    <row r="56" spans="2:2">
      <c r="B56" s="295"/>
    </row>
    <row r="57" spans="2:2">
      <c r="B57" s="295"/>
    </row>
    <row r="58" spans="2:2">
      <c r="B58" s="295"/>
    </row>
    <row r="59" spans="2:2">
      <c r="B59" s="295"/>
    </row>
    <row r="60" spans="2:2">
      <c r="B60" s="295"/>
    </row>
    <row r="61" spans="2:2">
      <c r="B61" s="295"/>
    </row>
    <row r="62" spans="2:2">
      <c r="B62" s="295"/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6" sqref="A16"/>
    </sheetView>
  </sheetViews>
  <sheetFormatPr baseColWidth="10" defaultColWidth="8.83203125" defaultRowHeight="12" x14ac:dyDescent="0"/>
  <cols>
    <col min="1" max="1" width="24.6640625" customWidth="1"/>
    <col min="2" max="2" width="15.6640625" customWidth="1"/>
    <col min="3" max="3" width="17.6640625" customWidth="1"/>
    <col min="4" max="4" width="18" customWidth="1"/>
    <col min="5" max="5" width="12" customWidth="1"/>
    <col min="6" max="6" width="12.6640625" customWidth="1"/>
  </cols>
  <sheetData>
    <row r="1" spans="1:8" ht="13" thickBot="1">
      <c r="A1" s="315"/>
      <c r="B1" s="325" t="s">
        <v>262</v>
      </c>
      <c r="C1" s="326" t="s">
        <v>261</v>
      </c>
      <c r="D1" s="326" t="s">
        <v>260</v>
      </c>
      <c r="E1" s="326" t="s">
        <v>259</v>
      </c>
      <c r="F1" s="316" t="s">
        <v>267</v>
      </c>
    </row>
    <row r="2" spans="1:8">
      <c r="A2" s="317" t="s">
        <v>263</v>
      </c>
      <c r="B2" s="284">
        <f>SUM('Data By State'!AY7:'Data By State'!AY56)</f>
        <v>193</v>
      </c>
      <c r="C2" s="322">
        <f>B2/B5</f>
        <v>0.44367816091954021</v>
      </c>
      <c r="D2" s="285">
        <f>SUM('Data By State'!AS7:'Data By State'!AS56)</f>
        <v>38961402</v>
      </c>
      <c r="E2" s="322">
        <f>D2/D5</f>
        <v>0.44778937867333402</v>
      </c>
      <c r="F2" s="323">
        <f>D2/B2</f>
        <v>201872.54922279794</v>
      </c>
    </row>
    <row r="3" spans="1:8">
      <c r="A3" s="318" t="s">
        <v>264</v>
      </c>
      <c r="B3" s="291">
        <f>SUM('Data By State'!AZ7:'Data By State'!AZ56)</f>
        <v>242</v>
      </c>
      <c r="C3" s="321">
        <f>B3/B5</f>
        <v>0.55632183908045973</v>
      </c>
      <c r="D3" s="292">
        <f>SUM('Data By State'!AT7:'Data By State'!AT56)</f>
        <v>44937067</v>
      </c>
      <c r="E3" s="321">
        <f>D3/D5</f>
        <v>0.51646861453630399</v>
      </c>
      <c r="F3" s="313">
        <f>D3/B3</f>
        <v>185690.35950413224</v>
      </c>
    </row>
    <row r="4" spans="1:8">
      <c r="A4" s="319" t="s">
        <v>274</v>
      </c>
      <c r="B4" s="291">
        <f>SUM('Data By State'!BA7:'Data By State'!BA56)</f>
        <v>0</v>
      </c>
      <c r="C4" s="321">
        <v>0</v>
      </c>
      <c r="D4" s="292">
        <f>SUM('Data By State'!AU7:'Data By State'!AU56)</f>
        <v>3109852</v>
      </c>
      <c r="E4" s="321">
        <f>D4/D5</f>
        <v>3.5742006790362039E-2</v>
      </c>
      <c r="F4" s="330" t="s">
        <v>270</v>
      </c>
    </row>
    <row r="5" spans="1:8" ht="13" thickBot="1">
      <c r="A5" s="320" t="s">
        <v>121</v>
      </c>
      <c r="B5" s="283">
        <f>SUM(B2:B4)</f>
        <v>435</v>
      </c>
      <c r="C5" s="283"/>
      <c r="D5" s="286">
        <f>SUM(D2:D4)</f>
        <v>87008321</v>
      </c>
      <c r="E5" s="283"/>
      <c r="F5" s="287"/>
    </row>
    <row r="6" spans="1:8">
      <c r="A6" s="311"/>
      <c r="B6" s="282"/>
      <c r="C6" s="282"/>
      <c r="D6" s="292"/>
      <c r="E6" s="282"/>
      <c r="F6" s="282"/>
    </row>
    <row r="7" spans="1:8" ht="13" thickBot="1">
      <c r="A7" s="311"/>
      <c r="B7" s="282"/>
      <c r="C7" s="282"/>
      <c r="D7" s="282"/>
      <c r="E7" s="282"/>
      <c r="F7" s="282"/>
    </row>
    <row r="8" spans="1:8">
      <c r="A8" s="328" t="s">
        <v>265</v>
      </c>
      <c r="B8" s="337" t="s">
        <v>248</v>
      </c>
      <c r="C8" s="281"/>
      <c r="D8" s="281"/>
      <c r="E8" s="281"/>
      <c r="F8" s="324"/>
    </row>
    <row r="9" spans="1:8" ht="13" thickBot="1">
      <c r="A9" s="329" t="s">
        <v>266</v>
      </c>
      <c r="B9" s="338" t="s">
        <v>248</v>
      </c>
      <c r="C9" s="283"/>
      <c r="D9" s="283"/>
      <c r="E9" s="283"/>
      <c r="F9" s="287"/>
    </row>
    <row r="10" spans="1:8">
      <c r="A10" s="282"/>
      <c r="B10" s="282"/>
      <c r="C10" s="282"/>
      <c r="D10" s="282"/>
      <c r="E10" s="282"/>
      <c r="F10" s="282"/>
    </row>
    <row r="11" spans="1:8" ht="13" thickBot="1">
      <c r="A11" s="311"/>
      <c r="B11" s="282"/>
      <c r="C11" s="282"/>
      <c r="D11" s="282"/>
      <c r="E11" s="282"/>
      <c r="F11" s="282"/>
      <c r="G11" s="288"/>
      <c r="H11" s="288"/>
    </row>
    <row r="12" spans="1:8">
      <c r="A12" s="332" t="s">
        <v>258</v>
      </c>
      <c r="B12" s="281"/>
      <c r="C12" s="327"/>
      <c r="D12" s="281"/>
      <c r="E12" s="281"/>
      <c r="F12" s="324"/>
      <c r="G12" s="288"/>
      <c r="H12" s="288"/>
    </row>
    <row r="13" spans="1:8">
      <c r="A13" s="333" t="s">
        <v>272</v>
      </c>
      <c r="B13" s="282" t="s">
        <v>268</v>
      </c>
      <c r="C13" s="282">
        <f>E2*B5</f>
        <v>194.78837972290029</v>
      </c>
      <c r="D13" s="339" t="s">
        <v>249</v>
      </c>
      <c r="E13" s="335">
        <f>ROUND(C13,0)</f>
        <v>195</v>
      </c>
      <c r="F13" s="341" t="s">
        <v>273</v>
      </c>
      <c r="G13" s="282"/>
      <c r="H13" s="288"/>
    </row>
    <row r="14" spans="1:8">
      <c r="A14" s="333"/>
      <c r="B14" s="282" t="s">
        <v>269</v>
      </c>
      <c r="C14" s="282">
        <f>E3*B5</f>
        <v>224.66384732329223</v>
      </c>
      <c r="D14" s="282"/>
      <c r="E14" s="314">
        <f>ROUND(C14,0)</f>
        <v>225</v>
      </c>
      <c r="F14" s="342" t="s">
        <v>273</v>
      </c>
      <c r="G14" s="282"/>
      <c r="H14" s="288"/>
    </row>
    <row r="15" spans="1:8" ht="13" thickBot="1">
      <c r="A15" s="334"/>
      <c r="B15" s="331" t="s">
        <v>271</v>
      </c>
      <c r="C15" s="331">
        <f>E4*B5</f>
        <v>15.547772953807486</v>
      </c>
      <c r="D15" s="331"/>
      <c r="E15" s="336">
        <f>ROUND(C15,0)</f>
        <v>16</v>
      </c>
      <c r="F15" s="343" t="s">
        <v>273</v>
      </c>
    </row>
    <row r="16" spans="1:8" ht="13" thickBot="1">
      <c r="A16" s="340"/>
      <c r="B16" s="288"/>
      <c r="C16" s="288"/>
      <c r="D16" s="386" t="s">
        <v>309</v>
      </c>
      <c r="E16" s="387">
        <f>SUM(E13:E15)</f>
        <v>436</v>
      </c>
      <c r="F16" s="288"/>
      <c r="G16" s="288"/>
    </row>
    <row r="17" spans="1:7">
      <c r="A17" s="294"/>
      <c r="B17" s="288"/>
      <c r="C17" s="288"/>
      <c r="D17" s="288"/>
      <c r="E17" s="310"/>
      <c r="F17" s="288"/>
      <c r="G17" s="288"/>
    </row>
    <row r="18" spans="1:7">
      <c r="A18" s="294"/>
      <c r="B18" s="314"/>
      <c r="C18" s="314"/>
      <c r="D18" s="314"/>
      <c r="E18" s="314"/>
      <c r="F18" s="294"/>
    </row>
    <row r="19" spans="1:7">
      <c r="A19" s="344"/>
      <c r="B19" s="305"/>
      <c r="C19" s="305"/>
      <c r="D19" s="305"/>
      <c r="E19" s="294"/>
      <c r="F19" s="294"/>
    </row>
    <row r="20" spans="1:7">
      <c r="A20" s="311"/>
      <c r="B20" s="294"/>
      <c r="C20" s="294"/>
      <c r="D20" s="294"/>
      <c r="E20" s="294"/>
      <c r="F20" s="294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N31"/>
  <sheetViews>
    <sheetView workbookViewId="0">
      <selection activeCell="L28" sqref="L28"/>
    </sheetView>
  </sheetViews>
  <sheetFormatPr baseColWidth="10" defaultColWidth="8.83203125" defaultRowHeight="12" x14ac:dyDescent="0"/>
  <cols>
    <col min="13" max="13" width="14.83203125" customWidth="1"/>
  </cols>
  <sheetData>
    <row r="4" spans="13:14">
      <c r="M4" t="s">
        <v>806</v>
      </c>
      <c r="N4" s="394">
        <f>SUM('National Averages'!B10:B12)</f>
        <v>155</v>
      </c>
    </row>
    <row r="5" spans="13:14">
      <c r="M5" t="s">
        <v>807</v>
      </c>
      <c r="N5" s="394">
        <f>SUM('National Averages'!B13:B15)</f>
        <v>280</v>
      </c>
    </row>
    <row r="30" spans="13:14">
      <c r="M30" t="s">
        <v>806</v>
      </c>
      <c r="N30" s="394">
        <f>SUM('Data By State'!T56:V56)</f>
        <v>0</v>
      </c>
    </row>
    <row r="31" spans="13:14">
      <c r="M31" t="s">
        <v>807</v>
      </c>
      <c r="N31" s="394">
        <f>SUM('Data By State'!W56:Y56)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By District</vt:lpstr>
      <vt:lpstr>Data By State</vt:lpstr>
      <vt:lpstr>State rankings</vt:lpstr>
      <vt:lpstr>Instructions</vt:lpstr>
      <vt:lpstr>National Averages</vt:lpstr>
      <vt:lpstr>Seats to Votes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Grossmann</dc:creator>
  <cp:lastModifiedBy>David Cheng</cp:lastModifiedBy>
  <cp:lastPrinted>2006-11-10T20:17:13Z</cp:lastPrinted>
  <dcterms:created xsi:type="dcterms:W3CDTF">2001-07-08T18:26:34Z</dcterms:created>
  <dcterms:modified xsi:type="dcterms:W3CDTF">2013-07-11T03:34:59Z</dcterms:modified>
</cp:coreProperties>
</file>