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800" yWindow="280" windowWidth="23280" windowHeight="12680" tabRatio="850"/>
  </bookViews>
  <sheets>
    <sheet name="Data By District" sheetId="3" r:id="rId1"/>
    <sheet name="Data By State" sheetId="515" r:id="rId2"/>
    <sheet name="State rankings" sheetId="39124" r:id="rId3"/>
    <sheet name="Instructions" sheetId="1" r:id="rId4"/>
    <sheet name="National Averages" sheetId="39125" r:id="rId5"/>
    <sheet name="Seats to Votes" sheetId="868" r:id="rId6"/>
    <sheet name="Charts" sheetId="39126" r:id="rId7"/>
  </sheets>
  <definedNames>
    <definedName name="_xlnm._FilterDatabase" localSheetId="0" hidden="1">'Data By District'!$A$6:$AE$442</definedName>
    <definedName name="_xlnm._FilterDatabase" localSheetId="2" hidden="1">'State rankings'!$AG$7:$AI$57</definedName>
    <definedName name="_xlnm.Print_Area" localSheetId="0">'Data By District'!$O$7:$AC$449</definedName>
    <definedName name="_xlnm.Print_Area" localSheetId="1">'Data By State'!$A$7:$BQ$57</definedName>
    <definedName name="_xlnm.Print_Area" localSheetId="3">Instructions!$A$30:$Q$76</definedName>
    <definedName name="_xlnm.Print_Area" localSheetId="2">'State rankings'!$A$8:$AM$58</definedName>
    <definedName name="_xlnm.Print_Titles" localSheetId="0">'Data By District'!$A:$N,'Data By District'!$5:$6</definedName>
    <definedName name="_xlnm.Print_Titles" localSheetId="1">'Data By State'!$A:$B,'Data By State'!$5:$6</definedName>
    <definedName name="_xlnm.Print_Titles" localSheetId="2">'State rankings'!$6:$7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8" i="515" l="1"/>
  <c r="AO9" i="515"/>
  <c r="AO10" i="515"/>
  <c r="AO11" i="515"/>
  <c r="AO12" i="515"/>
  <c r="AO13" i="515"/>
  <c r="AO14" i="515"/>
  <c r="AO15" i="515"/>
  <c r="AO16" i="515"/>
  <c r="AO17" i="515"/>
  <c r="AO18" i="515"/>
  <c r="AO19" i="515"/>
  <c r="AO20" i="515"/>
  <c r="AO21" i="515"/>
  <c r="AO22" i="515"/>
  <c r="AO23" i="515"/>
  <c r="AO24" i="515"/>
  <c r="AO25" i="515"/>
  <c r="AO26" i="515"/>
  <c r="AO27" i="515"/>
  <c r="AO28" i="515"/>
  <c r="AO29" i="515"/>
  <c r="AO30" i="515"/>
  <c r="AO31" i="515"/>
  <c r="AO32" i="515"/>
  <c r="AO33" i="515"/>
  <c r="AO34" i="515"/>
  <c r="AO35" i="515"/>
  <c r="AO36" i="515"/>
  <c r="AO37" i="515"/>
  <c r="AO38" i="515"/>
  <c r="AO39" i="515"/>
  <c r="AO40" i="515"/>
  <c r="AO41" i="515"/>
  <c r="AO42" i="515"/>
  <c r="AO43" i="515"/>
  <c r="AO44" i="515"/>
  <c r="AO45" i="515"/>
  <c r="AO46" i="515"/>
  <c r="AO47" i="515"/>
  <c r="AO48" i="515"/>
  <c r="AO49" i="515"/>
  <c r="AO50" i="515"/>
  <c r="AO51" i="515"/>
  <c r="AO52" i="515"/>
  <c r="AO53" i="515"/>
  <c r="AO54" i="515"/>
  <c r="AO55" i="515"/>
  <c r="AO56" i="515"/>
  <c r="AO7" i="515"/>
  <c r="AN8" i="515"/>
  <c r="AN9" i="515"/>
  <c r="AN10" i="515"/>
  <c r="AN11" i="515"/>
  <c r="AN12" i="515"/>
  <c r="AN13" i="515"/>
  <c r="AN14" i="515"/>
  <c r="AN15" i="515"/>
  <c r="AN16" i="515"/>
  <c r="AN17" i="515"/>
  <c r="AN18" i="515"/>
  <c r="AN19" i="515"/>
  <c r="AN20" i="515"/>
  <c r="AN21" i="515"/>
  <c r="AN22" i="515"/>
  <c r="AN23" i="515"/>
  <c r="AN24" i="515"/>
  <c r="AN25" i="515"/>
  <c r="AN26" i="515"/>
  <c r="AN27" i="515"/>
  <c r="AN28" i="515"/>
  <c r="AN29" i="515"/>
  <c r="AN30" i="515"/>
  <c r="AN31" i="515"/>
  <c r="AN32" i="515"/>
  <c r="AN33" i="515"/>
  <c r="AN34" i="515"/>
  <c r="AN35" i="515"/>
  <c r="AN36" i="515"/>
  <c r="AN37" i="515"/>
  <c r="AN38" i="515"/>
  <c r="AN39" i="515"/>
  <c r="AN40" i="515"/>
  <c r="AN41" i="515"/>
  <c r="AN42" i="515"/>
  <c r="AN43" i="515"/>
  <c r="AN44" i="515"/>
  <c r="AN45" i="515"/>
  <c r="AN46" i="515"/>
  <c r="AN47" i="515"/>
  <c r="AN48" i="515"/>
  <c r="AN49" i="515"/>
  <c r="AN50" i="515"/>
  <c r="AN51" i="515"/>
  <c r="AN52" i="515"/>
  <c r="AN53" i="515"/>
  <c r="AN54" i="515"/>
  <c r="AN55" i="515"/>
  <c r="AN56" i="515"/>
  <c r="AN7" i="515"/>
  <c r="AM8" i="515"/>
  <c r="AM9" i="515"/>
  <c r="AM10" i="515"/>
  <c r="AM11" i="515"/>
  <c r="AM12" i="515"/>
  <c r="AM13" i="515"/>
  <c r="AM14" i="515"/>
  <c r="AM15" i="515"/>
  <c r="AM16" i="515"/>
  <c r="AM17" i="515"/>
  <c r="AM18" i="515"/>
  <c r="AM19" i="515"/>
  <c r="AM20" i="515"/>
  <c r="AM21" i="515"/>
  <c r="AM22" i="515"/>
  <c r="AM23" i="515"/>
  <c r="AM24" i="515"/>
  <c r="AM25" i="515"/>
  <c r="AM26" i="515"/>
  <c r="AM27" i="515"/>
  <c r="AM28" i="515"/>
  <c r="AM29" i="515"/>
  <c r="AM30" i="515"/>
  <c r="AM31" i="515"/>
  <c r="AM32" i="515"/>
  <c r="AM33" i="515"/>
  <c r="AM34" i="515"/>
  <c r="AM35" i="515"/>
  <c r="AM36" i="515"/>
  <c r="AM37" i="515"/>
  <c r="AM38" i="515"/>
  <c r="AM39" i="515"/>
  <c r="AM40" i="515"/>
  <c r="AM41" i="515"/>
  <c r="AM42" i="515"/>
  <c r="AM43" i="515"/>
  <c r="AM44" i="515"/>
  <c r="AM45" i="515"/>
  <c r="AM46" i="515"/>
  <c r="AM47" i="515"/>
  <c r="AM48" i="515"/>
  <c r="AM49" i="515"/>
  <c r="AM50" i="515"/>
  <c r="AM51" i="515"/>
  <c r="AM52" i="515"/>
  <c r="AM53" i="515"/>
  <c r="AM54" i="515"/>
  <c r="AM55" i="515"/>
  <c r="AM56" i="515"/>
  <c r="AM7" i="515"/>
  <c r="AL9" i="515"/>
  <c r="AL10" i="515"/>
  <c r="AL11" i="515"/>
  <c r="AL12" i="515"/>
  <c r="AL13" i="515"/>
  <c r="AL14" i="515"/>
  <c r="AL15" i="515"/>
  <c r="AL16" i="515"/>
  <c r="AL17" i="515"/>
  <c r="AL18" i="515"/>
  <c r="AL19" i="515"/>
  <c r="AL20" i="515"/>
  <c r="AL21" i="515"/>
  <c r="AL22" i="515"/>
  <c r="AL23" i="515"/>
  <c r="AL24" i="515"/>
  <c r="AL25" i="515"/>
  <c r="AL26" i="515"/>
  <c r="AL27" i="515"/>
  <c r="AL28" i="515"/>
  <c r="AL29" i="515"/>
  <c r="AL30" i="515"/>
  <c r="AL31" i="515"/>
  <c r="AL32" i="515"/>
  <c r="AL33" i="515"/>
  <c r="AL34" i="515"/>
  <c r="AL35" i="515"/>
  <c r="AL36" i="515"/>
  <c r="AL37" i="515"/>
  <c r="AL38" i="515"/>
  <c r="AL39" i="515"/>
  <c r="AL40" i="515"/>
  <c r="AL41" i="515"/>
  <c r="AL42" i="515"/>
  <c r="AL43" i="515"/>
  <c r="AL44" i="515"/>
  <c r="AL45" i="515"/>
  <c r="AL46" i="515"/>
  <c r="AL47" i="515"/>
  <c r="AL48" i="515"/>
  <c r="AL49" i="515"/>
  <c r="AL50" i="515"/>
  <c r="AL51" i="515"/>
  <c r="AL52" i="515"/>
  <c r="AL53" i="515"/>
  <c r="AL54" i="515"/>
  <c r="AL55" i="515"/>
  <c r="AL56" i="515"/>
  <c r="AL8" i="515"/>
  <c r="AL7" i="515"/>
  <c r="AK7" i="515"/>
  <c r="AK10" i="515"/>
  <c r="AK11" i="515"/>
  <c r="AK12" i="515"/>
  <c r="AK13" i="515"/>
  <c r="AK14" i="515"/>
  <c r="AK15" i="515"/>
  <c r="AK16" i="515"/>
  <c r="AK17" i="515"/>
  <c r="AK18" i="515"/>
  <c r="AK19" i="515"/>
  <c r="AK20" i="515"/>
  <c r="AK21" i="515"/>
  <c r="AK22" i="515"/>
  <c r="AK23" i="515"/>
  <c r="AK24" i="515"/>
  <c r="AK25" i="515"/>
  <c r="AK26" i="515"/>
  <c r="AK27" i="515"/>
  <c r="AK28" i="515"/>
  <c r="AK29" i="515"/>
  <c r="AK30" i="515"/>
  <c r="AK31" i="515"/>
  <c r="AK32" i="515"/>
  <c r="AK33" i="515"/>
  <c r="AK34" i="515"/>
  <c r="AK35" i="515"/>
  <c r="AK36" i="515"/>
  <c r="AK37" i="515"/>
  <c r="AK38" i="515"/>
  <c r="AK39" i="515"/>
  <c r="AK40" i="515"/>
  <c r="AK41" i="515"/>
  <c r="AK42" i="515"/>
  <c r="AK43" i="515"/>
  <c r="AK44" i="515"/>
  <c r="AK45" i="515"/>
  <c r="AK46" i="515"/>
  <c r="AK47" i="515"/>
  <c r="AK48" i="515"/>
  <c r="AK49" i="515"/>
  <c r="AK50" i="515"/>
  <c r="AK51" i="515"/>
  <c r="AK52" i="515"/>
  <c r="AK53" i="515"/>
  <c r="AK54" i="515"/>
  <c r="AK55" i="515"/>
  <c r="AK56" i="515"/>
  <c r="AK9" i="515"/>
  <c r="AK8" i="515"/>
  <c r="AN57" i="515"/>
  <c r="AO57" i="515"/>
  <c r="AL57" i="515"/>
  <c r="AM57" i="515"/>
  <c r="AK57" i="515"/>
  <c r="AS24" i="515"/>
  <c r="AT24" i="515"/>
  <c r="T6" i="515"/>
  <c r="U6" i="515"/>
  <c r="V6" i="515"/>
  <c r="W6" i="515"/>
  <c r="X6" i="515"/>
  <c r="N7" i="515"/>
  <c r="AS7" i="515"/>
  <c r="AT7" i="515"/>
  <c r="N8" i="515"/>
  <c r="C9" i="39124"/>
  <c r="AS8" i="515"/>
  <c r="AT8" i="515"/>
  <c r="N9" i="515"/>
  <c r="C10" i="39124"/>
  <c r="AS9" i="515"/>
  <c r="AT9" i="515"/>
  <c r="N10" i="515"/>
  <c r="C11" i="39124"/>
  <c r="AS10" i="515"/>
  <c r="AT10" i="515"/>
  <c r="N11" i="515"/>
  <c r="C12" i="39124"/>
  <c r="AS11" i="515"/>
  <c r="AT11" i="515"/>
  <c r="N12" i="515"/>
  <c r="C13" i="39124"/>
  <c r="AS12" i="515"/>
  <c r="AT12" i="515"/>
  <c r="N13" i="515"/>
  <c r="C14" i="39124"/>
  <c r="AS13" i="515"/>
  <c r="AT13" i="515"/>
  <c r="N14" i="515"/>
  <c r="W15" i="39124"/>
  <c r="AS14" i="515"/>
  <c r="AT14" i="515"/>
  <c r="N15" i="515"/>
  <c r="C16" i="39124"/>
  <c r="AS15" i="515"/>
  <c r="AT15" i="515"/>
  <c r="N16" i="515"/>
  <c r="C17" i="39124"/>
  <c r="AS16" i="515"/>
  <c r="AT16" i="515"/>
  <c r="N17" i="515"/>
  <c r="C18" i="39124"/>
  <c r="AS17" i="515"/>
  <c r="AT17" i="515"/>
  <c r="N18" i="515"/>
  <c r="C19" i="39124"/>
  <c r="AS18" i="515"/>
  <c r="AT18" i="515"/>
  <c r="N19" i="515"/>
  <c r="C20" i="39124"/>
  <c r="AS19" i="515"/>
  <c r="AT19" i="515"/>
  <c r="AS20" i="515"/>
  <c r="AT20" i="515"/>
  <c r="N21" i="515"/>
  <c r="C22" i="39124"/>
  <c r="AS21" i="515"/>
  <c r="AT21" i="515"/>
  <c r="AS22" i="515"/>
  <c r="AT22" i="515"/>
  <c r="N23" i="515"/>
  <c r="C24" i="39124"/>
  <c r="AS23" i="515"/>
  <c r="AT23" i="515"/>
  <c r="N25" i="515"/>
  <c r="C26" i="39124"/>
  <c r="AS25" i="515"/>
  <c r="AT25" i="515"/>
  <c r="AS26" i="515"/>
  <c r="AT26" i="515"/>
  <c r="N27" i="515"/>
  <c r="C28" i="39124"/>
  <c r="AS27" i="515"/>
  <c r="AT27" i="515"/>
  <c r="AS28" i="515"/>
  <c r="AT28" i="515"/>
  <c r="N29" i="515"/>
  <c r="W30" i="39124"/>
  <c r="AS29" i="515"/>
  <c r="AT29" i="515"/>
  <c r="AS30" i="515"/>
  <c r="AT30" i="515"/>
  <c r="N31" i="515"/>
  <c r="W32" i="39124"/>
  <c r="AS31" i="515"/>
  <c r="AT31" i="515"/>
  <c r="N32" i="515"/>
  <c r="C33" i="39124"/>
  <c r="AS32" i="515"/>
  <c r="AT32" i="515"/>
  <c r="N33" i="515"/>
  <c r="C34" i="39124"/>
  <c r="AS33" i="515"/>
  <c r="AT33" i="515"/>
  <c r="AS34" i="515"/>
  <c r="AT34" i="515"/>
  <c r="N35" i="515"/>
  <c r="C36" i="39124"/>
  <c r="AS35" i="515"/>
  <c r="AT35" i="515"/>
  <c r="AS36" i="515"/>
  <c r="AT36" i="515"/>
  <c r="N37" i="515"/>
  <c r="C38" i="39124"/>
  <c r="AS37" i="515"/>
  <c r="AT37" i="515"/>
  <c r="AS38" i="515"/>
  <c r="AT38" i="515"/>
  <c r="N39" i="515"/>
  <c r="C40" i="39124"/>
  <c r="AS39" i="515"/>
  <c r="AT39" i="515"/>
  <c r="N40" i="515"/>
  <c r="C41" i="39124"/>
  <c r="AS40" i="515"/>
  <c r="AT40" i="515"/>
  <c r="N41" i="515"/>
  <c r="C42" i="39124"/>
  <c r="AS41" i="515"/>
  <c r="AT41" i="515"/>
  <c r="AS42" i="515"/>
  <c r="AT42" i="515"/>
  <c r="N43" i="515"/>
  <c r="W44" i="39124"/>
  <c r="AS43" i="515"/>
  <c r="AT43" i="515"/>
  <c r="AS44" i="515"/>
  <c r="AT44" i="515"/>
  <c r="N45" i="515"/>
  <c r="W46" i="39124"/>
  <c r="AS45" i="515"/>
  <c r="AT45" i="515"/>
  <c r="N46" i="515"/>
  <c r="W47" i="39124"/>
  <c r="AS46" i="515"/>
  <c r="AT46" i="515"/>
  <c r="N47" i="515"/>
  <c r="W48" i="39124"/>
  <c r="AS47" i="515"/>
  <c r="AT47" i="515"/>
  <c r="N48" i="515"/>
  <c r="W49" i="39124"/>
  <c r="AS48" i="515"/>
  <c r="AT48" i="515"/>
  <c r="N49" i="515"/>
  <c r="W50" i="39124"/>
  <c r="AS49" i="515"/>
  <c r="AT49" i="515"/>
  <c r="N50" i="515"/>
  <c r="W51" i="39124"/>
  <c r="AS50" i="515"/>
  <c r="AT50" i="515"/>
  <c r="N51" i="515"/>
  <c r="W52" i="39124"/>
  <c r="AS51" i="515"/>
  <c r="AT51" i="515"/>
  <c r="N52" i="515"/>
  <c r="C53" i="39124"/>
  <c r="Y52" i="515"/>
  <c r="AS52" i="515"/>
  <c r="AT52" i="515"/>
  <c r="N53" i="515"/>
  <c r="C54" i="39124"/>
  <c r="Y53" i="515"/>
  <c r="AS53" i="515"/>
  <c r="AT53" i="515"/>
  <c r="N54" i="515"/>
  <c r="C55" i="39124"/>
  <c r="Y54" i="515"/>
  <c r="AS54" i="515"/>
  <c r="AT54" i="515"/>
  <c r="N55" i="515"/>
  <c r="C56" i="39124"/>
  <c r="Y55" i="515"/>
  <c r="AS55" i="515"/>
  <c r="AT55" i="515"/>
  <c r="N56" i="515"/>
  <c r="W57" i="39124"/>
  <c r="Y56" i="515"/>
  <c r="AS56" i="515"/>
  <c r="AT56" i="515"/>
  <c r="C57" i="515"/>
  <c r="D57" i="515"/>
  <c r="B1" i="39125"/>
  <c r="B3" i="39125"/>
  <c r="G4" i="39124"/>
  <c r="C8" i="39124"/>
  <c r="W8" i="39124"/>
  <c r="W9" i="39124"/>
  <c r="W10" i="39124"/>
  <c r="W11" i="39124"/>
  <c r="C15" i="39124"/>
  <c r="W16" i="39124"/>
  <c r="W20" i="39124"/>
  <c r="W26" i="39124"/>
  <c r="W28" i="39124"/>
  <c r="C30" i="39124"/>
  <c r="C32" i="39124"/>
  <c r="W33" i="39124"/>
  <c r="W34" i="39124"/>
  <c r="W36" i="39124"/>
  <c r="W38" i="39124"/>
  <c r="W40" i="39124"/>
  <c r="W42" i="39124"/>
  <c r="C46" i="39124"/>
  <c r="C50" i="39124"/>
  <c r="B58" i="39124"/>
  <c r="N44" i="515"/>
  <c r="W45" i="39124"/>
  <c r="N42" i="515"/>
  <c r="W43" i="39124"/>
  <c r="N38" i="515"/>
  <c r="C39" i="39124"/>
  <c r="N30" i="515"/>
  <c r="C31" i="39124"/>
  <c r="N28" i="515"/>
  <c r="C29" i="39124"/>
  <c r="N26" i="515"/>
  <c r="C27" i="39124"/>
  <c r="N22" i="515"/>
  <c r="C23" i="39124"/>
  <c r="N20" i="515"/>
  <c r="C21" i="39124"/>
  <c r="C52" i="39124"/>
  <c r="C48" i="39124"/>
  <c r="C44" i="39124"/>
  <c r="W18" i="39124"/>
  <c r="N36" i="515"/>
  <c r="C37" i="39124"/>
  <c r="N34" i="515"/>
  <c r="C35" i="39124"/>
  <c r="N24" i="515"/>
  <c r="C25" i="39124"/>
  <c r="N57" i="515"/>
  <c r="W37" i="39124"/>
  <c r="W31" i="39124"/>
  <c r="W27" i="39124"/>
  <c r="W13" i="39124"/>
  <c r="W41" i="39124"/>
  <c r="W35" i="39124"/>
  <c r="W39" i="39124"/>
  <c r="C51" i="39124"/>
  <c r="C49" i="39124"/>
  <c r="C47" i="39124"/>
  <c r="C45" i="39124"/>
  <c r="C43" i="39124"/>
  <c r="AA13" i="515"/>
  <c r="AA8" i="515"/>
  <c r="AA56" i="515"/>
  <c r="AA52" i="515"/>
  <c r="AA48" i="515"/>
  <c r="AA44" i="515"/>
  <c r="AA40" i="515"/>
  <c r="AA36" i="515"/>
  <c r="AA32" i="515"/>
  <c r="AA28" i="515"/>
  <c r="AA24" i="515"/>
  <c r="AA20" i="515"/>
  <c r="AA16" i="515"/>
  <c r="AA12" i="515"/>
  <c r="AA7" i="515"/>
  <c r="AA11" i="515"/>
  <c r="AA53" i="515"/>
  <c r="AA49" i="515"/>
  <c r="AA45" i="515"/>
  <c r="AA41" i="515"/>
  <c r="AA37" i="515"/>
  <c r="AA33" i="515"/>
  <c r="AA29" i="515"/>
  <c r="AA25" i="515"/>
  <c r="AA21" i="515"/>
  <c r="AA17" i="515"/>
  <c r="AA10" i="515"/>
  <c r="AA54" i="515"/>
  <c r="AA50" i="515"/>
  <c r="AA46" i="515"/>
  <c r="AA42" i="515"/>
  <c r="AA38" i="515"/>
  <c r="AA34" i="515"/>
  <c r="AA30" i="515"/>
  <c r="AA26" i="515"/>
  <c r="AA22" i="515"/>
  <c r="AA18" i="515"/>
  <c r="AA14" i="515"/>
  <c r="AA9" i="515"/>
  <c r="AA55" i="515"/>
  <c r="AA51" i="515"/>
  <c r="AA47" i="515"/>
  <c r="AA43" i="515"/>
  <c r="AA39" i="515"/>
  <c r="AA35" i="515"/>
  <c r="AA31" i="515"/>
  <c r="AA27" i="515"/>
  <c r="AA23" i="515"/>
  <c r="AA19" i="515"/>
  <c r="AA15" i="515"/>
  <c r="Y8" i="515"/>
  <c r="Y51" i="515"/>
  <c r="X51" i="515"/>
  <c r="Y50" i="515"/>
  <c r="X50" i="515"/>
  <c r="Y49" i="515"/>
  <c r="Y48" i="515"/>
  <c r="Y47" i="515"/>
  <c r="Y46" i="515"/>
  <c r="Y45" i="515"/>
  <c r="Y44" i="515"/>
  <c r="Y43" i="515"/>
  <c r="Y42" i="515"/>
  <c r="Y41" i="515"/>
  <c r="Y40" i="515"/>
  <c r="Y39" i="515"/>
  <c r="X39" i="515"/>
  <c r="Y38" i="515"/>
  <c r="X38" i="515"/>
  <c r="Y37" i="515"/>
  <c r="Y36" i="515"/>
  <c r="Y35" i="515"/>
  <c r="X35" i="515"/>
  <c r="Y34" i="515"/>
  <c r="X34" i="515"/>
  <c r="Y33" i="515"/>
  <c r="Y32" i="515"/>
  <c r="Y31" i="515"/>
  <c r="X31" i="515"/>
  <c r="Y30" i="515"/>
  <c r="X30" i="515"/>
  <c r="Y29" i="515"/>
  <c r="Y28" i="515"/>
  <c r="Y27" i="515"/>
  <c r="X27" i="515"/>
  <c r="Y26" i="515"/>
  <c r="X26" i="515"/>
  <c r="Y25" i="515"/>
  <c r="Y24" i="515"/>
  <c r="Y23" i="515"/>
  <c r="Y22" i="515"/>
  <c r="X22" i="515"/>
  <c r="Y21" i="515"/>
  <c r="X21" i="515"/>
  <c r="Y20" i="515"/>
  <c r="Y19" i="515"/>
  <c r="Y18" i="515"/>
  <c r="X18" i="515"/>
  <c r="Y17" i="515"/>
  <c r="X17" i="515"/>
  <c r="Y16" i="515"/>
  <c r="Y15" i="515"/>
  <c r="Y14" i="515"/>
  <c r="X14" i="515"/>
  <c r="Y13" i="515"/>
  <c r="X13" i="515"/>
  <c r="Y12" i="515"/>
  <c r="Y11" i="515"/>
  <c r="Y10" i="515"/>
  <c r="X10" i="515"/>
  <c r="Y9" i="515"/>
  <c r="X9" i="515"/>
  <c r="W19" i="39124"/>
  <c r="W17" i="39124"/>
  <c r="W14" i="39124"/>
  <c r="W12" i="39124"/>
  <c r="W24" i="39124"/>
  <c r="W22" i="39124"/>
  <c r="W21" i="39124"/>
  <c r="W25" i="39124"/>
  <c r="W23" i="39124"/>
  <c r="W7" i="515"/>
  <c r="AF7" i="515"/>
  <c r="AB51" i="515"/>
  <c r="AF50" i="515"/>
  <c r="AF54" i="515"/>
  <c r="AF9" i="515"/>
  <c r="AF13" i="515"/>
  <c r="AF17" i="515"/>
  <c r="AF21" i="515"/>
  <c r="AF25" i="515"/>
  <c r="AF29" i="515"/>
  <c r="AF33" i="515"/>
  <c r="AF37" i="515"/>
  <c r="AF41" i="515"/>
  <c r="AF45" i="515"/>
  <c r="AF49" i="515"/>
  <c r="AF53" i="515"/>
  <c r="AF8" i="515"/>
  <c r="AF12" i="515"/>
  <c r="AF16" i="515"/>
  <c r="AF20" i="515"/>
  <c r="AF24" i="515"/>
  <c r="AF28" i="515"/>
  <c r="AF32" i="515"/>
  <c r="AF36" i="515"/>
  <c r="AF40" i="515"/>
  <c r="AF44" i="515"/>
  <c r="AF48" i="515"/>
  <c r="AF52" i="515"/>
  <c r="AF56" i="515"/>
  <c r="AF11" i="515"/>
  <c r="AF15" i="515"/>
  <c r="AF19" i="515"/>
  <c r="AF23" i="515"/>
  <c r="AF27" i="515"/>
  <c r="AF31" i="515"/>
  <c r="AF35" i="515"/>
  <c r="AF39" i="515"/>
  <c r="AF43" i="515"/>
  <c r="AF47" i="515"/>
  <c r="AF51" i="515"/>
  <c r="AF55" i="515"/>
  <c r="AF10" i="515"/>
  <c r="AF14" i="515"/>
  <c r="AF18" i="515"/>
  <c r="AF22" i="515"/>
  <c r="AF26" i="515"/>
  <c r="AF30" i="515"/>
  <c r="AF34" i="515"/>
  <c r="AF38" i="515"/>
  <c r="AF42" i="515"/>
  <c r="AF46" i="515"/>
  <c r="Y7" i="515"/>
  <c r="X7" i="515"/>
  <c r="W55" i="39124"/>
  <c r="W53" i="39124"/>
  <c r="W54" i="39124"/>
  <c r="W56" i="39124"/>
  <c r="C57" i="39124"/>
  <c r="AT57" i="515"/>
  <c r="U7" i="515"/>
  <c r="T8" i="515"/>
  <c r="V8" i="515"/>
  <c r="T9" i="515"/>
  <c r="V9" i="515"/>
  <c r="U10" i="515"/>
  <c r="W10" i="515"/>
  <c r="T11" i="515"/>
  <c r="V11" i="515"/>
  <c r="U12" i="515"/>
  <c r="W12" i="515"/>
  <c r="T13" i="515"/>
  <c r="V13" i="515"/>
  <c r="U14" i="515"/>
  <c r="W14" i="515"/>
  <c r="T15" i="515"/>
  <c r="V15" i="515"/>
  <c r="U16" i="515"/>
  <c r="W16" i="515"/>
  <c r="T17" i="515"/>
  <c r="V17" i="515"/>
  <c r="U18" i="515"/>
  <c r="W18" i="515"/>
  <c r="T19" i="515"/>
  <c r="V19" i="515"/>
  <c r="U20" i="515"/>
  <c r="W20" i="515"/>
  <c r="T21" i="515"/>
  <c r="V21" i="515"/>
  <c r="U22" i="515"/>
  <c r="W22" i="515"/>
  <c r="T23" i="515"/>
  <c r="V23" i="515"/>
  <c r="U24" i="515"/>
  <c r="W24" i="515"/>
  <c r="U25" i="515"/>
  <c r="W25" i="515"/>
  <c r="T26" i="515"/>
  <c r="V26" i="515"/>
  <c r="U27" i="515"/>
  <c r="W27" i="515"/>
  <c r="T28" i="515"/>
  <c r="V28" i="515"/>
  <c r="U29" i="515"/>
  <c r="W29" i="515"/>
  <c r="T30" i="515"/>
  <c r="V30" i="515"/>
  <c r="U31" i="515"/>
  <c r="W31" i="515"/>
  <c r="T32" i="515"/>
  <c r="V32" i="515"/>
  <c r="U33" i="515"/>
  <c r="W33" i="515"/>
  <c r="T34" i="515"/>
  <c r="V34" i="515"/>
  <c r="U35" i="515"/>
  <c r="W35" i="515"/>
  <c r="T36" i="515"/>
  <c r="V36" i="515"/>
  <c r="U37" i="515"/>
  <c r="W37" i="515"/>
  <c r="T38" i="515"/>
  <c r="V38" i="515"/>
  <c r="U39" i="515"/>
  <c r="W39" i="515"/>
  <c r="T40" i="515"/>
  <c r="V40" i="515"/>
  <c r="U41" i="515"/>
  <c r="W41" i="515"/>
  <c r="U42" i="515"/>
  <c r="W42" i="515"/>
  <c r="U43" i="515"/>
  <c r="W43" i="515"/>
  <c r="U44" i="515"/>
  <c r="W44" i="515"/>
  <c r="U45" i="515"/>
  <c r="W45" i="515"/>
  <c r="U46" i="515"/>
  <c r="W46" i="515"/>
  <c r="U47" i="515"/>
  <c r="W47" i="515"/>
  <c r="U48" i="515"/>
  <c r="W48" i="515"/>
  <c r="U49" i="515"/>
  <c r="W49" i="515"/>
  <c r="T50" i="515"/>
  <c r="V50" i="515"/>
  <c r="U51" i="515"/>
  <c r="W51" i="515"/>
  <c r="T52" i="515"/>
  <c r="V52" i="515"/>
  <c r="T53" i="515"/>
  <c r="V53" i="515"/>
  <c r="U54" i="515"/>
  <c r="W54" i="515"/>
  <c r="T55" i="515"/>
  <c r="V55" i="515"/>
  <c r="U56" i="515"/>
  <c r="W56" i="515"/>
  <c r="W55" i="515"/>
  <c r="T56" i="515"/>
  <c r="U8" i="515"/>
  <c r="W8" i="515"/>
  <c r="U9" i="515"/>
  <c r="W9" i="515"/>
  <c r="T10" i="515"/>
  <c r="V10" i="515"/>
  <c r="U11" i="515"/>
  <c r="W11" i="515"/>
  <c r="T12" i="515"/>
  <c r="V12" i="515"/>
  <c r="U13" i="515"/>
  <c r="W13" i="515"/>
  <c r="T14" i="515"/>
  <c r="V14" i="515"/>
  <c r="U15" i="515"/>
  <c r="W15" i="515"/>
  <c r="T16" i="515"/>
  <c r="V16" i="515"/>
  <c r="U17" i="515"/>
  <c r="W17" i="515"/>
  <c r="T18" i="515"/>
  <c r="V18" i="515"/>
  <c r="U19" i="515"/>
  <c r="W19" i="515"/>
  <c r="T20" i="515"/>
  <c r="V20" i="515"/>
  <c r="U21" i="515"/>
  <c r="W21" i="515"/>
  <c r="T22" i="515"/>
  <c r="V22" i="515"/>
  <c r="U23" i="515"/>
  <c r="W23" i="515"/>
  <c r="T24" i="515"/>
  <c r="V24" i="515"/>
  <c r="T25" i="515"/>
  <c r="V25" i="515"/>
  <c r="U26" i="515"/>
  <c r="W26" i="515"/>
  <c r="T27" i="515"/>
  <c r="V27" i="515"/>
  <c r="U28" i="515"/>
  <c r="W28" i="515"/>
  <c r="T29" i="515"/>
  <c r="V29" i="515"/>
  <c r="U30" i="515"/>
  <c r="W30" i="515"/>
  <c r="T31" i="515"/>
  <c r="V31" i="515"/>
  <c r="U32" i="515"/>
  <c r="W32" i="515"/>
  <c r="T33" i="515"/>
  <c r="V33" i="515"/>
  <c r="U34" i="515"/>
  <c r="W34" i="515"/>
  <c r="T35" i="515"/>
  <c r="V35" i="515"/>
  <c r="U36" i="515"/>
  <c r="W36" i="515"/>
  <c r="T37" i="515"/>
  <c r="V37" i="515"/>
  <c r="U38" i="515"/>
  <c r="W38" i="515"/>
  <c r="T39" i="515"/>
  <c r="V39" i="515"/>
  <c r="U40" i="515"/>
  <c r="W40" i="515"/>
  <c r="T41" i="515"/>
  <c r="V41" i="515"/>
  <c r="T42" i="515"/>
  <c r="V42" i="515"/>
  <c r="T43" i="515"/>
  <c r="V43" i="515"/>
  <c r="T44" i="515"/>
  <c r="V44" i="515"/>
  <c r="T45" i="515"/>
  <c r="V45" i="515"/>
  <c r="T46" i="515"/>
  <c r="V46" i="515"/>
  <c r="T47" i="515"/>
  <c r="V47" i="515"/>
  <c r="T48" i="515"/>
  <c r="V48" i="515"/>
  <c r="T49" i="515"/>
  <c r="V49" i="515"/>
  <c r="U50" i="515"/>
  <c r="W50" i="515"/>
  <c r="T51" i="515"/>
  <c r="V51" i="515"/>
  <c r="U52" i="515"/>
  <c r="W52" i="515"/>
  <c r="U53" i="515"/>
  <c r="W53" i="515"/>
  <c r="T54" i="515"/>
  <c r="V54" i="515"/>
  <c r="U55" i="515"/>
  <c r="V56" i="515"/>
  <c r="B4" i="39125"/>
  <c r="X54" i="515"/>
  <c r="X49" i="515"/>
  <c r="X48" i="515"/>
  <c r="X47" i="515"/>
  <c r="X46" i="515"/>
  <c r="X45" i="515"/>
  <c r="X44" i="515"/>
  <c r="X43" i="515"/>
  <c r="X42" i="515"/>
  <c r="X41" i="515"/>
  <c r="X37" i="515"/>
  <c r="X33" i="515"/>
  <c r="X29" i="515"/>
  <c r="S29" i="515"/>
  <c r="X25" i="515"/>
  <c r="X24" i="515"/>
  <c r="X20" i="515"/>
  <c r="S20" i="515"/>
  <c r="X16" i="515"/>
  <c r="X12" i="515"/>
  <c r="V7" i="515"/>
  <c r="B12" i="39125"/>
  <c r="T7" i="515"/>
  <c r="X56" i="515"/>
  <c r="D3" i="868"/>
  <c r="B21" i="39125"/>
  <c r="D2" i="868"/>
  <c r="X55" i="515"/>
  <c r="X53" i="515"/>
  <c r="X52" i="515"/>
  <c r="X40" i="515"/>
  <c r="X36" i="515"/>
  <c r="X32" i="515"/>
  <c r="X28" i="515"/>
  <c r="X23" i="515"/>
  <c r="X19" i="515"/>
  <c r="X15" i="515"/>
  <c r="X11" i="515"/>
  <c r="X8" i="515"/>
  <c r="B15" i="39125"/>
  <c r="B20" i="39125"/>
  <c r="AS57" i="515"/>
  <c r="G54" i="515"/>
  <c r="G52" i="515"/>
  <c r="G50" i="515"/>
  <c r="G48" i="515"/>
  <c r="G46" i="515"/>
  <c r="G44" i="515"/>
  <c r="G42" i="515"/>
  <c r="G40" i="515"/>
  <c r="G38" i="515"/>
  <c r="G36" i="515"/>
  <c r="G34" i="515"/>
  <c r="G32" i="515"/>
  <c r="G30" i="515"/>
  <c r="G28" i="515"/>
  <c r="G26" i="515"/>
  <c r="G24" i="515"/>
  <c r="G22" i="515"/>
  <c r="G20" i="515"/>
  <c r="G18" i="515"/>
  <c r="G16" i="515"/>
  <c r="G14" i="515"/>
  <c r="G12" i="515"/>
  <c r="G10" i="515"/>
  <c r="G8" i="515"/>
  <c r="S21" i="515"/>
  <c r="G7" i="515"/>
  <c r="G9" i="515"/>
  <c r="G11" i="515"/>
  <c r="G13" i="515"/>
  <c r="G15" i="515"/>
  <c r="G17" i="515"/>
  <c r="G19" i="515"/>
  <c r="G21" i="515"/>
  <c r="G23" i="515"/>
  <c r="G25" i="515"/>
  <c r="G27" i="515"/>
  <c r="G29" i="515"/>
  <c r="G31" i="515"/>
  <c r="G33" i="515"/>
  <c r="G35" i="515"/>
  <c r="G37" i="515"/>
  <c r="G39" i="515"/>
  <c r="G41" i="515"/>
  <c r="G43" i="515"/>
  <c r="G45" i="515"/>
  <c r="G47" i="515"/>
  <c r="G49" i="515"/>
  <c r="G51" i="515"/>
  <c r="G53" i="515"/>
  <c r="G55" i="515"/>
  <c r="G56" i="515"/>
  <c r="W29" i="39124"/>
  <c r="U29" i="39124"/>
  <c r="K29" i="39124"/>
  <c r="U45" i="39124"/>
  <c r="K45" i="39124"/>
  <c r="AA57" i="515"/>
  <c r="S43" i="515"/>
  <c r="S14" i="515"/>
  <c r="S22" i="515"/>
  <c r="V57" i="515"/>
  <c r="Y57" i="515"/>
  <c r="S9" i="515"/>
  <c r="S13" i="515"/>
  <c r="Z13" i="515"/>
  <c r="S51" i="515"/>
  <c r="S35" i="515"/>
  <c r="S10" i="515"/>
  <c r="U13" i="39124"/>
  <c r="K13" i="39124"/>
  <c r="U57" i="39124"/>
  <c r="K57" i="39124"/>
  <c r="U21" i="39124"/>
  <c r="K21" i="39124"/>
  <c r="U37" i="39124"/>
  <c r="K37" i="39124"/>
  <c r="U49" i="39124"/>
  <c r="K49" i="39124"/>
  <c r="U9" i="39124"/>
  <c r="K9" i="39124"/>
  <c r="U17" i="39124"/>
  <c r="K17" i="39124"/>
  <c r="U25" i="39124"/>
  <c r="K25" i="39124"/>
  <c r="U33" i="39124"/>
  <c r="K33" i="39124"/>
  <c r="U41" i="39124"/>
  <c r="K41" i="39124"/>
  <c r="U53" i="39124"/>
  <c r="K53" i="39124"/>
  <c r="AB7" i="515"/>
  <c r="U23" i="39124"/>
  <c r="K23" i="39124"/>
  <c r="U55" i="39124"/>
  <c r="K55" i="39124"/>
  <c r="U11" i="39124"/>
  <c r="K11" i="39124"/>
  <c r="U15" i="39124"/>
  <c r="K15" i="39124"/>
  <c r="U19" i="39124"/>
  <c r="K19" i="39124"/>
  <c r="U27" i="39124"/>
  <c r="K27" i="39124"/>
  <c r="U31" i="39124"/>
  <c r="K31" i="39124"/>
  <c r="U35" i="39124"/>
  <c r="K35" i="39124"/>
  <c r="U39" i="39124"/>
  <c r="K39" i="39124"/>
  <c r="U43" i="39124"/>
  <c r="K43" i="39124"/>
  <c r="U47" i="39124"/>
  <c r="K47" i="39124"/>
  <c r="U51" i="39124"/>
  <c r="K51" i="39124"/>
  <c r="B10" i="39125"/>
  <c r="S55" i="515"/>
  <c r="S47" i="515"/>
  <c r="S39" i="515"/>
  <c r="S31" i="515"/>
  <c r="O31" i="515"/>
  <c r="T57" i="515"/>
  <c r="U56" i="39124"/>
  <c r="K56" i="39124"/>
  <c r="S49" i="515"/>
  <c r="S45" i="515"/>
  <c r="Z45" i="515"/>
  <c r="S41" i="515"/>
  <c r="S37" i="515"/>
  <c r="Z37" i="515"/>
  <c r="S33" i="515"/>
  <c r="S27" i="515"/>
  <c r="O27" i="515"/>
  <c r="S25" i="515"/>
  <c r="S24" i="515"/>
  <c r="Z24" i="515"/>
  <c r="S18" i="515"/>
  <c r="S16" i="515"/>
  <c r="Z16" i="515"/>
  <c r="U57" i="515"/>
  <c r="S53" i="515"/>
  <c r="Z53" i="515"/>
  <c r="S30" i="515"/>
  <c r="S26" i="515"/>
  <c r="Z26" i="515"/>
  <c r="S17" i="515"/>
  <c r="U54" i="39124"/>
  <c r="K54" i="39124"/>
  <c r="U8" i="39124"/>
  <c r="K8" i="39124"/>
  <c r="U10" i="39124"/>
  <c r="K10" i="39124"/>
  <c r="U12" i="39124"/>
  <c r="K12" i="39124"/>
  <c r="U14" i="39124"/>
  <c r="K14" i="39124"/>
  <c r="U16" i="39124"/>
  <c r="K16" i="39124"/>
  <c r="U18" i="39124"/>
  <c r="K18" i="39124"/>
  <c r="U20" i="39124"/>
  <c r="K20" i="39124"/>
  <c r="U22" i="39124"/>
  <c r="K22" i="39124"/>
  <c r="U24" i="39124"/>
  <c r="K24" i="39124"/>
  <c r="U26" i="39124"/>
  <c r="K26" i="39124"/>
  <c r="U28" i="39124"/>
  <c r="K28" i="39124"/>
  <c r="U30" i="39124"/>
  <c r="K30" i="39124"/>
  <c r="U32" i="39124"/>
  <c r="K32" i="39124"/>
  <c r="U34" i="39124"/>
  <c r="K34" i="39124"/>
  <c r="U36" i="39124"/>
  <c r="K36" i="39124"/>
  <c r="U38" i="39124"/>
  <c r="K38" i="39124"/>
  <c r="U40" i="39124"/>
  <c r="K40" i="39124"/>
  <c r="U42" i="39124"/>
  <c r="K42" i="39124"/>
  <c r="U44" i="39124"/>
  <c r="K44" i="39124"/>
  <c r="U46" i="39124"/>
  <c r="K46" i="39124"/>
  <c r="U48" i="39124"/>
  <c r="K48" i="39124"/>
  <c r="U50" i="39124"/>
  <c r="K50" i="39124"/>
  <c r="U52" i="39124"/>
  <c r="K52" i="39124"/>
  <c r="S23" i="515"/>
  <c r="O23" i="515"/>
  <c r="S28" i="515"/>
  <c r="AB11" i="515"/>
  <c r="AB12" i="515"/>
  <c r="AB16" i="515"/>
  <c r="AB20" i="515"/>
  <c r="AB24" i="515"/>
  <c r="AB28" i="515"/>
  <c r="AB32" i="515"/>
  <c r="AB36" i="515"/>
  <c r="AB39" i="515"/>
  <c r="AB42" i="515"/>
  <c r="AB48" i="515"/>
  <c r="AB54" i="515"/>
  <c r="AB50" i="515"/>
  <c r="AB10" i="515"/>
  <c r="AB13" i="515"/>
  <c r="AB17" i="515"/>
  <c r="AB21" i="515"/>
  <c r="AB25" i="515"/>
  <c r="AB29" i="515"/>
  <c r="AB33" i="515"/>
  <c r="AB37" i="515"/>
  <c r="AB41" i="515"/>
  <c r="AB46" i="515"/>
  <c r="AB49" i="515"/>
  <c r="AB53" i="515"/>
  <c r="AB9" i="515"/>
  <c r="AB14" i="515"/>
  <c r="AB18" i="515"/>
  <c r="AB22" i="515"/>
  <c r="AB26" i="515"/>
  <c r="AB30" i="515"/>
  <c r="AB34" i="515"/>
  <c r="AB38" i="515"/>
  <c r="AB44" i="515"/>
  <c r="AB45" i="515"/>
  <c r="AB56" i="515"/>
  <c r="AB52" i="515"/>
  <c r="AB8" i="515"/>
  <c r="AB15" i="515"/>
  <c r="AB19" i="515"/>
  <c r="AB23" i="515"/>
  <c r="AB27" i="515"/>
  <c r="AB31" i="515"/>
  <c r="AB35" i="515"/>
  <c r="AB40" i="515"/>
  <c r="AB43" i="515"/>
  <c r="AB47" i="515"/>
  <c r="AB55" i="515"/>
  <c r="AD8" i="515"/>
  <c r="AE8" i="515"/>
  <c r="AD10" i="515"/>
  <c r="AE10" i="515"/>
  <c r="AD12" i="515"/>
  <c r="AE12" i="515"/>
  <c r="AD14" i="515"/>
  <c r="AE14" i="515"/>
  <c r="AD16" i="515"/>
  <c r="AE16" i="515"/>
  <c r="AD18" i="515"/>
  <c r="AE18" i="515"/>
  <c r="AD20" i="515"/>
  <c r="AE20" i="515"/>
  <c r="AD22" i="515"/>
  <c r="AE22" i="515"/>
  <c r="AD24" i="515"/>
  <c r="AE24" i="515"/>
  <c r="AD26" i="515"/>
  <c r="AE26" i="515"/>
  <c r="AD28" i="515"/>
  <c r="AE28" i="515"/>
  <c r="AD30" i="515"/>
  <c r="AE30" i="515"/>
  <c r="AD32" i="515"/>
  <c r="AE32" i="515"/>
  <c r="AD34" i="515"/>
  <c r="AE34" i="515"/>
  <c r="AD36" i="515"/>
  <c r="AE36" i="515"/>
  <c r="AD38" i="515"/>
  <c r="AE38" i="515"/>
  <c r="AD40" i="515"/>
  <c r="AE40" i="515"/>
  <c r="AD42" i="515"/>
  <c r="AE42" i="515"/>
  <c r="AD44" i="515"/>
  <c r="AE44" i="515"/>
  <c r="AD46" i="515"/>
  <c r="AE46" i="515"/>
  <c r="AD48" i="515"/>
  <c r="AE48" i="515"/>
  <c r="AD50" i="515"/>
  <c r="AE50" i="515"/>
  <c r="AD52" i="515"/>
  <c r="AD54" i="515"/>
  <c r="AD56" i="515"/>
  <c r="AE56" i="515"/>
  <c r="AD7" i="515"/>
  <c r="AE7" i="515"/>
  <c r="AD9" i="515"/>
  <c r="AE9" i="515"/>
  <c r="AD11" i="515"/>
  <c r="AE11" i="515"/>
  <c r="AD13" i="515"/>
  <c r="AE13" i="515"/>
  <c r="AD15" i="515"/>
  <c r="AE15" i="515"/>
  <c r="AD17" i="515"/>
  <c r="AE17" i="515"/>
  <c r="AD19" i="515"/>
  <c r="AE19" i="515"/>
  <c r="AD21" i="515"/>
  <c r="AE21" i="515"/>
  <c r="AD23" i="515"/>
  <c r="AE23" i="515"/>
  <c r="AD25" i="515"/>
  <c r="AE25" i="515"/>
  <c r="AD27" i="515"/>
  <c r="AE27" i="515"/>
  <c r="AD29" i="515"/>
  <c r="AE29" i="515"/>
  <c r="AD31" i="515"/>
  <c r="AE31" i="515"/>
  <c r="AD33" i="515"/>
  <c r="AE33" i="515"/>
  <c r="AD35" i="515"/>
  <c r="AE35" i="515"/>
  <c r="AD37" i="515"/>
  <c r="AE37" i="515"/>
  <c r="AD39" i="515"/>
  <c r="AE39" i="515"/>
  <c r="AD41" i="515"/>
  <c r="AE41" i="515"/>
  <c r="AD43" i="515"/>
  <c r="AE43" i="515"/>
  <c r="AD45" i="515"/>
  <c r="AE45" i="515"/>
  <c r="AD47" i="515"/>
  <c r="AE47" i="515"/>
  <c r="AD49" i="515"/>
  <c r="AE49" i="515"/>
  <c r="AD51" i="515"/>
  <c r="AE51" i="515"/>
  <c r="AD53" i="515"/>
  <c r="AE53" i="515"/>
  <c r="AD55" i="515"/>
  <c r="AE55" i="515"/>
  <c r="AE52" i="515"/>
  <c r="AE54" i="515"/>
  <c r="S15" i="515"/>
  <c r="O15" i="515"/>
  <c r="S19" i="515"/>
  <c r="O19" i="515"/>
  <c r="X57" i="515"/>
  <c r="S56" i="515"/>
  <c r="Z56" i="515"/>
  <c r="S54" i="515"/>
  <c r="Z54" i="515"/>
  <c r="S48" i="515"/>
  <c r="Z48" i="515"/>
  <c r="S46" i="515"/>
  <c r="Z46" i="515"/>
  <c r="S44" i="515"/>
  <c r="O44" i="515"/>
  <c r="S42" i="515"/>
  <c r="Z42" i="515"/>
  <c r="S40" i="515"/>
  <c r="Z40" i="515"/>
  <c r="S38" i="515"/>
  <c r="Z38" i="515"/>
  <c r="S36" i="515"/>
  <c r="Z36" i="515"/>
  <c r="S34" i="515"/>
  <c r="S32" i="515"/>
  <c r="Z32" i="515"/>
  <c r="S8" i="515"/>
  <c r="Z8" i="515"/>
  <c r="S11" i="515"/>
  <c r="O11" i="515"/>
  <c r="S12" i="515"/>
  <c r="S50" i="515"/>
  <c r="Z50" i="515"/>
  <c r="S52" i="515"/>
  <c r="Z52" i="515"/>
  <c r="B14" i="39125"/>
  <c r="C58" i="39124"/>
  <c r="W58" i="39124"/>
  <c r="B11" i="39125"/>
  <c r="Z9" i="515"/>
  <c r="Z10" i="515"/>
  <c r="Z11" i="515"/>
  <c r="Z14" i="515"/>
  <c r="Z17" i="515"/>
  <c r="Z18" i="515"/>
  <c r="Z20" i="515"/>
  <c r="Z21" i="515"/>
  <c r="Z22" i="515"/>
  <c r="Z23" i="515"/>
  <c r="Z25" i="515"/>
  <c r="Z27" i="515"/>
  <c r="Z28" i="515"/>
  <c r="Z29" i="515"/>
  <c r="Z30" i="515"/>
  <c r="Z31" i="515"/>
  <c r="Z33" i="515"/>
  <c r="Z35" i="515"/>
  <c r="Z39" i="515"/>
  <c r="Z41" i="515"/>
  <c r="Z43" i="515"/>
  <c r="Z47" i="515"/>
  <c r="Z49" i="515"/>
  <c r="Z51" i="515"/>
  <c r="Z55" i="515"/>
  <c r="O9" i="515"/>
  <c r="O10" i="515"/>
  <c r="O14" i="515"/>
  <c r="O17" i="515"/>
  <c r="O18" i="515"/>
  <c r="O20" i="515"/>
  <c r="O21" i="515"/>
  <c r="O22" i="515"/>
  <c r="O24" i="515"/>
  <c r="O25" i="515"/>
  <c r="O26" i="515"/>
  <c r="O28" i="515"/>
  <c r="O29" i="515"/>
  <c r="O30" i="515"/>
  <c r="O33" i="515"/>
  <c r="O35" i="515"/>
  <c r="O39" i="515"/>
  <c r="O41" i="515"/>
  <c r="O43" i="515"/>
  <c r="O47" i="515"/>
  <c r="O49" i="515"/>
  <c r="O51" i="515"/>
  <c r="O55" i="515"/>
  <c r="N4" i="39126"/>
  <c r="O32" i="515"/>
  <c r="AA33" i="39124"/>
  <c r="Z19" i="515"/>
  <c r="O53" i="515"/>
  <c r="AA54" i="39124"/>
  <c r="O45" i="515"/>
  <c r="D46" i="39124"/>
  <c r="O37" i="515"/>
  <c r="AA38" i="39124"/>
  <c r="O16" i="515"/>
  <c r="D17" i="39124"/>
  <c r="O13" i="515"/>
  <c r="D14" i="39124"/>
  <c r="AC20" i="515"/>
  <c r="AC16" i="515"/>
  <c r="AC19" i="515"/>
  <c r="O56" i="515"/>
  <c r="AA57" i="39124"/>
  <c r="O50" i="515"/>
  <c r="AA51" i="39124"/>
  <c r="O48" i="515"/>
  <c r="AA49" i="39124"/>
  <c r="AC49" i="515"/>
  <c r="O40" i="515"/>
  <c r="AA41" i="39124"/>
  <c r="Z44" i="515"/>
  <c r="O36" i="515"/>
  <c r="AA37" i="39124"/>
  <c r="AE57" i="515"/>
  <c r="O54" i="515"/>
  <c r="AA55" i="39124"/>
  <c r="O52" i="515"/>
  <c r="D53" i="39124"/>
  <c r="O46" i="515"/>
  <c r="AA47" i="39124"/>
  <c r="O42" i="515"/>
  <c r="AA43" i="39124"/>
  <c r="O38" i="515"/>
  <c r="AA39" i="39124"/>
  <c r="O34" i="515"/>
  <c r="AA35" i="39124"/>
  <c r="O12" i="515"/>
  <c r="D13" i="39124"/>
  <c r="O8" i="515"/>
  <c r="AA9" i="39124"/>
  <c r="Z34" i="515"/>
  <c r="Z15" i="515"/>
  <c r="Z12" i="515"/>
  <c r="AC30" i="515"/>
  <c r="D57" i="39124"/>
  <c r="D56" i="39124"/>
  <c r="AA56" i="39124"/>
  <c r="D54" i="39124"/>
  <c r="D52" i="39124"/>
  <c r="AA52" i="39124"/>
  <c r="D50" i="39124"/>
  <c r="AA50" i="39124"/>
  <c r="D49" i="39124"/>
  <c r="D48" i="39124"/>
  <c r="AA48" i="39124"/>
  <c r="D45" i="39124"/>
  <c r="AA45" i="39124"/>
  <c r="D44" i="39124"/>
  <c r="AA44" i="39124"/>
  <c r="D42" i="39124"/>
  <c r="AA42" i="39124"/>
  <c r="D40" i="39124"/>
  <c r="AA40" i="39124"/>
  <c r="D36" i="39124"/>
  <c r="AA36" i="39124"/>
  <c r="D34" i="39124"/>
  <c r="AA34" i="39124"/>
  <c r="D33" i="39124"/>
  <c r="D32" i="39124"/>
  <c r="AA32" i="39124"/>
  <c r="D31" i="39124"/>
  <c r="AA31" i="39124"/>
  <c r="D30" i="39124"/>
  <c r="AA30" i="39124"/>
  <c r="D29" i="39124"/>
  <c r="AA29" i="39124"/>
  <c r="D28" i="39124"/>
  <c r="AA28" i="39124"/>
  <c r="D27" i="39124"/>
  <c r="AA27" i="39124"/>
  <c r="D26" i="39124"/>
  <c r="AA26" i="39124"/>
  <c r="D25" i="39124"/>
  <c r="AA25" i="39124"/>
  <c r="D24" i="39124"/>
  <c r="AA24" i="39124"/>
  <c r="D23" i="39124"/>
  <c r="AA23" i="39124"/>
  <c r="D22" i="39124"/>
  <c r="AA22" i="39124"/>
  <c r="D21" i="39124"/>
  <c r="AA21" i="39124"/>
  <c r="D20" i="39124"/>
  <c r="AA20" i="39124"/>
  <c r="D19" i="39124"/>
  <c r="AA19" i="39124"/>
  <c r="D18" i="39124"/>
  <c r="AA18" i="39124"/>
  <c r="AA17" i="39124"/>
  <c r="D16" i="39124"/>
  <c r="AA16" i="39124"/>
  <c r="D15" i="39124"/>
  <c r="AA15" i="39124"/>
  <c r="D12" i="39124"/>
  <c r="AA12" i="39124"/>
  <c r="D11" i="39124"/>
  <c r="AA11" i="39124"/>
  <c r="D10" i="39124"/>
  <c r="AA10" i="39124"/>
  <c r="AC56" i="515"/>
  <c r="AC55" i="515"/>
  <c r="AC54" i="515"/>
  <c r="AC53" i="515"/>
  <c r="AC52" i="515"/>
  <c r="AC51" i="515"/>
  <c r="AC50" i="515"/>
  <c r="AC48" i="515"/>
  <c r="AC47" i="515"/>
  <c r="AC46" i="515"/>
  <c r="AC45" i="515"/>
  <c r="AC44" i="515"/>
  <c r="AC43" i="515"/>
  <c r="AC42" i="515"/>
  <c r="AC41" i="515"/>
  <c r="AC40" i="515"/>
  <c r="AC39" i="515"/>
  <c r="AC38" i="515"/>
  <c r="AC37" i="515"/>
  <c r="AC36" i="515"/>
  <c r="AC35" i="515"/>
  <c r="AC34" i="515"/>
  <c r="AC33" i="515"/>
  <c r="AC32" i="515"/>
  <c r="AC31" i="515"/>
  <c r="AC29" i="515"/>
  <c r="AC28" i="515"/>
  <c r="AC27" i="515"/>
  <c r="AC26" i="515"/>
  <c r="AC25" i="515"/>
  <c r="AC24" i="515"/>
  <c r="AC23" i="515"/>
  <c r="AC22" i="515"/>
  <c r="AC21" i="515"/>
  <c r="AC18" i="515"/>
  <c r="AC17" i="515"/>
  <c r="AC15" i="515"/>
  <c r="AC14" i="515"/>
  <c r="AC13" i="515"/>
  <c r="AC12" i="515"/>
  <c r="AC11" i="515"/>
  <c r="AC10" i="515"/>
  <c r="AC9" i="515"/>
  <c r="AC8" i="515"/>
  <c r="AA14" i="39124"/>
  <c r="D38" i="39124"/>
  <c r="D51" i="39124"/>
  <c r="D9" i="39124"/>
  <c r="AA46" i="39124"/>
  <c r="D39" i="39124"/>
  <c r="D35" i="39124"/>
  <c r="AA13" i="39124"/>
  <c r="D37" i="39124"/>
  <c r="D41" i="39124"/>
  <c r="D47" i="39124"/>
  <c r="D55" i="39124"/>
  <c r="D43" i="39124"/>
  <c r="AA53" i="39124"/>
  <c r="P7" i="515"/>
  <c r="AU7" i="515"/>
  <c r="AH7" i="515"/>
  <c r="AG7" i="515"/>
  <c r="AI7" i="515"/>
  <c r="AJ7" i="515"/>
  <c r="AR7" i="515"/>
  <c r="BJ7" i="515"/>
  <c r="BK7" i="515"/>
  <c r="BL7" i="515"/>
  <c r="AE8" i="39124"/>
  <c r="BO7" i="515"/>
  <c r="E8" i="39124"/>
  <c r="AW7" i="515"/>
  <c r="AV7" i="515"/>
  <c r="AP7" i="515"/>
  <c r="R7" i="515"/>
  <c r="BP7" i="515"/>
  <c r="BN7" i="515"/>
  <c r="AX7" i="515"/>
  <c r="G8" i="39124"/>
  <c r="AM8" i="39124"/>
  <c r="BI7" i="515"/>
  <c r="BM7" i="515"/>
  <c r="BH7" i="515"/>
  <c r="AQ7" i="515"/>
  <c r="AU8" i="515"/>
  <c r="AJ8" i="515"/>
  <c r="AI8" i="515"/>
  <c r="AH8" i="515"/>
  <c r="AG8" i="515"/>
  <c r="AR8" i="515"/>
  <c r="P8" i="515"/>
  <c r="BJ8" i="515"/>
  <c r="BL8" i="515"/>
  <c r="BK8" i="515"/>
  <c r="AW8" i="515"/>
  <c r="AP8" i="515"/>
  <c r="AV8" i="515"/>
  <c r="R8" i="515"/>
  <c r="E9" i="39124"/>
  <c r="AE9" i="39124"/>
  <c r="AX8" i="515"/>
  <c r="BO8" i="515"/>
  <c r="BP8" i="515"/>
  <c r="G9" i="39124"/>
  <c r="AM9" i="39124"/>
  <c r="BN8" i="515"/>
  <c r="BI8" i="515"/>
  <c r="BM8" i="515"/>
  <c r="BH8" i="515"/>
  <c r="AQ8" i="515"/>
  <c r="AU9" i="515"/>
  <c r="AR9" i="515"/>
  <c r="AW9" i="515"/>
  <c r="AV9" i="515"/>
  <c r="AP9" i="515"/>
  <c r="R9" i="515"/>
  <c r="AX9" i="515"/>
  <c r="G10" i="39124"/>
  <c r="AM10" i="39124"/>
  <c r="BI9" i="515"/>
  <c r="BM9" i="515"/>
  <c r="BH9" i="515"/>
  <c r="AQ9" i="515"/>
  <c r="P9" i="515"/>
  <c r="AE10" i="39124"/>
  <c r="E10" i="39124"/>
  <c r="BL9" i="515"/>
  <c r="BP9" i="515"/>
  <c r="BK9" i="515"/>
  <c r="BO9" i="515"/>
  <c r="BJ9" i="515"/>
  <c r="BN9" i="515"/>
  <c r="AG9" i="515"/>
  <c r="AJ9" i="515"/>
  <c r="AH9" i="515"/>
  <c r="AI9" i="515"/>
  <c r="AU10" i="515"/>
  <c r="AR10" i="515"/>
  <c r="AX10" i="515"/>
  <c r="AV10" i="515"/>
  <c r="AP10" i="515"/>
  <c r="AW10" i="515"/>
  <c r="R10" i="515"/>
  <c r="G11" i="39124"/>
  <c r="AM11" i="39124"/>
  <c r="BI10" i="515"/>
  <c r="BM10" i="515"/>
  <c r="BH10" i="515"/>
  <c r="AQ10" i="515"/>
  <c r="BJ10" i="515"/>
  <c r="BN10" i="515"/>
  <c r="P10" i="515"/>
  <c r="BL10" i="515"/>
  <c r="BP10" i="515"/>
  <c r="BK10" i="515"/>
  <c r="BO10" i="515"/>
  <c r="E11" i="39124"/>
  <c r="AE11" i="39124"/>
  <c r="AJ10" i="515"/>
  <c r="AH10" i="515"/>
  <c r="AG10" i="515"/>
  <c r="AI10" i="515"/>
  <c r="AU19" i="515"/>
  <c r="AU32" i="515"/>
  <c r="AU45" i="515"/>
  <c r="AU37" i="515"/>
  <c r="AU49" i="515"/>
  <c r="AU35" i="515"/>
  <c r="AU52" i="515"/>
  <c r="AU25" i="515"/>
  <c r="AU56" i="515"/>
  <c r="AU24" i="515"/>
  <c r="AR24" i="515"/>
  <c r="AU22" i="515"/>
  <c r="AU41" i="515"/>
  <c r="AU53" i="515"/>
  <c r="AR56" i="515"/>
  <c r="AR52" i="515"/>
  <c r="AX52" i="515"/>
  <c r="AR41" i="515"/>
  <c r="AR37" i="515"/>
  <c r="AR19" i="515"/>
  <c r="AX19" i="515"/>
  <c r="AR35" i="515"/>
  <c r="AX35" i="515"/>
  <c r="AR22" i="515"/>
  <c r="AX22" i="515"/>
  <c r="AR45" i="515"/>
  <c r="AX45" i="515"/>
  <c r="AR32" i="515"/>
  <c r="AX32" i="515"/>
  <c r="BL51" i="515"/>
  <c r="AU20" i="515"/>
  <c r="P14" i="515"/>
  <c r="AU39" i="515"/>
  <c r="AU28" i="515"/>
  <c r="AU26" i="515"/>
  <c r="AU40" i="515"/>
  <c r="AU46" i="515"/>
  <c r="AU48" i="515"/>
  <c r="AU44" i="515"/>
  <c r="AU16" i="515"/>
  <c r="AU29" i="515"/>
  <c r="AU47" i="515"/>
  <c r="AU18" i="515"/>
  <c r="AU34" i="515"/>
  <c r="AU55" i="515"/>
  <c r="AU36" i="515"/>
  <c r="AR25" i="515"/>
  <c r="AR49" i="515"/>
  <c r="AU33" i="515"/>
  <c r="AU43" i="515"/>
  <c r="AU23" i="515"/>
  <c r="AR53" i="515"/>
  <c r="AX53" i="515"/>
  <c r="AU51" i="515"/>
  <c r="AU54" i="515"/>
  <c r="P32" i="515"/>
  <c r="AU13" i="515"/>
  <c r="AU12" i="515"/>
  <c r="AU11" i="515"/>
  <c r="AU38" i="515"/>
  <c r="AU17" i="515"/>
  <c r="P33" i="515"/>
  <c r="AU14" i="515"/>
  <c r="AU27" i="515"/>
  <c r="AU31" i="515"/>
  <c r="AU15" i="515"/>
  <c r="AU21" i="515"/>
  <c r="AU42" i="515"/>
  <c r="AU30" i="515"/>
  <c r="AU50" i="515"/>
  <c r="P45" i="515"/>
  <c r="AI47" i="515"/>
  <c r="AH47" i="515"/>
  <c r="AJ47" i="515"/>
  <c r="AG47" i="515"/>
  <c r="AG35" i="515"/>
  <c r="AH35" i="515"/>
  <c r="AI35" i="515"/>
  <c r="AJ35" i="515"/>
  <c r="P35" i="515"/>
  <c r="BL14" i="515"/>
  <c r="BK14" i="515"/>
  <c r="BO14" i="515"/>
  <c r="AG40" i="515"/>
  <c r="AJ40" i="515"/>
  <c r="AH40" i="515"/>
  <c r="AI40" i="515"/>
  <c r="AJ24" i="515"/>
  <c r="AG14" i="515"/>
  <c r="AH14" i="515"/>
  <c r="AI14" i="515"/>
  <c r="AJ14" i="515"/>
  <c r="AI17" i="515"/>
  <c r="AH17" i="515"/>
  <c r="AJ17" i="515"/>
  <c r="AG17" i="515"/>
  <c r="AI54" i="515"/>
  <c r="AH54" i="515"/>
  <c r="AJ54" i="515"/>
  <c r="AG54" i="515"/>
  <c r="AI28" i="515"/>
  <c r="AJ28" i="515"/>
  <c r="AG28" i="515"/>
  <c r="AH28" i="515"/>
  <c r="AI55" i="515"/>
  <c r="AH55" i="515"/>
  <c r="AJ55" i="515"/>
  <c r="AG55" i="515"/>
  <c r="AJ15" i="515"/>
  <c r="AI15" i="515"/>
  <c r="AH15" i="515"/>
  <c r="AG15" i="515"/>
  <c r="AI41" i="515"/>
  <c r="AJ41" i="515"/>
  <c r="AG41" i="515"/>
  <c r="AH41" i="515"/>
  <c r="AI38" i="515"/>
  <c r="AH38" i="515"/>
  <c r="AJ38" i="515"/>
  <c r="AG38" i="515"/>
  <c r="AH12" i="515"/>
  <c r="AG12" i="515"/>
  <c r="AJ12" i="515"/>
  <c r="AI12" i="515"/>
  <c r="AI31" i="515"/>
  <c r="AH31" i="515"/>
  <c r="AJ31" i="515"/>
  <c r="AG31" i="515"/>
  <c r="AI39" i="515"/>
  <c r="AH39" i="515"/>
  <c r="AJ39" i="515"/>
  <c r="AG39" i="515"/>
  <c r="AI30" i="515"/>
  <c r="AH30" i="515"/>
  <c r="AJ30" i="515"/>
  <c r="AG30" i="515"/>
  <c r="AI46" i="515"/>
  <c r="AH46" i="515"/>
  <c r="AJ46" i="515"/>
  <c r="AG46" i="515"/>
  <c r="AJ42" i="515"/>
  <c r="AG42" i="515"/>
  <c r="AI42" i="515"/>
  <c r="AH42" i="515"/>
  <c r="AG29" i="515"/>
  <c r="AH29" i="515"/>
  <c r="AI29" i="515"/>
  <c r="AJ29" i="515"/>
  <c r="AG48" i="515"/>
  <c r="AH48" i="515"/>
  <c r="AI48" i="515"/>
  <c r="AJ48" i="515"/>
  <c r="AJ34" i="515"/>
  <c r="AG34" i="515"/>
  <c r="AI34" i="515"/>
  <c r="AH34" i="515"/>
  <c r="AJ20" i="515"/>
  <c r="AG20" i="515"/>
  <c r="AI20" i="515"/>
  <c r="AH20" i="515"/>
  <c r="AG18" i="515"/>
  <c r="AH18" i="515"/>
  <c r="AI18" i="515"/>
  <c r="AJ18" i="515"/>
  <c r="AG45" i="515"/>
  <c r="AH45" i="515"/>
  <c r="AI45" i="515"/>
  <c r="AJ45" i="515"/>
  <c r="AI19" i="515"/>
  <c r="AJ19" i="515"/>
  <c r="AG19" i="515"/>
  <c r="AH19" i="515"/>
  <c r="AG32" i="515"/>
  <c r="AH32" i="515"/>
  <c r="AI32" i="515"/>
  <c r="AJ32" i="515"/>
  <c r="AG37" i="515"/>
  <c r="AH37" i="515"/>
  <c r="AI37" i="515"/>
  <c r="AJ37" i="515"/>
  <c r="AG53" i="515"/>
  <c r="AH53" i="515"/>
  <c r="AI53" i="515"/>
  <c r="AJ53" i="515"/>
  <c r="AI49" i="515"/>
  <c r="AJ49" i="515"/>
  <c r="AG49" i="515"/>
  <c r="AH49" i="515"/>
  <c r="AI52" i="515"/>
  <c r="AJ52" i="515"/>
  <c r="AG52" i="515"/>
  <c r="AH52" i="515"/>
  <c r="AI33" i="515"/>
  <c r="AJ33" i="515"/>
  <c r="AG33" i="515"/>
  <c r="AH33" i="515"/>
  <c r="AI36" i="515"/>
  <c r="AJ36" i="515"/>
  <c r="AG36" i="515"/>
  <c r="AH36" i="515"/>
  <c r="AG56" i="515"/>
  <c r="AH56" i="515"/>
  <c r="AI56" i="515"/>
  <c r="AJ56" i="515"/>
  <c r="AG11" i="515"/>
  <c r="AI11" i="515"/>
  <c r="AH11" i="515"/>
  <c r="AJ11" i="515"/>
  <c r="AJ27" i="515"/>
  <c r="AG27" i="515"/>
  <c r="AI27" i="515"/>
  <c r="AH27" i="515"/>
  <c r="AI16" i="515"/>
  <c r="AH16" i="515"/>
  <c r="AJ16" i="515"/>
  <c r="AG16" i="515"/>
  <c r="AI44" i="515"/>
  <c r="AJ44" i="515"/>
  <c r="AG44" i="515"/>
  <c r="AH44" i="515"/>
  <c r="AJ51" i="515"/>
  <c r="AG51" i="515"/>
  <c r="AI51" i="515"/>
  <c r="AH51" i="515"/>
  <c r="AJ43" i="515"/>
  <c r="AG43" i="515"/>
  <c r="AI43" i="515"/>
  <c r="AH43" i="515"/>
  <c r="AJ50" i="515"/>
  <c r="AG50" i="515"/>
  <c r="AI50" i="515"/>
  <c r="AH50" i="515"/>
  <c r="AH22" i="515"/>
  <c r="AI22" i="515"/>
  <c r="AG22" i="515"/>
  <c r="AJ22" i="515"/>
  <c r="AH26" i="515"/>
  <c r="AI26" i="515"/>
  <c r="AG26" i="515"/>
  <c r="AJ26" i="515"/>
  <c r="AH24" i="515"/>
  <c r="AG24" i="515"/>
  <c r="AG21" i="515"/>
  <c r="AJ21" i="515"/>
  <c r="AH21" i="515"/>
  <c r="AI21" i="515"/>
  <c r="AG25" i="515"/>
  <c r="AJ25" i="515"/>
  <c r="AH25" i="515"/>
  <c r="AI25" i="515"/>
  <c r="AH23" i="515"/>
  <c r="AI23" i="515"/>
  <c r="AG23" i="515"/>
  <c r="AJ23" i="515"/>
  <c r="AI24" i="515"/>
  <c r="AJ13" i="515"/>
  <c r="AG13" i="515"/>
  <c r="AI13" i="515"/>
  <c r="AH13" i="515"/>
  <c r="AW24" i="515"/>
  <c r="R24" i="515"/>
  <c r="AP24" i="515"/>
  <c r="AV24" i="515"/>
  <c r="P53" i="515"/>
  <c r="E54" i="39124"/>
  <c r="P41" i="515"/>
  <c r="AE42" i="39124"/>
  <c r="P13" i="515"/>
  <c r="E14" i="39124"/>
  <c r="E36" i="39124"/>
  <c r="AE36" i="39124"/>
  <c r="E42" i="39124"/>
  <c r="AR42" i="515"/>
  <c r="AX42" i="515"/>
  <c r="AR21" i="515"/>
  <c r="P39" i="515"/>
  <c r="BL33" i="515"/>
  <c r="BP33" i="515"/>
  <c r="AR17" i="515"/>
  <c r="AX17" i="515"/>
  <c r="AR12" i="515"/>
  <c r="P40" i="515"/>
  <c r="P42" i="515"/>
  <c r="E33" i="39124"/>
  <c r="AE33" i="39124"/>
  <c r="P18" i="515"/>
  <c r="AR54" i="515"/>
  <c r="AX54" i="515"/>
  <c r="BP51" i="515"/>
  <c r="AR51" i="515"/>
  <c r="AR23" i="515"/>
  <c r="AX23" i="515"/>
  <c r="P22" i="515"/>
  <c r="AR33" i="515"/>
  <c r="AX33" i="515"/>
  <c r="AW49" i="515"/>
  <c r="AV49" i="515"/>
  <c r="AP49" i="515"/>
  <c r="R49" i="515"/>
  <c r="AR36" i="515"/>
  <c r="AX36" i="515"/>
  <c r="AY46" i="515"/>
  <c r="BB46" i="515"/>
  <c r="AY12" i="515"/>
  <c r="BB12" i="515"/>
  <c r="AY8" i="515"/>
  <c r="AZ55" i="515"/>
  <c r="BC55" i="515"/>
  <c r="AY22" i="515"/>
  <c r="BB22" i="515"/>
  <c r="AZ35" i="515"/>
  <c r="BC35" i="515"/>
  <c r="BA38" i="515"/>
  <c r="BD38" i="515"/>
  <c r="AY17" i="515"/>
  <c r="BB17" i="515"/>
  <c r="BA51" i="515"/>
  <c r="BD51" i="515"/>
  <c r="AY33" i="515"/>
  <c r="BB33" i="515"/>
  <c r="AY38" i="515"/>
  <c r="BB38" i="515"/>
  <c r="AZ45" i="515"/>
  <c r="BC45" i="515"/>
  <c r="AZ33" i="515"/>
  <c r="BC33" i="515"/>
  <c r="BA25" i="515"/>
  <c r="BA18" i="515"/>
  <c r="BD18" i="515"/>
  <c r="AY9" i="515"/>
  <c r="BA39" i="515"/>
  <c r="BD39" i="515"/>
  <c r="BA54" i="515"/>
  <c r="BD54" i="515"/>
  <c r="BA10" i="515"/>
  <c r="AZ19" i="515"/>
  <c r="BC19" i="515"/>
  <c r="BA40" i="515"/>
  <c r="BD40" i="515"/>
  <c r="AY23" i="515"/>
  <c r="BB23" i="515"/>
  <c r="BA13" i="515"/>
  <c r="BD13" i="515"/>
  <c r="AZ23" i="515"/>
  <c r="BC23" i="515"/>
  <c r="BA16" i="515"/>
  <c r="BD16" i="515"/>
  <c r="BA45" i="515"/>
  <c r="BD45" i="515"/>
  <c r="AY20" i="515"/>
  <c r="BB20" i="515"/>
  <c r="AZ15" i="515"/>
  <c r="BC15" i="515"/>
  <c r="AY47" i="515"/>
  <c r="BB47" i="515"/>
  <c r="AY35" i="515"/>
  <c r="BB35" i="515"/>
  <c r="AZ26" i="515"/>
  <c r="BC26" i="515"/>
  <c r="BA46" i="515"/>
  <c r="BD46" i="515"/>
  <c r="AY51" i="515"/>
  <c r="BB51" i="515"/>
  <c r="AZ42" i="515"/>
  <c r="BC42" i="515"/>
  <c r="AZ47" i="515"/>
  <c r="BC47" i="515"/>
  <c r="AY52" i="515"/>
  <c r="BB52" i="515"/>
  <c r="AY18" i="515"/>
  <c r="BB18" i="515"/>
  <c r="AY34" i="515"/>
  <c r="BB34" i="515"/>
  <c r="AY14" i="515"/>
  <c r="BB14" i="515"/>
  <c r="BA35" i="515"/>
  <c r="BD35" i="515"/>
  <c r="AZ53" i="515"/>
  <c r="BC53" i="515"/>
  <c r="AY54" i="515"/>
  <c r="BB54" i="515"/>
  <c r="AZ34" i="515"/>
  <c r="BC34" i="515"/>
  <c r="AY31" i="515"/>
  <c r="BB31" i="515"/>
  <c r="AY36" i="515"/>
  <c r="BB36" i="515"/>
  <c r="AY48" i="515"/>
  <c r="BB48" i="515"/>
  <c r="AZ22" i="515"/>
  <c r="BC22" i="515"/>
  <c r="AY16" i="515"/>
  <c r="BB16" i="515"/>
  <c r="AY56" i="515"/>
  <c r="BB56" i="515"/>
  <c r="BA33" i="515"/>
  <c r="BD33" i="515"/>
  <c r="BA47" i="515"/>
  <c r="BD47" i="515"/>
  <c r="BA15" i="515"/>
  <c r="BD15" i="515"/>
  <c r="AZ10" i="515"/>
  <c r="AY41" i="515"/>
  <c r="BB41" i="515"/>
  <c r="BA52" i="515"/>
  <c r="BD52" i="515"/>
  <c r="AY27" i="515"/>
  <c r="BB27" i="515"/>
  <c r="AZ29" i="515"/>
  <c r="BC29" i="515"/>
  <c r="AZ36" i="515"/>
  <c r="BC36" i="515"/>
  <c r="AZ41" i="515"/>
  <c r="BC41" i="515"/>
  <c r="AZ31" i="515"/>
  <c r="BC31" i="515"/>
  <c r="BA49" i="515"/>
  <c r="BD49" i="515"/>
  <c r="BA48" i="515"/>
  <c r="BD48" i="515"/>
  <c r="AY42" i="515"/>
  <c r="BB42" i="515"/>
  <c r="AY21" i="515"/>
  <c r="BB21" i="515"/>
  <c r="BA37" i="515"/>
  <c r="AZ28" i="515"/>
  <c r="BC28" i="515"/>
  <c r="BA30" i="515"/>
  <c r="BD30" i="515"/>
  <c r="AY37" i="515"/>
  <c r="BB37" i="515"/>
  <c r="BA8" i="515"/>
  <c r="AZ13" i="515"/>
  <c r="BC13" i="515"/>
  <c r="AY39" i="515"/>
  <c r="BB39" i="515"/>
  <c r="AY19" i="515"/>
  <c r="BB19" i="515"/>
  <c r="BA9" i="515"/>
  <c r="AZ27" i="515"/>
  <c r="BC27" i="515"/>
  <c r="AZ21" i="515"/>
  <c r="BC21" i="515"/>
  <c r="BA17" i="515"/>
  <c r="BD17" i="515"/>
  <c r="AY53" i="515"/>
  <c r="BB53" i="515"/>
  <c r="AY25" i="515"/>
  <c r="BB25" i="515"/>
  <c r="BA23" i="515"/>
  <c r="BD23" i="515"/>
  <c r="BA21" i="515"/>
  <c r="BD21" i="515"/>
  <c r="AY45" i="515"/>
  <c r="BB45" i="515"/>
  <c r="AZ54" i="515"/>
  <c r="BC54" i="515"/>
  <c r="BA44" i="515"/>
  <c r="BD44" i="515"/>
  <c r="AY28" i="515"/>
  <c r="BB28" i="515"/>
  <c r="AZ49" i="515"/>
  <c r="BC49" i="515"/>
  <c r="BA29" i="515"/>
  <c r="BD29" i="515"/>
  <c r="AZ16" i="515"/>
  <c r="BC16" i="515"/>
  <c r="AY30" i="515"/>
  <c r="BB30" i="515"/>
  <c r="BA50" i="515"/>
  <c r="BD50" i="515"/>
  <c r="BA32" i="515"/>
  <c r="BD32" i="515"/>
  <c r="AZ32" i="515"/>
  <c r="BC32" i="515"/>
  <c r="AZ50" i="515"/>
  <c r="BC50" i="515"/>
  <c r="BA12" i="515"/>
  <c r="BD12" i="515"/>
  <c r="AY26" i="515"/>
  <c r="BB26" i="515"/>
  <c r="BA7" i="515"/>
  <c r="AZ18" i="515"/>
  <c r="BC18" i="515"/>
  <c r="AZ30" i="515"/>
  <c r="BC30" i="515"/>
  <c r="BA28" i="515"/>
  <c r="BD28" i="515"/>
  <c r="AY29" i="515"/>
  <c r="BB29" i="515"/>
  <c r="AY49" i="515"/>
  <c r="BB49" i="515"/>
  <c r="AY10" i="515"/>
  <c r="AY24" i="515"/>
  <c r="BA11" i="515"/>
  <c r="BD11" i="515"/>
  <c r="BA42" i="515"/>
  <c r="BD42" i="515"/>
  <c r="AY50" i="515"/>
  <c r="BB50" i="515"/>
  <c r="AY11" i="515"/>
  <c r="BB11" i="515"/>
  <c r="BA27" i="515"/>
  <c r="BD27" i="515"/>
  <c r="BA26" i="515"/>
  <c r="BD26" i="515"/>
  <c r="BA56" i="515"/>
  <c r="BD56" i="515"/>
  <c r="BA24" i="515"/>
  <c r="BD24" i="515"/>
  <c r="BA41" i="515"/>
  <c r="BD41" i="515"/>
  <c r="AY55" i="515"/>
  <c r="BB55" i="515"/>
  <c r="BA19" i="515"/>
  <c r="BD19" i="515"/>
  <c r="AZ51" i="515"/>
  <c r="BC51" i="515"/>
  <c r="AY32" i="515"/>
  <c r="BB32" i="515"/>
  <c r="BA36" i="515"/>
  <c r="BD36" i="515"/>
  <c r="AY7" i="515"/>
  <c r="BA55" i="515"/>
  <c r="BD55" i="515"/>
  <c r="AZ43" i="515"/>
  <c r="BC43" i="515"/>
  <c r="AY40" i="515"/>
  <c r="BB40" i="515"/>
  <c r="AZ39" i="515"/>
  <c r="BC39" i="515"/>
  <c r="AZ25" i="515"/>
  <c r="BC25" i="515"/>
  <c r="AZ44" i="515"/>
  <c r="BC44" i="515"/>
  <c r="AZ9" i="515"/>
  <c r="AY43" i="515"/>
  <c r="BB43" i="515"/>
  <c r="AZ40" i="515"/>
  <c r="BC40" i="515"/>
  <c r="AZ52" i="515"/>
  <c r="BC52" i="515"/>
  <c r="BA31" i="515"/>
  <c r="BD31" i="515"/>
  <c r="AZ24" i="515"/>
  <c r="AZ38" i="515"/>
  <c r="BC38" i="515"/>
  <c r="BA14" i="515"/>
  <c r="BD14" i="515"/>
  <c r="AY13" i="515"/>
  <c r="BB13" i="515"/>
  <c r="AZ48" i="515"/>
  <c r="BC48" i="515"/>
  <c r="BA22" i="515"/>
  <c r="BD22" i="515"/>
  <c r="BA43" i="515"/>
  <c r="BD43" i="515"/>
  <c r="AZ20" i="515"/>
  <c r="BC20" i="515"/>
  <c r="AY15" i="515"/>
  <c r="BB15" i="515"/>
  <c r="AZ46" i="515"/>
  <c r="BC46" i="515"/>
  <c r="BA34" i="515"/>
  <c r="BD34" i="515"/>
  <c r="BA53" i="515"/>
  <c r="BD53" i="515"/>
  <c r="AZ11" i="515"/>
  <c r="BC11" i="515"/>
  <c r="AZ14" i="515"/>
  <c r="BC14" i="515"/>
  <c r="AY44" i="515"/>
  <c r="BB44" i="515"/>
  <c r="AZ8" i="515"/>
  <c r="AZ12" i="515"/>
  <c r="BC12" i="515"/>
  <c r="AZ17" i="515"/>
  <c r="BC17" i="515"/>
  <c r="AZ37" i="515"/>
  <c r="BC37" i="515"/>
  <c r="AZ56" i="515"/>
  <c r="BC56" i="515"/>
  <c r="BA20" i="515"/>
  <c r="BD20" i="515"/>
  <c r="AZ7" i="515"/>
  <c r="P56" i="515"/>
  <c r="BL56" i="515"/>
  <c r="BP56" i="515"/>
  <c r="BK56" i="515"/>
  <c r="BO56" i="515"/>
  <c r="AR55" i="515"/>
  <c r="AX55" i="515"/>
  <c r="E34" i="39124"/>
  <c r="AE34" i="39124"/>
  <c r="AR34" i="515"/>
  <c r="BG34" i="515"/>
  <c r="AR18" i="515"/>
  <c r="AX18" i="515"/>
  <c r="AR47" i="515"/>
  <c r="BG47" i="515"/>
  <c r="AR29" i="515"/>
  <c r="AX29" i="515"/>
  <c r="AR16" i="515"/>
  <c r="AX16" i="515"/>
  <c r="AR44" i="515"/>
  <c r="AR48" i="515"/>
  <c r="AX48" i="515"/>
  <c r="AR46" i="515"/>
  <c r="AX46" i="515"/>
  <c r="AR26" i="515"/>
  <c r="AX26" i="515"/>
  <c r="AR28" i="515"/>
  <c r="AX28" i="515"/>
  <c r="P11" i="515"/>
  <c r="BK32" i="515"/>
  <c r="BO32" i="515"/>
  <c r="BL32" i="515"/>
  <c r="BP32" i="515"/>
  <c r="BJ32" i="515"/>
  <c r="BN32" i="515"/>
  <c r="E15" i="39124"/>
  <c r="AE15" i="39124"/>
  <c r="AR20" i="515"/>
  <c r="AX20" i="515"/>
  <c r="AP32" i="515"/>
  <c r="AW32" i="515"/>
  <c r="AV32" i="515"/>
  <c r="BF32" i="515"/>
  <c r="R32" i="515"/>
  <c r="AW35" i="515"/>
  <c r="AV35" i="515"/>
  <c r="AP35" i="515"/>
  <c r="R35" i="515"/>
  <c r="BF35" i="515"/>
  <c r="AW19" i="515"/>
  <c r="AP19" i="515"/>
  <c r="BE19" i="515"/>
  <c r="AV19" i="515"/>
  <c r="R19" i="515"/>
  <c r="BE37" i="515"/>
  <c r="AP37" i="515"/>
  <c r="AV37" i="515"/>
  <c r="AW37" i="515"/>
  <c r="R37" i="515"/>
  <c r="AP52" i="515"/>
  <c r="AV52" i="515"/>
  <c r="AW52" i="515"/>
  <c r="BE52" i="515"/>
  <c r="R52" i="515"/>
  <c r="AP56" i="515"/>
  <c r="AV56" i="515"/>
  <c r="AW56" i="515"/>
  <c r="R56" i="515"/>
  <c r="P19" i="515"/>
  <c r="P52" i="515"/>
  <c r="AX49" i="515"/>
  <c r="P15" i="515"/>
  <c r="BP14" i="515"/>
  <c r="P31" i="515"/>
  <c r="AX37" i="515"/>
  <c r="BG56" i="515"/>
  <c r="AR50" i="515"/>
  <c r="BK30" i="515"/>
  <c r="BO30" i="515"/>
  <c r="AR15" i="515"/>
  <c r="AX15" i="515"/>
  <c r="P48" i="515"/>
  <c r="P17" i="515"/>
  <c r="P46" i="515"/>
  <c r="AU57" i="515"/>
  <c r="B22" i="39125"/>
  <c r="AR11" i="515"/>
  <c r="BG11" i="515"/>
  <c r="D4" i="868"/>
  <c r="P24" i="515"/>
  <c r="AR30" i="515"/>
  <c r="AX30" i="515"/>
  <c r="P37" i="515"/>
  <c r="P27" i="515"/>
  <c r="AR31" i="515"/>
  <c r="AR27" i="515"/>
  <c r="AX27" i="515"/>
  <c r="AR14" i="515"/>
  <c r="P49" i="515"/>
  <c r="E46" i="39124"/>
  <c r="AE46" i="39124"/>
  <c r="AR38" i="515"/>
  <c r="BG38" i="515"/>
  <c r="P16" i="515"/>
  <c r="AR13" i="515"/>
  <c r="AX13" i="515"/>
  <c r="P12" i="515"/>
  <c r="P47" i="515"/>
  <c r="BK47" i="515"/>
  <c r="BO47" i="515"/>
  <c r="BI45" i="515"/>
  <c r="BM45" i="515"/>
  <c r="BJ14" i="515"/>
  <c r="BN14" i="515"/>
  <c r="BI14" i="515"/>
  <c r="AV53" i="515"/>
  <c r="AW53" i="515"/>
  <c r="AP53" i="515"/>
  <c r="R53" i="515"/>
  <c r="BF53" i="515"/>
  <c r="AR43" i="515"/>
  <c r="P50" i="515"/>
  <c r="AP25" i="515"/>
  <c r="AV25" i="515"/>
  <c r="AW25" i="515"/>
  <c r="R25" i="515"/>
  <c r="P26" i="515"/>
  <c r="BL25" i="515"/>
  <c r="BP25" i="515"/>
  <c r="BJ25" i="515"/>
  <c r="BN25" i="515"/>
  <c r="P34" i="515"/>
  <c r="BJ33" i="515"/>
  <c r="BN33" i="515"/>
  <c r="P20" i="515"/>
  <c r="P51" i="515"/>
  <c r="BK51" i="515"/>
  <c r="BO51" i="515"/>
  <c r="P23" i="515"/>
  <c r="P29" i="515"/>
  <c r="BI32" i="515"/>
  <c r="BM32" i="515"/>
  <c r="P54" i="515"/>
  <c r="AR40" i="515"/>
  <c r="BK43" i="515"/>
  <c r="BO43" i="515"/>
  <c r="P43" i="515"/>
  <c r="P44" i="515"/>
  <c r="AX24" i="515"/>
  <c r="AR39" i="515"/>
  <c r="BG39" i="515"/>
  <c r="BJ13" i="515"/>
  <c r="BN13" i="515"/>
  <c r="AV45" i="515"/>
  <c r="AP45" i="515"/>
  <c r="AW45" i="515"/>
  <c r="R45" i="515"/>
  <c r="BF45" i="515"/>
  <c r="AP22" i="515"/>
  <c r="AW22" i="515"/>
  <c r="AV22" i="515"/>
  <c r="R22" i="515"/>
  <c r="BF22" i="515"/>
  <c r="AV41" i="515"/>
  <c r="BE41" i="515"/>
  <c r="AW41" i="515"/>
  <c r="AP41" i="515"/>
  <c r="R41" i="515"/>
  <c r="P38" i="515"/>
  <c r="BG49" i="515"/>
  <c r="AX25" i="515"/>
  <c r="BK33" i="515"/>
  <c r="BO33" i="515"/>
  <c r="P55" i="515"/>
  <c r="P21" i="515"/>
  <c r="BG45" i="515"/>
  <c r="P28" i="515"/>
  <c r="AX41" i="515"/>
  <c r="P25" i="515"/>
  <c r="P36" i="515"/>
  <c r="P30" i="515"/>
  <c r="AX56" i="515"/>
  <c r="BJ45" i="515"/>
  <c r="BN45" i="515"/>
  <c r="BL35" i="515"/>
  <c r="BP35" i="515"/>
  <c r="BL43" i="515"/>
  <c r="BP43" i="515"/>
  <c r="BL54" i="515"/>
  <c r="BP54" i="515"/>
  <c r="BJ36" i="515"/>
  <c r="BN36" i="515"/>
  <c r="BK45" i="515"/>
  <c r="BO45" i="515"/>
  <c r="BJ53" i="515"/>
  <c r="BN53" i="515"/>
  <c r="BL23" i="515"/>
  <c r="BP23" i="515"/>
  <c r="BK23" i="515"/>
  <c r="BO23" i="515"/>
  <c r="BG35" i="515"/>
  <c r="BF19" i="515"/>
  <c r="Q19" i="515"/>
  <c r="BE35" i="515"/>
  <c r="BE25" i="515"/>
  <c r="BG32" i="515"/>
  <c r="BL31" i="515"/>
  <c r="BP31" i="515"/>
  <c r="BK31" i="515"/>
  <c r="BO31" i="515"/>
  <c r="BK21" i="515"/>
  <c r="BO21" i="515"/>
  <c r="BJ28" i="515"/>
  <c r="BN28" i="515"/>
  <c r="BK41" i="515"/>
  <c r="BO41" i="515"/>
  <c r="BL28" i="515"/>
  <c r="BP28" i="515"/>
  <c r="BL52" i="515"/>
  <c r="BP52" i="515"/>
  <c r="BL41" i="515"/>
  <c r="BP41" i="515"/>
  <c r="BL15" i="515"/>
  <c r="BP15" i="515"/>
  <c r="BH45" i="515"/>
  <c r="AQ45" i="515"/>
  <c r="BL45" i="515"/>
  <c r="BP45" i="515"/>
  <c r="BK35" i="515"/>
  <c r="BO35" i="515"/>
  <c r="BL47" i="515"/>
  <c r="BP47" i="515"/>
  <c r="BL37" i="515"/>
  <c r="BP37" i="515"/>
  <c r="BK53" i="515"/>
  <c r="BO53" i="515"/>
  <c r="BK17" i="515"/>
  <c r="BO17" i="515"/>
  <c r="BJ30" i="515"/>
  <c r="BN30" i="515"/>
  <c r="BL21" i="515"/>
  <c r="BP21" i="515"/>
  <c r="BK40" i="515"/>
  <c r="BO40" i="515"/>
  <c r="BK25" i="515"/>
  <c r="BO25" i="515"/>
  <c r="BL40" i="515"/>
  <c r="BK24" i="515"/>
  <c r="BO24" i="515"/>
  <c r="BF41" i="515"/>
  <c r="Q41" i="515"/>
  <c r="M41" i="515"/>
  <c r="BE22" i="515"/>
  <c r="Q22" i="515"/>
  <c r="F23" i="39124"/>
  <c r="BE45" i="515"/>
  <c r="Q45" i="515"/>
  <c r="BE53" i="515"/>
  <c r="Q53" i="515"/>
  <c r="F54" i="39124"/>
  <c r="BG52" i="515"/>
  <c r="BE56" i="515"/>
  <c r="BF37" i="515"/>
  <c r="Q37" i="515"/>
  <c r="F38" i="39124"/>
  <c r="BG44" i="515"/>
  <c r="BL24" i="515"/>
  <c r="BJ24" i="515"/>
  <c r="BN24" i="515"/>
  <c r="BK13" i="515"/>
  <c r="BO13" i="515"/>
  <c r="BK52" i="515"/>
  <c r="BO52" i="515"/>
  <c r="BK54" i="515"/>
  <c r="BO54" i="515"/>
  <c r="BK34" i="515"/>
  <c r="BO34" i="515"/>
  <c r="BK50" i="515"/>
  <c r="BO50" i="515"/>
  <c r="BL12" i="515"/>
  <c r="BP12" i="515"/>
  <c r="BK12" i="515"/>
  <c r="BO12" i="515"/>
  <c r="BL30" i="515"/>
  <c r="BP30" i="515"/>
  <c r="BF25" i="515"/>
  <c r="AH57" i="515"/>
  <c r="AG57" i="515"/>
  <c r="BG43" i="515"/>
  <c r="BG19" i="515"/>
  <c r="BE32" i="515"/>
  <c r="Q32" i="515"/>
  <c r="AE14" i="39124"/>
  <c r="BK38" i="515"/>
  <c r="BO38" i="515"/>
  <c r="BL55" i="515"/>
  <c r="BP55" i="515"/>
  <c r="BL53" i="515"/>
  <c r="BP53" i="515"/>
  <c r="BL34" i="515"/>
  <c r="BP34" i="515"/>
  <c r="BL50" i="515"/>
  <c r="BP50" i="515"/>
  <c r="BK37" i="515"/>
  <c r="BO37" i="515"/>
  <c r="BL17" i="515"/>
  <c r="BP17" i="515"/>
  <c r="AI57" i="515"/>
  <c r="AJ57" i="515"/>
  <c r="BL19" i="515"/>
  <c r="BP19" i="515"/>
  <c r="BF52" i="515"/>
  <c r="Q52" i="515"/>
  <c r="AE54" i="39124"/>
  <c r="BG22" i="515"/>
  <c r="BG53" i="515"/>
  <c r="BG24" i="515"/>
  <c r="BF56" i="515"/>
  <c r="G25" i="39124"/>
  <c r="AM25" i="39124"/>
  <c r="BK28" i="515"/>
  <c r="BO28" i="515"/>
  <c r="BK15" i="515"/>
  <c r="BO15" i="515"/>
  <c r="BI13" i="515"/>
  <c r="BM13" i="515"/>
  <c r="BL13" i="515"/>
  <c r="BP13" i="515"/>
  <c r="BK19" i="515"/>
  <c r="BO19" i="515"/>
  <c r="Q56" i="515"/>
  <c r="BK55" i="515"/>
  <c r="BO55" i="515"/>
  <c r="BL36" i="515"/>
  <c r="BP36" i="515"/>
  <c r="BK36" i="515"/>
  <c r="BO36" i="515"/>
  <c r="Q35" i="515"/>
  <c r="F36" i="39124"/>
  <c r="BL38" i="515"/>
  <c r="BP38" i="515"/>
  <c r="BM14" i="515"/>
  <c r="I35" i="515"/>
  <c r="BG12" i="515"/>
  <c r="E37" i="39124"/>
  <c r="I36" i="515"/>
  <c r="AE37" i="39124"/>
  <c r="E39" i="39124"/>
  <c r="I38" i="515"/>
  <c r="AE39" i="39124"/>
  <c r="F42" i="39124"/>
  <c r="G23" i="39124"/>
  <c r="AM23" i="39124"/>
  <c r="BJ44" i="515"/>
  <c r="BN44" i="515"/>
  <c r="BJ43" i="515"/>
  <c r="BN43" i="515"/>
  <c r="AP40" i="515"/>
  <c r="AW40" i="515"/>
  <c r="BE40" i="515"/>
  <c r="AV40" i="515"/>
  <c r="R40" i="515"/>
  <c r="BF40" i="515"/>
  <c r="E55" i="39124"/>
  <c r="I54" i="515"/>
  <c r="AE55" i="39124"/>
  <c r="I29" i="515"/>
  <c r="E30" i="39124"/>
  <c r="AE30" i="39124"/>
  <c r="BJ23" i="515"/>
  <c r="BN23" i="515"/>
  <c r="I23" i="515"/>
  <c r="E24" i="39124"/>
  <c r="AE24" i="39124"/>
  <c r="BJ51" i="515"/>
  <c r="BN51" i="515"/>
  <c r="BI51" i="515"/>
  <c r="BM51" i="515"/>
  <c r="I20" i="515"/>
  <c r="E21" i="39124"/>
  <c r="AE21" i="39124"/>
  <c r="BJ26" i="515"/>
  <c r="BN26" i="515"/>
  <c r="G26" i="39124"/>
  <c r="AM26" i="39124"/>
  <c r="I50" i="515"/>
  <c r="E51" i="39124"/>
  <c r="AE51" i="39124"/>
  <c r="E48" i="39124"/>
  <c r="I47" i="515"/>
  <c r="AE48" i="39124"/>
  <c r="BJ12" i="515"/>
  <c r="BN12" i="515"/>
  <c r="E13" i="39124"/>
  <c r="I12" i="515"/>
  <c r="AE13" i="39124"/>
  <c r="I16" i="515"/>
  <c r="E17" i="39124"/>
  <c r="AE17" i="39124"/>
  <c r="E50" i="39124"/>
  <c r="I49" i="515"/>
  <c r="AE50" i="39124"/>
  <c r="AP14" i="515"/>
  <c r="AW14" i="515"/>
  <c r="BH14" i="515"/>
  <c r="AQ14" i="515"/>
  <c r="BE14" i="515"/>
  <c r="AV14" i="515"/>
  <c r="BF14" i="515"/>
  <c r="Q14" i="515"/>
  <c r="R14" i="515"/>
  <c r="AW31" i="515"/>
  <c r="AV31" i="515"/>
  <c r="AP31" i="515"/>
  <c r="BE31" i="515"/>
  <c r="BF31" i="515"/>
  <c r="R31" i="515"/>
  <c r="BJ27" i="515"/>
  <c r="BN27" i="515"/>
  <c r="I24" i="515"/>
  <c r="E25" i="39124"/>
  <c r="AE25" i="39124"/>
  <c r="D5" i="868"/>
  <c r="E4" i="868"/>
  <c r="BJ46" i="515"/>
  <c r="BN46" i="515"/>
  <c r="E47" i="39124"/>
  <c r="I46" i="515"/>
  <c r="AE47" i="39124"/>
  <c r="BJ48" i="515"/>
  <c r="BN48" i="515"/>
  <c r="AP50" i="515"/>
  <c r="AW50" i="515"/>
  <c r="AV50" i="515"/>
  <c r="BE50" i="515"/>
  <c r="R50" i="515"/>
  <c r="BF50" i="515"/>
  <c r="Q50" i="515"/>
  <c r="I31" i="515"/>
  <c r="E32" i="39124"/>
  <c r="AE32" i="39124"/>
  <c r="I15" i="515"/>
  <c r="E16" i="39124"/>
  <c r="AE16" i="39124"/>
  <c r="E53" i="39124"/>
  <c r="I52" i="515"/>
  <c r="AE53" i="39124"/>
  <c r="G57" i="39124"/>
  <c r="AM57" i="39124"/>
  <c r="G53" i="39124"/>
  <c r="AM53" i="39124"/>
  <c r="G38" i="39124"/>
  <c r="AM38" i="39124"/>
  <c r="G20" i="39124"/>
  <c r="AM20" i="39124"/>
  <c r="BE20" i="515"/>
  <c r="AW20" i="515"/>
  <c r="AP20" i="515"/>
  <c r="AV20" i="515"/>
  <c r="BF20" i="515"/>
  <c r="R20" i="515"/>
  <c r="BL11" i="515"/>
  <c r="BK11" i="515"/>
  <c r="AW28" i="515"/>
  <c r="AV28" i="515"/>
  <c r="AP28" i="515"/>
  <c r="BE28" i="515"/>
  <c r="R28" i="515"/>
  <c r="BF28" i="515"/>
  <c r="Q28" i="515"/>
  <c r="AW46" i="515"/>
  <c r="AP46" i="515"/>
  <c r="AV46" i="515"/>
  <c r="BE46" i="515"/>
  <c r="BF46" i="515"/>
  <c r="R46" i="515"/>
  <c r="AP44" i="515"/>
  <c r="AV44" i="515"/>
  <c r="AW44" i="515"/>
  <c r="BE44" i="515"/>
  <c r="BF44" i="515"/>
  <c r="R44" i="515"/>
  <c r="BE29" i="515"/>
  <c r="AV29" i="515"/>
  <c r="AW29" i="515"/>
  <c r="AP29" i="515"/>
  <c r="BF29" i="515"/>
  <c r="R29" i="515"/>
  <c r="BE18" i="515"/>
  <c r="AP18" i="515"/>
  <c r="AV18" i="515"/>
  <c r="AW18" i="515"/>
  <c r="BF18" i="515"/>
  <c r="Q18" i="515"/>
  <c r="R18" i="515"/>
  <c r="BI56" i="515"/>
  <c r="BJ56" i="515"/>
  <c r="BN56" i="515"/>
  <c r="E57" i="39124"/>
  <c r="I56" i="515"/>
  <c r="AE57" i="39124"/>
  <c r="BC24" i="515"/>
  <c r="BF24" i="515"/>
  <c r="B2" i="868"/>
  <c r="B27" i="39125"/>
  <c r="AY57" i="515"/>
  <c r="BB10" i="515"/>
  <c r="BE10" i="515"/>
  <c r="B4" i="868"/>
  <c r="B29" i="39125"/>
  <c r="BA57" i="515"/>
  <c r="BG9" i="515"/>
  <c r="BD9" i="515"/>
  <c r="BD8" i="515"/>
  <c r="BG8" i="515"/>
  <c r="BD37" i="515"/>
  <c r="BG37" i="515"/>
  <c r="BC10" i="515"/>
  <c r="BF10" i="515"/>
  <c r="BD10" i="515"/>
  <c r="BG10" i="515"/>
  <c r="BB8" i="515"/>
  <c r="BE8" i="515"/>
  <c r="G50" i="39124"/>
  <c r="AM50" i="39124"/>
  <c r="I22" i="515"/>
  <c r="E23" i="39124"/>
  <c r="AE23" i="39124"/>
  <c r="AW51" i="515"/>
  <c r="AP51" i="515"/>
  <c r="BE51" i="515"/>
  <c r="AV51" i="515"/>
  <c r="BH51" i="515"/>
  <c r="AQ51" i="515"/>
  <c r="BF51" i="515"/>
  <c r="R51" i="515"/>
  <c r="BE54" i="515"/>
  <c r="AW54" i="515"/>
  <c r="AP54" i="515"/>
  <c r="AV54" i="515"/>
  <c r="R54" i="515"/>
  <c r="BF54" i="515"/>
  <c r="BJ42" i="515"/>
  <c r="BN42" i="515"/>
  <c r="E43" i="39124"/>
  <c r="I42" i="515"/>
  <c r="AE43" i="39124"/>
  <c r="I40" i="515"/>
  <c r="E41" i="39124"/>
  <c r="AE41" i="39124"/>
  <c r="AW17" i="515"/>
  <c r="AV17" i="515"/>
  <c r="BE17" i="515"/>
  <c r="AP17" i="515"/>
  <c r="R17" i="515"/>
  <c r="BF17" i="515"/>
  <c r="BJ39" i="515"/>
  <c r="BN39" i="515"/>
  <c r="BE21" i="515"/>
  <c r="AP21" i="515"/>
  <c r="AV21" i="515"/>
  <c r="AW21" i="515"/>
  <c r="R21" i="515"/>
  <c r="BF21" i="515"/>
  <c r="BL44" i="515"/>
  <c r="BP44" i="515"/>
  <c r="BG40" i="515"/>
  <c r="BL29" i="515"/>
  <c r="BP29" i="515"/>
  <c r="BK20" i="515"/>
  <c r="BO20" i="515"/>
  <c r="BI33" i="515"/>
  <c r="BM33" i="515"/>
  <c r="BK26" i="515"/>
  <c r="BO26" i="515"/>
  <c r="BJ41" i="515"/>
  <c r="BN41" i="515"/>
  <c r="BK16" i="515"/>
  <c r="BO16" i="515"/>
  <c r="BJ52" i="515"/>
  <c r="BN52" i="515"/>
  <c r="BG14" i="515"/>
  <c r="AX31" i="515"/>
  <c r="BL27" i="515"/>
  <c r="BP27" i="515"/>
  <c r="BJ19" i="515"/>
  <c r="BN19" i="515"/>
  <c r="BK48" i="515"/>
  <c r="BO48" i="515"/>
  <c r="AX50" i="515"/>
  <c r="BH32" i="515"/>
  <c r="AQ32" i="515"/>
  <c r="BG20" i="515"/>
  <c r="I14" i="515"/>
  <c r="BG28" i="515"/>
  <c r="BG46" i="515"/>
  <c r="AX44" i="515"/>
  <c r="BG29" i="515"/>
  <c r="BG18" i="515"/>
  <c r="I33" i="515"/>
  <c r="BI25" i="515"/>
  <c r="BI35" i="515"/>
  <c r="BL22" i="515"/>
  <c r="BP22" i="515"/>
  <c r="AX51" i="515"/>
  <c r="BG54" i="515"/>
  <c r="BK18" i="515"/>
  <c r="BO18" i="515"/>
  <c r="BL18" i="515"/>
  <c r="I32" i="515"/>
  <c r="BG17" i="515"/>
  <c r="BK39" i="515"/>
  <c r="BO39" i="515"/>
  <c r="BG21" i="515"/>
  <c r="BG41" i="515"/>
  <c r="I53" i="515"/>
  <c r="E31" i="39124"/>
  <c r="I30" i="515"/>
  <c r="AE31" i="39124"/>
  <c r="I25" i="515"/>
  <c r="E26" i="39124"/>
  <c r="AE26" i="39124"/>
  <c r="I28" i="515"/>
  <c r="E29" i="39124"/>
  <c r="AE29" i="39124"/>
  <c r="I21" i="515"/>
  <c r="E22" i="39124"/>
  <c r="AE22" i="39124"/>
  <c r="E56" i="39124"/>
  <c r="I55" i="515"/>
  <c r="AE56" i="39124"/>
  <c r="G42" i="39124"/>
  <c r="AM42" i="39124"/>
  <c r="G46" i="39124"/>
  <c r="AM46" i="39124"/>
  <c r="AP39" i="515"/>
  <c r="AV39" i="515"/>
  <c r="AW39" i="515"/>
  <c r="BE39" i="515"/>
  <c r="R39" i="515"/>
  <c r="BF39" i="515"/>
  <c r="Q39" i="515"/>
  <c r="E45" i="39124"/>
  <c r="I44" i="515"/>
  <c r="AE45" i="39124"/>
  <c r="E44" i="39124"/>
  <c r="I43" i="515"/>
  <c r="AE44" i="39124"/>
  <c r="BJ54" i="515"/>
  <c r="BN54" i="515"/>
  <c r="BJ29" i="515"/>
  <c r="BN29" i="515"/>
  <c r="E52" i="39124"/>
  <c r="I51" i="515"/>
  <c r="AE52" i="39124"/>
  <c r="BJ20" i="515"/>
  <c r="BN20" i="515"/>
  <c r="I34" i="515"/>
  <c r="E35" i="39124"/>
  <c r="AE35" i="39124"/>
  <c r="BJ34" i="515"/>
  <c r="BN34" i="515"/>
  <c r="I26" i="515"/>
  <c r="E27" i="39124"/>
  <c r="AE27" i="39124"/>
  <c r="BJ50" i="515"/>
  <c r="BN50" i="515"/>
  <c r="AW43" i="515"/>
  <c r="AV43" i="515"/>
  <c r="BE43" i="515"/>
  <c r="AP43" i="515"/>
  <c r="R43" i="515"/>
  <c r="BF43" i="515"/>
  <c r="G54" i="39124"/>
  <c r="AM54" i="39124"/>
  <c r="BJ47" i="515"/>
  <c r="BN47" i="515"/>
  <c r="BI47" i="515"/>
  <c r="BM47" i="515"/>
  <c r="BE13" i="515"/>
  <c r="AP13" i="515"/>
  <c r="AV13" i="515"/>
  <c r="AW13" i="515"/>
  <c r="R13" i="515"/>
  <c r="BF13" i="515"/>
  <c r="BJ16" i="515"/>
  <c r="BN16" i="515"/>
  <c r="AV38" i="515"/>
  <c r="BE38" i="515"/>
  <c r="AP38" i="515"/>
  <c r="AW38" i="515"/>
  <c r="R38" i="515"/>
  <c r="BF38" i="515"/>
  <c r="Q38" i="515"/>
  <c r="BJ49" i="515"/>
  <c r="BN49" i="515"/>
  <c r="AV27" i="515"/>
  <c r="BE27" i="515"/>
  <c r="AW27" i="515"/>
  <c r="AP27" i="515"/>
  <c r="R27" i="515"/>
  <c r="BF27" i="515"/>
  <c r="I27" i="515"/>
  <c r="E28" i="39124"/>
  <c r="AE28" i="39124"/>
  <c r="BJ37" i="515"/>
  <c r="BN37" i="515"/>
  <c r="E38" i="39124"/>
  <c r="I37" i="515"/>
  <c r="AE38" i="39124"/>
  <c r="AP30" i="515"/>
  <c r="BE30" i="515"/>
  <c r="AV30" i="515"/>
  <c r="AW30" i="515"/>
  <c r="BF30" i="515"/>
  <c r="R30" i="515"/>
  <c r="AP11" i="515"/>
  <c r="AW11" i="515"/>
  <c r="B19" i="39125"/>
  <c r="AV11" i="515"/>
  <c r="BE11" i="515"/>
  <c r="AR57" i="515"/>
  <c r="AX57" i="515"/>
  <c r="BF11" i="515"/>
  <c r="Q11" i="515"/>
  <c r="R11" i="515"/>
  <c r="BJ17" i="515"/>
  <c r="BN17" i="515"/>
  <c r="I17" i="515"/>
  <c r="E18" i="39124"/>
  <c r="AE18" i="39124"/>
  <c r="E49" i="39124"/>
  <c r="I48" i="515"/>
  <c r="AE49" i="39124"/>
  <c r="AP15" i="515"/>
  <c r="AV15" i="515"/>
  <c r="AW15" i="515"/>
  <c r="BE15" i="515"/>
  <c r="R15" i="515"/>
  <c r="BF15" i="515"/>
  <c r="Q15" i="515"/>
  <c r="E20" i="39124"/>
  <c r="I19" i="515"/>
  <c r="AE20" i="39124"/>
  <c r="F57" i="39124"/>
  <c r="M56" i="515"/>
  <c r="AI57" i="39124"/>
  <c r="F53" i="39124"/>
  <c r="M52" i="515"/>
  <c r="AI53" i="39124"/>
  <c r="G36" i="39124"/>
  <c r="AM36" i="39124"/>
  <c r="G33" i="39124"/>
  <c r="AM33" i="39124"/>
  <c r="I8" i="515"/>
  <c r="I7" i="515"/>
  <c r="I10" i="515"/>
  <c r="I9" i="515"/>
  <c r="I11" i="515"/>
  <c r="E12" i="39124"/>
  <c r="AE12" i="39124"/>
  <c r="BJ11" i="515"/>
  <c r="BE26" i="515"/>
  <c r="AP26" i="515"/>
  <c r="AV26" i="515"/>
  <c r="AW26" i="515"/>
  <c r="R26" i="515"/>
  <c r="BF26" i="515"/>
  <c r="AW48" i="515"/>
  <c r="AV48" i="515"/>
  <c r="AP48" i="515"/>
  <c r="BE48" i="515"/>
  <c r="R48" i="515"/>
  <c r="BF48" i="515"/>
  <c r="Q48" i="515"/>
  <c r="AP16" i="515"/>
  <c r="AV16" i="515"/>
  <c r="BE16" i="515"/>
  <c r="AW16" i="515"/>
  <c r="BF16" i="515"/>
  <c r="Q16" i="515"/>
  <c r="R16" i="515"/>
  <c r="BE47" i="515"/>
  <c r="AV47" i="515"/>
  <c r="AP47" i="515"/>
  <c r="AW47" i="515"/>
  <c r="R47" i="515"/>
  <c r="BF47" i="515"/>
  <c r="AV34" i="515"/>
  <c r="AW34" i="515"/>
  <c r="AP34" i="515"/>
  <c r="BE34" i="515"/>
  <c r="BF34" i="515"/>
  <c r="R34" i="515"/>
  <c r="AW55" i="515"/>
  <c r="BE55" i="515"/>
  <c r="AV55" i="515"/>
  <c r="AP55" i="515"/>
  <c r="R55" i="515"/>
  <c r="BF55" i="515"/>
  <c r="Q55" i="515"/>
  <c r="B28" i="39125"/>
  <c r="AZ57" i="515"/>
  <c r="B3" i="868"/>
  <c r="BC8" i="515"/>
  <c r="BF8" i="515"/>
  <c r="Q8" i="515"/>
  <c r="BC9" i="515"/>
  <c r="BF9" i="515"/>
  <c r="BB24" i="515"/>
  <c r="BE24" i="515"/>
  <c r="BE9" i="515"/>
  <c r="BB9" i="515"/>
  <c r="BD25" i="515"/>
  <c r="BG25" i="515"/>
  <c r="BE36" i="515"/>
  <c r="AV36" i="515"/>
  <c r="AP36" i="515"/>
  <c r="AW36" i="515"/>
  <c r="BF36" i="515"/>
  <c r="R36" i="515"/>
  <c r="BE33" i="515"/>
  <c r="AW33" i="515"/>
  <c r="AP33" i="515"/>
  <c r="BH33" i="515"/>
  <c r="AQ33" i="515"/>
  <c r="AV33" i="515"/>
  <c r="BF33" i="515"/>
  <c r="R33" i="515"/>
  <c r="BI22" i="515"/>
  <c r="BJ22" i="515"/>
  <c r="BN22" i="515"/>
  <c r="BE23" i="515"/>
  <c r="AV23" i="515"/>
  <c r="AW23" i="515"/>
  <c r="AP23" i="515"/>
  <c r="R23" i="515"/>
  <c r="BF23" i="515"/>
  <c r="BJ18" i="515"/>
  <c r="BN18" i="515"/>
  <c r="E19" i="39124"/>
  <c r="I18" i="515"/>
  <c r="AE19" i="39124"/>
  <c r="BJ40" i="515"/>
  <c r="BN40" i="515"/>
  <c r="BI40" i="515"/>
  <c r="BM40" i="515"/>
  <c r="AP12" i="515"/>
  <c r="AW12" i="515"/>
  <c r="BE12" i="515"/>
  <c r="AV12" i="515"/>
  <c r="R12" i="515"/>
  <c r="BF12" i="515"/>
  <c r="E40" i="39124"/>
  <c r="I39" i="515"/>
  <c r="AE40" i="39124"/>
  <c r="AW42" i="515"/>
  <c r="AP42" i="515"/>
  <c r="AV42" i="515"/>
  <c r="BE42" i="515"/>
  <c r="R42" i="515"/>
  <c r="BF42" i="515"/>
  <c r="Q42" i="515"/>
  <c r="AX39" i="515"/>
  <c r="BK44" i="515"/>
  <c r="BO44" i="515"/>
  <c r="AX40" i="515"/>
  <c r="BJ55" i="515"/>
  <c r="BN55" i="515"/>
  <c r="BK29" i="515"/>
  <c r="BO29" i="515"/>
  <c r="BL20" i="515"/>
  <c r="BP20" i="515"/>
  <c r="BL26" i="515"/>
  <c r="BP26" i="515"/>
  <c r="BJ21" i="515"/>
  <c r="BN21" i="515"/>
  <c r="AX43" i="515"/>
  <c r="BG13" i="515"/>
  <c r="BL16" i="515"/>
  <c r="AX38" i="515"/>
  <c r="I45" i="515"/>
  <c r="BL49" i="515"/>
  <c r="BP49" i="515"/>
  <c r="BK49" i="515"/>
  <c r="BO49" i="515"/>
  <c r="AX14" i="515"/>
  <c r="BG27" i="515"/>
  <c r="BG31" i="515"/>
  <c r="BK27" i="515"/>
  <c r="BO27" i="515"/>
  <c r="BG30" i="515"/>
  <c r="BJ15" i="515"/>
  <c r="BN15" i="515"/>
  <c r="AX11" i="515"/>
  <c r="BL46" i="515"/>
  <c r="BP46" i="515"/>
  <c r="BK46" i="515"/>
  <c r="BO46" i="515"/>
  <c r="BL48" i="515"/>
  <c r="BP48" i="515"/>
  <c r="BG15" i="515"/>
  <c r="BG50" i="515"/>
  <c r="BI30" i="515"/>
  <c r="BJ31" i="515"/>
  <c r="BN31" i="515"/>
  <c r="BG26" i="515"/>
  <c r="BG48" i="515"/>
  <c r="BG16" i="515"/>
  <c r="AX47" i="515"/>
  <c r="AX34" i="515"/>
  <c r="BG55" i="515"/>
  <c r="BG36" i="515"/>
  <c r="BJ35" i="515"/>
  <c r="BN35" i="515"/>
  <c r="BF49" i="515"/>
  <c r="BE49" i="515"/>
  <c r="BG33" i="515"/>
  <c r="BK22" i="515"/>
  <c r="BO22" i="515"/>
  <c r="BG23" i="515"/>
  <c r="BG51" i="515"/>
  <c r="BJ38" i="515"/>
  <c r="BN38" i="515"/>
  <c r="BK42" i="515"/>
  <c r="BO42" i="515"/>
  <c r="BL42" i="515"/>
  <c r="BP42" i="515"/>
  <c r="AX12" i="515"/>
  <c r="BL39" i="515"/>
  <c r="BP39" i="515"/>
  <c r="AX21" i="515"/>
  <c r="BG42" i="515"/>
  <c r="I41" i="515"/>
  <c r="I13" i="515"/>
  <c r="M19" i="515"/>
  <c r="F20" i="39124"/>
  <c r="AI20" i="39124"/>
  <c r="BI19" i="515"/>
  <c r="M37" i="515"/>
  <c r="BI34" i="515"/>
  <c r="AI42" i="39124"/>
  <c r="Q25" i="515"/>
  <c r="AC15" i="39124"/>
  <c r="M15" i="39124"/>
  <c r="BI52" i="515"/>
  <c r="BI21" i="515"/>
  <c r="BM21" i="515"/>
  <c r="BI38" i="515"/>
  <c r="BH38" i="515"/>
  <c r="AQ38" i="515"/>
  <c r="BI37" i="515"/>
  <c r="BM37" i="515"/>
  <c r="M35" i="515"/>
  <c r="F46" i="39124"/>
  <c r="AI46" i="39124"/>
  <c r="M45" i="515"/>
  <c r="AI38" i="39124"/>
  <c r="M22" i="515"/>
  <c r="BI24" i="515"/>
  <c r="AI23" i="39124"/>
  <c r="Q12" i="515"/>
  <c r="M12" i="515"/>
  <c r="BH47" i="515"/>
  <c r="AQ47" i="515"/>
  <c r="AI36" i="39124"/>
  <c r="M53" i="515"/>
  <c r="AI54" i="39124"/>
  <c r="Q33" i="515"/>
  <c r="F34" i="39124"/>
  <c r="Q34" i="515"/>
  <c r="AI35" i="39124"/>
  <c r="Q47" i="515"/>
  <c r="M47" i="515"/>
  <c r="AC54" i="39124"/>
  <c r="M54" i="39124"/>
  <c r="AC36" i="39124"/>
  <c r="M36" i="39124"/>
  <c r="BI41" i="515"/>
  <c r="BM41" i="515"/>
  <c r="BI28" i="515"/>
  <c r="BM28" i="515"/>
  <c r="BI53" i="515"/>
  <c r="BH53" i="515"/>
  <c r="AQ53" i="515"/>
  <c r="BI15" i="515"/>
  <c r="BM15" i="515"/>
  <c r="BI55" i="515"/>
  <c r="BM55" i="515"/>
  <c r="BI36" i="515"/>
  <c r="BM36" i="515"/>
  <c r="Q51" i="515"/>
  <c r="M51" i="515"/>
  <c r="BI31" i="515"/>
  <c r="BM31" i="515"/>
  <c r="Q44" i="515"/>
  <c r="M44" i="515"/>
  <c r="Q40" i="515"/>
  <c r="M40" i="515"/>
  <c r="Q49" i="515"/>
  <c r="M49" i="515"/>
  <c r="AC40" i="39124"/>
  <c r="M40" i="39124"/>
  <c r="Q23" i="515"/>
  <c r="M23" i="515"/>
  <c r="K56" i="515"/>
  <c r="Q43" i="515"/>
  <c r="M43" i="515"/>
  <c r="Q21" i="515"/>
  <c r="M21" i="515"/>
  <c r="Q17" i="515"/>
  <c r="M17" i="515"/>
  <c r="Q54" i="515"/>
  <c r="M54" i="515"/>
  <c r="Q10" i="515"/>
  <c r="F11" i="39124"/>
  <c r="Q31" i="515"/>
  <c r="M31" i="515"/>
  <c r="BM52" i="515"/>
  <c r="BH52" i="515"/>
  <c r="AQ52" i="515"/>
  <c r="BH21" i="515"/>
  <c r="AQ21" i="515"/>
  <c r="BM38" i="515"/>
  <c r="BM30" i="515"/>
  <c r="BH30" i="515"/>
  <c r="AQ30" i="515"/>
  <c r="BM19" i="515"/>
  <c r="BH19" i="515"/>
  <c r="AQ19" i="515"/>
  <c r="F43" i="39124"/>
  <c r="M42" i="515"/>
  <c r="AI43" i="39124"/>
  <c r="BM22" i="515"/>
  <c r="BH22" i="515"/>
  <c r="AQ22" i="515"/>
  <c r="K36" i="515"/>
  <c r="G37" i="39124"/>
  <c r="AM37" i="39124"/>
  <c r="F3" i="868"/>
  <c r="F56" i="39124"/>
  <c r="M55" i="515"/>
  <c r="AI56" i="39124"/>
  <c r="F17" i="39124"/>
  <c r="M16" i="515"/>
  <c r="AI17" i="39124"/>
  <c r="F49" i="39124"/>
  <c r="M48" i="515"/>
  <c r="AI49" i="39124"/>
  <c r="K26" i="515"/>
  <c r="G27" i="39124"/>
  <c r="AM27" i="39124"/>
  <c r="AC12" i="39124"/>
  <c r="M12" i="39124"/>
  <c r="AC9" i="39124"/>
  <c r="M9" i="39124"/>
  <c r="AC11" i="39124"/>
  <c r="M11" i="39124"/>
  <c r="AC10" i="39124"/>
  <c r="M10" i="39124"/>
  <c r="AC8" i="39124"/>
  <c r="M8" i="39124"/>
  <c r="F16" i="39124"/>
  <c r="M15" i="515"/>
  <c r="AI16" i="39124"/>
  <c r="F12" i="39124"/>
  <c r="AI12" i="39124"/>
  <c r="M11" i="515"/>
  <c r="B17" i="39125"/>
  <c r="AW57" i="515"/>
  <c r="AV57" i="515"/>
  <c r="B23" i="39125"/>
  <c r="AP57" i="515"/>
  <c r="B24" i="39125"/>
  <c r="K30" i="515"/>
  <c r="G31" i="39124"/>
  <c r="AM31" i="39124"/>
  <c r="G28" i="39124"/>
  <c r="K27" i="515"/>
  <c r="AM28" i="39124"/>
  <c r="F39" i="39124"/>
  <c r="AI39" i="39124"/>
  <c r="M38" i="515"/>
  <c r="G14" i="39124"/>
  <c r="K13" i="515"/>
  <c r="AM14" i="39124"/>
  <c r="G44" i="39124"/>
  <c r="K43" i="515"/>
  <c r="AM44" i="39124"/>
  <c r="G40" i="39124"/>
  <c r="K39" i="515"/>
  <c r="AM40" i="39124"/>
  <c r="K17" i="515"/>
  <c r="G18" i="39124"/>
  <c r="AM18" i="39124"/>
  <c r="BM56" i="515"/>
  <c r="BH56" i="515"/>
  <c r="AQ56" i="515"/>
  <c r="F19" i="39124"/>
  <c r="M18" i="515"/>
  <c r="AI19" i="39124"/>
  <c r="G30" i="39124"/>
  <c r="K29" i="515"/>
  <c r="AM30" i="39124"/>
  <c r="K46" i="515"/>
  <c r="G47" i="39124"/>
  <c r="AM47" i="39124"/>
  <c r="K28" i="515"/>
  <c r="G29" i="39124"/>
  <c r="AM29" i="39124"/>
  <c r="BP11" i="515"/>
  <c r="BL57" i="515"/>
  <c r="G21" i="39124"/>
  <c r="K20" i="515"/>
  <c r="AM21" i="39124"/>
  <c r="F51" i="39124"/>
  <c r="M50" i="515"/>
  <c r="AI51" i="39124"/>
  <c r="K14" i="515"/>
  <c r="G15" i="39124"/>
  <c r="AM15" i="39124"/>
  <c r="K40" i="515"/>
  <c r="G41" i="39124"/>
  <c r="AM41" i="39124"/>
  <c r="BI18" i="515"/>
  <c r="AC18" i="39124"/>
  <c r="M18" i="39124"/>
  <c r="AC28" i="39124"/>
  <c r="M28" i="39124"/>
  <c r="BI16" i="515"/>
  <c r="BI50" i="515"/>
  <c r="AC27" i="39124"/>
  <c r="M27" i="39124"/>
  <c r="BI20" i="515"/>
  <c r="AC52" i="39124"/>
  <c r="M52" i="39124"/>
  <c r="AC45" i="39124"/>
  <c r="M45" i="39124"/>
  <c r="K41" i="515"/>
  <c r="AC56" i="39124"/>
  <c r="M56" i="39124"/>
  <c r="AC29" i="39124"/>
  <c r="M29" i="39124"/>
  <c r="AC31" i="39124"/>
  <c r="M31" i="39124"/>
  <c r="AC42" i="39124"/>
  <c r="M42" i="39124"/>
  <c r="AC41" i="39124"/>
  <c r="M41" i="39124"/>
  <c r="BI42" i="515"/>
  <c r="AC23" i="39124"/>
  <c r="M23" i="39124"/>
  <c r="B26" i="39125"/>
  <c r="Q24" i="515"/>
  <c r="AC57" i="39124"/>
  <c r="M57" i="39124"/>
  <c r="AC16" i="39124"/>
  <c r="M16" i="39124"/>
  <c r="BI48" i="515"/>
  <c r="AC25" i="39124"/>
  <c r="M25" i="39124"/>
  <c r="AC17" i="39124"/>
  <c r="M17" i="39124"/>
  <c r="AC48" i="39124"/>
  <c r="M48" i="39124"/>
  <c r="BI26" i="515"/>
  <c r="AC24" i="39124"/>
  <c r="M24" i="39124"/>
  <c r="AC55" i="39124"/>
  <c r="M55" i="39124"/>
  <c r="BI43" i="515"/>
  <c r="AC37" i="39124"/>
  <c r="M37" i="39124"/>
  <c r="BM25" i="515"/>
  <c r="BH25" i="515"/>
  <c r="AQ25" i="515"/>
  <c r="K42" i="515"/>
  <c r="G43" i="39124"/>
  <c r="AM43" i="39124"/>
  <c r="K12" i="515"/>
  <c r="G13" i="39124"/>
  <c r="AM13" i="39124"/>
  <c r="K23" i="515"/>
  <c r="G24" i="39124"/>
  <c r="AM24" i="39124"/>
  <c r="G34" i="39124"/>
  <c r="K33" i="515"/>
  <c r="AM34" i="39124"/>
  <c r="F9" i="39124"/>
  <c r="M8" i="515"/>
  <c r="AI9" i="39124"/>
  <c r="G56" i="39124"/>
  <c r="K55" i="515"/>
  <c r="AM56" i="39124"/>
  <c r="K34" i="515"/>
  <c r="G35" i="39124"/>
  <c r="AM35" i="39124"/>
  <c r="G48" i="39124"/>
  <c r="K47" i="515"/>
  <c r="AM48" i="39124"/>
  <c r="G17" i="39124"/>
  <c r="K16" i="515"/>
  <c r="AM17" i="39124"/>
  <c r="K48" i="515"/>
  <c r="G49" i="39124"/>
  <c r="AM49" i="39124"/>
  <c r="BN11" i="515"/>
  <c r="BJ57" i="515"/>
  <c r="K15" i="515"/>
  <c r="G16" i="39124"/>
  <c r="AM16" i="39124"/>
  <c r="K24" i="515"/>
  <c r="K8" i="515"/>
  <c r="K10" i="515"/>
  <c r="R57" i="515"/>
  <c r="K7" i="515"/>
  <c r="G12" i="39124"/>
  <c r="K9" i="515"/>
  <c r="K11" i="515"/>
  <c r="AM12" i="39124"/>
  <c r="K38" i="515"/>
  <c r="G39" i="39124"/>
  <c r="AM39" i="39124"/>
  <c r="F40" i="39124"/>
  <c r="M39" i="515"/>
  <c r="AI40" i="39124"/>
  <c r="BM35" i="515"/>
  <c r="BH35" i="515"/>
  <c r="AQ35" i="515"/>
  <c r="F33" i="39124"/>
  <c r="AI33" i="39124"/>
  <c r="M32" i="515"/>
  <c r="K21" i="515"/>
  <c r="G22" i="39124"/>
  <c r="AM22" i="39124"/>
  <c r="K54" i="515"/>
  <c r="G55" i="39124"/>
  <c r="AM55" i="39124"/>
  <c r="G52" i="39124"/>
  <c r="K51" i="515"/>
  <c r="AM52" i="39124"/>
  <c r="F2" i="868"/>
  <c r="B5" i="868"/>
  <c r="C3" i="868"/>
  <c r="G19" i="39124"/>
  <c r="K18" i="515"/>
  <c r="AM19" i="39124"/>
  <c r="K44" i="515"/>
  <c r="G45" i="39124"/>
  <c r="AM45" i="39124"/>
  <c r="F29" i="39124"/>
  <c r="M28" i="515"/>
  <c r="AI29" i="39124"/>
  <c r="BK57" i="515"/>
  <c r="BO11" i="515"/>
  <c r="G51" i="39124"/>
  <c r="K50" i="515"/>
  <c r="AM51" i="39124"/>
  <c r="E3" i="868"/>
  <c r="E2" i="868"/>
  <c r="C9" i="868"/>
  <c r="E9" i="868"/>
  <c r="G32" i="39124"/>
  <c r="K31" i="515"/>
  <c r="AM32" i="39124"/>
  <c r="F15" i="39124"/>
  <c r="AI15" i="39124"/>
  <c r="M14" i="515"/>
  <c r="AC19" i="39124"/>
  <c r="M19" i="39124"/>
  <c r="Q36" i="515"/>
  <c r="Q9" i="515"/>
  <c r="Q26" i="515"/>
  <c r="K32" i="515"/>
  <c r="K35" i="515"/>
  <c r="AC20" i="39124"/>
  <c r="M20" i="39124"/>
  <c r="AC49" i="39124"/>
  <c r="M49" i="39124"/>
  <c r="BI17" i="515"/>
  <c r="B25" i="39125"/>
  <c r="Q30" i="515"/>
  <c r="AC38" i="39124"/>
  <c r="M38" i="39124"/>
  <c r="Q27" i="515"/>
  <c r="BI49" i="515"/>
  <c r="Q13" i="515"/>
  <c r="BH13" i="515"/>
  <c r="AQ13" i="515"/>
  <c r="K53" i="515"/>
  <c r="AC35" i="39124"/>
  <c r="M35" i="39124"/>
  <c r="BI29" i="515"/>
  <c r="BI54" i="515"/>
  <c r="AC44" i="39124"/>
  <c r="M44" i="39124"/>
  <c r="K45" i="515"/>
  <c r="AC22" i="39124"/>
  <c r="M22" i="39124"/>
  <c r="AC26" i="39124"/>
  <c r="M26" i="39124"/>
  <c r="AC14" i="39124"/>
  <c r="M14" i="39124"/>
  <c r="AC33" i="39124"/>
  <c r="M33" i="39124"/>
  <c r="AC34" i="39124"/>
  <c r="M34" i="39124"/>
  <c r="AC46" i="39124"/>
  <c r="M46" i="39124"/>
  <c r="BI39" i="515"/>
  <c r="AC43" i="39124"/>
  <c r="M43" i="39124"/>
  <c r="K49" i="515"/>
  <c r="Q29" i="515"/>
  <c r="Q46" i="515"/>
  <c r="Q20" i="515"/>
  <c r="K19" i="515"/>
  <c r="K37" i="515"/>
  <c r="K52" i="515"/>
  <c r="AC53" i="39124"/>
  <c r="M53" i="39124"/>
  <c r="AC32" i="39124"/>
  <c r="M32" i="39124"/>
  <c r="AC47" i="39124"/>
  <c r="M47" i="39124"/>
  <c r="BI46" i="515"/>
  <c r="BI27" i="515"/>
  <c r="AC50" i="39124"/>
  <c r="M50" i="39124"/>
  <c r="AC13" i="39124"/>
  <c r="M13" i="39124"/>
  <c r="BI12" i="515"/>
  <c r="AC51" i="39124"/>
  <c r="M51" i="39124"/>
  <c r="K25" i="515"/>
  <c r="AC21" i="39124"/>
  <c r="M21" i="39124"/>
  <c r="BI23" i="515"/>
  <c r="AC30" i="39124"/>
  <c r="M30" i="39124"/>
  <c r="BH40" i="515"/>
  <c r="AQ40" i="515"/>
  <c r="BI44" i="515"/>
  <c r="K22" i="515"/>
  <c r="AC39" i="39124"/>
  <c r="M39" i="39124"/>
  <c r="F26" i="39124"/>
  <c r="AI26" i="39124"/>
  <c r="M25" i="515"/>
  <c r="BM34" i="515"/>
  <c r="BH34" i="515"/>
  <c r="AQ34" i="515"/>
  <c r="AI52" i="39124"/>
  <c r="BH55" i="515"/>
  <c r="AQ55" i="515"/>
  <c r="AI32" i="39124"/>
  <c r="BH37" i="515"/>
  <c r="AQ37" i="515"/>
  <c r="BH31" i="515"/>
  <c r="AQ31" i="515"/>
  <c r="BM53" i="515"/>
  <c r="F41" i="39124"/>
  <c r="AI48" i="39124"/>
  <c r="M33" i="515"/>
  <c r="BH36" i="515"/>
  <c r="AQ36" i="515"/>
  <c r="BH28" i="515"/>
  <c r="AQ28" i="515"/>
  <c r="BH15" i="515"/>
  <c r="AQ15" i="515"/>
  <c r="AI13" i="39124"/>
  <c r="AI18" i="39124"/>
  <c r="F44" i="39124"/>
  <c r="AI50" i="39124"/>
  <c r="F45" i="39124"/>
  <c r="F35" i="39124"/>
  <c r="F13" i="39124"/>
  <c r="BM24" i="515"/>
  <c r="BH24" i="515"/>
  <c r="AQ24" i="515"/>
  <c r="F55" i="39124"/>
  <c r="AI22" i="39124"/>
  <c r="F48" i="39124"/>
  <c r="F18" i="39124"/>
  <c r="AI44" i="39124"/>
  <c r="F50" i="39124"/>
  <c r="AI45" i="39124"/>
  <c r="AI11" i="39124"/>
  <c r="F52" i="39124"/>
  <c r="M34" i="515"/>
  <c r="F24" i="39124"/>
  <c r="BH41" i="515"/>
  <c r="AQ41" i="515"/>
  <c r="M10" i="515"/>
  <c r="AI24" i="39124"/>
  <c r="AI41" i="39124"/>
  <c r="F32" i="39124"/>
  <c r="AI55" i="39124"/>
  <c r="F22" i="39124"/>
  <c r="AI34" i="39124"/>
  <c r="AK50" i="39124"/>
  <c r="O50" i="39124"/>
  <c r="AK42" i="39124"/>
  <c r="O42" i="39124"/>
  <c r="AK53" i="39124"/>
  <c r="O53" i="39124"/>
  <c r="AK33" i="39124"/>
  <c r="O33" i="39124"/>
  <c r="AK51" i="39124"/>
  <c r="O51" i="39124"/>
  <c r="AK20" i="39124"/>
  <c r="O20" i="39124"/>
  <c r="C10" i="868"/>
  <c r="E10" i="868"/>
  <c r="C2" i="868"/>
  <c r="BM27" i="515"/>
  <c r="BH27" i="515"/>
  <c r="AQ27" i="515"/>
  <c r="F47" i="39124"/>
  <c r="M46" i="515"/>
  <c r="AI47" i="39124"/>
  <c r="BM54" i="515"/>
  <c r="BH54" i="515"/>
  <c r="AQ54" i="515"/>
  <c r="F14" i="39124"/>
  <c r="M13" i="515"/>
  <c r="AI14" i="39124"/>
  <c r="F28" i="39124"/>
  <c r="M27" i="515"/>
  <c r="AI28" i="39124"/>
  <c r="F31" i="39124"/>
  <c r="M30" i="515"/>
  <c r="AI31" i="39124"/>
  <c r="F10" i="39124"/>
  <c r="M9" i="515"/>
  <c r="AI10" i="39124"/>
  <c r="B38" i="39125"/>
  <c r="BO57" i="515"/>
  <c r="AK25" i="39124"/>
  <c r="O25" i="39124"/>
  <c r="AK9" i="39124"/>
  <c r="O9" i="39124"/>
  <c r="AK11" i="39124"/>
  <c r="O11" i="39124"/>
  <c r="AK10" i="39124"/>
  <c r="O10" i="39124"/>
  <c r="AK12" i="39124"/>
  <c r="O12" i="39124"/>
  <c r="AK8" i="39124"/>
  <c r="O8" i="39124"/>
  <c r="BN57" i="515"/>
  <c r="B37" i="39125"/>
  <c r="BM26" i="515"/>
  <c r="BH26" i="515"/>
  <c r="AQ26" i="515"/>
  <c r="BM42" i="515"/>
  <c r="BH42" i="515"/>
  <c r="AQ42" i="515"/>
  <c r="BM50" i="515"/>
  <c r="BH50" i="515"/>
  <c r="AQ50" i="515"/>
  <c r="BM16" i="515"/>
  <c r="BH16" i="515"/>
  <c r="AQ16" i="515"/>
  <c r="BM18" i="515"/>
  <c r="BH18" i="515"/>
  <c r="AQ18" i="515"/>
  <c r="BP57" i="515"/>
  <c r="B39" i="39125"/>
  <c r="AK19" i="39124"/>
  <c r="O19" i="39124"/>
  <c r="AK52" i="39124"/>
  <c r="O52" i="39124"/>
  <c r="AK22" i="39124"/>
  <c r="O22" i="39124"/>
  <c r="AK49" i="39124"/>
  <c r="O49" i="39124"/>
  <c r="AK48" i="39124"/>
  <c r="O48" i="39124"/>
  <c r="AK56" i="39124"/>
  <c r="O56" i="39124"/>
  <c r="AK24" i="39124"/>
  <c r="O24" i="39124"/>
  <c r="AK43" i="39124"/>
  <c r="O43" i="39124"/>
  <c r="C11" i="868"/>
  <c r="E11" i="868"/>
  <c r="AK38" i="39124"/>
  <c r="O38" i="39124"/>
  <c r="AK46" i="39124"/>
  <c r="O46" i="39124"/>
  <c r="AK15" i="39124"/>
  <c r="O15" i="39124"/>
  <c r="AK29" i="39124"/>
  <c r="O29" i="39124"/>
  <c r="AK30" i="39124"/>
  <c r="O30" i="39124"/>
  <c r="AK40" i="39124"/>
  <c r="O40" i="39124"/>
  <c r="AK14" i="39124"/>
  <c r="O14" i="39124"/>
  <c r="AK31" i="39124"/>
  <c r="O31" i="39124"/>
  <c r="AK27" i="39124"/>
  <c r="O27" i="39124"/>
  <c r="BM23" i="515"/>
  <c r="BH23" i="515"/>
  <c r="AQ23" i="515"/>
  <c r="BM44" i="515"/>
  <c r="BH44" i="515"/>
  <c r="AQ44" i="515"/>
  <c r="BM12" i="515"/>
  <c r="BH12" i="515"/>
  <c r="AQ12" i="515"/>
  <c r="BM46" i="515"/>
  <c r="BH46" i="515"/>
  <c r="AQ46" i="515"/>
  <c r="F21" i="39124"/>
  <c r="AI21" i="39124"/>
  <c r="M20" i="515"/>
  <c r="F30" i="39124"/>
  <c r="AI30" i="39124"/>
  <c r="M29" i="515"/>
  <c r="BM39" i="515"/>
  <c r="BH39" i="515"/>
  <c r="AQ39" i="515"/>
  <c r="BM29" i="515"/>
  <c r="BH29" i="515"/>
  <c r="AQ29" i="515"/>
  <c r="BM49" i="515"/>
  <c r="BH49" i="515"/>
  <c r="AQ49" i="515"/>
  <c r="BM17" i="515"/>
  <c r="BH17" i="515"/>
  <c r="AQ17" i="515"/>
  <c r="F27" i="39124"/>
  <c r="M26" i="515"/>
  <c r="AI27" i="39124"/>
  <c r="F37" i="39124"/>
  <c r="AI37" i="39124"/>
  <c r="M36" i="515"/>
  <c r="B8" i="39125"/>
  <c r="G58" i="39124"/>
  <c r="AM58" i="39124"/>
  <c r="BI11" i="515"/>
  <c r="BM43" i="515"/>
  <c r="BH43" i="515"/>
  <c r="AQ43" i="515"/>
  <c r="BM48" i="515"/>
  <c r="BH48" i="515"/>
  <c r="AQ48" i="515"/>
  <c r="F25" i="39124"/>
  <c r="M24" i="515"/>
  <c r="AI25" i="39124"/>
  <c r="BM20" i="515"/>
  <c r="BH20" i="515"/>
  <c r="AQ20" i="515"/>
  <c r="AK32" i="39124"/>
  <c r="O32" i="39124"/>
  <c r="AK45" i="39124"/>
  <c r="O45" i="39124"/>
  <c r="AK55" i="39124"/>
  <c r="O55" i="39124"/>
  <c r="AK39" i="39124"/>
  <c r="O39" i="39124"/>
  <c r="AK16" i="39124"/>
  <c r="O16" i="39124"/>
  <c r="AK17" i="39124"/>
  <c r="O17" i="39124"/>
  <c r="AK35" i="39124"/>
  <c r="O35" i="39124"/>
  <c r="AK34" i="39124"/>
  <c r="O34" i="39124"/>
  <c r="AK13" i="39124"/>
  <c r="O13" i="39124"/>
  <c r="AK23" i="39124"/>
  <c r="O23" i="39124"/>
  <c r="AK26" i="39124"/>
  <c r="O26" i="39124"/>
  <c r="AK57" i="39124"/>
  <c r="O57" i="39124"/>
  <c r="AK54" i="39124"/>
  <c r="O54" i="39124"/>
  <c r="AK36" i="39124"/>
  <c r="O36" i="39124"/>
  <c r="AK41" i="39124"/>
  <c r="O41" i="39124"/>
  <c r="AK21" i="39124"/>
  <c r="O21" i="39124"/>
  <c r="AK47" i="39124"/>
  <c r="O47" i="39124"/>
  <c r="AK18" i="39124"/>
  <c r="O18" i="39124"/>
  <c r="AK44" i="39124"/>
  <c r="O44" i="39124"/>
  <c r="AK28" i="39124"/>
  <c r="O28" i="39124"/>
  <c r="AK37" i="39124"/>
  <c r="O37" i="39124"/>
  <c r="E12" i="868"/>
  <c r="B13" i="39125"/>
  <c r="N5" i="39126"/>
  <c r="S7" i="515"/>
  <c r="W57" i="515"/>
  <c r="AB57" i="515"/>
  <c r="BI57" i="515"/>
  <c r="BM11" i="515"/>
  <c r="BH11" i="515"/>
  <c r="B9" i="39125"/>
  <c r="BH57" i="515"/>
  <c r="AQ57" i="515"/>
  <c r="AQ11" i="515"/>
  <c r="BF7" i="515"/>
  <c r="O7" i="515"/>
  <c r="H10" i="515"/>
  <c r="BG7" i="515"/>
  <c r="BB7" i="515"/>
  <c r="BC7" i="515"/>
  <c r="BE7" i="515"/>
  <c r="BD7" i="515"/>
  <c r="AC7" i="515"/>
  <c r="S57" i="515"/>
  <c r="Z57" i="515"/>
  <c r="Z7" i="515"/>
  <c r="AF57" i="515"/>
  <c r="AD57" i="515"/>
  <c r="AC57" i="515"/>
  <c r="BM57" i="515"/>
  <c r="B36" i="39125"/>
  <c r="B18" i="39125"/>
  <c r="P57" i="515"/>
  <c r="AE58" i="39124"/>
  <c r="H56" i="515"/>
  <c r="H21" i="515"/>
  <c r="H49" i="515"/>
  <c r="O57" i="515"/>
  <c r="AA58" i="39124"/>
  <c r="H55" i="515"/>
  <c r="H26" i="515"/>
  <c r="H14" i="515"/>
  <c r="H16" i="515"/>
  <c r="H28" i="515"/>
  <c r="H47" i="515"/>
  <c r="H30" i="515"/>
  <c r="H12" i="515"/>
  <c r="H9" i="515"/>
  <c r="H53" i="515"/>
  <c r="H45" i="515"/>
  <c r="H17" i="515"/>
  <c r="H44" i="515"/>
  <c r="H52" i="515"/>
  <c r="H40" i="515"/>
  <c r="H50" i="515"/>
  <c r="H54" i="515"/>
  <c r="H27" i="515"/>
  <c r="H24" i="515"/>
  <c r="H37" i="515"/>
  <c r="H31" i="515"/>
  <c r="H36" i="515"/>
  <c r="B30" i="39125"/>
  <c r="B32" i="39125"/>
  <c r="BE57" i="515"/>
  <c r="H51" i="515"/>
  <c r="AA8" i="39124"/>
  <c r="Y27" i="39124"/>
  <c r="L27" i="39124"/>
  <c r="H43" i="515"/>
  <c r="H38" i="515"/>
  <c r="H11" i="515"/>
  <c r="H15" i="515"/>
  <c r="H33" i="515"/>
  <c r="H18" i="515"/>
  <c r="H32" i="515"/>
  <c r="H8" i="515"/>
  <c r="H48" i="515"/>
  <c r="H34" i="515"/>
  <c r="H42" i="515"/>
  <c r="H20" i="515"/>
  <c r="H46" i="515"/>
  <c r="H23" i="515"/>
  <c r="H41" i="515"/>
  <c r="H22" i="515"/>
  <c r="H29" i="515"/>
  <c r="H13" i="515"/>
  <c r="H39" i="515"/>
  <c r="H7" i="515"/>
  <c r="H35" i="515"/>
  <c r="H19" i="515"/>
  <c r="H25" i="515"/>
  <c r="Y44" i="39124"/>
  <c r="L44" i="39124"/>
  <c r="BB57" i="515"/>
  <c r="B33" i="39125"/>
  <c r="BD57" i="515"/>
  <c r="B16" i="39125"/>
  <c r="Q7" i="515"/>
  <c r="J7" i="515"/>
  <c r="Y36" i="39124"/>
  <c r="L36" i="39124"/>
  <c r="BC57" i="515"/>
  <c r="B34" i="39125"/>
  <c r="BG57" i="515"/>
  <c r="B31" i="39125"/>
  <c r="BF57" i="515"/>
  <c r="B35" i="39125"/>
  <c r="E58" i="39124"/>
  <c r="B5" i="39125"/>
  <c r="D58" i="39124"/>
  <c r="Y53" i="39124"/>
  <c r="L53" i="39124"/>
  <c r="Y56" i="39124"/>
  <c r="L56" i="39124"/>
  <c r="Y49" i="39124"/>
  <c r="L49" i="39124"/>
  <c r="Q57" i="515"/>
  <c r="B7" i="39125"/>
  <c r="J18" i="515"/>
  <c r="J44" i="515"/>
  <c r="L44" i="515"/>
  <c r="S45" i="39124"/>
  <c r="J22" i="515"/>
  <c r="L22" i="515"/>
  <c r="S23" i="39124"/>
  <c r="J27" i="515"/>
  <c r="L27" i="515"/>
  <c r="S28" i="39124"/>
  <c r="J40" i="515"/>
  <c r="L40" i="515"/>
  <c r="J55" i="515"/>
  <c r="L55" i="515"/>
  <c r="S56" i="39124"/>
  <c r="B6" i="39125"/>
  <c r="J26" i="515"/>
  <c r="L26" i="515"/>
  <c r="J13" i="515"/>
  <c r="L13" i="515"/>
  <c r="J15" i="515"/>
  <c r="J43" i="515"/>
  <c r="L43" i="515"/>
  <c r="S44" i="39124"/>
  <c r="J48" i="515"/>
  <c r="L48" i="515"/>
  <c r="S49" i="39124"/>
  <c r="J19" i="515"/>
  <c r="L19" i="515"/>
  <c r="S20" i="39124"/>
  <c r="AI8" i="39124"/>
  <c r="AG8" i="39124"/>
  <c r="N8" i="39124"/>
  <c r="Y26" i="39124"/>
  <c r="L26" i="39124"/>
  <c r="Y30" i="39124"/>
  <c r="L30" i="39124"/>
  <c r="Y43" i="39124"/>
  <c r="L43" i="39124"/>
  <c r="Y21" i="39124"/>
  <c r="L21" i="39124"/>
  <c r="Y57" i="39124"/>
  <c r="L57" i="39124"/>
  <c r="Y19" i="39124"/>
  <c r="L19" i="39124"/>
  <c r="M7" i="515"/>
  <c r="M57" i="515"/>
  <c r="J20" i="515"/>
  <c r="L20" i="515"/>
  <c r="S21" i="39124"/>
  <c r="J24" i="515"/>
  <c r="L24" i="515"/>
  <c r="S25" i="39124"/>
  <c r="J17" i="515"/>
  <c r="L17" i="515"/>
  <c r="S18" i="39124"/>
  <c r="J21" i="515"/>
  <c r="L21" i="515"/>
  <c r="S22" i="39124"/>
  <c r="J23" i="515"/>
  <c r="L23" i="515"/>
  <c r="S24" i="39124"/>
  <c r="J32" i="515"/>
  <c r="L32" i="515"/>
  <c r="S33" i="39124"/>
  <c r="J31" i="515"/>
  <c r="L31" i="515"/>
  <c r="S32" i="39124"/>
  <c r="J54" i="515"/>
  <c r="L54" i="515"/>
  <c r="S55" i="39124"/>
  <c r="J47" i="515"/>
  <c r="L47" i="515"/>
  <c r="S48" i="39124"/>
  <c r="J25" i="515"/>
  <c r="L25" i="515"/>
  <c r="S26" i="39124"/>
  <c r="J52" i="515"/>
  <c r="L52" i="515"/>
  <c r="S53" i="39124"/>
  <c r="J53" i="515"/>
  <c r="L53" i="515"/>
  <c r="S54" i="39124"/>
  <c r="Y10" i="39124"/>
  <c r="L10" i="39124"/>
  <c r="Y46" i="39124"/>
  <c r="L46" i="39124"/>
  <c r="Y17" i="39124"/>
  <c r="L17" i="39124"/>
  <c r="Y40" i="39124"/>
  <c r="L40" i="39124"/>
  <c r="Y39" i="39124"/>
  <c r="L39" i="39124"/>
  <c r="Y48" i="39124"/>
  <c r="L48" i="39124"/>
  <c r="Y28" i="39124"/>
  <c r="L28" i="39124"/>
  <c r="Y25" i="39124"/>
  <c r="L25" i="39124"/>
  <c r="Y47" i="39124"/>
  <c r="L47" i="39124"/>
  <c r="Y42" i="39124"/>
  <c r="L42" i="39124"/>
  <c r="Y24" i="39124"/>
  <c r="L24" i="39124"/>
  <c r="D8" i="39124"/>
  <c r="Y45" i="39124"/>
  <c r="L45" i="39124"/>
  <c r="Y9" i="39124"/>
  <c r="L9" i="39124"/>
  <c r="Y32" i="39124"/>
  <c r="L32" i="39124"/>
  <c r="Y11" i="39124"/>
  <c r="L11" i="39124"/>
  <c r="Y33" i="39124"/>
  <c r="L33" i="39124"/>
  <c r="Y38" i="39124"/>
  <c r="L38" i="39124"/>
  <c r="L15" i="515"/>
  <c r="S16" i="39124"/>
  <c r="L18" i="515"/>
  <c r="S19" i="39124"/>
  <c r="Y50" i="39124"/>
  <c r="L50" i="39124"/>
  <c r="Y23" i="39124"/>
  <c r="L23" i="39124"/>
  <c r="Y22" i="39124"/>
  <c r="L22" i="39124"/>
  <c r="Y8" i="39124"/>
  <c r="L8" i="39124"/>
  <c r="Y13" i="39124"/>
  <c r="L13" i="39124"/>
  <c r="Y54" i="39124"/>
  <c r="L54" i="39124"/>
  <c r="Y34" i="39124"/>
  <c r="L34" i="39124"/>
  <c r="Y18" i="39124"/>
  <c r="L18" i="39124"/>
  <c r="Y51" i="39124"/>
  <c r="L51" i="39124"/>
  <c r="Y29" i="39124"/>
  <c r="L29" i="39124"/>
  <c r="Y14" i="39124"/>
  <c r="L14" i="39124"/>
  <c r="Y20" i="39124"/>
  <c r="L20" i="39124"/>
  <c r="Y35" i="39124"/>
  <c r="L35" i="39124"/>
  <c r="Y12" i="39124"/>
  <c r="L12" i="39124"/>
  <c r="Y15" i="39124"/>
  <c r="L15" i="39124"/>
  <c r="Y41" i="39124"/>
  <c r="L41" i="39124"/>
  <c r="Y37" i="39124"/>
  <c r="L37" i="39124"/>
  <c r="Y16" i="39124"/>
  <c r="L16" i="39124"/>
  <c r="L7" i="515"/>
  <c r="S8" i="39124"/>
  <c r="Y31" i="39124"/>
  <c r="L31" i="39124"/>
  <c r="Y52" i="39124"/>
  <c r="L52" i="39124"/>
  <c r="Y55" i="39124"/>
  <c r="L55" i="39124"/>
  <c r="F58" i="39124"/>
  <c r="J36" i="515"/>
  <c r="L36" i="515"/>
  <c r="S37" i="39124"/>
  <c r="J29" i="515"/>
  <c r="L29" i="515"/>
  <c r="S30" i="39124"/>
  <c r="J30" i="515"/>
  <c r="L30" i="515"/>
  <c r="S31" i="39124"/>
  <c r="J46" i="515"/>
  <c r="L46" i="515"/>
  <c r="S47" i="39124"/>
  <c r="J9" i="515"/>
  <c r="L9" i="515"/>
  <c r="S10" i="39124"/>
  <c r="J14" i="515"/>
  <c r="L14" i="515"/>
  <c r="S15" i="39124"/>
  <c r="J8" i="515"/>
  <c r="L8" i="515"/>
  <c r="S9" i="39124"/>
  <c r="J10" i="515"/>
  <c r="L10" i="515"/>
  <c r="J11" i="515"/>
  <c r="L11" i="515"/>
  <c r="S12" i="39124"/>
  <c r="J33" i="515"/>
  <c r="L33" i="515"/>
  <c r="S34" i="39124"/>
  <c r="J42" i="515"/>
  <c r="L42" i="515"/>
  <c r="S43" i="39124"/>
  <c r="J28" i="515"/>
  <c r="L28" i="515"/>
  <c r="S29" i="39124"/>
  <c r="J39" i="515"/>
  <c r="L39" i="515"/>
  <c r="S40" i="39124"/>
  <c r="J49" i="515"/>
  <c r="L49" i="515"/>
  <c r="S50" i="39124"/>
  <c r="J50" i="515"/>
  <c r="L50" i="515"/>
  <c r="S51" i="39124"/>
  <c r="J51" i="515"/>
  <c r="L51" i="515"/>
  <c r="S52" i="39124"/>
  <c r="J38" i="515"/>
  <c r="L38" i="515"/>
  <c r="S39" i="39124"/>
  <c r="J16" i="515"/>
  <c r="L16" i="515"/>
  <c r="S17" i="39124"/>
  <c r="J34" i="515"/>
  <c r="L34" i="515"/>
  <c r="S35" i="39124"/>
  <c r="J12" i="515"/>
  <c r="L12" i="515"/>
  <c r="S13" i="39124"/>
  <c r="J45" i="515"/>
  <c r="L45" i="515"/>
  <c r="S46" i="39124"/>
  <c r="J37" i="515"/>
  <c r="L37" i="515"/>
  <c r="S38" i="39124"/>
  <c r="J56" i="515"/>
  <c r="L56" i="515"/>
  <c r="S57" i="39124"/>
  <c r="J35" i="515"/>
  <c r="L35" i="515"/>
  <c r="S36" i="39124"/>
  <c r="J41" i="515"/>
  <c r="L41" i="515"/>
  <c r="S11" i="39124"/>
  <c r="F12" i="515"/>
  <c r="S27" i="39124"/>
  <c r="S41" i="39124"/>
  <c r="F8" i="39124"/>
  <c r="AG15" i="39124"/>
  <c r="N15" i="39124"/>
  <c r="AG14" i="39124"/>
  <c r="N14" i="39124"/>
  <c r="AG12" i="39124"/>
  <c r="N12" i="39124"/>
  <c r="AG48" i="39124"/>
  <c r="N48" i="39124"/>
  <c r="AG19" i="39124"/>
  <c r="N19" i="39124"/>
  <c r="AG38" i="39124"/>
  <c r="N38" i="39124"/>
  <c r="AG37" i="39124"/>
  <c r="N37" i="39124"/>
  <c r="AG43" i="39124"/>
  <c r="N43" i="39124"/>
  <c r="AG9" i="39124"/>
  <c r="N9" i="39124"/>
  <c r="AG29" i="39124"/>
  <c r="N29" i="39124"/>
  <c r="AG18" i="39124"/>
  <c r="N18" i="39124"/>
  <c r="AG53" i="39124"/>
  <c r="N53" i="39124"/>
  <c r="AG21" i="39124"/>
  <c r="N21" i="39124"/>
  <c r="AG27" i="39124"/>
  <c r="N27" i="39124"/>
  <c r="AG28" i="39124"/>
  <c r="N28" i="39124"/>
  <c r="AG40" i="39124"/>
  <c r="N40" i="39124"/>
  <c r="AG22" i="39124"/>
  <c r="N22" i="39124"/>
  <c r="AG49" i="39124"/>
  <c r="N49" i="39124"/>
  <c r="AG16" i="39124"/>
  <c r="N16" i="39124"/>
  <c r="AG50" i="39124"/>
  <c r="N50" i="39124"/>
  <c r="AG34" i="39124"/>
  <c r="N34" i="39124"/>
  <c r="AG11" i="39124"/>
  <c r="N11" i="39124"/>
  <c r="AG36" i="39124"/>
  <c r="N36" i="39124"/>
  <c r="AG42" i="39124"/>
  <c r="N42" i="39124"/>
  <c r="AG26" i="39124"/>
  <c r="N26" i="39124"/>
  <c r="AG25" i="39124"/>
  <c r="N25" i="39124"/>
  <c r="AG31" i="39124"/>
  <c r="N31" i="39124"/>
  <c r="AG30" i="39124"/>
  <c r="N30" i="39124"/>
  <c r="AG47" i="39124"/>
  <c r="N47" i="39124"/>
  <c r="AG10" i="39124"/>
  <c r="N10" i="39124"/>
  <c r="AG55" i="39124"/>
  <c r="N55" i="39124"/>
  <c r="AG41" i="39124"/>
  <c r="N41" i="39124"/>
  <c r="AG24" i="39124"/>
  <c r="N24" i="39124"/>
  <c r="AG45" i="39124"/>
  <c r="N45" i="39124"/>
  <c r="AG56" i="39124"/>
  <c r="N56" i="39124"/>
  <c r="AG32" i="39124"/>
  <c r="N32" i="39124"/>
  <c r="AG17" i="39124"/>
  <c r="N17" i="39124"/>
  <c r="AG52" i="39124"/>
  <c r="N52" i="39124"/>
  <c r="AG51" i="39124"/>
  <c r="N51" i="39124"/>
  <c r="AG44" i="39124"/>
  <c r="N44" i="39124"/>
  <c r="AG13" i="39124"/>
  <c r="N13" i="39124"/>
  <c r="AG35" i="39124"/>
  <c r="N35" i="39124"/>
  <c r="AG39" i="39124"/>
  <c r="N39" i="39124"/>
  <c r="AG33" i="39124"/>
  <c r="N33" i="39124"/>
  <c r="AG54" i="39124"/>
  <c r="N54" i="39124"/>
  <c r="AG57" i="39124"/>
  <c r="N57" i="39124"/>
  <c r="AG46" i="39124"/>
  <c r="N46" i="39124"/>
  <c r="AG23" i="39124"/>
  <c r="N23" i="39124"/>
  <c r="AG20" i="39124"/>
  <c r="N20" i="39124"/>
  <c r="F11" i="515"/>
  <c r="F52" i="515"/>
  <c r="F26" i="515"/>
  <c r="F15" i="515"/>
  <c r="F16" i="515"/>
  <c r="F7" i="515"/>
  <c r="S14" i="39124"/>
  <c r="E13" i="515"/>
  <c r="E19" i="515"/>
  <c r="F9" i="515"/>
  <c r="F55" i="515"/>
  <c r="F50" i="515"/>
  <c r="F23" i="515"/>
  <c r="F43" i="515"/>
  <c r="F35" i="515"/>
  <c r="E35" i="515"/>
  <c r="E8" i="515"/>
  <c r="E31" i="515"/>
  <c r="E32" i="515"/>
  <c r="F13" i="515"/>
  <c r="F24" i="515"/>
  <c r="F36" i="515"/>
  <c r="F10" i="515"/>
  <c r="F48" i="515"/>
  <c r="F51" i="515"/>
  <c r="F39" i="515"/>
  <c r="F17" i="515"/>
  <c r="F32" i="515"/>
  <c r="F31" i="515"/>
  <c r="F41" i="515"/>
  <c r="F45" i="515"/>
  <c r="F56" i="515"/>
  <c r="E51" i="515"/>
  <c r="F27" i="515"/>
  <c r="F30" i="515"/>
  <c r="F20" i="515"/>
  <c r="F46" i="515"/>
  <c r="F29" i="515"/>
  <c r="F33" i="515"/>
  <c r="F21" i="515"/>
  <c r="F44" i="515"/>
  <c r="F47" i="515"/>
  <c r="F18" i="515"/>
  <c r="F49" i="515"/>
  <c r="F28" i="515"/>
  <c r="F38" i="515"/>
  <c r="F42" i="515"/>
  <c r="F34" i="515"/>
  <c r="F14" i="515"/>
  <c r="F54" i="515"/>
  <c r="F8" i="515"/>
  <c r="F40" i="515"/>
  <c r="F53" i="515"/>
  <c r="F19" i="515"/>
  <c r="F25" i="515"/>
  <c r="F22" i="515"/>
  <c r="F37" i="515"/>
  <c r="E12" i="515"/>
  <c r="E33" i="515"/>
  <c r="E28" i="515"/>
  <c r="E56" i="515"/>
  <c r="E16" i="515"/>
  <c r="E49" i="515"/>
  <c r="E50" i="515"/>
  <c r="E7" i="515"/>
  <c r="S42" i="39124"/>
  <c r="E41" i="515"/>
  <c r="E37" i="515"/>
  <c r="E45" i="515"/>
  <c r="E38" i="515"/>
  <c r="E36" i="515"/>
  <c r="E29" i="515"/>
  <c r="E39" i="515"/>
  <c r="E14" i="515"/>
  <c r="E53" i="515"/>
  <c r="E22" i="515"/>
  <c r="E52" i="515"/>
  <c r="E25" i="515"/>
  <c r="E55" i="515"/>
  <c r="E47" i="515"/>
  <c r="E48" i="515"/>
  <c r="E54" i="515"/>
  <c r="E18" i="515"/>
  <c r="E43" i="515"/>
  <c r="E40" i="515"/>
  <c r="E23" i="515"/>
  <c r="E15" i="515"/>
  <c r="E21" i="515"/>
  <c r="E44" i="515"/>
  <c r="E17" i="515"/>
  <c r="E24" i="515"/>
  <c r="E27" i="515"/>
  <c r="E20" i="515"/>
  <c r="E26" i="515"/>
  <c r="E34" i="515"/>
  <c r="E42" i="515"/>
  <c r="E11" i="515"/>
  <c r="E10" i="515"/>
  <c r="E9" i="515"/>
  <c r="E30" i="515"/>
  <c r="E46" i="515"/>
  <c r="B54" i="39124"/>
  <c r="B23" i="39124"/>
  <c r="B53" i="39124"/>
  <c r="B26" i="39124"/>
  <c r="B56" i="39124"/>
  <c r="B48" i="39124"/>
  <c r="B49" i="39124"/>
  <c r="B55" i="39124"/>
  <c r="B19" i="39124"/>
  <c r="B44" i="39124"/>
  <c r="B41" i="39124"/>
  <c r="B24" i="39124"/>
  <c r="B16" i="39124"/>
  <c r="B22" i="39124"/>
  <c r="B45" i="39124"/>
  <c r="B18" i="39124"/>
  <c r="B25" i="39124"/>
  <c r="B28" i="39124"/>
  <c r="B21" i="39124"/>
  <c r="B27" i="39124"/>
  <c r="B30" i="39124"/>
  <c r="B35" i="39124"/>
  <c r="B43" i="39124"/>
  <c r="B12" i="39124"/>
  <c r="B11" i="39124"/>
  <c r="B10" i="39124"/>
  <c r="B37" i="39124"/>
  <c r="B20" i="39124"/>
  <c r="B32" i="39124"/>
  <c r="B33" i="39124"/>
  <c r="B8" i="39124"/>
  <c r="B36" i="39124"/>
  <c r="B57" i="39124"/>
  <c r="B38" i="39124"/>
  <c r="B46" i="39124"/>
  <c r="B13" i="39124"/>
  <c r="B17" i="39124"/>
  <c r="B39" i="39124"/>
  <c r="B52" i="39124"/>
  <c r="B51" i="39124"/>
  <c r="B50" i="39124"/>
  <c r="B40" i="39124"/>
  <c r="B29" i="39124"/>
  <c r="B34" i="39124"/>
  <c r="B9" i="39124"/>
  <c r="B15" i="39124"/>
  <c r="B47" i="39124"/>
  <c r="B31" i="39124"/>
  <c r="Q53" i="39124"/>
  <c r="J53" i="39124"/>
  <c r="B14" i="39124"/>
  <c r="Q42" i="39124"/>
  <c r="J42" i="39124"/>
  <c r="Q51" i="39124"/>
  <c r="J51" i="39124"/>
  <c r="Q52" i="39124"/>
  <c r="J52" i="39124"/>
  <c r="Q37" i="39124"/>
  <c r="J37" i="39124"/>
  <c r="Q31" i="39124"/>
  <c r="J31" i="39124"/>
  <c r="Q47" i="39124"/>
  <c r="J47" i="39124"/>
  <c r="Q15" i="39124"/>
  <c r="J15" i="39124"/>
  <c r="Q9" i="39124"/>
  <c r="J9" i="39124"/>
  <c r="Q34" i="39124"/>
  <c r="J34" i="39124"/>
  <c r="Q29" i="39124"/>
  <c r="J29" i="39124"/>
  <c r="Q40" i="39124"/>
  <c r="J40" i="39124"/>
  <c r="Q17" i="39124"/>
  <c r="J17" i="39124"/>
  <c r="Q13" i="39124"/>
  <c r="J13" i="39124"/>
  <c r="Q46" i="39124"/>
  <c r="J46" i="39124"/>
  <c r="Q38" i="39124"/>
  <c r="J38" i="39124"/>
  <c r="Q57" i="39124"/>
  <c r="J57" i="39124"/>
  <c r="Q36" i="39124"/>
  <c r="J36" i="39124"/>
  <c r="B42" i="39124"/>
  <c r="Q16" i="39124"/>
  <c r="J16" i="39124"/>
  <c r="Q50" i="39124"/>
  <c r="J50" i="39124"/>
  <c r="Q39" i="39124"/>
  <c r="J39" i="39124"/>
  <c r="Q8" i="39124"/>
  <c r="J8" i="39124"/>
  <c r="Q14" i="39124"/>
  <c r="J14" i="39124"/>
  <c r="Q33" i="39124"/>
  <c r="J33" i="39124"/>
  <c r="Q32" i="39124"/>
  <c r="J32" i="39124"/>
  <c r="Q20" i="39124"/>
  <c r="J20" i="39124"/>
  <c r="Q10" i="39124"/>
  <c r="J10" i="39124"/>
  <c r="Q11" i="39124"/>
  <c r="J11" i="39124"/>
  <c r="Q12" i="39124"/>
  <c r="J12" i="39124"/>
  <c r="Q43" i="39124"/>
  <c r="J43" i="39124"/>
  <c r="Q35" i="39124"/>
  <c r="J35" i="39124"/>
  <c r="Q30" i="39124"/>
  <c r="J30" i="39124"/>
  <c r="Q27" i="39124"/>
  <c r="J27" i="39124"/>
  <c r="Q21" i="39124"/>
  <c r="J21" i="39124"/>
  <c r="Q28" i="39124"/>
  <c r="J28" i="39124"/>
  <c r="Q25" i="39124"/>
  <c r="J25" i="39124"/>
  <c r="Q18" i="39124"/>
  <c r="J18" i="39124"/>
  <c r="Q45" i="39124"/>
  <c r="J45" i="39124"/>
  <c r="Q22" i="39124"/>
  <c r="J22" i="39124"/>
  <c r="Q24" i="39124"/>
  <c r="J24" i="39124"/>
  <c r="Q41" i="39124"/>
  <c r="J41" i="39124"/>
  <c r="Q44" i="39124"/>
  <c r="J44" i="39124"/>
  <c r="Q19" i="39124"/>
  <c r="J19" i="39124"/>
  <c r="Q55" i="39124"/>
  <c r="J55" i="39124"/>
  <c r="Q49" i="39124"/>
  <c r="J49" i="39124"/>
  <c r="Q48" i="39124"/>
  <c r="J48" i="39124"/>
  <c r="Q56" i="39124"/>
  <c r="J56" i="39124"/>
  <c r="Q26" i="39124"/>
  <c r="J26" i="39124"/>
  <c r="Q23" i="39124"/>
  <c r="J23" i="39124"/>
  <c r="Q54" i="39124"/>
  <c r="J54" i="39124"/>
</calcChain>
</file>

<file path=xl/sharedStrings.xml><?xml version="1.0" encoding="utf-8"?>
<sst xmlns="http://schemas.openxmlformats.org/spreadsheetml/2006/main" count="4529" uniqueCount="1118">
  <si>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</si>
  <si>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</si>
  <si>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</si>
  <si>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</si>
  <si>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</si>
  <si>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</si>
  <si>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</si>
  <si>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</si>
  <si>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</si>
  <si>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</si>
  <si>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</si>
  <si>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</si>
  <si>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</si>
  <si>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</si>
  <si>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</si>
  <si>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</si>
  <si>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</si>
  <si>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</si>
  <si>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</si>
  <si>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</si>
  <si>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</si>
  <si>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</si>
  <si>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</si>
  <si>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</si>
  <si>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</si>
  <si>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</si>
  <si>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</si>
  <si>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</si>
  <si>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</si>
  <si>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</si>
  <si>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</si>
  <si>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</si>
  <si>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</si>
  <si>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</si>
  <si>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</si>
  <si>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</si>
  <si>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</si>
  <si>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</si>
  <si>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</si>
  <si>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</si>
  <si>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</si>
  <si>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</si>
  <si>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</si>
  <si>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</si>
  <si>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</si>
  <si>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</si>
  <si>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</si>
  <si>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</si>
  <si>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</si>
  <si>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</si>
  <si>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Totals</t>
  </si>
  <si>
    <t>State</t>
  </si>
  <si>
    <t>Dist</t>
  </si>
  <si>
    <t>Party</t>
  </si>
  <si>
    <t>Uncontested</t>
  </si>
  <si>
    <t>Competitiveness</t>
  </si>
  <si>
    <t>Dropoff</t>
  </si>
  <si>
    <t>All other information will be calculated automatically.</t>
  </si>
  <si>
    <t>Scale of Competitiveness</t>
  </si>
  <si>
    <t>Winning margin</t>
  </si>
  <si>
    <t>No contest</t>
  </si>
  <si>
    <t>Landslide</t>
  </si>
  <si>
    <t>Opportunity</t>
  </si>
  <si>
    <t>Competitive</t>
  </si>
  <si>
    <t>Tight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</si>
  <si>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</si>
  <si>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</si>
  <si>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</si>
  <si>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</si>
  <si>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</si>
  <si>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</si>
  <si>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</si>
  <si>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</si>
  <si>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</si>
  <si>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</si>
  <si>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</si>
  <si>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</si>
  <si>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</si>
  <si>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</si>
  <si>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</si>
  <si>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</si>
  <si>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</si>
  <si>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</si>
  <si>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</si>
  <si>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</si>
  <si>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</si>
  <si>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</si>
  <si>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</si>
  <si>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</si>
  <si>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</si>
  <si>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</si>
  <si>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</si>
  <si>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</si>
  <si>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</si>
  <si>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</si>
  <si>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</si>
  <si>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</si>
  <si>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</si>
  <si>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</si>
  <si>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</si>
  <si>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</si>
  <si>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</si>
  <si>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</si>
  <si>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</si>
  <si>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</si>
  <si>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</si>
  <si>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</si>
  <si>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</si>
  <si>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</si>
  <si>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</si>
  <si>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</si>
  <si>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</si>
  <si>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</si>
  <si>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</si>
  <si>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</si>
  <si>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</t>
  </si>
  <si>
    <t>Votes</t>
  </si>
  <si>
    <t>Dem</t>
  </si>
  <si>
    <t>Rep</t>
  </si>
  <si>
    <t>Other</t>
  </si>
  <si>
    <t>Total</t>
  </si>
  <si>
    <t>Winning</t>
  </si>
  <si>
    <t>Winnner</t>
  </si>
  <si>
    <t>Runner up</t>
  </si>
  <si>
    <t>Vote totals</t>
  </si>
  <si>
    <t>Wasted votes</t>
  </si>
  <si>
    <t>%</t>
  </si>
  <si>
    <t>MOV</t>
  </si>
  <si>
    <t>Indexes</t>
  </si>
  <si>
    <t>Democracy</t>
  </si>
  <si>
    <t>Seats</t>
  </si>
  <si>
    <t>Percent</t>
  </si>
  <si>
    <t>Data by District sheet</t>
  </si>
  <si>
    <t>Data by State</t>
  </si>
  <si>
    <t>"Dem Votes" Column D</t>
  </si>
  <si>
    <t>"Rep Votes" Column E</t>
  </si>
  <si>
    <t>"Total Votes" Column G</t>
  </si>
  <si>
    <t>% of votes</t>
  </si>
  <si>
    <t>Winner</t>
  </si>
  <si>
    <t>Votes for</t>
  </si>
  <si>
    <t>House</t>
  </si>
  <si>
    <t>Seat %</t>
  </si>
  <si>
    <t>Seats-to-Votes</t>
  </si>
  <si>
    <t>Repres</t>
  </si>
  <si>
    <t>votes</t>
  </si>
  <si>
    <t>Seats-to-</t>
  </si>
  <si>
    <t>Wasted Votes</t>
  </si>
  <si>
    <t>Percent Wasted</t>
  </si>
  <si>
    <t>Number of seats</t>
  </si>
  <si>
    <t>Uncont?</t>
  </si>
  <si>
    <t>Date by District</t>
  </si>
  <si>
    <t>Column</t>
  </si>
  <si>
    <t>Description</t>
  </si>
  <si>
    <t>D, E and G</t>
  </si>
  <si>
    <t>F</t>
  </si>
  <si>
    <t>H</t>
  </si>
  <si>
    <t>"Other" votes is calculated automatically.  This includes all votes cast for candidates other than Dem and Rep.</t>
  </si>
  <si>
    <t>Runner up is calculated as the 2nd highest total among Dem, Rep and Other.  Note that if the other total is 2nd highest, this could include votes from more than 1 candidate.</t>
  </si>
  <si>
    <t>J</t>
  </si>
  <si>
    <t>"Margin of Victory" is calculated as (winner total-runner up total)/total votes.</t>
  </si>
  <si>
    <t xml:space="preserve">K </t>
  </si>
  <si>
    <t>"Winning %" = winner's votes / total votes</t>
  </si>
  <si>
    <t>L</t>
  </si>
  <si>
    <t>M</t>
  </si>
  <si>
    <t>N</t>
  </si>
  <si>
    <t>"Wasted votes" equals votes cast by a party for a candidate who loses.</t>
  </si>
  <si>
    <t>C</t>
  </si>
  <si>
    <t>D</t>
  </si>
  <si>
    <t>Landslide index is the percent of races in a state won by landslide margins.</t>
  </si>
  <si>
    <t>I</t>
  </si>
  <si>
    <t>R</t>
  </si>
  <si>
    <t>S</t>
  </si>
  <si>
    <t>Total seats</t>
  </si>
  <si>
    <t>Number of seats in the state won by each of the ranges</t>
  </si>
  <si>
    <t>Number of seats in the state that were not contested by both Dem and Rep, and the percent of seats in the state that weren't contested.</t>
  </si>
  <si>
    <t>Number of votes cast for winning candidates as a percent of total votes cast in House races.</t>
  </si>
  <si>
    <t>Total votes cast in House races in the state.</t>
  </si>
  <si>
    <t>Seats won by Dem, Rep and Other.</t>
  </si>
  <si>
    <t>If a party wins its fair share (eg, 40% of the seats with 40% of the votes), the distortion is 0.</t>
  </si>
  <si>
    <t>If a party wins an unfair share (eg, no seats with 40%, or 100% of the seats with 60% of the vote), the ratio is a positive number between 0 and 100%.</t>
  </si>
  <si>
    <t>If a party wins 0% of the seats with 40% of the votes, the distortion is abs (40% - 0%) = 40%.</t>
  </si>
  <si>
    <t>Total wasted votes:  sum of all votes cast for candidates that didn't win.</t>
  </si>
  <si>
    <t>NOTE:  This definition could be modified to include all votes cast for losing candidates PLUS all votes above 50% cast for a winning candidate.</t>
  </si>
  <si>
    <t>Dem, Rep and Other wasted votes as a percent of total Dem, Rep or Other votes cast for House.</t>
  </si>
  <si>
    <t>Winner total is computed as the max of Dem, Rep and Other votes.</t>
  </si>
  <si>
    <t>"Uncontested" is "Yes" if the race was not contested by both Dem and Rep, "No" otherwise; combined with state abbreviation.</t>
  </si>
  <si>
    <t>"Party" = winning party (Dem, Rep or Other); combined with state abbreviation.</t>
  </si>
  <si>
    <t>"Competitiveness" range defined by categories above (No contest, landslide, opportunity, competitive, tight); combined with state abbreviation.</t>
  </si>
  <si>
    <t>Seats-to-Votes ratio is the average of the Dem and Rep seats-to-votes distortion (see below).</t>
  </si>
  <si>
    <t>Total votes cast for Dem, Rep and Other candidates.</t>
  </si>
  <si>
    <t>Percent of total votes cast for Dem, Rep and Other.</t>
  </si>
  <si>
    <t>Percent of seats won by Dem, Rep and Other.</t>
  </si>
  <si>
    <t>For example, a party that wins 60% of the seats with 40% of the votes has a distoriont equal to abs(40% -60%) = 20%.</t>
  </si>
  <si>
    <t>Turnout</t>
  </si>
  <si>
    <t>Top ticket</t>
  </si>
  <si>
    <t>Ranking</t>
  </si>
  <si>
    <t>US</t>
  </si>
  <si>
    <t>Index</t>
  </si>
  <si>
    <t>Representation</t>
  </si>
  <si>
    <t>Democ</t>
  </si>
  <si>
    <t>Land</t>
  </si>
  <si>
    <t>Rel.</t>
  </si>
  <si>
    <t>Abs.</t>
  </si>
  <si>
    <t>Based on ranking of each index.</t>
  </si>
  <si>
    <t>Based on value of each index, scaled so that 100% is good.</t>
  </si>
  <si>
    <t>Rankings (1-50)</t>
  </si>
  <si>
    <t>Landsl</t>
  </si>
  <si>
    <t>"Top of Ticket" Turnout" Column AM on "Data By State"</t>
  </si>
  <si>
    <t>USA</t>
  </si>
  <si>
    <t>n/a</t>
  </si>
  <si>
    <t>Rankings of states by indexes</t>
  </si>
  <si>
    <t>Repre</t>
  </si>
  <si>
    <t>Uses top ticket turnout</t>
  </si>
  <si>
    <t>turnout</t>
  </si>
  <si>
    <t>This pages uses formulas based on the sheet, Data by State.</t>
  </si>
  <si>
    <t>Dubious Democracy:  Data by State</t>
  </si>
  <si>
    <t>Summary table:  indexes</t>
  </si>
  <si>
    <t>Summary table:  rankings</t>
  </si>
  <si>
    <t>P, Q, R</t>
  </si>
  <si>
    <t>O</t>
  </si>
  <si>
    <t>E, F</t>
  </si>
  <si>
    <t>K</t>
  </si>
  <si>
    <t>Turnout ranking</t>
  </si>
  <si>
    <t>L, M</t>
  </si>
  <si>
    <t>Relative and absolute "Democracy index" combining the other 4 indices described below, with representation weighted twice.</t>
  </si>
  <si>
    <t>P</t>
  </si>
  <si>
    <t>Q</t>
  </si>
  <si>
    <t>T, U, V, W</t>
  </si>
  <si>
    <t>X, Y, Z</t>
  </si>
  <si>
    <t>G, H, I, J</t>
  </si>
  <si>
    <t>AA</t>
  </si>
  <si>
    <t>AB</t>
  </si>
  <si>
    <t>AC</t>
  </si>
  <si>
    <t>AD, AE, AF</t>
  </si>
  <si>
    <t>AG, AH, AI</t>
  </si>
  <si>
    <t>AJ, AK, AL</t>
  </si>
  <si>
    <t>AM, AN, AO</t>
  </si>
  <si>
    <t>AP, AQ, AR</t>
  </si>
  <si>
    <t>AS</t>
  </si>
  <si>
    <t>Number of votes cast for winning candidates</t>
  </si>
  <si>
    <t>Seats-to-votes distortion for Dem, Rep and Other, defined as the absolute value of (Votes for party / Total votes cast) - (Seats won by party / Total seats in the state).</t>
  </si>
  <si>
    <t>AT</t>
  </si>
  <si>
    <t>AT, AU, AW</t>
  </si>
  <si>
    <t>Total wasted Dem, Rep and Other votes, defined as sum of all votes cast for candidates who did not win.</t>
  </si>
  <si>
    <t>AX</t>
  </si>
  <si>
    <t>Wasted votes as percent of total votes cast</t>
  </si>
  <si>
    <t>AY, AZ, BA</t>
  </si>
  <si>
    <t>Explanations of columns and calculations</t>
  </si>
  <si>
    <t>Notes:</t>
  </si>
  <si>
    <t>1.  Please bring any errors to the attention of:</t>
  </si>
  <si>
    <t>VEP*</t>
  </si>
  <si>
    <t>* VEP is the voting eligible population. VEP  is VAP minus Non-Citizens minus Ineligible Felons plus Overseas VEP.</t>
  </si>
  <si>
    <t>Rankings for MOV, landslides, representation and seats-to-votes ratio</t>
  </si>
  <si>
    <t>NA</t>
  </si>
  <si>
    <t>"VEP" is the statewide voting eligible population</t>
  </si>
  <si>
    <t>2.  Data based on final, official results.</t>
  </si>
  <si>
    <t xml:space="preserve">Vote for Highest Office in a non-presidential election year is the largest vote total for a statewide office.  When no </t>
  </si>
  <si>
    <t>statewide office was on the ballot, the sum of the congressional races is used instead.  In presidential election years,</t>
  </si>
  <si>
    <t xml:space="preserve"> Indexes</t>
  </si>
  <si>
    <t>"VEP" Column AN on "Data By State"</t>
  </si>
  <si>
    <t>Enter vote totals for Dem, Rep and Other in the purple-shaded cells.</t>
  </si>
  <si>
    <t>"VT 3rd Party" treats Vermont as a special case of a race between an Indep, a Dem, a Rep, and other parties. Only applies to VT.</t>
  </si>
  <si>
    <t>"Top of Ticket turnout" refers to statewide turnout in highest-ticket race (president in 2004).</t>
  </si>
  <si>
    <t xml:space="preserve">Relative and absolute democracy rankings </t>
  </si>
  <si>
    <t>Representation index is the number of people who voted for a winner, expressed as a percentage of the VEP.</t>
  </si>
  <si>
    <t>Voter turnout as percent of eligible VEP</t>
  </si>
  <si>
    <t>House drop-off:  percent of people in top ticket race who did not vote for House, as percent fo VEP</t>
  </si>
  <si>
    <t>Uses VEP</t>
  </si>
  <si>
    <t>Enter Top ticket turnout and VEP in purple</t>
  </si>
  <si>
    <t>or, approximately:</t>
  </si>
  <si>
    <t>LA-No</t>
  </si>
  <si>
    <t>Vote totals of 1 = Uncontested</t>
  </si>
  <si>
    <t>LA-Yes</t>
  </si>
  <si>
    <t>DUBIOUS DEMOCRACY - DATA BY DISTRICT</t>
  </si>
  <si>
    <t>Top Ticket</t>
  </si>
  <si>
    <t>VEP</t>
  </si>
  <si>
    <t>% Votes Wasted</t>
  </si>
  <si>
    <t>% Uncontested</t>
  </si>
  <si>
    <t xml:space="preserve">If seats were apportioned </t>
  </si>
  <si>
    <t>% Votes Won</t>
  </si>
  <si>
    <t>Total Votes Won</t>
  </si>
  <si>
    <t>% Total Seats Won</t>
  </si>
  <si>
    <t>Seats Won</t>
  </si>
  <si>
    <t>Democrats</t>
  </si>
  <si>
    <t>Republicans</t>
  </si>
  <si>
    <t>Votes-to-Seat</t>
  </si>
  <si>
    <t xml:space="preserve">Dems would win: </t>
  </si>
  <si>
    <t xml:space="preserve">Reps would win: </t>
  </si>
  <si>
    <t>N/A</t>
  </si>
  <si>
    <t>Inds would win:</t>
  </si>
  <si>
    <t>by percentage of vote:</t>
  </si>
  <si>
    <t>seats</t>
  </si>
  <si>
    <t>Independents</t>
  </si>
  <si>
    <t>Tight Races</t>
  </si>
  <si>
    <t>Competitive Races</t>
  </si>
  <si>
    <t>Landslide Races</t>
  </si>
  <si>
    <t>No Contest Races</t>
  </si>
  <si>
    <t>Uncontested Races</t>
  </si>
  <si>
    <t>Total Seats</t>
  </si>
  <si>
    <t>Seats to Votes</t>
  </si>
  <si>
    <t>House Turnout</t>
  </si>
  <si>
    <t>House Dropoff</t>
  </si>
  <si>
    <t xml:space="preserve"> % Votes for Winner</t>
  </si>
  <si>
    <t>Total # Votes</t>
  </si>
  <si>
    <t xml:space="preserve"># Other </t>
  </si>
  <si>
    <t>% Dem</t>
  </si>
  <si>
    <t>% Rep</t>
  </si>
  <si>
    <t>% Other</t>
  </si>
  <si>
    <t>Total # Seats</t>
  </si>
  <si>
    <t># Dem</t>
  </si>
  <si>
    <t># Rep</t>
  </si>
  <si>
    <t># Other</t>
  </si>
  <si>
    <t>Other seats to votes</t>
  </si>
  <si>
    <t>Rep. seats to votes</t>
  </si>
  <si>
    <t>Dem. seats to votes</t>
  </si>
  <si>
    <t>"MOV" is the statewide average margin of victory: sum of MOVs from each district / number of districts.</t>
  </si>
  <si>
    <t>Representative</t>
  </si>
  <si>
    <t xml:space="preserve"> Elected</t>
  </si>
  <si>
    <t>Year First</t>
  </si>
  <si>
    <t>Seat Changes</t>
  </si>
  <si>
    <t xml:space="preserve"># I. </t>
  </si>
  <si>
    <t>Lands.</t>
  </si>
  <si>
    <t>% I.</t>
  </si>
  <si>
    <t># of</t>
  </si>
  <si>
    <t>Incum. Re-elect.</t>
  </si>
  <si>
    <t>Incum. Running</t>
  </si>
  <si>
    <t>Opportunity Races</t>
  </si>
  <si>
    <t>Total seats:</t>
  </si>
  <si>
    <t>2-party</t>
  </si>
  <si>
    <t>Total Wasted</t>
  </si>
  <si>
    <t>State wasted totals</t>
  </si>
  <si>
    <t>Avg. 2-party MOV</t>
  </si>
  <si>
    <t>info@fairvote.org</t>
  </si>
  <si>
    <t>see Michael McDonald's notes at http://elections.gmu.edu/FAQ.html.</t>
  </si>
  <si>
    <t>this is simply the presidential vote.  See also http://elections.gmu.edu/FAQ.html.</t>
  </si>
  <si>
    <t>A vote total of 1 was used to signify the incumbent for such uncontested races.</t>
  </si>
  <si>
    <t>LA Nov</t>
  </si>
  <si>
    <t>Election</t>
  </si>
  <si>
    <t xml:space="preserve">NOTE:  Candidates in uncontested US House races in Florida (districts 21)  </t>
  </si>
  <si>
    <t xml:space="preserve">Oklahoma (district 4) were not listed on the ballot, so voters were not able to cast votes for them.  </t>
  </si>
  <si>
    <t>The VEP and top ticket turnout is taken from http://elections.gmu.edu/Turnout_2010G.html. For more information</t>
  </si>
  <si>
    <t>Incum. running</t>
  </si>
  <si>
    <t>Incum. Defeated</t>
  </si>
  <si>
    <t>Incumbent defeated</t>
  </si>
  <si>
    <t>in GE</t>
  </si>
  <si>
    <t>AI</t>
  </si>
  <si>
    <t>Woman</t>
  </si>
  <si>
    <t>Asian</t>
  </si>
  <si>
    <t>Hisp.</t>
  </si>
  <si>
    <t>Women</t>
  </si>
  <si>
    <t>AL-Yes</t>
  </si>
  <si>
    <t>AZ-Yes</t>
  </si>
  <si>
    <t>CA-Yes</t>
  </si>
  <si>
    <t>CO-Yes</t>
  </si>
  <si>
    <t>CT-Yes</t>
  </si>
  <si>
    <t>FL-Yes</t>
  </si>
  <si>
    <t>GA-Yes</t>
  </si>
  <si>
    <t>HI-Yes</t>
  </si>
  <si>
    <t>ID-Yes</t>
  </si>
  <si>
    <t>IL-Yes</t>
  </si>
  <si>
    <t>IN-Yes</t>
  </si>
  <si>
    <t>KS-Yes</t>
  </si>
  <si>
    <t>ME-Yes</t>
  </si>
  <si>
    <t>MD-Yes</t>
  </si>
  <si>
    <t>MA-Yes</t>
  </si>
  <si>
    <t>MI-Yes</t>
  </si>
  <si>
    <t>MN-Yes</t>
  </si>
  <si>
    <t>MS-Yes</t>
  </si>
  <si>
    <t>MO-Yes</t>
  </si>
  <si>
    <t>NV-Yes</t>
  </si>
  <si>
    <t>NJ-Yes</t>
  </si>
  <si>
    <t>NM-Yes</t>
  </si>
  <si>
    <t>NY-Yes</t>
  </si>
  <si>
    <t>NC-Yes</t>
  </si>
  <si>
    <t>OH-Yes</t>
  </si>
  <si>
    <t>OK-Yes</t>
  </si>
  <si>
    <t>OR-Yes</t>
  </si>
  <si>
    <t>PA-Yes</t>
  </si>
  <si>
    <t>SC-Yes</t>
  </si>
  <si>
    <t>SD-Yes</t>
  </si>
  <si>
    <t>TN-Yes</t>
  </si>
  <si>
    <t>TX-Yes</t>
  </si>
  <si>
    <t>VA-Yes</t>
  </si>
  <si>
    <t>WA-Yes</t>
  </si>
  <si>
    <t>WV-Yes</t>
  </si>
  <si>
    <t>WI-Yes</t>
  </si>
  <si>
    <t>WY-Yes</t>
  </si>
  <si>
    <t>Competitive:</t>
  </si>
  <si>
    <t>Non-Competitive:</t>
  </si>
  <si>
    <t>I.</t>
  </si>
  <si>
    <t>Dem.</t>
  </si>
  <si>
    <t>Rep.</t>
  </si>
  <si>
    <t>I. Dem.</t>
  </si>
  <si>
    <t>I. Rep.</t>
  </si>
  <si>
    <t>Seat</t>
  </si>
  <si>
    <t>Changes</t>
  </si>
  <si>
    <t>Jo Bonner</t>
  </si>
  <si>
    <t>Martha Roby</t>
  </si>
  <si>
    <t>Mike Rogers</t>
  </si>
  <si>
    <t>Robert Aderholt</t>
  </si>
  <si>
    <t>Mo Brooks</t>
  </si>
  <si>
    <t>Spencer Bachus</t>
  </si>
  <si>
    <t>Terri Sewell</t>
  </si>
  <si>
    <t>Don Young</t>
  </si>
  <si>
    <t>Ann Kirkpatrick</t>
  </si>
  <si>
    <t>Ron Barber</t>
  </si>
  <si>
    <t>Raul Grijalva</t>
  </si>
  <si>
    <t>Paul Gosar</t>
  </si>
  <si>
    <t>Matt Salmon</t>
  </si>
  <si>
    <t>David Schweikert</t>
  </si>
  <si>
    <t>Ed Pastor</t>
  </si>
  <si>
    <t>Trent Franks</t>
  </si>
  <si>
    <t>Kyrsten Sinema</t>
  </si>
  <si>
    <t>Rick Crawford</t>
  </si>
  <si>
    <t>Tim Griffin</t>
  </si>
  <si>
    <t>Steve Womack</t>
  </si>
  <si>
    <t>Tom Cotton</t>
  </si>
  <si>
    <t>Doug La 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</si>
  <si>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</si>
  <si>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</si>
  <si>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</si>
  <si>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</si>
  <si>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</si>
  <si>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</si>
  <si>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</si>
  <si>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</si>
  <si>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Jeff Denham</t>
  </si>
  <si>
    <t>George Miller</t>
  </si>
  <si>
    <t>Nancy Pelosi</t>
  </si>
  <si>
    <t>Barbara Lee</t>
  </si>
  <si>
    <t>Jackie Speier</t>
  </si>
  <si>
    <t>Eric Swalwell</t>
  </si>
  <si>
    <t>Jim Costa</t>
  </si>
  <si>
    <t>Mike Honda</t>
  </si>
  <si>
    <t>Anna Eshoo</t>
  </si>
  <si>
    <t>Zoe Lofgren</t>
  </si>
  <si>
    <t>Sam Farr</t>
  </si>
  <si>
    <t>David Valadao</t>
  </si>
  <si>
    <t>Devin Nunes</t>
  </si>
  <si>
    <t>Kevin McCarthy</t>
  </si>
  <si>
    <t>Lois Capps</t>
  </si>
  <si>
    <t>Buck McKeon</t>
  </si>
  <si>
    <t>Julia Brownley</t>
  </si>
  <si>
    <t>Judy Chu</t>
  </si>
  <si>
    <t>Adam Schiff</t>
  </si>
  <si>
    <t>Tony Cardenas</t>
  </si>
  <si>
    <t>Brad Sherman</t>
  </si>
  <si>
    <t>Gary Miller</t>
  </si>
  <si>
    <t>Grace Napolitano</t>
  </si>
  <si>
    <t>Henry Waxman</t>
  </si>
  <si>
    <t>Xavier Becerra</t>
  </si>
  <si>
    <t>Gloria McLeod</t>
  </si>
  <si>
    <t>Raul Ruiz</t>
  </si>
  <si>
    <t>Karen Bass</t>
  </si>
  <si>
    <t>Linda Sanchez</t>
  </si>
  <si>
    <t>Ed Royce</t>
  </si>
  <si>
    <t>Mark Takano</t>
  </si>
  <si>
    <t>Ken Calvert</t>
  </si>
  <si>
    <t>Maxine Waters</t>
  </si>
  <si>
    <t>Janice Hahn</t>
  </si>
  <si>
    <t>John Campbell</t>
  </si>
  <si>
    <t>Loretta Sanchez</t>
  </si>
  <si>
    <t>Alan Lowenthal</t>
  </si>
  <si>
    <t>Dana Rohrabacher</t>
  </si>
  <si>
    <t>Darrell Issa</t>
  </si>
  <si>
    <t>Duncan D. Hunter</t>
  </si>
  <si>
    <t>Juan Vargas</t>
  </si>
  <si>
    <t>Scott Peters</t>
  </si>
  <si>
    <t>Susan Davis</t>
  </si>
  <si>
    <t>Diana DeGette</t>
  </si>
  <si>
    <t>Jared Polis</t>
  </si>
  <si>
    <t>Scott Tipton</t>
  </si>
  <si>
    <t>Cory Gardner</t>
  </si>
  <si>
    <t>Doug Lamborn</t>
  </si>
  <si>
    <t>Mike Coffman</t>
  </si>
  <si>
    <t>Ed Perlmutter</t>
  </si>
  <si>
    <t>John Larson</t>
  </si>
  <si>
    <t>Joe Courtney</t>
  </si>
  <si>
    <t>Rosa DeLauro</t>
  </si>
  <si>
    <t>Jim Himes</t>
  </si>
  <si>
    <t>Elizabeth Esty</t>
  </si>
  <si>
    <t>John Carney</t>
  </si>
  <si>
    <t>Jeff Miller</t>
  </si>
  <si>
    <t>Steve Southerland</t>
  </si>
  <si>
    <t>Ted Yoho</t>
  </si>
  <si>
    <t>Ander Crenshaw</t>
  </si>
  <si>
    <t>Corrine Brown</t>
  </si>
  <si>
    <t>Ron DeSantis</t>
  </si>
  <si>
    <t>John Mica</t>
  </si>
  <si>
    <t>Bill Posey</t>
  </si>
  <si>
    <t>Alan Grayson</t>
  </si>
  <si>
    <t>Daniel Webster</t>
  </si>
  <si>
    <t>Richard Nugent</t>
  </si>
  <si>
    <t>Gus Bilirakis</t>
  </si>
  <si>
    <t>Bill Young</t>
  </si>
  <si>
    <t>Kathy Castor</t>
  </si>
  <si>
    <t>Dennis Ross</t>
  </si>
  <si>
    <t>Vern Buchanan</t>
  </si>
  <si>
    <t>Tom Rooney</t>
  </si>
  <si>
    <t>Patrick Murphy</t>
  </si>
  <si>
    <t>Trey Radel</t>
  </si>
  <si>
    <t>Alcee Hastings</t>
  </si>
  <si>
    <t>Ted Deutch</t>
  </si>
  <si>
    <t>Lois Frankel</t>
  </si>
  <si>
    <t>Debbie Wasserman Schultz</t>
  </si>
  <si>
    <t>Frederica Wilson</t>
  </si>
  <si>
    <t>Joe Garcia</t>
  </si>
  <si>
    <t>Jack Kingston</t>
  </si>
  <si>
    <t>Sanford Bishop</t>
  </si>
  <si>
    <t>Lynn Westmoreland</t>
  </si>
  <si>
    <t>Hank Johnson</t>
  </si>
  <si>
    <t>John Lewis</t>
  </si>
  <si>
    <t>Tom Price</t>
  </si>
  <si>
    <t>Rob Woodall</t>
  </si>
  <si>
    <t>Austin Scott</t>
  </si>
  <si>
    <t>Doug Collins</t>
  </si>
  <si>
    <t>Paul Broun</t>
  </si>
  <si>
    <t>Phil Gingrey</t>
  </si>
  <si>
    <t>John Barrow</t>
  </si>
  <si>
    <t>David Scott</t>
  </si>
  <si>
    <t>Tom Graves</t>
  </si>
  <si>
    <t>Colleen Hanabusa</t>
  </si>
  <si>
    <t>Tulsi Gabbard</t>
  </si>
  <si>
    <t>Raul Labrador</t>
  </si>
  <si>
    <t>Mike Simpson</t>
  </si>
  <si>
    <t>Bobby Rush</t>
  </si>
  <si>
    <t>Jesse Jackson</t>
  </si>
  <si>
    <t>Dan Lipinski</t>
  </si>
  <si>
    <t>Luis Gutierrez</t>
  </si>
  <si>
    <t>Mike Quigley</t>
  </si>
  <si>
    <t>Peter Roskam</t>
  </si>
  <si>
    <t>Danny Davis</t>
  </si>
  <si>
    <t>Tammy Duckworth</t>
  </si>
  <si>
    <t>Jan Schakowsky</t>
  </si>
  <si>
    <t>Brad Schneider</t>
  </si>
  <si>
    <t>Bill Foster</t>
  </si>
  <si>
    <t>William Enyart</t>
  </si>
  <si>
    <t>Rodney Davis</t>
  </si>
  <si>
    <t>Randy Hultgren</t>
  </si>
  <si>
    <t>John Shimkus</t>
  </si>
  <si>
    <t>Adam Kinzinger</t>
  </si>
  <si>
    <t>Cheri Bustos</t>
  </si>
  <si>
    <t>Aaron Schock</t>
  </si>
  <si>
    <t>Peter Visclosky</t>
  </si>
  <si>
    <t>Jackie Walorski</t>
  </si>
  <si>
    <t>Marlin Stutzman</t>
  </si>
  <si>
    <t>Todd Rokita</t>
  </si>
  <si>
    <t>Susan Brooks</t>
  </si>
  <si>
    <t>Luke Messer</t>
  </si>
  <si>
    <t>Andre Carson</t>
  </si>
  <si>
    <t>Larry Bucshon</t>
  </si>
  <si>
    <t>Todd Young</t>
  </si>
  <si>
    <t>Bruce Braley</t>
  </si>
  <si>
    <t>Dave Loebsack</t>
  </si>
  <si>
    <t>Tom Latham</t>
  </si>
  <si>
    <t>Steve King</t>
  </si>
  <si>
    <t>Tim Huelskamp</t>
  </si>
  <si>
    <t>Lynn Jenkins</t>
  </si>
  <si>
    <t>Kevin Yoder</t>
  </si>
  <si>
    <t>Mike Pompeo</t>
  </si>
  <si>
    <t>Ed Whitfield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</si>
  <si>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</si>
  <si>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</si>
  <si>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</si>
  <si>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</si>
  <si>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</si>
  <si>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</si>
  <si>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</si>
  <si>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Charles Boustany</t>
  </si>
  <si>
    <t>John Fleming</t>
  </si>
  <si>
    <t>Rodney Alexander</t>
  </si>
  <si>
    <t>Bill Cassidy</t>
  </si>
  <si>
    <t>Chellie Pingree</t>
  </si>
  <si>
    <t>Mike Michaud</t>
  </si>
  <si>
    <t>Andy Harris</t>
  </si>
  <si>
    <t>Dutch Ruppersberger</t>
  </si>
  <si>
    <t>John Sarbanes</t>
  </si>
  <si>
    <t>Donna Edwards</t>
  </si>
  <si>
    <t>Steny Hoyer</t>
  </si>
  <si>
    <t>John Delaney</t>
  </si>
  <si>
    <t>Elijah Cummings</t>
  </si>
  <si>
    <t>Chris Van Hollen</t>
  </si>
  <si>
    <t>Richard Neal</t>
  </si>
  <si>
    <t>Jim McGovern</t>
  </si>
  <si>
    <t>Niki Tsongas</t>
  </si>
  <si>
    <t>Joe Kennedy</t>
  </si>
  <si>
    <t>Ed Markey</t>
  </si>
  <si>
    <t>John Tierney</t>
  </si>
  <si>
    <t>Mike Capuano</t>
  </si>
  <si>
    <t>Stephen Lynch</t>
  </si>
  <si>
    <t>Bill Keating</t>
  </si>
  <si>
    <t>Dan Benishek</t>
  </si>
  <si>
    <t>Bill Huizenga</t>
  </si>
  <si>
    <t>Justin Amash</t>
  </si>
  <si>
    <t>Dave Camp</t>
  </si>
  <si>
    <t>Daniel Kildee</t>
  </si>
  <si>
    <t>Fred Upton</t>
  </si>
  <si>
    <t>Tim Walberg</t>
  </si>
  <si>
    <t>Sander Levin</t>
  </si>
  <si>
    <t>Candice Miller</t>
  </si>
  <si>
    <t>Kerry Bentivolio</t>
  </si>
  <si>
    <t>John Dingell</t>
  </si>
  <si>
    <t>John Conyers</t>
  </si>
  <si>
    <t>Gary Peters</t>
  </si>
  <si>
    <t>Tim Walz</t>
  </si>
  <si>
    <t>John Kline</t>
  </si>
  <si>
    <t>Erik Paulsen</t>
  </si>
  <si>
    <t>Betty Mccollum</t>
  </si>
  <si>
    <t>Keith Ellison</t>
  </si>
  <si>
    <t>Michele Bachmann</t>
  </si>
  <si>
    <t>Collin C. Peterson</t>
  </si>
  <si>
    <t>Richard Nolan</t>
  </si>
  <si>
    <t>Alan Nunnelee</t>
  </si>
  <si>
    <t>Bennie Thompson</t>
  </si>
  <si>
    <t>Gregg Harper</t>
  </si>
  <si>
    <t>Steven Palazzo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</si>
  <si>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</si>
  <si>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</si>
  <si>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</si>
  <si>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</si>
  <si>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</si>
  <si>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</si>
  <si>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</si>
  <si>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Jo Ann Emerson</t>
  </si>
  <si>
    <t>Steve Daines</t>
  </si>
  <si>
    <t>Jeff Fortenberry</t>
  </si>
  <si>
    <t>Lee Terry</t>
  </si>
  <si>
    <t>Adrian Smith</t>
  </si>
  <si>
    <t>Dina Titus</t>
  </si>
  <si>
    <t>Mark Amodei</t>
  </si>
  <si>
    <t>Joe Heck</t>
  </si>
  <si>
    <t>Steven Horsford</t>
  </si>
  <si>
    <t>Carol Shea-Porter</t>
  </si>
  <si>
    <t>Ann Kuster</t>
  </si>
  <si>
    <t>Robert Andrews</t>
  </si>
  <si>
    <t>Frank LoBiondo</t>
  </si>
  <si>
    <t>Jon Runyan</t>
  </si>
  <si>
    <t>Chris Smith</t>
  </si>
  <si>
    <t>Scott Garrett</t>
  </si>
  <si>
    <t>Frank Pallone</t>
  </si>
  <si>
    <t>Leonard Lance</t>
  </si>
  <si>
    <t>Albio Sires</t>
  </si>
  <si>
    <t>Bill Pascrell</t>
  </si>
  <si>
    <t>Donald Payne Jr.</t>
  </si>
  <si>
    <t>Rodney Frelinghuysen</t>
  </si>
  <si>
    <t>Rush Holt</t>
  </si>
  <si>
    <t>Michelle Lujan Grisham</t>
  </si>
  <si>
    <t>Steve Pearce</t>
  </si>
  <si>
    <t>Ben R. Lujan</t>
  </si>
  <si>
    <t>Timothy Bishop</t>
  </si>
  <si>
    <t>Peter King</t>
  </si>
  <si>
    <t>Steve Israel</t>
  </si>
  <si>
    <t>Carolyn McCarthy</t>
  </si>
  <si>
    <t>Gregory Meeks</t>
  </si>
  <si>
    <t>Grace Meng</t>
  </si>
  <si>
    <t>Nydia Velazquez</t>
  </si>
  <si>
    <t>Hakeem Jeffries</t>
  </si>
  <si>
    <t>Yvette Clarke</t>
  </si>
  <si>
    <t>Jerrold Nadler</t>
  </si>
  <si>
    <t>Mike Grimm</t>
  </si>
  <si>
    <t>Carolyn Maloney</t>
  </si>
  <si>
    <t>Charles Rangel</t>
  </si>
  <si>
    <t>Joe Crowley</t>
  </si>
  <si>
    <t>Jose E. Serrano</t>
  </si>
  <si>
    <t>Eliot Engel</t>
  </si>
  <si>
    <t>Nita Lowey</t>
  </si>
  <si>
    <t>Sean Patrick Maloney</t>
  </si>
  <si>
    <t>Christopher Gibson</t>
  </si>
  <si>
    <t>Paul Tonko</t>
  </si>
  <si>
    <t>Bill Owens</t>
  </si>
  <si>
    <t>Richard Hanna</t>
  </si>
  <si>
    <t>Thomas Reed</t>
  </si>
  <si>
    <t>Daniel Maffei</t>
  </si>
  <si>
    <t>Louise Slaughter</t>
  </si>
  <si>
    <t>Brian Higgins</t>
  </si>
  <si>
    <t>Chris Collins</t>
  </si>
  <si>
    <t>G.K. Butterfield</t>
  </si>
  <si>
    <t>Renee Ellmers</t>
  </si>
  <si>
    <t>Walter Jones</t>
  </si>
  <si>
    <t>David Price</t>
  </si>
  <si>
    <t>Virginia Foxx</t>
  </si>
  <si>
    <t>Howard Coble</t>
  </si>
  <si>
    <t>Mike McIntyre</t>
  </si>
  <si>
    <t>Richard Hudson</t>
  </si>
  <si>
    <t>Robert Pittenger</t>
  </si>
  <si>
    <t>Patrick McHenry</t>
  </si>
  <si>
    <t>Mark Meadows</t>
  </si>
  <si>
    <t>Mel Watt</t>
  </si>
  <si>
    <t>George Holding</t>
  </si>
  <si>
    <t>Kevin Cramer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</si>
  <si>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</si>
  <si>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</si>
  <si>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</si>
  <si>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</si>
  <si>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</si>
  <si>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</si>
  <si>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</si>
  <si>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John Boehner</t>
  </si>
  <si>
    <t>Marcy Kaptur</t>
  </si>
  <si>
    <t>Mike Turner</t>
  </si>
  <si>
    <t>Marcia Fudge</t>
  </si>
  <si>
    <t>Pat Tiberi</t>
  </si>
  <si>
    <t>Tim Ryan</t>
  </si>
  <si>
    <t>David Joyce</t>
  </si>
  <si>
    <t>Steve Stivers</t>
  </si>
  <si>
    <t>Jim Renacci</t>
  </si>
  <si>
    <t>Jim Bridenstine</t>
  </si>
  <si>
    <t>Markwayne Mullin</t>
  </si>
  <si>
    <t>Frank Lucas</t>
  </si>
  <si>
    <t>Tom Cole</t>
  </si>
  <si>
    <t>James Lankford</t>
  </si>
  <si>
    <t>Suzanne Bonamici</t>
  </si>
  <si>
    <t>Greg Walden</t>
  </si>
  <si>
    <t>Earl Blumenauer</t>
  </si>
  <si>
    <t>Peter DeFazio</t>
  </si>
  <si>
    <t>Kurt Schrader</t>
  </si>
  <si>
    <t>Robert Brady</t>
  </si>
  <si>
    <t>Chaka Fattah</t>
  </si>
  <si>
    <t>Mike Kelly</t>
  </si>
  <si>
    <t>Scott Perry</t>
  </si>
  <si>
    <t>Glenn Thompson</t>
  </si>
  <si>
    <t>Jim Gerlach</t>
  </si>
  <si>
    <t>Patrick Meehan</t>
  </si>
  <si>
    <t>Mike Fitzpatrick</t>
  </si>
  <si>
    <t>Bill Shuster</t>
  </si>
  <si>
    <t>Thomas Marino</t>
  </si>
  <si>
    <t>Lou Barletta</t>
  </si>
  <si>
    <t>Keith Rothfus</t>
  </si>
  <si>
    <t>Allyson Schwartz</t>
  </si>
  <si>
    <t>Mike Doyle</t>
  </si>
  <si>
    <t>Charles Dent</t>
  </si>
  <si>
    <t>Joseph Pitts</t>
  </si>
  <si>
    <t>Matthew Cartwright</t>
  </si>
  <si>
    <t>Tim Murphy</t>
  </si>
  <si>
    <t>David Cicilline</t>
  </si>
  <si>
    <t>Jim Langevin</t>
  </si>
  <si>
    <t>Tim Scott</t>
  </si>
  <si>
    <t>Joe Wilson</t>
  </si>
  <si>
    <t>Jeff Duncan</t>
  </si>
  <si>
    <t>Trey Gowdy</t>
  </si>
  <si>
    <t>Mick Mulvaney</t>
  </si>
  <si>
    <t>Jim Clyburn</t>
  </si>
  <si>
    <t>Tom Rice</t>
  </si>
  <si>
    <t>Kristi Noem</t>
  </si>
  <si>
    <t>Phil Roe</t>
  </si>
  <si>
    <t>John Duncan</t>
  </si>
  <si>
    <t>Chuck Fleischmann</t>
  </si>
  <si>
    <t>Scott DesJarlais</t>
  </si>
  <si>
    <t>Jim Cooper</t>
  </si>
  <si>
    <t>Diane Black</t>
  </si>
  <si>
    <t>Marsha Blackburn</t>
  </si>
  <si>
    <t>Stephen Fincher</t>
  </si>
  <si>
    <t>Steve Cohen</t>
  </si>
  <si>
    <t>Louie Gohmert</t>
  </si>
  <si>
    <t>Ted Poe</t>
  </si>
  <si>
    <t>Sam Johnson</t>
  </si>
  <si>
    <t>Ralph Hall</t>
  </si>
  <si>
    <t>Jeb Hensarling</t>
  </si>
  <si>
    <t>Joe Barton</t>
  </si>
  <si>
    <t>John Culberson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</si>
  <si>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</si>
  <si>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</si>
  <si>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</si>
  <si>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</si>
  <si>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</si>
  <si>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</si>
  <si>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</si>
  <si>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Ruben Hinojosa</t>
  </si>
  <si>
    <t>Beto O'Rourke</t>
  </si>
  <si>
    <t>Bill Flores</t>
  </si>
  <si>
    <t>Sheila Jackson Lee</t>
  </si>
  <si>
    <t>Randy Neugebauer</t>
  </si>
  <si>
    <t>Joaquin Castro</t>
  </si>
  <si>
    <t>Lamar Smith</t>
  </si>
  <si>
    <t>Pete Olson</t>
  </si>
  <si>
    <t>Pete Gallego</t>
  </si>
  <si>
    <t>Kenny Marchant</t>
  </si>
  <si>
    <t>Roger Williams</t>
  </si>
  <si>
    <t>Michael Burgess</t>
  </si>
  <si>
    <t>Blake Farenthold</t>
  </si>
  <si>
    <t>Henry Cuellar</t>
  </si>
  <si>
    <t>Gene Green</t>
  </si>
  <si>
    <t>Eddie Bernice Johnson</t>
  </si>
  <si>
    <t>John Carter</t>
  </si>
  <si>
    <t>Pete Sessions</t>
  </si>
  <si>
    <t>Marc Veasey</t>
  </si>
  <si>
    <t>Filemon Vela</t>
  </si>
  <si>
    <t>Lloyd Doggett</t>
  </si>
  <si>
    <t>Steve Stockman</t>
  </si>
  <si>
    <t>Rob Bishop</t>
  </si>
  <si>
    <t>Chris Stewart</t>
  </si>
  <si>
    <t>Jason Chaffetz</t>
  </si>
  <si>
    <t>Jim Matheson</t>
  </si>
  <si>
    <t>Peter Welch</t>
  </si>
  <si>
    <t>Rob Wittman</t>
  </si>
  <si>
    <t>Scott Rigell</t>
  </si>
  <si>
    <t>Bobby Scott</t>
  </si>
  <si>
    <t>Randy Forbes</t>
  </si>
  <si>
    <t>Robert Hurt</t>
  </si>
  <si>
    <t>Bob Goodlatte</t>
  </si>
  <si>
    <t>Eric Cantor</t>
  </si>
  <si>
    <t>Jim Moran</t>
  </si>
  <si>
    <t>Morgan Griffith</t>
  </si>
  <si>
    <t>Frank Wolf</t>
  </si>
  <si>
    <t>Gerry Connolly</t>
  </si>
  <si>
    <t>Suzan DelBene</t>
  </si>
  <si>
    <t>Rick Larsen</t>
  </si>
  <si>
    <t>Jaime Herrera Beutler</t>
  </si>
  <si>
    <t>Doc Hastings</t>
  </si>
  <si>
    <t>Cathy McMorris Rodgers</t>
  </si>
  <si>
    <t>Derek Kilmer</t>
  </si>
  <si>
    <t>Jim McDermott</t>
  </si>
  <si>
    <t>Dave Reichert</t>
  </si>
  <si>
    <t>Adam Smith</t>
  </si>
  <si>
    <t>Denny Heck</t>
  </si>
  <si>
    <t>David McKinley</t>
  </si>
  <si>
    <t>Shelley Moore Capito</t>
  </si>
  <si>
    <t>Nick Rahall</t>
  </si>
  <si>
    <t>Paul Ryan</t>
  </si>
  <si>
    <t>Mark Pocan</t>
  </si>
  <si>
    <t>Ron Kind</t>
  </si>
  <si>
    <t>Gwen Moore</t>
  </si>
  <si>
    <t>Jim Sensenbrenner</t>
  </si>
  <si>
    <t>Tom Petri</t>
  </si>
  <si>
    <t>Sean Duffy</t>
  </si>
  <si>
    <t>Reid Ribble</t>
  </si>
  <si>
    <t>Cynthia Lummis</t>
  </si>
  <si>
    <t>Lucille Roybal-Allard</t>
  </si>
  <si>
    <t>Ileana Ros-Lehtinen</t>
  </si>
  <si>
    <t>NH-Yes</t>
  </si>
  <si>
    <t>Mario Diaz-Balart</t>
  </si>
  <si>
    <t>Dubious Democracy 2012 Report</t>
  </si>
  <si>
    <t>AL-Rep</t>
  </si>
  <si>
    <t>AL-No contest</t>
  </si>
  <si>
    <t>AL-No</t>
  </si>
  <si>
    <t>AL-Landslide</t>
  </si>
  <si>
    <t>AL-Dem</t>
  </si>
  <si>
    <t>AK-Yes</t>
  </si>
  <si>
    <t>AK-No</t>
  </si>
  <si>
    <t>AK-Rep</t>
  </si>
  <si>
    <t>AK-Landslide</t>
  </si>
  <si>
    <t>AZ-No</t>
  </si>
  <si>
    <t>AZ-Dem</t>
  </si>
  <si>
    <t>AZ-Tight</t>
  </si>
  <si>
    <t>AZ-Landslide</t>
  </si>
  <si>
    <t>AZ-Rep</t>
  </si>
  <si>
    <t>AZ-No contest</t>
  </si>
  <si>
    <t>AR-Yes</t>
  </si>
  <si>
    <t>AR-No</t>
  </si>
  <si>
    <t>AR-Rep</t>
  </si>
  <si>
    <t>AR-Opportunity</t>
  </si>
  <si>
    <t>AR-No contest</t>
  </si>
  <si>
    <t>AR-Landslide</t>
  </si>
  <si>
    <t>CA-No</t>
  </si>
  <si>
    <t>CA-Rep</t>
  </si>
  <si>
    <t>CA-Opportunity</t>
  </si>
  <si>
    <t>CA-Dem</t>
  </si>
  <si>
    <t>CA-No contest</t>
  </si>
  <si>
    <t>CA-Competitive</t>
  </si>
  <si>
    <t>CA-Landslide</t>
  </si>
  <si>
    <t>CA-Tight</t>
  </si>
  <si>
    <t>CO-No</t>
  </si>
  <si>
    <t>CO-Dem</t>
  </si>
  <si>
    <t>CO-No contest</t>
  </si>
  <si>
    <t>CO-Opportunity</t>
  </si>
  <si>
    <t>CO-Rep</t>
  </si>
  <si>
    <t>CO-Landslide</t>
  </si>
  <si>
    <t>CO-Tight</t>
  </si>
  <si>
    <t>CT-No</t>
  </si>
  <si>
    <t>CT-Dem</t>
  </si>
  <si>
    <t>CT-No contest</t>
  </si>
  <si>
    <t>CT-Landslide</t>
  </si>
  <si>
    <t>CT-Opportunity</t>
  </si>
  <si>
    <t>CT-Tight</t>
  </si>
  <si>
    <t>DE-Yes</t>
  </si>
  <si>
    <t>DE-No</t>
  </si>
  <si>
    <t>DE-Dem</t>
  </si>
  <si>
    <t>DE-Landslide</t>
  </si>
  <si>
    <t>FL-No</t>
  </si>
  <si>
    <t>FL-Rep</t>
  </si>
  <si>
    <t>FL-No contest</t>
  </si>
  <si>
    <t>FL-Competitive</t>
  </si>
  <si>
    <t>FL-Landslide</t>
  </si>
  <si>
    <t>FL-Dem</t>
  </si>
  <si>
    <t>FL-Opportunity</t>
  </si>
  <si>
    <t>FL-Tight</t>
  </si>
  <si>
    <t>GA-No</t>
  </si>
  <si>
    <t>GA-Rep</t>
  </si>
  <si>
    <t>GA-Landslide</t>
  </si>
  <si>
    <t>GA-Dem</t>
  </si>
  <si>
    <t>GA-No contest</t>
  </si>
  <si>
    <t>GA-Competitive</t>
  </si>
  <si>
    <t>HI-No</t>
  </si>
  <si>
    <t>HI-Dem</t>
  </si>
  <si>
    <t>HI-Competitive</t>
  </si>
  <si>
    <t>HI-No contest</t>
  </si>
  <si>
    <t>ID-No</t>
  </si>
  <si>
    <t>ID-Rep</t>
  </si>
  <si>
    <t>ID-Landslide</t>
  </si>
  <si>
    <t>IL-No</t>
  </si>
  <si>
    <t>IL-Dem</t>
  </si>
  <si>
    <t>IL-No contest</t>
  </si>
  <si>
    <t>IL-Landslide</t>
  </si>
  <si>
    <t>IL-Rep</t>
  </si>
  <si>
    <t>IL-Opportunity</t>
  </si>
  <si>
    <t>IL-Competitive</t>
  </si>
  <si>
    <t>IL-Tight</t>
  </si>
  <si>
    <t>IN-No</t>
  </si>
  <si>
    <t>IN-Dem</t>
  </si>
  <si>
    <t>IN-Landslide</t>
  </si>
  <si>
    <t>IN-Rep</t>
  </si>
  <si>
    <t>IN-Tight</t>
  </si>
  <si>
    <t>IN-Opportunity</t>
  </si>
  <si>
    <t>IA-Yes</t>
  </si>
  <si>
    <t>IA-No</t>
  </si>
  <si>
    <t>IA-Dem</t>
  </si>
  <si>
    <t>IA-Opportunity</t>
  </si>
  <si>
    <t>IA-Rep</t>
  </si>
  <si>
    <t>IA-Competitive</t>
  </si>
  <si>
    <t>KS-Rep</t>
  </si>
  <si>
    <t>KS-No contest</t>
  </si>
  <si>
    <t>KS-No</t>
  </si>
  <si>
    <t>KS-Opportunity</t>
  </si>
  <si>
    <t>KS-Landslide</t>
  </si>
  <si>
    <t>KY-Yes</t>
  </si>
  <si>
    <t>KY-No</t>
  </si>
  <si>
    <t>KY-Rep</t>
  </si>
  <si>
    <t>KY-Landslide</t>
  </si>
  <si>
    <t>KY-Dem</t>
  </si>
  <si>
    <t>KY-No contest</t>
  </si>
  <si>
    <t>KY-Tight</t>
  </si>
  <si>
    <t>LA-Rep</t>
  </si>
  <si>
    <t>LA-No contest</t>
  </si>
  <si>
    <t>LA-Dem</t>
  </si>
  <si>
    <t>ME-No</t>
  </si>
  <si>
    <t>ME-Dem</t>
  </si>
  <si>
    <t>ME-Landslide</t>
  </si>
  <si>
    <t>ME-Opportunity</t>
  </si>
  <si>
    <t>MD-No</t>
  </si>
  <si>
    <t>MD-Rep</t>
  </si>
  <si>
    <t>MD-Landslide</t>
  </si>
  <si>
    <t>MD-Dem</t>
  </si>
  <si>
    <t>MD-No contest</t>
  </si>
  <si>
    <t>MA-Dem</t>
  </si>
  <si>
    <t>MA-No contest</t>
  </si>
  <si>
    <t>MA-No</t>
  </si>
  <si>
    <t>MA-Landslide</t>
  </si>
  <si>
    <t>MA-Tight</t>
  </si>
  <si>
    <t>MI-No</t>
  </si>
  <si>
    <t>MI-Rep</t>
  </si>
  <si>
    <t>MI-Tight</t>
  </si>
  <si>
    <t>MI-Landslide</t>
  </si>
  <si>
    <t>MI-Competitive</t>
  </si>
  <si>
    <t>MI-Dem</t>
  </si>
  <si>
    <t>MI-Opportunity</t>
  </si>
  <si>
    <t>MI-No contest</t>
  </si>
  <si>
    <t>MN-No</t>
  </si>
  <si>
    <t>MN-Dem</t>
  </si>
  <si>
    <t>MN-Opportunity</t>
  </si>
  <si>
    <t>MN-Rep</t>
  </si>
  <si>
    <t>MN-Competitive</t>
  </si>
  <si>
    <t>MN-Landslide</t>
  </si>
  <si>
    <t>MN-No contest</t>
  </si>
  <si>
    <t>MN-Tight</t>
  </si>
  <si>
    <t>MS-No</t>
  </si>
  <si>
    <t>MS-Rep</t>
  </si>
  <si>
    <t>MS-Landslide</t>
  </si>
  <si>
    <t>MS-Dem</t>
  </si>
  <si>
    <t>MS-No contest</t>
  </si>
  <si>
    <t>MO-No</t>
  </si>
  <si>
    <t>MO-Dem</t>
  </si>
  <si>
    <t>MO-No contest</t>
  </si>
  <si>
    <t>MO-Rep</t>
  </si>
  <si>
    <t>MO-Landslide</t>
  </si>
  <si>
    <t>MT-Yes</t>
  </si>
  <si>
    <t>MT-No</t>
  </si>
  <si>
    <t>MT-Rep</t>
  </si>
  <si>
    <t>MT-Opportunity</t>
  </si>
  <si>
    <t>NE-Yes</t>
  </si>
  <si>
    <t>NE-No</t>
  </si>
  <si>
    <t>NE-Rep</t>
  </si>
  <si>
    <t>NE-Landslide</t>
  </si>
  <si>
    <t>NE-Tight</t>
  </si>
  <si>
    <t>NE-No contest</t>
  </si>
  <si>
    <t>NV-No</t>
  </si>
  <si>
    <t>NV-Dem</t>
  </si>
  <si>
    <t>NV-Landslide</t>
  </si>
  <si>
    <t>NV-Rep</t>
  </si>
  <si>
    <t>NV-Competitive</t>
  </si>
  <si>
    <t>NH-No</t>
  </si>
  <si>
    <t>NH-Dem</t>
  </si>
  <si>
    <t>NH-Tight</t>
  </si>
  <si>
    <t>NH-Competitive</t>
  </si>
  <si>
    <t>NJ-No</t>
  </si>
  <si>
    <t>NJ-Dem</t>
  </si>
  <si>
    <t>NJ-Landslide</t>
  </si>
  <si>
    <t>NJ-Rep</t>
  </si>
  <si>
    <t>NJ-Opportunity</t>
  </si>
  <si>
    <t>NJ-Competitive</t>
  </si>
  <si>
    <t>NJ-No contest</t>
  </si>
  <si>
    <t>NM-No</t>
  </si>
  <si>
    <t>NM-Dem</t>
  </si>
  <si>
    <t>NM-Opportunity</t>
  </si>
  <si>
    <t>NM-Rep</t>
  </si>
  <si>
    <t>NM-Landslide</t>
  </si>
  <si>
    <t>NY-No</t>
  </si>
  <si>
    <t>NY-Dem</t>
  </si>
  <si>
    <t>NY-Tight</t>
  </si>
  <si>
    <t>NY-Rep</t>
  </si>
  <si>
    <t>NY-Opportunity</t>
  </si>
  <si>
    <t>NY-Landslide</t>
  </si>
  <si>
    <t>NY-No contest</t>
  </si>
  <si>
    <t>NY-Competitive</t>
  </si>
  <si>
    <t>NC-No</t>
  </si>
  <si>
    <t>NC-Dem</t>
  </si>
  <si>
    <t>NC-No contest</t>
  </si>
  <si>
    <t>NC-Rep</t>
  </si>
  <si>
    <t>NC-Opportunity</t>
  </si>
  <si>
    <t>NC-Landslide</t>
  </si>
  <si>
    <t>NC-Tight</t>
  </si>
  <si>
    <t>NC-Competitive</t>
  </si>
  <si>
    <t>ND-Yes</t>
  </si>
  <si>
    <t>ND-No</t>
  </si>
  <si>
    <t>ND-Rep</t>
  </si>
  <si>
    <t>ND-Opportunity</t>
  </si>
  <si>
    <t>OH-No</t>
  </si>
  <si>
    <t>OH-Rep</t>
  </si>
  <si>
    <t>OH-Landslide</t>
  </si>
  <si>
    <t>OH-Opportunity</t>
  </si>
  <si>
    <t>OH-Dem</t>
  </si>
  <si>
    <t>OH-No contest</t>
  </si>
  <si>
    <t>OH-Competitive</t>
  </si>
  <si>
    <t>OH-Tight</t>
  </si>
  <si>
    <t>OK-No</t>
  </si>
  <si>
    <t>OK-Rep</t>
  </si>
  <si>
    <t>OK-Landslide</t>
  </si>
  <si>
    <t>OK-Opportunity</t>
  </si>
  <si>
    <t>OK-No contest</t>
  </si>
  <si>
    <t>OR-No</t>
  </si>
  <si>
    <t>OR-Dem</t>
  </si>
  <si>
    <t>OR-Landslide</t>
  </si>
  <si>
    <t>OR-Rep</t>
  </si>
  <si>
    <t>OR-No contest</t>
  </si>
  <si>
    <t>OR-Opportunity</t>
  </si>
  <si>
    <t>PA-No</t>
  </si>
  <si>
    <t>PA-Dem</t>
  </si>
  <si>
    <t>PA-No contest</t>
  </si>
  <si>
    <t>PA-Rep</t>
  </si>
  <si>
    <t>PA-Opportunity</t>
  </si>
  <si>
    <t>PA-Landslide</t>
  </si>
  <si>
    <t>PA-Tight</t>
  </si>
  <si>
    <t>RI-Yes</t>
  </si>
  <si>
    <t>RI-No</t>
  </si>
  <si>
    <t>RI-Dem</t>
  </si>
  <si>
    <t>RI-Opportunity</t>
  </si>
  <si>
    <t>RI-Landslide</t>
  </si>
  <si>
    <t>SC-No</t>
  </si>
  <si>
    <t>SC-Rep</t>
  </si>
  <si>
    <t>SC-Landslide</t>
  </si>
  <si>
    <t>SC-No contest</t>
  </si>
  <si>
    <t>SC-Opportunity</t>
  </si>
  <si>
    <t>SC-Dem</t>
  </si>
  <si>
    <t>SD-No</t>
  </si>
  <si>
    <t>SD-Rep</t>
  </si>
  <si>
    <t>SD-Opportunity</t>
  </si>
  <si>
    <t>TN-No</t>
  </si>
  <si>
    <t>TN-Rep</t>
  </si>
  <si>
    <t>TN-No contest</t>
  </si>
  <si>
    <t>TN-Landslide</t>
  </si>
  <si>
    <t>TN-Opportunity</t>
  </si>
  <si>
    <t>TN-Dem</t>
  </si>
  <si>
    <t>TX-No</t>
  </si>
  <si>
    <t>TX-Rep</t>
  </si>
  <si>
    <t>TX-No contest</t>
  </si>
  <si>
    <t>TX-Landslide</t>
  </si>
  <si>
    <t>TX-Opportunity</t>
  </si>
  <si>
    <t>TX-Dem</t>
  </si>
  <si>
    <t>TX-Competitive</t>
  </si>
  <si>
    <t>TX-Tight</t>
  </si>
  <si>
    <t>UT-Yes</t>
  </si>
  <si>
    <t>UT-No</t>
  </si>
  <si>
    <t>UT-Rep</t>
  </si>
  <si>
    <t>UT-No contest</t>
  </si>
  <si>
    <t>UT-Landslide</t>
  </si>
  <si>
    <t>UT-Dem</t>
  </si>
  <si>
    <t>UT-Tight</t>
  </si>
  <si>
    <t>VT-Yes</t>
  </si>
  <si>
    <t>VT-No</t>
  </si>
  <si>
    <t>VT-Dem</t>
  </si>
  <si>
    <t>VT-No contest</t>
  </si>
  <si>
    <t>VA-No</t>
  </si>
  <si>
    <t>VA-Rep</t>
  </si>
  <si>
    <t>VA-Opportunity</t>
  </si>
  <si>
    <t>VA-Competitive</t>
  </si>
  <si>
    <t>VA-Dem</t>
  </si>
  <si>
    <t>VA-No contest</t>
  </si>
  <si>
    <t>VA-Landslide</t>
  </si>
  <si>
    <t>WA-No</t>
  </si>
  <si>
    <t>WA-Dem</t>
  </si>
  <si>
    <t>WA-Competitive</t>
  </si>
  <si>
    <t>WA-Landslide</t>
  </si>
  <si>
    <t>WA-Rep</t>
  </si>
  <si>
    <t>WA-Opportunity</t>
  </si>
  <si>
    <t>WA-No contest</t>
  </si>
  <si>
    <t>WV-No</t>
  </si>
  <si>
    <t>WV-Rep</t>
  </si>
  <si>
    <t>WV-Landslide</t>
  </si>
  <si>
    <t>WV-Dem</t>
  </si>
  <si>
    <t>WV-Competitive</t>
  </si>
  <si>
    <t>WI-No</t>
  </si>
  <si>
    <t>WI-Rep</t>
  </si>
  <si>
    <t>WI-Opportunity</t>
  </si>
  <si>
    <t>WI-Dem</t>
  </si>
  <si>
    <t>WI-Landslide</t>
  </si>
  <si>
    <t>WI-No contest</t>
  </si>
  <si>
    <t>WY-No</t>
  </si>
  <si>
    <t>WY-Rep</t>
  </si>
  <si>
    <t>WY-No contest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</si>
</sst>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dd\-mmm\-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9"/>
      <name val="Geneva"/>
    </font>
    <font>
      <sz val="9"/>
      <color indexed="9"/>
      <name val="Geneva"/>
    </font>
    <font>
      <sz val="18"/>
      <color indexed="9"/>
      <name val="Geneva"/>
    </font>
    <font>
      <sz val="10"/>
      <name val="Arial"/>
      <family val="2"/>
    </font>
    <font>
      <sz val="12"/>
      <color indexed="5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u/>
      <sz val="10"/>
      <color indexed="54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9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8" fillId="0" borderId="0">
      <protection locked="0"/>
    </xf>
    <xf numFmtId="43" fontId="1" fillId="0" borderId="0" applyFont="0" applyFill="0" applyBorder="0" applyAlignment="0" applyProtection="0"/>
    <xf numFmtId="0" fontId="10" fillId="0" borderId="0">
      <protection locked="0"/>
    </xf>
    <xf numFmtId="0" fontId="10" fillId="0" borderId="0">
      <protection locked="0"/>
    </xf>
    <xf numFmtId="0" fontId="9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39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2" applyNumberFormat="1" applyFont="1" applyAlignment="1">
      <alignment horizontal="right"/>
    </xf>
    <xf numFmtId="165" fontId="3" fillId="0" borderId="0" xfId="10" applyNumberFormat="1" applyFont="1"/>
    <xf numFmtId="1" fontId="3" fillId="0" borderId="0" xfId="0" applyNumberFormat="1" applyFont="1"/>
    <xf numFmtId="43" fontId="3" fillId="0" borderId="0" xfId="0" applyNumberFormat="1" applyFont="1"/>
    <xf numFmtId="0" fontId="3" fillId="0" borderId="0" xfId="0" applyFont="1"/>
    <xf numFmtId="0" fontId="2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3" fillId="0" borderId="0" xfId="0" applyFont="1" applyFill="1" applyBorder="1"/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1" xfId="0" applyFont="1" applyFill="1" applyBorder="1" applyAlignment="1"/>
    <xf numFmtId="0" fontId="3" fillId="0" borderId="0" xfId="0" applyFont="1" applyFill="1" applyBorder="1" applyAlignment="1"/>
    <xf numFmtId="0" fontId="2" fillId="2" borderId="7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65" fontId="3" fillId="0" borderId="0" xfId="10" applyNumberFormat="1" applyFont="1" applyBorder="1" applyAlignment="1">
      <alignment horizontal="right"/>
    </xf>
    <xf numFmtId="164" fontId="2" fillId="0" borderId="14" xfId="2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right"/>
    </xf>
    <xf numFmtId="165" fontId="2" fillId="0" borderId="15" xfId="0" applyNumberFormat="1" applyFont="1" applyBorder="1" applyAlignment="1">
      <alignment horizontal="right" vertical="center"/>
    </xf>
    <xf numFmtId="165" fontId="3" fillId="0" borderId="16" xfId="0" applyNumberFormat="1" applyFont="1" applyBorder="1" applyAlignment="1">
      <alignment horizontal="right"/>
    </xf>
    <xf numFmtId="1" fontId="2" fillId="0" borderId="15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2" fillId="2" borderId="12" xfId="0" applyFont="1" applyFill="1" applyBorder="1" applyAlignment="1">
      <alignment horizontal="center"/>
    </xf>
    <xf numFmtId="1" fontId="2" fillId="0" borderId="19" xfId="0" applyNumberFormat="1" applyFont="1" applyFill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3" fontId="3" fillId="0" borderId="20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0" borderId="14" xfId="0" applyFont="1" applyBorder="1"/>
    <xf numFmtId="3" fontId="2" fillId="0" borderId="17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65" fontId="3" fillId="0" borderId="16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0" fontId="2" fillId="0" borderId="0" xfId="0" applyFont="1" applyFill="1" applyBorder="1"/>
    <xf numFmtId="1" fontId="3" fillId="0" borderId="0" xfId="0" applyNumberFormat="1" applyFont="1" applyFill="1" applyBorder="1"/>
    <xf numFmtId="165" fontId="2" fillId="0" borderId="0" xfId="0" applyNumberFormat="1" applyFont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 vertical="center"/>
    </xf>
    <xf numFmtId="165" fontId="3" fillId="0" borderId="0" xfId="10" applyNumberFormat="1" applyFont="1" applyBorder="1" applyAlignment="1">
      <alignment horizontal="center"/>
    </xf>
    <xf numFmtId="165" fontId="2" fillId="2" borderId="10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3" fillId="0" borderId="20" xfId="0" applyNumberFormat="1" applyFont="1" applyFill="1" applyBorder="1" applyAlignment="1">
      <alignment horizontal="center"/>
    </xf>
    <xf numFmtId="165" fontId="3" fillId="0" borderId="21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4" fontId="2" fillId="0" borderId="15" xfId="2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right"/>
    </xf>
    <xf numFmtId="0" fontId="3" fillId="0" borderId="0" xfId="0" quotePrefix="1" applyFont="1"/>
    <xf numFmtId="0" fontId="4" fillId="0" borderId="0" xfId="0" applyFont="1"/>
    <xf numFmtId="0" fontId="6" fillId="0" borderId="0" xfId="0" applyFont="1" applyBorder="1"/>
    <xf numFmtId="0" fontId="5" fillId="0" borderId="0" xfId="0" applyFont="1" applyBorder="1"/>
    <xf numFmtId="0" fontId="2" fillId="0" borderId="15" xfId="0" applyFont="1" applyBorder="1"/>
    <xf numFmtId="0" fontId="3" fillId="0" borderId="23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6" fontId="3" fillId="0" borderId="16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165" fontId="2" fillId="0" borderId="18" xfId="10" applyNumberFormat="1" applyFont="1" applyBorder="1" applyAlignment="1">
      <alignment horizontal="center"/>
    </xf>
    <xf numFmtId="165" fontId="3" fillId="0" borderId="16" xfId="1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65" fontId="2" fillId="0" borderId="23" xfId="0" applyNumberFormat="1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23" xfId="0" applyFont="1" applyFill="1" applyBorder="1" applyAlignment="1">
      <alignment horizontal="left"/>
    </xf>
    <xf numFmtId="0" fontId="3" fillId="2" borderId="8" xfId="0" applyFont="1" applyFill="1" applyBorder="1"/>
    <xf numFmtId="166" fontId="2" fillId="0" borderId="15" xfId="0" applyNumberFormat="1" applyFont="1" applyBorder="1" applyAlignment="1">
      <alignment horizontal="center"/>
    </xf>
    <xf numFmtId="165" fontId="2" fillId="0" borderId="15" xfId="10" applyNumberFormat="1" applyFont="1" applyBorder="1" applyAlignment="1">
      <alignment horizontal="center"/>
    </xf>
    <xf numFmtId="165" fontId="3" fillId="0" borderId="0" xfId="0" applyNumberFormat="1" applyFont="1" applyBorder="1"/>
    <xf numFmtId="167" fontId="2" fillId="0" borderId="0" xfId="0" applyNumberFormat="1" applyFont="1"/>
    <xf numFmtId="165" fontId="2" fillId="0" borderId="0" xfId="0" applyNumberFormat="1" applyFont="1" applyBorder="1"/>
    <xf numFmtId="165" fontId="2" fillId="0" borderId="0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6" xfId="0" applyFont="1" applyBorder="1"/>
    <xf numFmtId="0" fontId="2" fillId="0" borderId="16" xfId="0" applyFont="1" applyFill="1" applyBorder="1"/>
    <xf numFmtId="165" fontId="2" fillId="0" borderId="16" xfId="0" applyNumberFormat="1" applyFont="1" applyBorder="1" applyAlignment="1">
      <alignment horizontal="right"/>
    </xf>
    <xf numFmtId="1" fontId="3" fillId="0" borderId="0" xfId="1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0" borderId="15" xfId="1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166" fontId="3" fillId="0" borderId="25" xfId="0" applyNumberFormat="1" applyFont="1" applyBorder="1" applyAlignment="1">
      <alignment horizontal="center"/>
    </xf>
    <xf numFmtId="165" fontId="3" fillId="0" borderId="25" xfId="10" applyNumberFormat="1" applyFont="1" applyBorder="1" applyAlignment="1">
      <alignment horizontal="center"/>
    </xf>
    <xf numFmtId="165" fontId="3" fillId="0" borderId="26" xfId="0" applyNumberFormat="1" applyFont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1" fontId="3" fillId="0" borderId="25" xfId="1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6" fontId="3" fillId="0" borderId="26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5" fontId="3" fillId="0" borderId="26" xfId="10" applyNumberFormat="1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165" fontId="6" fillId="0" borderId="0" xfId="10" applyNumberFormat="1" applyFont="1" applyBorder="1"/>
    <xf numFmtId="3" fontId="2" fillId="0" borderId="19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9" fontId="3" fillId="4" borderId="3" xfId="1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8" xfId="0" applyFont="1" applyFill="1" applyBorder="1" applyAlignment="1"/>
    <xf numFmtId="0" fontId="2" fillId="3" borderId="6" xfId="0" applyFont="1" applyFill="1" applyBorder="1"/>
    <xf numFmtId="165" fontId="2" fillId="3" borderId="18" xfId="0" applyNumberFormat="1" applyFont="1" applyFill="1" applyBorder="1" applyAlignment="1">
      <alignment horizontal="center"/>
    </xf>
    <xf numFmtId="0" fontId="2" fillId="3" borderId="7" xfId="0" applyFont="1" applyFill="1" applyBorder="1"/>
    <xf numFmtId="165" fontId="2" fillId="3" borderId="7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/>
    <xf numFmtId="1" fontId="2" fillId="3" borderId="7" xfId="0" applyNumberFormat="1" applyFont="1" applyFill="1" applyBorder="1"/>
    <xf numFmtId="165" fontId="2" fillId="3" borderId="12" xfId="0" applyNumberFormat="1" applyFont="1" applyFill="1" applyBorder="1" applyAlignment="1">
      <alignment horizontal="center"/>
    </xf>
    <xf numFmtId="3" fontId="2" fillId="3" borderId="30" xfId="0" applyNumberFormat="1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29" xfId="0" applyFont="1" applyFill="1" applyBorder="1"/>
    <xf numFmtId="0" fontId="2" fillId="3" borderId="12" xfId="0" applyFont="1" applyFill="1" applyBorder="1"/>
    <xf numFmtId="0" fontId="2" fillId="3" borderId="30" xfId="0" applyFont="1" applyFill="1" applyBorder="1"/>
    <xf numFmtId="0" fontId="2" fillId="3" borderId="31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32" xfId="0" applyFont="1" applyFill="1" applyBorder="1"/>
    <xf numFmtId="165" fontId="2" fillId="3" borderId="9" xfId="0" applyNumberFormat="1" applyFont="1" applyFill="1" applyBorder="1"/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/>
    <xf numFmtId="1" fontId="3" fillId="3" borderId="9" xfId="0" applyNumberFormat="1" applyFont="1" applyFill="1" applyBorder="1"/>
    <xf numFmtId="1" fontId="2" fillId="3" borderId="9" xfId="0" applyNumberFormat="1" applyFont="1" applyFill="1" applyBorder="1"/>
    <xf numFmtId="0" fontId="2" fillId="3" borderId="10" xfId="0" applyFont="1" applyFill="1" applyBorder="1" applyAlignment="1">
      <alignment horizontal="center"/>
    </xf>
    <xf numFmtId="3" fontId="2" fillId="3" borderId="34" xfId="0" applyNumberFormat="1" applyFont="1" applyFill="1" applyBorder="1" applyAlignment="1">
      <alignment horizontal="right"/>
    </xf>
    <xf numFmtId="0" fontId="2" fillId="3" borderId="33" xfId="0" applyFont="1" applyFill="1" applyBorder="1" applyAlignment="1">
      <alignment horizontal="center"/>
    </xf>
    <xf numFmtId="0" fontId="3" fillId="3" borderId="9" xfId="0" applyFont="1" applyFill="1" applyBorder="1"/>
    <xf numFmtId="0" fontId="3" fillId="3" borderId="33" xfId="0" applyFont="1" applyFill="1" applyBorder="1"/>
    <xf numFmtId="0" fontId="2" fillId="3" borderId="34" xfId="0" applyFont="1" applyFill="1" applyBorder="1"/>
    <xf numFmtId="0" fontId="3" fillId="3" borderId="10" xfId="0" applyFont="1" applyFill="1" applyBorder="1"/>
    <xf numFmtId="0" fontId="2" fillId="3" borderId="35" xfId="0" applyFont="1" applyFill="1" applyBorder="1"/>
    <xf numFmtId="1" fontId="3" fillId="0" borderId="0" xfId="0" applyNumberFormat="1" applyFont="1" applyFill="1" applyBorder="1" applyAlignment="1">
      <alignment horizontal="center"/>
    </xf>
    <xf numFmtId="1" fontId="3" fillId="0" borderId="11" xfId="0" applyNumberFormat="1" applyFont="1" applyFill="1" applyBorder="1" applyAlignment="1">
      <alignment horizontal="center"/>
    </xf>
    <xf numFmtId="166" fontId="3" fillId="0" borderId="11" xfId="0" applyNumberFormat="1" applyFont="1" applyFill="1" applyBorder="1" applyAlignment="1">
      <alignment horizontal="center"/>
    </xf>
    <xf numFmtId="165" fontId="3" fillId="0" borderId="0" xfId="10" applyNumberFormat="1" applyFont="1" applyFill="1" applyBorder="1" applyAlignment="1">
      <alignment horizontal="center"/>
    </xf>
    <xf numFmtId="165" fontId="3" fillId="0" borderId="0" xfId="1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0" borderId="11" xfId="0" applyNumberFormat="1" applyFont="1" applyFill="1" applyBorder="1" applyAlignment="1">
      <alignment horizontal="center"/>
    </xf>
    <xf numFmtId="165" fontId="3" fillId="0" borderId="2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center"/>
    </xf>
    <xf numFmtId="165" fontId="3" fillId="0" borderId="11" xfId="1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25" xfId="10" applyNumberFormat="1" applyFont="1" applyFill="1" applyBorder="1" applyAlignment="1">
      <alignment horizontal="center"/>
    </xf>
    <xf numFmtId="1" fontId="3" fillId="0" borderId="26" xfId="0" applyNumberFormat="1" applyFont="1" applyFill="1" applyBorder="1" applyAlignment="1">
      <alignment horizontal="center"/>
    </xf>
    <xf numFmtId="166" fontId="3" fillId="0" borderId="25" xfId="0" applyNumberFormat="1" applyFont="1" applyFill="1" applyBorder="1" applyAlignment="1">
      <alignment horizontal="center"/>
    </xf>
    <xf numFmtId="165" fontId="3" fillId="0" borderId="25" xfId="10" applyNumberFormat="1" applyFont="1" applyFill="1" applyBorder="1" applyAlignment="1">
      <alignment horizontal="center"/>
    </xf>
    <xf numFmtId="165" fontId="3" fillId="0" borderId="26" xfId="0" applyNumberFormat="1" applyFont="1" applyFill="1" applyBorder="1" applyAlignment="1">
      <alignment horizontal="center"/>
    </xf>
    <xf numFmtId="165" fontId="3" fillId="0" borderId="0" xfId="0" applyNumberFormat="1" applyFont="1" applyFill="1" applyBorder="1"/>
    <xf numFmtId="0" fontId="3" fillId="0" borderId="24" xfId="0" applyFont="1" applyFill="1" applyBorder="1" applyAlignment="1">
      <alignment horizontal="center"/>
    </xf>
    <xf numFmtId="166" fontId="3" fillId="0" borderId="26" xfId="0" applyNumberFormat="1" applyFont="1" applyFill="1" applyBorder="1" applyAlignment="1">
      <alignment horizontal="center"/>
    </xf>
    <xf numFmtId="165" fontId="3" fillId="0" borderId="16" xfId="0" applyNumberFormat="1" applyFont="1" applyFill="1" applyBorder="1" applyAlignment="1">
      <alignment horizontal="right"/>
    </xf>
    <xf numFmtId="0" fontId="3" fillId="0" borderId="25" xfId="0" applyFont="1" applyFill="1" applyBorder="1" applyAlignment="1">
      <alignment horizontal="center"/>
    </xf>
    <xf numFmtId="165" fontId="3" fillId="0" borderId="26" xfId="10" applyNumberFormat="1" applyFont="1" applyFill="1" applyBorder="1" applyAlignment="1">
      <alignment horizontal="center"/>
    </xf>
    <xf numFmtId="1" fontId="3" fillId="0" borderId="0" xfId="0" applyNumberFormat="1" applyFont="1" applyFill="1"/>
    <xf numFmtId="0" fontId="2" fillId="0" borderId="18" xfId="0" applyFont="1" applyFill="1" applyBorder="1" applyAlignment="1"/>
    <xf numFmtId="0" fontId="12" fillId="0" borderId="0" xfId="0" applyFont="1" applyFill="1"/>
    <xf numFmtId="3" fontId="3" fillId="0" borderId="0" xfId="0" applyNumberFormat="1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2" applyNumberFormat="1" applyFont="1" applyAlignment="1">
      <alignment horizontal="left"/>
    </xf>
    <xf numFmtId="0" fontId="14" fillId="0" borderId="0" xfId="0" applyFont="1" applyAlignment="1">
      <alignment horizontal="right"/>
    </xf>
    <xf numFmtId="165" fontId="14" fillId="0" borderId="0" xfId="10" applyNumberFormat="1" applyFont="1"/>
    <xf numFmtId="0" fontId="14" fillId="0" borderId="0" xfId="0" applyFont="1"/>
    <xf numFmtId="164" fontId="13" fillId="0" borderId="0" xfId="2" applyNumberFormat="1" applyFont="1" applyAlignment="1">
      <alignment horizontal="left"/>
    </xf>
    <xf numFmtId="0" fontId="13" fillId="3" borderId="8" xfId="0" applyFont="1" applyFill="1" applyBorder="1" applyAlignment="1">
      <alignment horizontal="left"/>
    </xf>
    <xf numFmtId="0" fontId="13" fillId="3" borderId="9" xfId="0" applyFont="1" applyFill="1" applyBorder="1" applyAlignment="1">
      <alignment horizontal="left"/>
    </xf>
    <xf numFmtId="0" fontId="13" fillId="3" borderId="10" xfId="0" applyFont="1" applyFill="1" applyBorder="1" applyAlignment="1">
      <alignment horizontal="left"/>
    </xf>
    <xf numFmtId="164" fontId="13" fillId="3" borderId="9" xfId="2" applyNumberFormat="1" applyFont="1" applyFill="1" applyBorder="1" applyAlignment="1">
      <alignment horizontal="left"/>
    </xf>
    <xf numFmtId="164" fontId="13" fillId="3" borderId="33" xfId="2" applyNumberFormat="1" applyFont="1" applyFill="1" applyBorder="1" applyAlignment="1">
      <alignment horizontal="left"/>
    </xf>
    <xf numFmtId="0" fontId="13" fillId="3" borderId="9" xfId="0" applyFont="1" applyFill="1" applyBorder="1" applyAlignment="1">
      <alignment horizontal="right"/>
    </xf>
    <xf numFmtId="165" fontId="13" fillId="3" borderId="10" xfId="10" applyNumberFormat="1" applyFont="1" applyFill="1" applyBorder="1" applyAlignment="1">
      <alignment horizontal="center"/>
    </xf>
    <xf numFmtId="0" fontId="13" fillId="3" borderId="8" xfId="0" applyFont="1" applyFill="1" applyBorder="1"/>
    <xf numFmtId="0" fontId="13" fillId="3" borderId="9" xfId="0" applyFont="1" applyFill="1" applyBorder="1"/>
    <xf numFmtId="0" fontId="13" fillId="3" borderId="10" xfId="0" applyFont="1" applyFill="1" applyBorder="1"/>
    <xf numFmtId="0" fontId="13" fillId="3" borderId="6" xfId="0" applyFont="1" applyFill="1" applyBorder="1" applyAlignment="1">
      <alignment horizontal="right"/>
    </xf>
    <xf numFmtId="0" fontId="13" fillId="3" borderId="7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right"/>
    </xf>
    <xf numFmtId="164" fontId="13" fillId="3" borderId="7" xfId="2" applyNumberFormat="1" applyFont="1" applyFill="1" applyBorder="1" applyAlignment="1">
      <alignment horizontal="right"/>
    </xf>
    <xf numFmtId="164" fontId="13" fillId="3" borderId="29" xfId="2" applyNumberFormat="1" applyFont="1" applyFill="1" applyBorder="1" applyAlignment="1">
      <alignment horizontal="right"/>
    </xf>
    <xf numFmtId="0" fontId="13" fillId="3" borderId="7" xfId="0" applyFont="1" applyFill="1" applyBorder="1" applyAlignment="1">
      <alignment horizontal="right"/>
    </xf>
    <xf numFmtId="165" fontId="13" fillId="3" borderId="12" xfId="1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164" fontId="14" fillId="4" borderId="0" xfId="2" applyNumberFormat="1" applyFont="1" applyFill="1" applyBorder="1" applyAlignment="1">
      <alignment horizontal="right"/>
    </xf>
    <xf numFmtId="164" fontId="14" fillId="4" borderId="36" xfId="2" applyNumberFormat="1" applyFont="1" applyFill="1" applyBorder="1" applyAlignment="1">
      <alignment horizontal="right"/>
    </xf>
    <xf numFmtId="3" fontId="14" fillId="0" borderId="16" xfId="2" applyNumberFormat="1" applyFont="1" applyFill="1" applyBorder="1" applyAlignment="1">
      <alignment horizontal="center"/>
    </xf>
    <xf numFmtId="3" fontId="14" fillId="0" borderId="0" xfId="10" applyNumberFormat="1" applyFont="1" applyBorder="1" applyAlignment="1">
      <alignment horizontal="right"/>
    </xf>
    <xf numFmtId="165" fontId="14" fillId="0" borderId="0" xfId="10" applyNumberFormat="1" applyFont="1" applyBorder="1" applyAlignment="1">
      <alignment horizontal="right"/>
    </xf>
    <xf numFmtId="165" fontId="14" fillId="0" borderId="16" xfId="10" applyNumberFormat="1" applyFont="1" applyBorder="1"/>
    <xf numFmtId="1" fontId="14" fillId="0" borderId="0" xfId="0" applyNumberFormat="1" applyFont="1" applyBorder="1"/>
    <xf numFmtId="166" fontId="14" fillId="0" borderId="0" xfId="0" applyNumberFormat="1" applyFont="1" applyBorder="1"/>
    <xf numFmtId="166" fontId="14" fillId="0" borderId="16" xfId="0" applyNumberFormat="1" applyFont="1" applyBorder="1"/>
    <xf numFmtId="3" fontId="14" fillId="0" borderId="0" xfId="0" applyNumberFormat="1" applyFont="1" applyBorder="1"/>
    <xf numFmtId="3" fontId="14" fillId="0" borderId="16" xfId="0" applyNumberFormat="1" applyFont="1" applyBorder="1"/>
    <xf numFmtId="164" fontId="14" fillId="0" borderId="16" xfId="2" applyNumberFormat="1" applyFont="1" applyFill="1" applyBorder="1" applyAlignment="1">
      <alignment horizontal="center"/>
    </xf>
    <xf numFmtId="3" fontId="14" fillId="4" borderId="11" xfId="0" applyNumberFormat="1" applyFont="1" applyFill="1" applyBorder="1"/>
    <xf numFmtId="0" fontId="14" fillId="0" borderId="0" xfId="0" applyFont="1" applyFill="1" applyBorder="1" applyAlignment="1">
      <alignment horizontal="center"/>
    </xf>
    <xf numFmtId="3" fontId="14" fillId="0" borderId="0" xfId="10" applyNumberFormat="1" applyFont="1" applyFill="1" applyBorder="1" applyAlignment="1">
      <alignment horizontal="right"/>
    </xf>
    <xf numFmtId="165" fontId="14" fillId="0" borderId="16" xfId="10" applyNumberFormat="1" applyFont="1" applyFill="1" applyBorder="1"/>
    <xf numFmtId="1" fontId="14" fillId="0" borderId="0" xfId="0" applyNumberFormat="1" applyFont="1" applyFill="1" applyBorder="1"/>
    <xf numFmtId="166" fontId="14" fillId="0" borderId="0" xfId="0" applyNumberFormat="1" applyFont="1" applyFill="1" applyBorder="1"/>
    <xf numFmtId="3" fontId="14" fillId="0" borderId="0" xfId="0" applyNumberFormat="1" applyFont="1" applyFill="1" applyBorder="1"/>
    <xf numFmtId="3" fontId="14" fillId="0" borderId="16" xfId="0" applyNumberFormat="1" applyFont="1" applyFill="1" applyBorder="1"/>
    <xf numFmtId="0" fontId="13" fillId="0" borderId="37" xfId="0" applyFont="1" applyBorder="1"/>
    <xf numFmtId="0" fontId="13" fillId="0" borderId="38" xfId="0" applyFont="1" applyBorder="1" applyAlignment="1">
      <alignment horizontal="center"/>
    </xf>
    <xf numFmtId="0" fontId="13" fillId="0" borderId="39" xfId="0" applyFont="1" applyBorder="1" applyAlignment="1">
      <alignment horizontal="right"/>
    </xf>
    <xf numFmtId="3" fontId="13" fillId="0" borderId="40" xfId="0" applyNumberFormat="1" applyFont="1" applyBorder="1" applyAlignment="1">
      <alignment horizontal="right"/>
    </xf>
    <xf numFmtId="3" fontId="13" fillId="0" borderId="41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center"/>
    </xf>
    <xf numFmtId="1" fontId="13" fillId="0" borderId="37" xfId="0" applyNumberFormat="1" applyFont="1" applyBorder="1"/>
    <xf numFmtId="0" fontId="13" fillId="0" borderId="38" xfId="0" applyFont="1" applyBorder="1"/>
    <xf numFmtId="0" fontId="13" fillId="0" borderId="39" xfId="0" applyFont="1" applyBorder="1"/>
    <xf numFmtId="3" fontId="13" fillId="0" borderId="37" xfId="0" applyNumberFormat="1" applyFont="1" applyBorder="1"/>
    <xf numFmtId="3" fontId="13" fillId="0" borderId="38" xfId="0" applyNumberFormat="1" applyFont="1" applyBorder="1"/>
    <xf numFmtId="3" fontId="13" fillId="0" borderId="39" xfId="0" applyNumberFormat="1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165" fontId="13" fillId="0" borderId="0" xfId="10" applyNumberFormat="1" applyFont="1" applyBorder="1" applyAlignment="1">
      <alignment horizontal="right"/>
    </xf>
    <xf numFmtId="165" fontId="13" fillId="0" borderId="0" xfId="10" applyNumberFormat="1" applyFont="1" applyBorder="1"/>
    <xf numFmtId="1" fontId="13" fillId="0" borderId="0" xfId="0" applyNumberFormat="1" applyFont="1" applyBorder="1"/>
    <xf numFmtId="3" fontId="13" fillId="0" borderId="0" xfId="0" applyNumberFormat="1" applyFont="1" applyBorder="1"/>
    <xf numFmtId="0" fontId="14" fillId="0" borderId="0" xfId="0" applyFont="1" applyAlignment="1">
      <alignment horizontal="center"/>
    </xf>
    <xf numFmtId="164" fontId="14" fillId="0" borderId="0" xfId="2" applyNumberFormat="1" applyFont="1" applyAlignment="1">
      <alignment horizontal="right"/>
    </xf>
    <xf numFmtId="1" fontId="13" fillId="0" borderId="0" xfId="0" applyNumberFormat="1" applyFont="1"/>
    <xf numFmtId="0" fontId="13" fillId="0" borderId="0" xfId="2" applyNumberFormat="1" applyFont="1" applyAlignment="1"/>
    <xf numFmtId="0" fontId="13" fillId="0" borderId="0" xfId="0" applyFont="1"/>
    <xf numFmtId="0" fontId="0" fillId="0" borderId="9" xfId="0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1" fontId="0" fillId="0" borderId="9" xfId="0" applyNumberFormat="1" applyFill="1" applyBorder="1" applyAlignment="1"/>
    <xf numFmtId="3" fontId="0" fillId="0" borderId="9" xfId="0" applyNumberFormat="1" applyFill="1" applyBorder="1" applyAlignment="1"/>
    <xf numFmtId="3" fontId="0" fillId="0" borderId="7" xfId="0" applyNumberFormat="1" applyFill="1" applyBorder="1" applyAlignment="1"/>
    <xf numFmtId="0" fontId="0" fillId="0" borderId="12" xfId="0" applyFill="1" applyBorder="1" applyAlignment="1"/>
    <xf numFmtId="0" fontId="0" fillId="0" borderId="0" xfId="0" applyBorder="1"/>
    <xf numFmtId="0" fontId="16" fillId="0" borderId="0" xfId="0" applyFont="1" applyFill="1" applyBorder="1" applyAlignment="1">
      <alignment horizontal="center"/>
    </xf>
    <xf numFmtId="0" fontId="0" fillId="0" borderId="0" xfId="0" applyAlignment="1"/>
    <xf numFmtId="1" fontId="0" fillId="0" borderId="0" xfId="0" applyNumberFormat="1" applyFill="1" applyBorder="1" applyAlignment="1"/>
    <xf numFmtId="3" fontId="0" fillId="0" borderId="0" xfId="0" applyNumberFormat="1" applyFill="1" applyBorder="1" applyAlignment="1"/>
    <xf numFmtId="0" fontId="16" fillId="0" borderId="0" xfId="0" applyFont="1" applyFill="1" applyBorder="1" applyAlignment="1"/>
    <xf numFmtId="0" fontId="0" fillId="0" borderId="0" xfId="0" applyFill="1" applyBorder="1"/>
    <xf numFmtId="0" fontId="0" fillId="0" borderId="0" xfId="0" applyFill="1"/>
    <xf numFmtId="165" fontId="3" fillId="0" borderId="8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3" fillId="0" borderId="23" xfId="0" applyNumberFormat="1" applyFont="1" applyBorder="1" applyAlignment="1">
      <alignment horizontal="center"/>
    </xf>
    <xf numFmtId="165" fontId="3" fillId="0" borderId="23" xfId="0" applyNumberFormat="1" applyFont="1" applyFill="1" applyBorder="1" applyAlignment="1">
      <alignment horizontal="center"/>
    </xf>
    <xf numFmtId="165" fontId="3" fillId="0" borderId="16" xfId="0" applyNumberFormat="1" applyFont="1" applyFill="1" applyBorder="1" applyAlignment="1">
      <alignment horizontal="center"/>
    </xf>
    <xf numFmtId="165" fontId="3" fillId="0" borderId="31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65" fontId="2" fillId="0" borderId="19" xfId="10" applyNumberFormat="1" applyFont="1" applyBorder="1" applyAlignment="1">
      <alignment horizontal="center"/>
    </xf>
    <xf numFmtId="9" fontId="0" fillId="0" borderId="0" xfId="10" applyFont="1" applyFill="1" applyBorder="1"/>
    <xf numFmtId="165" fontId="0" fillId="0" borderId="0" xfId="10" applyNumberFormat="1" applyFont="1" applyFill="1" applyBorder="1" applyAlignment="1"/>
    <xf numFmtId="1" fontId="0" fillId="0" borderId="0" xfId="0" applyNumberFormat="1" applyBorder="1"/>
    <xf numFmtId="164" fontId="0" fillId="0" borderId="0" xfId="2" applyNumberFormat="1" applyFont="1" applyFill="1" applyBorder="1" applyAlignment="1">
      <alignment horizontal="right"/>
    </xf>
    <xf numFmtId="165" fontId="0" fillId="0" borderId="0" xfId="1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165" fontId="13" fillId="0" borderId="0" xfId="0" applyNumberFormat="1" applyFont="1"/>
    <xf numFmtId="1" fontId="0" fillId="0" borderId="16" xfId="0" applyNumberFormat="1" applyFill="1" applyBorder="1" applyAlignment="1"/>
    <xf numFmtId="0" fontId="0" fillId="0" borderId="0" xfId="0" applyFill="1" applyBorder="1" applyAlignment="1">
      <alignment horizontal="right"/>
    </xf>
    <xf numFmtId="0" fontId="0" fillId="0" borderId="14" xfId="0" applyFill="1" applyBorder="1" applyAlignment="1"/>
    <xf numFmtId="0" fontId="16" fillId="3" borderId="18" xfId="0" applyFont="1" applyFill="1" applyBorder="1" applyAlignment="1">
      <alignment horizontal="center"/>
    </xf>
    <xf numFmtId="1" fontId="15" fillId="3" borderId="35" xfId="0" applyNumberFormat="1" applyFont="1" applyFill="1" applyBorder="1" applyAlignment="1">
      <alignment horizontal="left"/>
    </xf>
    <xf numFmtId="1" fontId="15" fillId="3" borderId="42" xfId="0" applyNumberFormat="1" applyFont="1" applyFill="1" applyBorder="1" applyAlignment="1">
      <alignment horizontal="left"/>
    </xf>
    <xf numFmtId="165" fontId="15" fillId="3" borderId="42" xfId="0" applyNumberFormat="1" applyFont="1" applyFill="1" applyBorder="1" applyAlignment="1">
      <alignment horizontal="left"/>
    </xf>
    <xf numFmtId="0" fontId="16" fillId="3" borderId="43" xfId="0" applyFont="1" applyFill="1" applyBorder="1" applyAlignment="1">
      <alignment horizontal="left"/>
    </xf>
    <xf numFmtId="9" fontId="0" fillId="0" borderId="0" xfId="10" applyFont="1" applyFill="1" applyBorder="1" applyAlignment="1"/>
    <xf numFmtId="9" fontId="0" fillId="0" borderId="9" xfId="10" applyFont="1" applyFill="1" applyBorder="1" applyAlignment="1"/>
    <xf numFmtId="1" fontId="0" fillId="0" borderId="10" xfId="0" applyNumberFormat="1" applyFill="1" applyBorder="1" applyAlignment="1"/>
    <xf numFmtId="0" fontId="0" fillId="0" borderId="10" xfId="0" applyFill="1" applyBorder="1" applyAlignment="1"/>
    <xf numFmtId="0" fontId="16" fillId="3" borderId="44" xfId="0" applyFont="1" applyFill="1" applyBorder="1" applyAlignment="1">
      <alignment horizontal="center"/>
    </xf>
    <xf numFmtId="0" fontId="16" fillId="3" borderId="22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right"/>
    </xf>
    <xf numFmtId="0" fontId="15" fillId="3" borderId="35" xfId="0" applyFont="1" applyFill="1" applyBorder="1" applyAlignment="1"/>
    <xf numFmtId="0" fontId="0" fillId="0" borderId="16" xfId="0" applyFill="1" applyBorder="1" applyAlignment="1">
      <alignment horizontal="right"/>
    </xf>
    <xf numFmtId="0" fontId="0" fillId="0" borderId="7" xfId="0" applyBorder="1"/>
    <xf numFmtId="0" fontId="16" fillId="3" borderId="8" xfId="0" applyFont="1" applyFill="1" applyBorder="1" applyAlignment="1">
      <alignment horizontal="left"/>
    </xf>
    <xf numFmtId="0" fontId="16" fillId="3" borderId="23" xfId="0" applyFont="1" applyFill="1" applyBorder="1" applyAlignment="1">
      <alignment horizontal="left"/>
    </xf>
    <xf numFmtId="0" fontId="0" fillId="3" borderId="6" xfId="0" applyFill="1" applyBorder="1"/>
    <xf numFmtId="0" fontId="11" fillId="0" borderId="0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0" fillId="0" borderId="23" xfId="0" applyFill="1" applyBorder="1"/>
    <xf numFmtId="0" fontId="11" fillId="0" borderId="16" xfId="0" applyFont="1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15" fillId="0" borderId="0" xfId="0" applyFont="1" applyFill="1" applyBorder="1"/>
    <xf numFmtId="0" fontId="11" fillId="3" borderId="42" xfId="0" applyFont="1" applyFill="1" applyBorder="1" applyAlignment="1">
      <alignment horizontal="left"/>
    </xf>
    <xf numFmtId="0" fontId="11" fillId="3" borderId="43" xfId="0" applyFont="1" applyFill="1" applyBorder="1" applyAlignment="1">
      <alignment horizontal="left"/>
    </xf>
    <xf numFmtId="0" fontId="11" fillId="3" borderId="42" xfId="0" applyFont="1" applyFill="1" applyBorder="1" applyAlignment="1"/>
    <xf numFmtId="0" fontId="11" fillId="3" borderId="43" xfId="0" applyFont="1" applyFill="1" applyBorder="1" applyAlignment="1"/>
    <xf numFmtId="0" fontId="15" fillId="3" borderId="45" xfId="0" applyFont="1" applyFill="1" applyBorder="1" applyAlignment="1"/>
    <xf numFmtId="0" fontId="15" fillId="3" borderId="46" xfId="0" applyFont="1" applyFill="1" applyBorder="1" applyAlignment="1"/>
    <xf numFmtId="0" fontId="15" fillId="3" borderId="47" xfId="0" applyFont="1" applyFill="1" applyBorder="1" applyAlignment="1"/>
    <xf numFmtId="1" fontId="15" fillId="3" borderId="46" xfId="0" applyNumberFormat="1" applyFont="1" applyFill="1" applyBorder="1" applyAlignment="1"/>
    <xf numFmtId="3" fontId="0" fillId="0" borderId="0" xfId="1" applyNumberFormat="1" applyFont="1" applyFill="1" applyBorder="1" applyAlignment="1">
      <alignment horizontal="right"/>
      <protection locked="0"/>
    </xf>
    <xf numFmtId="10" fontId="0" fillId="0" borderId="0" xfId="1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15" fillId="3" borderId="35" xfId="0" applyNumberFormat="1" applyFont="1" applyFill="1" applyBorder="1" applyAlignment="1">
      <alignment horizontal="left"/>
    </xf>
    <xf numFmtId="164" fontId="17" fillId="0" borderId="0" xfId="2" applyNumberFormat="1" applyFont="1" applyAlignment="1" applyProtection="1">
      <protection locked="0"/>
    </xf>
    <xf numFmtId="1" fontId="0" fillId="0" borderId="0" xfId="3" applyNumberFormat="1" applyFont="1" applyFill="1" applyBorder="1" applyAlignment="1">
      <alignment horizontal="right"/>
      <protection locked="0"/>
    </xf>
    <xf numFmtId="165" fontId="0" fillId="0" borderId="0" xfId="0" applyNumberFormat="1" applyFill="1" applyBorder="1" applyAlignment="1">
      <alignment horizontal="right"/>
    </xf>
    <xf numFmtId="165" fontId="0" fillId="0" borderId="0" xfId="10" applyNumberFormat="1" applyFont="1" applyFill="1"/>
    <xf numFmtId="3" fontId="2" fillId="0" borderId="22" xfId="0" applyNumberFormat="1" applyFont="1" applyBorder="1" applyAlignment="1">
      <alignment horizontal="right"/>
    </xf>
    <xf numFmtId="165" fontId="2" fillId="0" borderId="22" xfId="0" applyNumberFormat="1" applyFont="1" applyBorder="1" applyAlignment="1">
      <alignment horizontal="right"/>
    </xf>
    <xf numFmtId="164" fontId="2" fillId="0" borderId="22" xfId="2" applyNumberFormat="1" applyFont="1" applyBorder="1" applyAlignment="1">
      <alignment horizontal="center" vertical="center"/>
    </xf>
    <xf numFmtId="165" fontId="2" fillId="0" borderId="15" xfId="0" applyNumberFormat="1" applyFont="1" applyBorder="1"/>
    <xf numFmtId="164" fontId="13" fillId="3" borderId="9" xfId="2" applyNumberFormat="1" applyFont="1" applyFill="1" applyBorder="1" applyAlignment="1">
      <alignment horizontal="center"/>
    </xf>
    <xf numFmtId="164" fontId="13" fillId="3" borderId="7" xfId="2" applyNumberFormat="1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1" fontId="14" fillId="0" borderId="38" xfId="9" applyNumberFormat="1" applyFont="1" applyFill="1" applyBorder="1" applyAlignment="1"/>
    <xf numFmtId="0" fontId="14" fillId="0" borderId="38" xfId="0" applyFont="1" applyBorder="1"/>
    <xf numFmtId="1" fontId="2" fillId="3" borderId="9" xfId="0" applyNumberFormat="1" applyFont="1" applyFill="1" applyBorder="1" applyAlignment="1">
      <alignment horizontal="center"/>
    </xf>
    <xf numFmtId="1" fontId="3" fillId="3" borderId="9" xfId="0" applyNumberFormat="1" applyFont="1" applyFill="1" applyBorder="1" applyAlignment="1">
      <alignment horizontal="center"/>
    </xf>
    <xf numFmtId="165" fontId="2" fillId="3" borderId="7" xfId="0" applyNumberFormat="1" applyFont="1" applyFill="1" applyBorder="1"/>
    <xf numFmtId="9" fontId="3" fillId="0" borderId="0" xfId="0" applyNumberFormat="1" applyFont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9" fontId="2" fillId="0" borderId="15" xfId="0" applyNumberFormat="1" applyFont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65" fontId="3" fillId="0" borderId="21" xfId="0" applyNumberFormat="1" applyFont="1" applyFill="1" applyBorder="1" applyAlignment="1">
      <alignment horizontal="center"/>
    </xf>
    <xf numFmtId="0" fontId="2" fillId="3" borderId="43" xfId="0" applyFont="1" applyFill="1" applyBorder="1" applyAlignment="1">
      <alignment horizontal="center"/>
    </xf>
    <xf numFmtId="3" fontId="13" fillId="0" borderId="44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right"/>
    </xf>
    <xf numFmtId="165" fontId="13" fillId="0" borderId="15" xfId="10" applyNumberFormat="1" applyFont="1" applyBorder="1" applyAlignment="1">
      <alignment horizontal="right"/>
    </xf>
    <xf numFmtId="165" fontId="13" fillId="0" borderId="18" xfId="1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5" fontId="2" fillId="0" borderId="19" xfId="0" applyNumberFormat="1" applyFont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37" fontId="3" fillId="0" borderId="0" xfId="0" applyNumberFormat="1" applyFont="1"/>
    <xf numFmtId="37" fontId="2" fillId="0" borderId="48" xfId="0" applyNumberFormat="1" applyFont="1" applyBorder="1"/>
    <xf numFmtId="3" fontId="2" fillId="0" borderId="0" xfId="0" applyNumberFormat="1" applyFont="1"/>
    <xf numFmtId="0" fontId="18" fillId="0" borderId="0" xfId="8" applyFont="1" applyFill="1" applyAlignment="1" applyProtection="1"/>
    <xf numFmtId="1" fontId="0" fillId="0" borderId="0" xfId="0" applyNumberFormat="1"/>
    <xf numFmtId="165" fontId="2" fillId="0" borderId="26" xfId="0" applyNumberFormat="1" applyFont="1" applyBorder="1" applyAlignment="1">
      <alignment horizontal="center"/>
    </xf>
    <xf numFmtId="3" fontId="0" fillId="0" borderId="0" xfId="0" applyNumberFormat="1"/>
    <xf numFmtId="1" fontId="2" fillId="0" borderId="14" xfId="0" applyNumberFormat="1" applyFont="1" applyBorder="1" applyAlignment="1">
      <alignment horizontal="center"/>
    </xf>
    <xf numFmtId="0" fontId="1" fillId="0" borderId="0" xfId="0" applyFont="1"/>
    <xf numFmtId="165" fontId="2" fillId="3" borderId="12" xfId="0" applyNumberFormat="1" applyFont="1" applyFill="1" applyBorder="1"/>
    <xf numFmtId="9" fontId="3" fillId="0" borderId="10" xfId="0" applyNumberFormat="1" applyFont="1" applyBorder="1" applyAlignment="1">
      <alignment horizontal="center"/>
    </xf>
    <xf numFmtId="9" fontId="3" fillId="0" borderId="16" xfId="0" applyNumberFormat="1" applyFont="1" applyBorder="1" applyAlignment="1">
      <alignment horizontal="center"/>
    </xf>
    <xf numFmtId="9" fontId="3" fillId="0" borderId="16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19" fillId="0" borderId="0" xfId="0" applyNumberFormat="1" applyFont="1" applyAlignment="1">
      <alignment horizontal="center" wrapText="1"/>
    </xf>
    <xf numFmtId="0" fontId="0" fillId="0" borderId="0" xfId="0" applyFill="1" applyBorder="1" applyAlignment="1">
      <alignment wrapText="1"/>
    </xf>
    <xf numFmtId="1" fontId="20" fillId="5" borderId="0" xfId="0" applyNumberFormat="1" applyFont="1" applyFill="1" applyBorder="1" applyAlignment="1">
      <alignment horizontal="center"/>
    </xf>
  </cellXfs>
  <cellStyles count="12">
    <cellStyle name="Body" xfId="1"/>
    <cellStyle name="Comma" xfId="2" builtinId="3"/>
    <cellStyle name="Default" xfId="3"/>
    <cellStyle name="Default SS" xfId="4"/>
    <cellStyle name="Default TB" xfId="5"/>
    <cellStyle name="Followed Hyperlink" xfId="11" builtinId="9" hidden="1"/>
    <cellStyle name="Footer" xfId="6"/>
    <cellStyle name="Header" xfId="7"/>
    <cellStyle name="Hyperlink" xfId="8" builtinId="8"/>
    <cellStyle name="Normal" xfId="0" builtinId="0"/>
    <cellStyle name="Normal_Sheet2" xfId="9"/>
    <cellStyle name="Percent" xfId="10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777777"/>
      <rgbColor rgb="00555555"/>
      <rgbColor rgb="00FFFF00"/>
      <rgbColor rgb="00FF6600"/>
      <rgbColor rgb="00DD0000"/>
      <rgbColor rgb="00FF0099"/>
      <rgbColor rgb="00660099"/>
      <rgbColor rgb="000000DD"/>
      <rgbColor rgb="000099FF"/>
      <rgbColor rgb="0000EE00"/>
      <rgbColor rgb="00006600"/>
      <rgbColor rgb="00663300"/>
      <rgbColor rgb="00996633"/>
      <rgbColor rgb="00C0C0C0"/>
      <rgbColor rgb="00FFFBF0"/>
      <rgbColor rgb="00FFFF99"/>
      <rgbColor rgb="00FFFF66"/>
      <rgbColor rgb="00FFFF33"/>
      <rgbColor rgb="00FFCCFF"/>
      <rgbColor rgb="00FFCCCC"/>
      <rgbColor rgb="00FFCC99"/>
      <rgbColor rgb="00FFCC66"/>
      <rgbColor rgb="00FFCC33"/>
      <rgbColor rgb="00FFCC00"/>
      <rgbColor rgb="00FF99FF"/>
      <rgbColor rgb="00FF99CC"/>
      <rgbColor rgb="00FF9999"/>
      <rgbColor rgb="00FF9966"/>
      <rgbColor rgb="00FF9933"/>
      <rgbColor rgb="00FF9900"/>
      <rgbColor rgb="00FF66FF"/>
      <rgbColor rgb="00FF66CC"/>
      <rgbColor rgb="00FF6699"/>
      <rgbColor rgb="00FF6666"/>
      <rgbColor rgb="00FF6633"/>
      <rgbColor rgb="00FF33FF"/>
      <rgbColor rgb="00FF33CC"/>
      <rgbColor rgb="00FF3399"/>
      <rgbColor rgb="00FF3366"/>
      <rgbColor rgb="00FF3333"/>
      <rgbColor rgb="00FF3300"/>
      <rgbColor rgb="00FF00FF"/>
      <rgbColor rgb="00FF00CC"/>
      <rgbColor rgb="00FF0066"/>
      <rgbColor rgb="00FF0033"/>
      <rgbColor rgb="00FF0000"/>
      <rgbColor rgb="00CCFFFF"/>
      <rgbColor rgb="00C0DCC0"/>
      <rgbColor rgb="00CCFF99"/>
      <rgbColor rgb="00CCFF66"/>
      <rgbColor rgb="00CCFF33"/>
      <rgbColor rgb="00CCFF00"/>
      <rgbColor rgb="00CCCCFF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United States of America Seats-to-Votes 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0894186171935"/>
          <c:y val="0.2024567426702"/>
          <c:w val="0.691984683421422"/>
          <c:h val="0.641205607592895"/>
        </c:manualLayout>
      </c:layout>
      <c:barChart>
        <c:barDir val="col"/>
        <c:grouping val="clustered"/>
        <c:varyColors val="0"/>
        <c:ser>
          <c:idx val="0"/>
          <c:order val="0"/>
          <c:tx>
            <c:v>Vote Percentage</c:v>
          </c:tx>
          <c:invertIfNegative val="0"/>
          <c:cat>
            <c:strLit>
              <c:ptCount val="3"/>
              <c:pt idx="0">
                <c:v>Dem.</c:v>
              </c:pt>
              <c:pt idx="1">
                <c:v>Rep.</c:v>
              </c:pt>
              <c:pt idx="2">
                <c:v>Other</c:v>
              </c:pt>
            </c:strLit>
          </c:cat>
          <c:val>
            <c:numRef>
              <c:f>'Seats to Votes'!$E$2:$E$4</c:f>
              <c:numCache>
                <c:formatCode>0%</c:formatCode>
                <c:ptCount val="3"/>
                <c:pt idx="0">
                  <c:v>0.49154670349159</c:v>
                </c:pt>
                <c:pt idx="1">
                  <c:v>0.480312945922689</c:v>
                </c:pt>
                <c:pt idx="2">
                  <c:v>0.0281403505857204</c:v>
                </c:pt>
              </c:numCache>
            </c:numRef>
          </c:val>
        </c:ser>
        <c:ser>
          <c:idx val="1"/>
          <c:order val="1"/>
          <c:tx>
            <c:v>Seat Percentage</c:v>
          </c:tx>
          <c:invertIfNegative val="0"/>
          <c:cat>
            <c:strLit>
              <c:ptCount val="3"/>
              <c:pt idx="0">
                <c:v>Dem.</c:v>
              </c:pt>
              <c:pt idx="1">
                <c:v>Rep.</c:v>
              </c:pt>
              <c:pt idx="2">
                <c:v>Other</c:v>
              </c:pt>
            </c:strLit>
          </c:cat>
          <c:val>
            <c:numRef>
              <c:f>'Seats to Votes'!$C$2:$C$4</c:f>
              <c:numCache>
                <c:formatCode>0%</c:formatCode>
                <c:ptCount val="3"/>
                <c:pt idx="0">
                  <c:v>0.462068965517241</c:v>
                </c:pt>
                <c:pt idx="1">
                  <c:v>0.537931034482759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670328"/>
        <c:axId val="2121673320"/>
      </c:barChart>
      <c:catAx>
        <c:axId val="2121670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1673320"/>
        <c:crosses val="autoZero"/>
        <c:auto val="1"/>
        <c:lblAlgn val="ctr"/>
        <c:lblOffset val="100"/>
        <c:noMultiLvlLbl val="0"/>
      </c:catAx>
      <c:valAx>
        <c:axId val="212167332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21670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1189371876462"/>
          <c:y val="0.913737856227689"/>
          <c:w val="0.789449897529934"/>
          <c:h val="0.074743441430010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United States of America Competitiveness 2012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2"/>
              <c:pt idx="0">
                <c:v>Competitive</c:v>
              </c:pt>
              <c:pt idx="1">
                <c:v>Non-Competitive</c:v>
              </c:pt>
            </c:strLit>
          </c:cat>
          <c:val>
            <c:numRef>
              <c:f>Charts!$N$4:$N$5</c:f>
              <c:numCache>
                <c:formatCode>0</c:formatCode>
                <c:ptCount val="2"/>
                <c:pt idx="0">
                  <c:v>142.0</c:v>
                </c:pt>
                <c:pt idx="1">
                  <c:v>293.0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152400</xdr:rowOff>
    </xdr:from>
    <xdr:to>
      <xdr:col>5</xdr:col>
      <xdr:colOff>333375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</xdr:row>
      <xdr:rowOff>152401</xdr:rowOff>
    </xdr:from>
    <xdr:to>
      <xdr:col>10</xdr:col>
      <xdr:colOff>304800</xdr:colOff>
      <xdr:row>26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fairvote.or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9"/>
  <sheetViews>
    <sheetView tabSelected="1" zoomScale="70" zoomScaleNormal="70" zoomScalePageLayoutView="70" workbookViewId="0">
      <pane xSplit="14" ySplit="6" topLeftCell="R7" activePane="bottomRight" state="frozen"/>
      <selection pane="topRight" activeCell="D1" sqref="D1"/>
      <selection pane="bottomLeft" activeCell="A5" sqref="A5"/>
      <selection pane="bottomRight" activeCell="U14" sqref="U14"/>
    </sheetView>
  </sheetViews>
  <sheetFormatPr baseColWidth="10" defaultColWidth="8.83203125" defaultRowHeight="15" x14ac:dyDescent="0"/>
  <cols>
    <col min="1" max="1" width="15.83203125" style="7" customWidth="1"/>
    <col min="2" max="2" width="5.6640625" style="10" customWidth="1"/>
    <col min="3" max="3" width="29.33203125" style="10" customWidth="1"/>
    <col min="4" max="4" width="8.5" style="10" customWidth="1"/>
    <col min="5" max="5" width="12" style="10" customWidth="1"/>
    <col min="6" max="6" width="12.33203125" style="10" customWidth="1"/>
    <col min="7" max="7" width="11.5" style="10" customWidth="1"/>
    <col min="8" max="8" width="13.5" style="10" customWidth="1"/>
    <col min="9" max="9" width="16.1640625" style="10" customWidth="1"/>
    <col min="10" max="10" width="16.33203125" style="10" customWidth="1"/>
    <col min="11" max="11" width="20.1640625" style="10" customWidth="1"/>
    <col min="12" max="12" width="15.1640625" style="10" customWidth="1"/>
    <col min="13" max="13" width="10.5" style="10" customWidth="1"/>
    <col min="14" max="14" width="8.1640625" style="2" customWidth="1"/>
    <col min="15" max="15" width="13.1640625" style="3" customWidth="1"/>
    <col min="16" max="16" width="12.6640625" style="3" customWidth="1"/>
    <col min="17" max="17" width="11" style="3" customWidth="1"/>
    <col min="18" max="18" width="12.6640625" style="3" customWidth="1"/>
    <col min="19" max="19" width="10.83203125" style="3" hidden="1" customWidth="1"/>
    <col min="20" max="20" width="11.6640625" style="2" customWidth="1"/>
    <col min="21" max="21" width="13.5" style="2" customWidth="1"/>
    <col min="22" max="22" width="10.33203125" style="2" customWidth="1"/>
    <col min="23" max="23" width="10.33203125" style="4" customWidth="1"/>
    <col min="24" max="24" width="13.5" style="7" customWidth="1"/>
    <col min="25" max="25" width="10.5" style="7" customWidth="1"/>
    <col min="26" max="26" width="18.83203125" style="7" customWidth="1"/>
    <col min="27" max="27" width="14" style="7" customWidth="1"/>
    <col min="28" max="28" width="13.1640625" style="7" customWidth="1"/>
    <col min="29" max="29" width="11.6640625" style="7" customWidth="1"/>
    <col min="30" max="30" width="16.6640625" style="7" customWidth="1"/>
    <col min="31" max="31" width="20" style="7" customWidth="1"/>
    <col min="32" max="32" width="18" style="7" customWidth="1"/>
    <col min="33" max="16384" width="8.83203125" style="7"/>
  </cols>
  <sheetData>
    <row r="1" spans="1:31">
      <c r="A1" s="8" t="s">
        <v>273</v>
      </c>
    </row>
    <row r="2" spans="1:31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/>
      <c r="O2" s="197"/>
      <c r="P2" s="197"/>
      <c r="Q2" s="197"/>
      <c r="R2" s="197"/>
      <c r="S2" s="197"/>
      <c r="T2" s="196"/>
      <c r="U2" s="198"/>
      <c r="V2" s="198"/>
      <c r="W2" s="199"/>
      <c r="X2" s="200">
        <v>7</v>
      </c>
      <c r="Y2" s="200"/>
      <c r="Z2" s="200"/>
      <c r="AA2" s="200"/>
      <c r="AB2" s="200"/>
      <c r="AC2" s="200"/>
    </row>
    <row r="3" spans="1:31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6"/>
      <c r="O3" s="195" t="s">
        <v>271</v>
      </c>
      <c r="P3" s="197"/>
      <c r="Q3" s="197"/>
      <c r="R3" s="201"/>
      <c r="S3" s="201"/>
      <c r="T3" s="196"/>
      <c r="U3" s="198"/>
      <c r="V3" s="198"/>
      <c r="W3" s="199"/>
      <c r="X3" s="200"/>
      <c r="Y3" s="200"/>
      <c r="Z3" s="200"/>
      <c r="AA3" s="200"/>
      <c r="AB3" s="200"/>
      <c r="AC3" s="200"/>
    </row>
    <row r="4" spans="1:31" ht="16" thickBot="1">
      <c r="A4" s="195"/>
      <c r="B4" s="195"/>
      <c r="C4" s="195"/>
      <c r="D4" s="195"/>
      <c r="E4" s="195"/>
      <c r="F4" s="195"/>
      <c r="G4" s="195"/>
      <c r="H4" s="195"/>
      <c r="I4" s="195"/>
      <c r="J4" s="195"/>
      <c r="K4" s="195"/>
      <c r="L4"/>
      <c r="M4"/>
      <c r="N4"/>
      <c r="O4"/>
      <c r="P4"/>
      <c r="Q4"/>
      <c r="R4"/>
      <c r="S4"/>
      <c r="T4"/>
      <c r="U4"/>
      <c r="V4"/>
      <c r="W4"/>
      <c r="X4"/>
      <c r="Y4" s="200"/>
      <c r="Z4" s="200"/>
      <c r="AA4" s="200"/>
      <c r="AB4" s="200"/>
      <c r="AC4" s="200"/>
    </row>
    <row r="5" spans="1:31">
      <c r="A5" s="202"/>
      <c r="B5" s="203"/>
      <c r="C5" s="203"/>
      <c r="D5" s="203"/>
      <c r="E5" s="203"/>
      <c r="F5" s="203"/>
      <c r="G5" s="203"/>
      <c r="H5" s="203"/>
      <c r="I5" s="203"/>
      <c r="J5" s="203"/>
      <c r="K5" s="351" t="s">
        <v>343</v>
      </c>
      <c r="L5" s="203"/>
      <c r="M5" s="351" t="s">
        <v>318</v>
      </c>
      <c r="N5" s="204"/>
      <c r="O5" s="205"/>
      <c r="P5" s="205" t="s">
        <v>116</v>
      </c>
      <c r="Q5" s="205"/>
      <c r="R5" s="206"/>
      <c r="S5" s="349" t="s">
        <v>336</v>
      </c>
      <c r="T5" s="203" t="s">
        <v>124</v>
      </c>
      <c r="U5" s="207"/>
      <c r="V5" s="207" t="s">
        <v>328</v>
      </c>
      <c r="W5" s="208" t="s">
        <v>121</v>
      </c>
      <c r="X5" s="209" t="s">
        <v>328</v>
      </c>
      <c r="Y5" s="210"/>
      <c r="Z5" s="211"/>
      <c r="AA5" s="210"/>
      <c r="AB5" s="210" t="s">
        <v>125</v>
      </c>
      <c r="AC5" s="211"/>
    </row>
    <row r="6" spans="1:31" s="1" customFormat="1" ht="17.25" customHeight="1" thickBot="1">
      <c r="A6" s="212" t="s">
        <v>51</v>
      </c>
      <c r="B6" s="213" t="s">
        <v>115</v>
      </c>
      <c r="C6" s="213" t="s">
        <v>316</v>
      </c>
      <c r="D6" s="213" t="s">
        <v>346</v>
      </c>
      <c r="E6" s="213" t="s">
        <v>230</v>
      </c>
      <c r="F6" s="213" t="s">
        <v>348</v>
      </c>
      <c r="G6" s="213" t="s">
        <v>347</v>
      </c>
      <c r="H6" s="213" t="s">
        <v>345</v>
      </c>
      <c r="I6" s="213" t="s">
        <v>341</v>
      </c>
      <c r="J6" s="213" t="s">
        <v>324</v>
      </c>
      <c r="K6" s="213" t="s">
        <v>344</v>
      </c>
      <c r="L6" s="213" t="s">
        <v>319</v>
      </c>
      <c r="M6" s="213" t="s">
        <v>317</v>
      </c>
      <c r="N6" s="214" t="s">
        <v>52</v>
      </c>
      <c r="O6" s="215" t="s">
        <v>117</v>
      </c>
      <c r="P6" s="215" t="s">
        <v>118</v>
      </c>
      <c r="Q6" s="215" t="s">
        <v>119</v>
      </c>
      <c r="R6" s="216" t="s">
        <v>120</v>
      </c>
      <c r="S6" s="350" t="s">
        <v>337</v>
      </c>
      <c r="T6" s="217" t="s">
        <v>122</v>
      </c>
      <c r="U6" s="217" t="s">
        <v>123</v>
      </c>
      <c r="V6" s="217" t="s">
        <v>127</v>
      </c>
      <c r="W6" s="218" t="s">
        <v>126</v>
      </c>
      <c r="X6" s="219" t="s">
        <v>149</v>
      </c>
      <c r="Y6" s="220" t="s">
        <v>53</v>
      </c>
      <c r="Z6" s="214" t="s">
        <v>55</v>
      </c>
      <c r="AA6" s="217" t="s">
        <v>117</v>
      </c>
      <c r="AB6" s="217" t="s">
        <v>118</v>
      </c>
      <c r="AC6" s="214" t="s">
        <v>119</v>
      </c>
      <c r="AD6" s="1" t="s">
        <v>329</v>
      </c>
      <c r="AE6" s="1" t="s">
        <v>330</v>
      </c>
    </row>
    <row r="7" spans="1:31">
      <c r="A7" s="389" t="s">
        <v>65</v>
      </c>
      <c r="B7" s="221" t="s">
        <v>0</v>
      </c>
      <c r="C7" t="s">
        <v>396</v>
      </c>
      <c r="D7"/>
      <c r="E7"/>
      <c r="F7"/>
      <c r="G7"/>
      <c r="H7"/>
      <c r="I7" t="s">
        <v>350</v>
      </c>
      <c r="J7" t="s">
        <v>350</v>
      </c>
      <c r="K7" s="389"/>
      <c r="L7" s="389"/>
      <c r="M7" s="281">
        <v>2002</v>
      </c>
      <c r="N7" s="390">
        <v>1</v>
      </c>
      <c r="O7" s="391">
        <v>0</v>
      </c>
      <c r="P7" s="391">
        <v>196374</v>
      </c>
      <c r="Q7" s="391">
        <v>4302</v>
      </c>
      <c r="R7" s="391">
        <v>200676</v>
      </c>
      <c r="S7" s="224"/>
      <c r="T7" s="225">
        <v>196374</v>
      </c>
      <c r="U7" s="225">
        <v>4302</v>
      </c>
      <c r="V7" s="226">
        <v>1</v>
      </c>
      <c r="W7" s="227">
        <v>0.97856245888895532</v>
      </c>
      <c r="X7" s="228" t="s">
        <v>350</v>
      </c>
      <c r="Y7" s="229" t="s">
        <v>832</v>
      </c>
      <c r="Z7" s="230" t="s">
        <v>833</v>
      </c>
      <c r="AA7" s="231">
        <v>0</v>
      </c>
      <c r="AB7" s="231">
        <v>0</v>
      </c>
      <c r="AC7" s="232">
        <v>4302</v>
      </c>
      <c r="AD7" s="374">
        <v>4302</v>
      </c>
    </row>
    <row r="8" spans="1:31">
      <c r="A8" s="389" t="s">
        <v>65</v>
      </c>
      <c r="B8" s="221" t="s">
        <v>0</v>
      </c>
      <c r="C8" t="s">
        <v>397</v>
      </c>
      <c r="D8" t="s">
        <v>350</v>
      </c>
      <c r="E8"/>
      <c r="F8"/>
      <c r="G8"/>
      <c r="H8"/>
      <c r="I8" t="s">
        <v>350</v>
      </c>
      <c r="J8" t="s">
        <v>350</v>
      </c>
      <c r="K8" s="389"/>
      <c r="L8" s="389"/>
      <c r="M8" s="281">
        <v>2010</v>
      </c>
      <c r="N8" s="390">
        <v>2</v>
      </c>
      <c r="O8" s="391">
        <v>103092</v>
      </c>
      <c r="P8" s="391">
        <v>180591</v>
      </c>
      <c r="Q8" s="391">
        <v>270</v>
      </c>
      <c r="R8" s="391">
        <v>283953</v>
      </c>
      <c r="S8" s="233"/>
      <c r="T8" s="225">
        <v>180591</v>
      </c>
      <c r="U8" s="225">
        <v>103092</v>
      </c>
      <c r="V8" s="226">
        <v>0.27318873531371285</v>
      </c>
      <c r="W8" s="227">
        <v>0.63598905452662946</v>
      </c>
      <c r="X8" s="228" t="s">
        <v>834</v>
      </c>
      <c r="Y8" s="229" t="s">
        <v>832</v>
      </c>
      <c r="Z8" s="230" t="s">
        <v>835</v>
      </c>
      <c r="AA8" s="231">
        <v>103092</v>
      </c>
      <c r="AB8" s="231">
        <v>0</v>
      </c>
      <c r="AC8" s="232">
        <v>270</v>
      </c>
      <c r="AD8" s="374">
        <v>103362</v>
      </c>
    </row>
    <row r="9" spans="1:31">
      <c r="A9" s="389" t="s">
        <v>65</v>
      </c>
      <c r="B9" s="221" t="s">
        <v>0</v>
      </c>
      <c r="C9" t="s">
        <v>398</v>
      </c>
      <c r="D9"/>
      <c r="E9"/>
      <c r="F9"/>
      <c r="G9"/>
      <c r="H9"/>
      <c r="I9" t="s">
        <v>350</v>
      </c>
      <c r="J9" t="s">
        <v>350</v>
      </c>
      <c r="K9" s="389"/>
      <c r="L9" s="389"/>
      <c r="M9" s="281">
        <v>2002</v>
      </c>
      <c r="N9" s="390">
        <v>3</v>
      </c>
      <c r="O9" s="391">
        <v>98141</v>
      </c>
      <c r="P9" s="391">
        <v>175306</v>
      </c>
      <c r="Q9" s="391">
        <v>483</v>
      </c>
      <c r="R9" s="391">
        <v>273930</v>
      </c>
      <c r="S9" s="233"/>
      <c r="T9" s="225">
        <v>175306</v>
      </c>
      <c r="U9" s="225">
        <v>98141</v>
      </c>
      <c r="V9" s="226">
        <v>0.28219362435865086</v>
      </c>
      <c r="W9" s="227">
        <v>0.63996641477749794</v>
      </c>
      <c r="X9" s="228" t="s">
        <v>834</v>
      </c>
      <c r="Y9" s="229" t="s">
        <v>832</v>
      </c>
      <c r="Z9" s="230" t="s">
        <v>835</v>
      </c>
      <c r="AA9" s="231">
        <v>98141</v>
      </c>
      <c r="AB9" s="231">
        <v>0</v>
      </c>
      <c r="AC9" s="232">
        <v>483</v>
      </c>
      <c r="AD9" s="374">
        <v>98624</v>
      </c>
    </row>
    <row r="10" spans="1:31">
      <c r="A10" s="389" t="s">
        <v>65</v>
      </c>
      <c r="B10" s="221" t="s">
        <v>0</v>
      </c>
      <c r="C10" t="s">
        <v>399</v>
      </c>
      <c r="D10"/>
      <c r="E10"/>
      <c r="F10"/>
      <c r="G10"/>
      <c r="H10"/>
      <c r="I10" t="s">
        <v>350</v>
      </c>
      <c r="J10" t="s">
        <v>350</v>
      </c>
      <c r="K10" s="389"/>
      <c r="L10" s="389"/>
      <c r="M10" s="281">
        <v>1996</v>
      </c>
      <c r="N10" s="390">
        <v>4</v>
      </c>
      <c r="O10" s="391">
        <v>69706</v>
      </c>
      <c r="P10" s="391">
        <v>199071</v>
      </c>
      <c r="Q10" s="391">
        <v>341</v>
      </c>
      <c r="R10" s="391">
        <v>269118</v>
      </c>
      <c r="S10" s="233"/>
      <c r="T10" s="225">
        <v>199071</v>
      </c>
      <c r="U10" s="225">
        <v>69706</v>
      </c>
      <c r="V10" s="226">
        <v>0.48130978469139846</v>
      </c>
      <c r="W10" s="227">
        <v>0.73971640692930241</v>
      </c>
      <c r="X10" s="228" t="s">
        <v>834</v>
      </c>
      <c r="Y10" s="229" t="s">
        <v>832</v>
      </c>
      <c r="Z10" s="230" t="s">
        <v>833</v>
      </c>
      <c r="AA10" s="231">
        <v>69706</v>
      </c>
      <c r="AB10" s="231">
        <v>0</v>
      </c>
      <c r="AC10" s="232">
        <v>341</v>
      </c>
      <c r="AD10" s="374">
        <v>70047</v>
      </c>
    </row>
    <row r="11" spans="1:31">
      <c r="A11" s="389" t="s">
        <v>65</v>
      </c>
      <c r="B11" s="221" t="s">
        <v>0</v>
      </c>
      <c r="C11" t="s">
        <v>400</v>
      </c>
      <c r="D11"/>
      <c r="E11"/>
      <c r="F11"/>
      <c r="G11"/>
      <c r="H11"/>
      <c r="I11" t="s">
        <v>350</v>
      </c>
      <c r="J11" t="s">
        <v>350</v>
      </c>
      <c r="K11" s="389"/>
      <c r="L11" s="389"/>
      <c r="M11" s="281">
        <v>2010</v>
      </c>
      <c r="N11" s="390">
        <v>5</v>
      </c>
      <c r="O11" s="391">
        <v>101772</v>
      </c>
      <c r="P11" s="391">
        <v>189185</v>
      </c>
      <c r="Q11" s="391">
        <v>336</v>
      </c>
      <c r="R11" s="391">
        <v>291293</v>
      </c>
      <c r="S11" s="233"/>
      <c r="T11" s="225">
        <v>189185</v>
      </c>
      <c r="U11" s="225">
        <v>101772</v>
      </c>
      <c r="V11" s="226">
        <v>0.30043270998807386</v>
      </c>
      <c r="W11" s="227">
        <v>0.64946634488298727</v>
      </c>
      <c r="X11" s="228" t="s">
        <v>834</v>
      </c>
      <c r="Y11" s="229" t="s">
        <v>832</v>
      </c>
      <c r="Z11" s="230" t="s">
        <v>835</v>
      </c>
      <c r="AA11" s="231">
        <v>101772</v>
      </c>
      <c r="AB11" s="231">
        <v>0</v>
      </c>
      <c r="AC11" s="232">
        <v>336</v>
      </c>
      <c r="AD11" s="374">
        <v>102108</v>
      </c>
    </row>
    <row r="12" spans="1:31">
      <c r="A12" s="389" t="s">
        <v>65</v>
      </c>
      <c r="B12" s="221" t="s">
        <v>0</v>
      </c>
      <c r="C12" t="s">
        <v>401</v>
      </c>
      <c r="D12"/>
      <c r="E12"/>
      <c r="F12"/>
      <c r="G12"/>
      <c r="H12"/>
      <c r="I12" t="s">
        <v>350</v>
      </c>
      <c r="J12" t="s">
        <v>350</v>
      </c>
      <c r="K12" s="389"/>
      <c r="L12" s="389"/>
      <c r="M12" s="281">
        <v>1992</v>
      </c>
      <c r="N12" s="390">
        <v>6</v>
      </c>
      <c r="O12" s="391">
        <v>88267</v>
      </c>
      <c r="P12" s="391">
        <v>219262</v>
      </c>
      <c r="Q12" s="391">
        <v>573</v>
      </c>
      <c r="R12" s="391">
        <v>308102</v>
      </c>
      <c r="S12" s="233"/>
      <c r="T12" s="225">
        <v>219262</v>
      </c>
      <c r="U12" s="225">
        <v>88267</v>
      </c>
      <c r="V12" s="226">
        <v>0.4259598281788059</v>
      </c>
      <c r="W12" s="227">
        <v>0.71165393278849209</v>
      </c>
      <c r="X12" s="228" t="s">
        <v>834</v>
      </c>
      <c r="Y12" s="229" t="s">
        <v>832</v>
      </c>
      <c r="Z12" s="230" t="s">
        <v>833</v>
      </c>
      <c r="AA12" s="231">
        <v>88267</v>
      </c>
      <c r="AB12" s="231">
        <v>0</v>
      </c>
      <c r="AC12" s="232">
        <v>573</v>
      </c>
      <c r="AD12" s="374">
        <v>88840</v>
      </c>
    </row>
    <row r="13" spans="1:31">
      <c r="A13" s="389" t="s">
        <v>65</v>
      </c>
      <c r="B13" s="221" t="s">
        <v>0</v>
      </c>
      <c r="C13" t="s">
        <v>402</v>
      </c>
      <c r="D13" t="s">
        <v>350</v>
      </c>
      <c r="E13" t="s">
        <v>350</v>
      </c>
      <c r="F13"/>
      <c r="G13"/>
      <c r="H13"/>
      <c r="I13" t="s">
        <v>350</v>
      </c>
      <c r="J13" t="s">
        <v>350</v>
      </c>
      <c r="K13" s="389"/>
      <c r="L13" s="389"/>
      <c r="M13" s="281">
        <v>2010</v>
      </c>
      <c r="N13" s="390">
        <v>7</v>
      </c>
      <c r="O13" s="391">
        <v>232520</v>
      </c>
      <c r="P13" s="391">
        <v>73835</v>
      </c>
      <c r="Q13" s="391">
        <v>203</v>
      </c>
      <c r="R13" s="391">
        <v>306558</v>
      </c>
      <c r="S13" s="233"/>
      <c r="T13" s="225">
        <v>232520</v>
      </c>
      <c r="U13" s="225">
        <v>73835</v>
      </c>
      <c r="V13" s="226">
        <v>0.5179775097517586</v>
      </c>
      <c r="W13" s="227">
        <v>0.75848615922598661</v>
      </c>
      <c r="X13" s="228" t="s">
        <v>834</v>
      </c>
      <c r="Y13" s="229" t="s">
        <v>836</v>
      </c>
      <c r="Z13" s="230" t="s">
        <v>833</v>
      </c>
      <c r="AA13" s="231">
        <v>0</v>
      </c>
      <c r="AB13" s="231">
        <v>73835</v>
      </c>
      <c r="AC13" s="232">
        <v>203</v>
      </c>
      <c r="AD13" s="374">
        <v>74038</v>
      </c>
      <c r="AE13" s="374">
        <v>541321</v>
      </c>
    </row>
    <row r="14" spans="1:31">
      <c r="A14" s="389" t="s">
        <v>66</v>
      </c>
      <c r="B14" s="221" t="s">
        <v>1</v>
      </c>
      <c r="C14" t="s">
        <v>403</v>
      </c>
      <c r="D14"/>
      <c r="E14"/>
      <c r="F14"/>
      <c r="G14"/>
      <c r="H14"/>
      <c r="I14" t="s">
        <v>837</v>
      </c>
      <c r="J14" t="s">
        <v>837</v>
      </c>
      <c r="K14" s="389"/>
      <c r="L14" s="389"/>
      <c r="M14" s="281">
        <v>1973</v>
      </c>
      <c r="N14" s="390" t="s">
        <v>0</v>
      </c>
      <c r="O14" s="391">
        <v>82927</v>
      </c>
      <c r="P14" s="391">
        <v>185296</v>
      </c>
      <c r="Q14" s="391">
        <v>21581</v>
      </c>
      <c r="R14" s="391">
        <v>289804</v>
      </c>
      <c r="S14" s="233"/>
      <c r="T14" s="225">
        <v>185296</v>
      </c>
      <c r="U14" s="225">
        <v>82927</v>
      </c>
      <c r="V14" s="226">
        <v>0.38165630837027398</v>
      </c>
      <c r="W14" s="227">
        <v>0.6393838594360326</v>
      </c>
      <c r="X14" s="228" t="s">
        <v>838</v>
      </c>
      <c r="Y14" s="229" t="s">
        <v>839</v>
      </c>
      <c r="Z14" s="230" t="s">
        <v>840</v>
      </c>
      <c r="AA14" s="231">
        <v>82927</v>
      </c>
      <c r="AB14" s="231">
        <v>0</v>
      </c>
      <c r="AC14" s="232">
        <v>21581</v>
      </c>
      <c r="AD14" s="374">
        <v>104508</v>
      </c>
      <c r="AE14" s="374">
        <v>104508</v>
      </c>
    </row>
    <row r="15" spans="1:31">
      <c r="A15" s="389" t="s">
        <v>67</v>
      </c>
      <c r="B15" s="221" t="s">
        <v>2</v>
      </c>
      <c r="C15" t="s">
        <v>404</v>
      </c>
      <c r="D15" t="s">
        <v>351</v>
      </c>
      <c r="E15"/>
      <c r="F15"/>
      <c r="G15"/>
      <c r="H15"/>
      <c r="I15" t="s">
        <v>351</v>
      </c>
      <c r="J15" t="s">
        <v>841</v>
      </c>
      <c r="K15" s="392"/>
      <c r="L15" s="392">
        <v>1</v>
      </c>
      <c r="M15" s="281">
        <v>2012</v>
      </c>
      <c r="N15" s="390">
        <v>1</v>
      </c>
      <c r="O15" s="391">
        <v>122774</v>
      </c>
      <c r="P15" s="391">
        <v>113594</v>
      </c>
      <c r="Q15" s="391">
        <v>15227</v>
      </c>
      <c r="R15" s="391">
        <v>251595</v>
      </c>
      <c r="S15" s="233"/>
      <c r="T15" s="225">
        <v>122774</v>
      </c>
      <c r="U15" s="225">
        <v>113594</v>
      </c>
      <c r="V15" s="226">
        <v>3.8837744533947068E-2</v>
      </c>
      <c r="W15" s="227">
        <v>0.4879826705618156</v>
      </c>
      <c r="X15" s="228" t="s">
        <v>841</v>
      </c>
      <c r="Y15" s="229" t="s">
        <v>842</v>
      </c>
      <c r="Z15" s="230" t="s">
        <v>843</v>
      </c>
      <c r="AA15" s="231">
        <v>0</v>
      </c>
      <c r="AB15" s="231">
        <v>113594</v>
      </c>
      <c r="AC15" s="232">
        <v>15227</v>
      </c>
      <c r="AD15" s="374">
        <v>128821</v>
      </c>
    </row>
    <row r="16" spans="1:31">
      <c r="A16" s="389" t="s">
        <v>67</v>
      </c>
      <c r="B16" s="221" t="s">
        <v>2</v>
      </c>
      <c r="C16" t="s">
        <v>405</v>
      </c>
      <c r="D16"/>
      <c r="E16"/>
      <c r="F16"/>
      <c r="G16"/>
      <c r="H16"/>
      <c r="I16" t="s">
        <v>351</v>
      </c>
      <c r="J16" t="s">
        <v>351</v>
      </c>
      <c r="K16" s="392"/>
      <c r="L16" s="392"/>
      <c r="M16" s="281">
        <v>2012</v>
      </c>
      <c r="N16" s="390">
        <v>2</v>
      </c>
      <c r="O16" s="391">
        <v>147338</v>
      </c>
      <c r="P16" s="391">
        <v>144884</v>
      </c>
      <c r="Q16" s="391">
        <v>57</v>
      </c>
      <c r="R16" s="391">
        <v>292279</v>
      </c>
      <c r="S16" s="233"/>
      <c r="T16" s="225">
        <v>147338</v>
      </c>
      <c r="U16" s="225">
        <v>144884</v>
      </c>
      <c r="V16" s="226">
        <v>8.3977250172813812E-3</v>
      </c>
      <c r="W16" s="227">
        <v>0.50410053407873978</v>
      </c>
      <c r="X16" s="228" t="s">
        <v>841</v>
      </c>
      <c r="Y16" s="229" t="s">
        <v>842</v>
      </c>
      <c r="Z16" s="230" t="s">
        <v>843</v>
      </c>
      <c r="AA16" s="231">
        <v>0</v>
      </c>
      <c r="AB16" s="231">
        <v>144884</v>
      </c>
      <c r="AC16" s="232">
        <v>57</v>
      </c>
      <c r="AD16" s="374">
        <v>144941</v>
      </c>
    </row>
    <row r="17" spans="1:31">
      <c r="A17" s="389" t="s">
        <v>67</v>
      </c>
      <c r="B17" s="221" t="s">
        <v>2</v>
      </c>
      <c r="C17" t="s">
        <v>406</v>
      </c>
      <c r="D17"/>
      <c r="E17"/>
      <c r="F17" t="s">
        <v>351</v>
      </c>
      <c r="G17"/>
      <c r="H17"/>
      <c r="I17" t="s">
        <v>351</v>
      </c>
      <c r="J17" t="s">
        <v>351</v>
      </c>
      <c r="K17" s="389"/>
      <c r="L17" s="389"/>
      <c r="M17" s="281">
        <v>2002</v>
      </c>
      <c r="N17" s="390">
        <v>3</v>
      </c>
      <c r="O17" s="391">
        <v>98468</v>
      </c>
      <c r="P17" s="391">
        <v>62663</v>
      </c>
      <c r="Q17" s="391">
        <v>7567</v>
      </c>
      <c r="R17" s="391">
        <v>168698</v>
      </c>
      <c r="S17" s="233"/>
      <c r="T17" s="225">
        <v>98468</v>
      </c>
      <c r="U17" s="225">
        <v>62663</v>
      </c>
      <c r="V17" s="226">
        <v>0.22221049953143715</v>
      </c>
      <c r="W17" s="227">
        <v>0.58369393828024041</v>
      </c>
      <c r="X17" s="228" t="s">
        <v>841</v>
      </c>
      <c r="Y17" s="229" t="s">
        <v>842</v>
      </c>
      <c r="Z17" s="230" t="s">
        <v>844</v>
      </c>
      <c r="AA17" s="231">
        <v>0</v>
      </c>
      <c r="AB17" s="231">
        <v>62663</v>
      </c>
      <c r="AC17" s="232">
        <v>7567</v>
      </c>
      <c r="AD17" s="374">
        <v>70230</v>
      </c>
    </row>
    <row r="18" spans="1:31">
      <c r="A18" s="389" t="s">
        <v>67</v>
      </c>
      <c r="B18" s="221" t="s">
        <v>2</v>
      </c>
      <c r="C18" t="s">
        <v>407</v>
      </c>
      <c r="D18"/>
      <c r="E18"/>
      <c r="G18"/>
      <c r="H18"/>
      <c r="I18" t="s">
        <v>351</v>
      </c>
      <c r="J18" t="s">
        <v>351</v>
      </c>
      <c r="K18" s="389"/>
      <c r="L18" s="389"/>
      <c r="M18" s="281">
        <v>2010</v>
      </c>
      <c r="N18" s="390">
        <v>4</v>
      </c>
      <c r="O18" s="391">
        <v>69154</v>
      </c>
      <c r="P18" s="391">
        <v>162907</v>
      </c>
      <c r="Q18" s="391">
        <v>11699</v>
      </c>
      <c r="R18" s="391">
        <v>243760</v>
      </c>
      <c r="S18" s="233"/>
      <c r="T18" s="225">
        <v>162907</v>
      </c>
      <c r="U18" s="225">
        <v>69154</v>
      </c>
      <c r="V18" s="226">
        <v>0.40400153407940154</v>
      </c>
      <c r="W18" s="227">
        <v>0.6683089924515917</v>
      </c>
      <c r="X18" s="228" t="s">
        <v>841</v>
      </c>
      <c r="Y18" s="229" t="s">
        <v>845</v>
      </c>
      <c r="Z18" s="230" t="s">
        <v>846</v>
      </c>
      <c r="AA18" s="231">
        <v>69154</v>
      </c>
      <c r="AB18" s="231">
        <v>0</v>
      </c>
      <c r="AC18" s="232">
        <v>11699</v>
      </c>
      <c r="AD18" s="374">
        <v>80853</v>
      </c>
    </row>
    <row r="19" spans="1:31">
      <c r="A19" s="389" t="s">
        <v>67</v>
      </c>
      <c r="B19" s="221" t="s">
        <v>2</v>
      </c>
      <c r="C19" t="s">
        <v>408</v>
      </c>
      <c r="D19"/>
      <c r="E19"/>
      <c r="F19"/>
      <c r="G19"/>
      <c r="H19"/>
      <c r="I19" t="s">
        <v>351</v>
      </c>
      <c r="J19" t="s">
        <v>351</v>
      </c>
      <c r="K19" s="389"/>
      <c r="L19" s="389"/>
      <c r="M19" s="281">
        <v>2012</v>
      </c>
      <c r="N19" s="390">
        <v>5</v>
      </c>
      <c r="O19" s="391">
        <v>89589</v>
      </c>
      <c r="P19" s="391">
        <v>183470</v>
      </c>
      <c r="Q19" s="391">
        <v>0</v>
      </c>
      <c r="R19" s="391">
        <v>273059</v>
      </c>
      <c r="S19" s="233"/>
      <c r="T19" s="225">
        <v>183470</v>
      </c>
      <c r="U19" s="225">
        <v>89589</v>
      </c>
      <c r="V19" s="226">
        <v>0.34381214316319914</v>
      </c>
      <c r="W19" s="227">
        <v>0.67190607158159954</v>
      </c>
      <c r="X19" s="228" t="s">
        <v>841</v>
      </c>
      <c r="Y19" s="229" t="s">
        <v>845</v>
      </c>
      <c r="Z19" s="230" t="s">
        <v>844</v>
      </c>
      <c r="AA19" s="231">
        <v>89589</v>
      </c>
      <c r="AB19" s="231">
        <v>0</v>
      </c>
      <c r="AC19" s="232">
        <v>0</v>
      </c>
      <c r="AD19" s="374">
        <v>89589</v>
      </c>
    </row>
    <row r="20" spans="1:31">
      <c r="A20" s="389" t="s">
        <v>67</v>
      </c>
      <c r="B20" s="221" t="s">
        <v>2</v>
      </c>
      <c r="C20" t="s">
        <v>409</v>
      </c>
      <c r="D20"/>
      <c r="E20"/>
      <c r="F20"/>
      <c r="G20"/>
      <c r="H20"/>
      <c r="I20" t="s">
        <v>351</v>
      </c>
      <c r="J20" t="s">
        <v>351</v>
      </c>
      <c r="K20" s="389"/>
      <c r="L20" s="389"/>
      <c r="M20" s="281">
        <v>2010</v>
      </c>
      <c r="N20" s="390">
        <v>6</v>
      </c>
      <c r="O20" s="391">
        <v>97666</v>
      </c>
      <c r="P20" s="391">
        <v>179706</v>
      </c>
      <c r="Q20" s="391">
        <v>15805</v>
      </c>
      <c r="R20" s="391">
        <v>293177</v>
      </c>
      <c r="S20" s="233"/>
      <c r="T20" s="225">
        <v>179706</v>
      </c>
      <c r="U20" s="225">
        <v>97666</v>
      </c>
      <c r="V20" s="226">
        <v>0.29577606968259235</v>
      </c>
      <c r="W20" s="227">
        <v>0.61296077113825431</v>
      </c>
      <c r="X20" s="228" t="s">
        <v>841</v>
      </c>
      <c r="Y20" s="229" t="s">
        <v>845</v>
      </c>
      <c r="Z20" s="230" t="s">
        <v>844</v>
      </c>
      <c r="AA20" s="231">
        <v>97666</v>
      </c>
      <c r="AB20" s="231">
        <v>0</v>
      </c>
      <c r="AC20" s="232">
        <v>15805</v>
      </c>
      <c r="AD20" s="374">
        <v>113471</v>
      </c>
    </row>
    <row r="21" spans="1:31">
      <c r="A21" s="389" t="s">
        <v>67</v>
      </c>
      <c r="B21" s="221" t="s">
        <v>2</v>
      </c>
      <c r="C21" t="s">
        <v>410</v>
      </c>
      <c r="D21"/>
      <c r="E21"/>
      <c r="F21" t="s">
        <v>351</v>
      </c>
      <c r="G21"/>
      <c r="H21"/>
      <c r="I21" t="s">
        <v>351</v>
      </c>
      <c r="J21" t="s">
        <v>351</v>
      </c>
      <c r="K21" s="389"/>
      <c r="L21" s="389"/>
      <c r="M21" s="281">
        <v>1991</v>
      </c>
      <c r="N21" s="390">
        <v>7</v>
      </c>
      <c r="O21" s="391">
        <v>104489</v>
      </c>
      <c r="P21" s="391">
        <v>0</v>
      </c>
      <c r="Q21" s="391">
        <v>23338</v>
      </c>
      <c r="R21" s="391">
        <v>127827</v>
      </c>
      <c r="S21" s="233"/>
      <c r="T21" s="225">
        <v>104489</v>
      </c>
      <c r="U21" s="225">
        <v>23338</v>
      </c>
      <c r="V21" s="226">
        <v>1</v>
      </c>
      <c r="W21" s="227">
        <v>0.8174251136301407</v>
      </c>
      <c r="X21" s="228" t="s">
        <v>351</v>
      </c>
      <c r="Y21" s="229" t="s">
        <v>842</v>
      </c>
      <c r="Z21" s="230" t="s">
        <v>846</v>
      </c>
      <c r="AA21" s="231">
        <v>0</v>
      </c>
      <c r="AB21" s="231">
        <v>0</v>
      </c>
      <c r="AC21" s="232">
        <v>23338</v>
      </c>
      <c r="AD21" s="374">
        <v>23338</v>
      </c>
    </row>
    <row r="22" spans="1:31">
      <c r="A22" s="389" t="s">
        <v>67</v>
      </c>
      <c r="B22" s="221" t="s">
        <v>2</v>
      </c>
      <c r="C22" t="s">
        <v>411</v>
      </c>
      <c r="D22"/>
      <c r="E22"/>
      <c r="F22"/>
      <c r="G22"/>
      <c r="H22"/>
      <c r="I22" t="s">
        <v>351</v>
      </c>
      <c r="J22" t="s">
        <v>351</v>
      </c>
      <c r="K22" s="389"/>
      <c r="L22" s="389"/>
      <c r="M22" s="281">
        <v>2002</v>
      </c>
      <c r="N22" s="390">
        <v>8</v>
      </c>
      <c r="O22" s="391">
        <v>95635</v>
      </c>
      <c r="P22" s="391">
        <v>172809</v>
      </c>
      <c r="Q22" s="391">
        <v>4347</v>
      </c>
      <c r="R22" s="391">
        <v>272791</v>
      </c>
      <c r="S22" s="233"/>
      <c r="T22" s="225">
        <v>172809</v>
      </c>
      <c r="U22" s="225">
        <v>95635</v>
      </c>
      <c r="V22" s="226">
        <v>0.28748640312318396</v>
      </c>
      <c r="W22" s="227">
        <v>0.63348497567735007</v>
      </c>
      <c r="X22" s="228" t="s">
        <v>841</v>
      </c>
      <c r="Y22" s="229" t="s">
        <v>845</v>
      </c>
      <c r="Z22" s="230" t="s">
        <v>844</v>
      </c>
      <c r="AA22" s="231">
        <v>95635</v>
      </c>
      <c r="AB22" s="231">
        <v>0</v>
      </c>
      <c r="AC22" s="232">
        <v>4347</v>
      </c>
      <c r="AD22" s="374">
        <v>99982</v>
      </c>
      <c r="AE22" s="374">
        <v>751225</v>
      </c>
    </row>
    <row r="23" spans="1:31">
      <c r="A23" s="389" t="s">
        <v>67</v>
      </c>
      <c r="B23" s="221" t="s">
        <v>2</v>
      </c>
      <c r="C23" t="s">
        <v>412</v>
      </c>
      <c r="D23" t="s">
        <v>351</v>
      </c>
      <c r="E23"/>
      <c r="F23"/>
      <c r="G23"/>
      <c r="H23"/>
      <c r="I23" t="s">
        <v>351</v>
      </c>
      <c r="J23" t="s">
        <v>351</v>
      </c>
      <c r="K23" s="389"/>
      <c r="L23" s="389"/>
      <c r="M23" s="281">
        <v>2012</v>
      </c>
      <c r="N23" s="390">
        <v>9</v>
      </c>
      <c r="O23" s="391">
        <v>121881</v>
      </c>
      <c r="P23" s="391">
        <v>111630</v>
      </c>
      <c r="Q23" s="391">
        <v>16620</v>
      </c>
      <c r="R23" s="391">
        <v>250131</v>
      </c>
      <c r="S23" s="233"/>
      <c r="T23" s="225">
        <v>121881</v>
      </c>
      <c r="U23" s="225">
        <v>111630</v>
      </c>
      <c r="V23" s="226">
        <v>4.389943086192942E-2</v>
      </c>
      <c r="W23" s="227">
        <v>0.48726867121628265</v>
      </c>
      <c r="X23" s="228" t="s">
        <v>841</v>
      </c>
      <c r="Y23" s="229" t="s">
        <v>842</v>
      </c>
      <c r="Z23" s="230" t="s">
        <v>843</v>
      </c>
      <c r="AA23" s="231">
        <v>0</v>
      </c>
      <c r="AB23" s="231">
        <v>111630</v>
      </c>
      <c r="AC23" s="232">
        <v>16620</v>
      </c>
      <c r="AD23" s="374">
        <v>128250</v>
      </c>
    </row>
    <row r="24" spans="1:31">
      <c r="A24" s="389" t="s">
        <v>68</v>
      </c>
      <c r="B24" s="221" t="s">
        <v>3</v>
      </c>
      <c r="C24" t="s">
        <v>413</v>
      </c>
      <c r="D24"/>
      <c r="E24"/>
      <c r="F24"/>
      <c r="G24"/>
      <c r="H24"/>
      <c r="I24" t="s">
        <v>847</v>
      </c>
      <c r="J24" t="s">
        <v>847</v>
      </c>
      <c r="K24" s="389"/>
      <c r="L24" s="389"/>
      <c r="M24" s="281">
        <v>2010</v>
      </c>
      <c r="N24" s="390">
        <v>1</v>
      </c>
      <c r="O24" s="391">
        <v>96601</v>
      </c>
      <c r="P24" s="391">
        <v>138800</v>
      </c>
      <c r="Q24" s="391">
        <v>11442</v>
      </c>
      <c r="R24" s="391">
        <v>246843</v>
      </c>
      <c r="S24" s="233"/>
      <c r="T24" s="225">
        <v>138800</v>
      </c>
      <c r="U24" s="225">
        <v>96601</v>
      </c>
      <c r="V24" s="226">
        <v>0.17926431918301111</v>
      </c>
      <c r="W24" s="227">
        <v>0.56230073366471811</v>
      </c>
      <c r="X24" s="228" t="s">
        <v>848</v>
      </c>
      <c r="Y24" s="229" t="s">
        <v>849</v>
      </c>
      <c r="Z24" s="230" t="s">
        <v>850</v>
      </c>
      <c r="AA24" s="231">
        <v>96601</v>
      </c>
      <c r="AB24" s="231">
        <v>0</v>
      </c>
      <c r="AC24" s="232">
        <v>11442</v>
      </c>
      <c r="AD24" s="374">
        <v>108043</v>
      </c>
    </row>
    <row r="25" spans="1:31">
      <c r="A25" s="389" t="s">
        <v>68</v>
      </c>
      <c r="B25" s="221" t="s">
        <v>3</v>
      </c>
      <c r="C25" t="s">
        <v>414</v>
      </c>
      <c r="D25"/>
      <c r="E25"/>
      <c r="F25"/>
      <c r="G25"/>
      <c r="H25"/>
      <c r="I25" t="s">
        <v>847</v>
      </c>
      <c r="J25" t="s">
        <v>847</v>
      </c>
      <c r="K25" s="389"/>
      <c r="L25" s="389"/>
      <c r="M25" s="281">
        <v>2010</v>
      </c>
      <c r="N25" s="390">
        <v>2</v>
      </c>
      <c r="O25" s="391">
        <v>113156</v>
      </c>
      <c r="P25" s="391">
        <v>158175</v>
      </c>
      <c r="Q25" s="391">
        <v>15267</v>
      </c>
      <c r="R25" s="391">
        <v>286598</v>
      </c>
      <c r="S25" s="233"/>
      <c r="T25" s="225">
        <v>158175</v>
      </c>
      <c r="U25" s="225">
        <v>113156</v>
      </c>
      <c r="V25" s="226">
        <v>0.16591911724056596</v>
      </c>
      <c r="W25" s="227">
        <v>0.55190545642328281</v>
      </c>
      <c r="X25" s="228" t="s">
        <v>848</v>
      </c>
      <c r="Y25" s="229" t="s">
        <v>849</v>
      </c>
      <c r="Z25" s="230" t="s">
        <v>850</v>
      </c>
      <c r="AA25" s="231">
        <v>113156</v>
      </c>
      <c r="AB25" s="231">
        <v>0</v>
      </c>
      <c r="AC25" s="232">
        <v>15267</v>
      </c>
      <c r="AD25" s="374">
        <v>128423</v>
      </c>
    </row>
    <row r="26" spans="1:31">
      <c r="A26" s="389" t="s">
        <v>68</v>
      </c>
      <c r="B26" s="221" t="s">
        <v>3</v>
      </c>
      <c r="C26" t="s">
        <v>415</v>
      </c>
      <c r="D26"/>
      <c r="E26"/>
      <c r="F26"/>
      <c r="G26"/>
      <c r="H26"/>
      <c r="I26" t="s">
        <v>847</v>
      </c>
      <c r="J26" t="s">
        <v>847</v>
      </c>
      <c r="K26" s="389"/>
      <c r="L26" s="389"/>
      <c r="M26" s="281">
        <v>2010</v>
      </c>
      <c r="N26" s="390">
        <v>3</v>
      </c>
      <c r="O26" s="391">
        <v>0</v>
      </c>
      <c r="P26" s="391">
        <v>186467</v>
      </c>
      <c r="Q26" s="391">
        <v>59193</v>
      </c>
      <c r="R26" s="391">
        <v>245660</v>
      </c>
      <c r="S26" s="233"/>
      <c r="T26" s="225">
        <v>186467</v>
      </c>
      <c r="U26" s="225">
        <v>59193</v>
      </c>
      <c r="V26" s="226">
        <v>1</v>
      </c>
      <c r="W26" s="227">
        <v>0.75904502157453391</v>
      </c>
      <c r="X26" s="228" t="s">
        <v>847</v>
      </c>
      <c r="Y26" s="229" t="s">
        <v>849</v>
      </c>
      <c r="Z26" s="230" t="s">
        <v>851</v>
      </c>
      <c r="AA26" s="231">
        <v>0</v>
      </c>
      <c r="AB26" s="231">
        <v>0</v>
      </c>
      <c r="AC26" s="232">
        <v>59193</v>
      </c>
      <c r="AD26" s="374">
        <v>59193</v>
      </c>
      <c r="AE26" s="374">
        <v>423909</v>
      </c>
    </row>
    <row r="27" spans="1:31">
      <c r="A27" s="389" t="s">
        <v>68</v>
      </c>
      <c r="B27" s="221" t="s">
        <v>3</v>
      </c>
      <c r="C27" t="s">
        <v>416</v>
      </c>
      <c r="D27"/>
      <c r="E27"/>
      <c r="F27"/>
      <c r="G27"/>
      <c r="H27"/>
      <c r="I27" t="s">
        <v>847</v>
      </c>
      <c r="J27" t="s">
        <v>848</v>
      </c>
      <c r="K27" s="389"/>
      <c r="L27" s="389">
        <v>1</v>
      </c>
      <c r="M27" s="281">
        <v>2012</v>
      </c>
      <c r="N27" s="390">
        <v>4</v>
      </c>
      <c r="O27" s="391">
        <v>95013</v>
      </c>
      <c r="P27" s="391">
        <v>154149</v>
      </c>
      <c r="Q27" s="391">
        <v>9791</v>
      </c>
      <c r="R27" s="391">
        <v>258953</v>
      </c>
      <c r="S27" s="233"/>
      <c r="T27" s="225">
        <v>154149</v>
      </c>
      <c r="U27" s="225">
        <v>95013</v>
      </c>
      <c r="V27" s="226">
        <v>0.23733956221253641</v>
      </c>
      <c r="W27" s="227">
        <v>0.59527790757396126</v>
      </c>
      <c r="X27" s="228" t="s">
        <v>848</v>
      </c>
      <c r="Y27" s="229" t="s">
        <v>849</v>
      </c>
      <c r="Z27" s="230" t="s">
        <v>852</v>
      </c>
      <c r="AA27" s="231">
        <v>95013</v>
      </c>
      <c r="AB27" s="231">
        <v>0</v>
      </c>
      <c r="AC27" s="232">
        <v>9791</v>
      </c>
      <c r="AD27" s="374">
        <v>104804</v>
      </c>
    </row>
    <row r="28" spans="1:31">
      <c r="A28" s="389" t="s">
        <v>69</v>
      </c>
      <c r="B28" s="221" t="s">
        <v>4</v>
      </c>
      <c r="C28" t="s">
        <v>417</v>
      </c>
      <c r="D28"/>
      <c r="E28"/>
      <c r="F28"/>
      <c r="G28"/>
      <c r="H28"/>
      <c r="I28" t="s">
        <v>352</v>
      </c>
      <c r="J28" t="s">
        <v>352</v>
      </c>
      <c r="K28" s="389"/>
      <c r="L28" s="389"/>
      <c r="M28" s="281">
        <v>2012</v>
      </c>
      <c r="N28" s="390">
        <v>1</v>
      </c>
      <c r="O28" s="391">
        <v>125386</v>
      </c>
      <c r="P28" s="391">
        <v>168827</v>
      </c>
      <c r="Q28" s="391">
        <v>0</v>
      </c>
      <c r="R28" s="391">
        <v>294213</v>
      </c>
      <c r="S28" s="233"/>
      <c r="T28" s="225">
        <v>168827</v>
      </c>
      <c r="U28" s="225">
        <v>125386</v>
      </c>
      <c r="V28" s="226">
        <v>0.14765153137352871</v>
      </c>
      <c r="W28" s="227">
        <v>0.57382576568676436</v>
      </c>
      <c r="X28" s="228" t="s">
        <v>853</v>
      </c>
      <c r="Y28" s="229" t="s">
        <v>854</v>
      </c>
      <c r="Z28" s="230" t="s">
        <v>855</v>
      </c>
      <c r="AA28" s="231">
        <v>125386</v>
      </c>
      <c r="AB28" s="231">
        <v>0</v>
      </c>
      <c r="AC28" s="232">
        <v>0</v>
      </c>
      <c r="AD28" s="374">
        <v>125386</v>
      </c>
    </row>
    <row r="29" spans="1:31">
      <c r="A29" s="389" t="s">
        <v>69</v>
      </c>
      <c r="B29" s="221" t="s">
        <v>4</v>
      </c>
      <c r="C29" t="s">
        <v>418</v>
      </c>
      <c r="D29"/>
      <c r="E29"/>
      <c r="F29"/>
      <c r="G29"/>
      <c r="H29"/>
      <c r="I29" t="s">
        <v>352</v>
      </c>
      <c r="J29" t="s">
        <v>352</v>
      </c>
      <c r="K29" s="392"/>
      <c r="L29" s="392"/>
      <c r="M29" s="281">
        <v>2012</v>
      </c>
      <c r="N29" s="390">
        <v>2</v>
      </c>
      <c r="O29" s="391">
        <v>226216</v>
      </c>
      <c r="P29" s="391">
        <v>91310</v>
      </c>
      <c r="Q29" s="391">
        <v>0</v>
      </c>
      <c r="R29" s="391">
        <v>317526</v>
      </c>
      <c r="S29" s="233"/>
      <c r="T29" s="225">
        <v>226216</v>
      </c>
      <c r="U29" s="225">
        <v>91310</v>
      </c>
      <c r="V29" s="226">
        <v>0.42486599522558782</v>
      </c>
      <c r="W29" s="227">
        <v>0.71243299761279388</v>
      </c>
      <c r="X29" s="228" t="s">
        <v>853</v>
      </c>
      <c r="Y29" s="229" t="s">
        <v>856</v>
      </c>
      <c r="Z29" s="230" t="s">
        <v>857</v>
      </c>
      <c r="AA29" s="231">
        <v>0</v>
      </c>
      <c r="AB29" s="231">
        <v>91310</v>
      </c>
      <c r="AC29" s="232">
        <v>0</v>
      </c>
      <c r="AD29" s="374">
        <v>91310</v>
      </c>
    </row>
    <row r="30" spans="1:31">
      <c r="A30" s="389" t="s">
        <v>69</v>
      </c>
      <c r="B30" s="221" t="s">
        <v>4</v>
      </c>
      <c r="C30" t="s">
        <v>419</v>
      </c>
      <c r="D30"/>
      <c r="E30"/>
      <c r="F30"/>
      <c r="G30"/>
      <c r="H30"/>
      <c r="I30" t="s">
        <v>352</v>
      </c>
      <c r="J30" t="s">
        <v>352</v>
      </c>
      <c r="K30" s="392"/>
      <c r="L30" s="392"/>
      <c r="M30" s="281">
        <v>2009</v>
      </c>
      <c r="N30" s="390">
        <v>3</v>
      </c>
      <c r="O30" s="391">
        <v>126882</v>
      </c>
      <c r="P30" s="391">
        <v>107086</v>
      </c>
      <c r="Q30" s="391">
        <v>0</v>
      </c>
      <c r="R30" s="391">
        <v>233968</v>
      </c>
      <c r="S30" s="233"/>
      <c r="T30" s="225">
        <v>126882</v>
      </c>
      <c r="U30" s="225">
        <v>107086</v>
      </c>
      <c r="V30" s="226">
        <v>8.4609861177596932E-2</v>
      </c>
      <c r="W30" s="227">
        <v>0.54230493058879847</v>
      </c>
      <c r="X30" s="228" t="s">
        <v>853</v>
      </c>
      <c r="Y30" s="229" t="s">
        <v>856</v>
      </c>
      <c r="Z30" s="230" t="s">
        <v>858</v>
      </c>
      <c r="AA30" s="231">
        <v>0</v>
      </c>
      <c r="AB30" s="231">
        <v>107086</v>
      </c>
      <c r="AC30" s="232">
        <v>0</v>
      </c>
      <c r="AD30" s="374">
        <v>107086</v>
      </c>
    </row>
    <row r="31" spans="1:31">
      <c r="A31" s="389" t="s">
        <v>69</v>
      </c>
      <c r="B31" s="221" t="s">
        <v>4</v>
      </c>
      <c r="C31" t="s">
        <v>420</v>
      </c>
      <c r="D31"/>
      <c r="E31"/>
      <c r="F31"/>
      <c r="G31"/>
      <c r="H31"/>
      <c r="I31" t="s">
        <v>352</v>
      </c>
      <c r="J31" t="s">
        <v>352</v>
      </c>
      <c r="K31" s="389"/>
      <c r="L31" s="389"/>
      <c r="M31" s="281">
        <v>2008</v>
      </c>
      <c r="N31" s="390">
        <v>4</v>
      </c>
      <c r="O31" s="391">
        <v>125885</v>
      </c>
      <c r="P31" s="391">
        <v>197803</v>
      </c>
      <c r="Q31" s="391">
        <v>0</v>
      </c>
      <c r="R31" s="391">
        <v>323688</v>
      </c>
      <c r="S31" s="233"/>
      <c r="T31" s="225">
        <v>197803</v>
      </c>
      <c r="U31" s="225">
        <v>125885</v>
      </c>
      <c r="V31" s="226">
        <v>0.22218308988902893</v>
      </c>
      <c r="W31" s="227">
        <v>0.61109154494451445</v>
      </c>
      <c r="X31" s="228" t="s">
        <v>853</v>
      </c>
      <c r="Y31" s="229" t="s">
        <v>854</v>
      </c>
      <c r="Z31" s="230" t="s">
        <v>859</v>
      </c>
      <c r="AA31" s="231">
        <v>125885</v>
      </c>
      <c r="AB31" s="231">
        <v>0</v>
      </c>
      <c r="AC31" s="232">
        <v>0</v>
      </c>
      <c r="AD31" s="374">
        <v>125885</v>
      </c>
    </row>
    <row r="32" spans="1:31">
      <c r="A32" s="389" t="s">
        <v>69</v>
      </c>
      <c r="B32" s="221" t="s">
        <v>4</v>
      </c>
      <c r="C32" t="s">
        <v>421</v>
      </c>
      <c r="E32"/>
      <c r="F32"/>
      <c r="G32"/>
      <c r="H32"/>
      <c r="I32" t="s">
        <v>352</v>
      </c>
      <c r="J32" t="s">
        <v>352</v>
      </c>
      <c r="K32" s="392"/>
      <c r="L32" s="392"/>
      <c r="M32" s="281">
        <v>1998</v>
      </c>
      <c r="N32" s="390">
        <v>5</v>
      </c>
      <c r="O32" s="391">
        <v>202872</v>
      </c>
      <c r="P32" s="391">
        <v>69545</v>
      </c>
      <c r="Q32" s="391">
        <v>0</v>
      </c>
      <c r="R32" s="391">
        <v>272417</v>
      </c>
      <c r="S32" s="233"/>
      <c r="T32" s="225">
        <v>202872</v>
      </c>
      <c r="U32" s="225">
        <v>69545</v>
      </c>
      <c r="V32" s="226">
        <v>0.48942246629248543</v>
      </c>
      <c r="W32" s="227">
        <v>0.74471123314624266</v>
      </c>
      <c r="X32" s="228" t="s">
        <v>853</v>
      </c>
      <c r="Y32" s="229" t="s">
        <v>856</v>
      </c>
      <c r="Z32" s="230" t="s">
        <v>857</v>
      </c>
      <c r="AA32" s="231">
        <v>0</v>
      </c>
      <c r="AB32" s="231">
        <v>69545</v>
      </c>
      <c r="AC32" s="232">
        <v>0</v>
      </c>
      <c r="AD32" s="374">
        <v>69545</v>
      </c>
    </row>
    <row r="33" spans="1:30">
      <c r="A33" s="389" t="s">
        <v>69</v>
      </c>
      <c r="B33" s="221" t="s">
        <v>4</v>
      </c>
      <c r="C33" t="s">
        <v>422</v>
      </c>
      <c r="D33" t="s">
        <v>352</v>
      </c>
      <c r="E33"/>
      <c r="F33"/>
      <c r="G33" t="s">
        <v>352</v>
      </c>
      <c r="H33"/>
      <c r="I33" t="s">
        <v>352</v>
      </c>
      <c r="J33" t="s">
        <v>352</v>
      </c>
      <c r="K33" s="392"/>
      <c r="L33" s="392"/>
      <c r="M33" s="281">
        <v>2005</v>
      </c>
      <c r="N33" s="390">
        <v>6</v>
      </c>
      <c r="O33" s="391">
        <v>160667</v>
      </c>
      <c r="P33" s="391">
        <v>53406</v>
      </c>
      <c r="Q33" s="391">
        <v>0</v>
      </c>
      <c r="R33" s="391">
        <v>214073</v>
      </c>
      <c r="S33" s="233"/>
      <c r="T33" s="225">
        <v>160667</v>
      </c>
      <c r="U33" s="225">
        <v>53406</v>
      </c>
      <c r="V33" s="226">
        <v>0.50104870768382748</v>
      </c>
      <c r="W33" s="227">
        <v>0.75052435384191374</v>
      </c>
      <c r="X33" s="228" t="s">
        <v>853</v>
      </c>
      <c r="Y33" s="229" t="s">
        <v>856</v>
      </c>
      <c r="Z33" s="230" t="s">
        <v>857</v>
      </c>
      <c r="AA33" s="231">
        <v>0</v>
      </c>
      <c r="AB33" s="231">
        <v>53406</v>
      </c>
      <c r="AC33" s="232">
        <v>0</v>
      </c>
      <c r="AD33" s="374">
        <v>53406</v>
      </c>
    </row>
    <row r="34" spans="1:30">
      <c r="A34" s="389" t="s">
        <v>69</v>
      </c>
      <c r="B34" s="221" t="s">
        <v>4</v>
      </c>
      <c r="C34" t="s">
        <v>423</v>
      </c>
      <c r="D34"/>
      <c r="E34"/>
      <c r="F34"/>
      <c r="G34" t="s">
        <v>352</v>
      </c>
      <c r="H34"/>
      <c r="I34" t="s">
        <v>352</v>
      </c>
      <c r="J34" t="s">
        <v>853</v>
      </c>
      <c r="K34" s="392">
        <v>1</v>
      </c>
      <c r="L34" s="392">
        <v>1</v>
      </c>
      <c r="M34" s="281">
        <v>2012</v>
      </c>
      <c r="N34" s="390">
        <v>7</v>
      </c>
      <c r="O34" s="391">
        <v>141241</v>
      </c>
      <c r="P34" s="391">
        <v>132050</v>
      </c>
      <c r="Q34" s="391">
        <v>0</v>
      </c>
      <c r="R34" s="391">
        <v>273291</v>
      </c>
      <c r="S34" s="233"/>
      <c r="T34" s="225">
        <v>141241</v>
      </c>
      <c r="U34" s="225">
        <v>132050</v>
      </c>
      <c r="V34" s="226">
        <v>3.3630818431635144E-2</v>
      </c>
      <c r="W34" s="227">
        <v>0.51681540921581759</v>
      </c>
      <c r="X34" s="228" t="s">
        <v>853</v>
      </c>
      <c r="Y34" s="229" t="s">
        <v>856</v>
      </c>
      <c r="Z34" s="230" t="s">
        <v>860</v>
      </c>
      <c r="AA34" s="231">
        <v>0</v>
      </c>
      <c r="AB34" s="231">
        <v>132050</v>
      </c>
      <c r="AC34" s="232">
        <v>0</v>
      </c>
      <c r="AD34" s="374">
        <v>132050</v>
      </c>
    </row>
    <row r="35" spans="1:30">
      <c r="A35" s="389" t="s">
        <v>69</v>
      </c>
      <c r="B35" s="221" t="s">
        <v>4</v>
      </c>
      <c r="C35" t="s">
        <v>424</v>
      </c>
      <c r="D35"/>
      <c r="F35"/>
      <c r="G35"/>
      <c r="H35"/>
      <c r="I35" t="s">
        <v>352</v>
      </c>
      <c r="J35" t="s">
        <v>352</v>
      </c>
      <c r="K35" s="389"/>
      <c r="L35" s="389"/>
      <c r="M35" s="281">
        <v>2012</v>
      </c>
      <c r="N35" s="390">
        <v>8</v>
      </c>
      <c r="O35" s="391">
        <v>0</v>
      </c>
      <c r="P35" s="391">
        <v>179644</v>
      </c>
      <c r="Q35" s="391">
        <v>0</v>
      </c>
      <c r="R35" s="391">
        <v>179644</v>
      </c>
      <c r="S35" s="233"/>
      <c r="T35" s="225">
        <v>179644</v>
      </c>
      <c r="U35" s="225">
        <v>0</v>
      </c>
      <c r="V35" s="226">
        <v>1</v>
      </c>
      <c r="W35" s="227">
        <v>1</v>
      </c>
      <c r="X35" s="228" t="s">
        <v>352</v>
      </c>
      <c r="Y35" s="229" t="s">
        <v>854</v>
      </c>
      <c r="Z35" s="230" t="s">
        <v>857</v>
      </c>
      <c r="AA35" s="231">
        <v>0</v>
      </c>
      <c r="AB35" s="231">
        <v>0</v>
      </c>
      <c r="AC35" s="232">
        <v>0</v>
      </c>
      <c r="AD35" s="374">
        <v>0</v>
      </c>
    </row>
    <row r="36" spans="1:30">
      <c r="A36" s="389" t="s">
        <v>69</v>
      </c>
      <c r="B36" s="221" t="s">
        <v>4</v>
      </c>
      <c r="C36" t="s">
        <v>425</v>
      </c>
      <c r="D36"/>
      <c r="E36"/>
      <c r="F36"/>
      <c r="G36"/>
      <c r="H36"/>
      <c r="I36" t="s">
        <v>352</v>
      </c>
      <c r="J36" t="s">
        <v>352</v>
      </c>
      <c r="K36" s="392"/>
      <c r="L36" s="392"/>
      <c r="M36" s="281">
        <v>2006</v>
      </c>
      <c r="N36" s="390">
        <v>9</v>
      </c>
      <c r="O36" s="391">
        <v>118373</v>
      </c>
      <c r="P36" s="391">
        <v>94704</v>
      </c>
      <c r="Q36" s="391">
        <v>0</v>
      </c>
      <c r="R36" s="391">
        <v>213077</v>
      </c>
      <c r="S36" s="233"/>
      <c r="T36" s="225">
        <v>118373</v>
      </c>
      <c r="U36" s="225">
        <v>94704</v>
      </c>
      <c r="V36" s="226">
        <v>0.11108190935671142</v>
      </c>
      <c r="W36" s="227">
        <v>0.55554095467835574</v>
      </c>
      <c r="X36" s="228" t="s">
        <v>853</v>
      </c>
      <c r="Y36" s="229" t="s">
        <v>856</v>
      </c>
      <c r="Z36" s="230" t="s">
        <v>855</v>
      </c>
      <c r="AA36" s="231">
        <v>0</v>
      </c>
      <c r="AB36" s="231">
        <v>94704</v>
      </c>
      <c r="AC36" s="232">
        <v>0</v>
      </c>
      <c r="AD36" s="374">
        <v>94704</v>
      </c>
    </row>
    <row r="37" spans="1:30">
      <c r="A37" s="389" t="s">
        <v>69</v>
      </c>
      <c r="B37" s="221" t="s">
        <v>4</v>
      </c>
      <c r="C37" t="s">
        <v>426</v>
      </c>
      <c r="D37"/>
      <c r="E37"/>
      <c r="F37"/>
      <c r="G37"/>
      <c r="H37"/>
      <c r="I37" t="s">
        <v>352</v>
      </c>
      <c r="J37" t="s">
        <v>352</v>
      </c>
      <c r="K37" s="389"/>
      <c r="L37" s="389"/>
      <c r="M37" s="281">
        <v>2010</v>
      </c>
      <c r="N37" s="390">
        <v>10</v>
      </c>
      <c r="O37" s="391">
        <v>98934</v>
      </c>
      <c r="P37" s="391">
        <v>110265</v>
      </c>
      <c r="Q37" s="391">
        <v>0</v>
      </c>
      <c r="R37" s="391">
        <v>209199</v>
      </c>
      <c r="S37" s="233"/>
      <c r="T37" s="225">
        <v>110265</v>
      </c>
      <c r="U37" s="225">
        <v>98934</v>
      </c>
      <c r="V37" s="226">
        <v>5.4163738832403593E-2</v>
      </c>
      <c r="W37" s="227">
        <v>0.52708186941620183</v>
      </c>
      <c r="X37" s="228" t="s">
        <v>853</v>
      </c>
      <c r="Y37" s="229" t="s">
        <v>854</v>
      </c>
      <c r="Z37" s="230" t="s">
        <v>858</v>
      </c>
      <c r="AA37" s="231">
        <v>98934</v>
      </c>
      <c r="AB37" s="231">
        <v>0</v>
      </c>
      <c r="AC37" s="232">
        <v>0</v>
      </c>
      <c r="AD37" s="374">
        <v>98934</v>
      </c>
    </row>
    <row r="38" spans="1:30">
      <c r="A38" s="389" t="s">
        <v>69</v>
      </c>
      <c r="B38" s="221" t="s">
        <v>4</v>
      </c>
      <c r="C38" t="s">
        <v>427</v>
      </c>
      <c r="E38"/>
      <c r="F38"/>
      <c r="G38"/>
      <c r="H38"/>
      <c r="I38" t="s">
        <v>352</v>
      </c>
      <c r="J38" t="s">
        <v>352</v>
      </c>
      <c r="K38" s="392"/>
      <c r="L38" s="392"/>
      <c r="M38" s="281">
        <v>1974</v>
      </c>
      <c r="N38" s="390">
        <v>11</v>
      </c>
      <c r="O38" s="391">
        <v>200743</v>
      </c>
      <c r="P38" s="391">
        <v>87136</v>
      </c>
      <c r="Q38" s="391">
        <v>0</v>
      </c>
      <c r="R38" s="391">
        <v>287879</v>
      </c>
      <c r="S38" s="233"/>
      <c r="T38" s="225">
        <v>200743</v>
      </c>
      <c r="U38" s="225">
        <v>87136</v>
      </c>
      <c r="V38" s="226">
        <v>0.39463455132190955</v>
      </c>
      <c r="W38" s="227">
        <v>0.69731727566095481</v>
      </c>
      <c r="X38" s="228" t="s">
        <v>853</v>
      </c>
      <c r="Y38" s="229" t="s">
        <v>856</v>
      </c>
      <c r="Z38" s="230" t="s">
        <v>859</v>
      </c>
      <c r="AA38" s="231">
        <v>0</v>
      </c>
      <c r="AB38" s="231">
        <v>87136</v>
      </c>
      <c r="AC38" s="232">
        <v>0</v>
      </c>
      <c r="AD38" s="374">
        <v>87136</v>
      </c>
    </row>
    <row r="39" spans="1:30">
      <c r="A39" s="389" t="s">
        <v>69</v>
      </c>
      <c r="B39" s="221" t="s">
        <v>4</v>
      </c>
      <c r="C39" t="s">
        <v>428</v>
      </c>
      <c r="D39" t="s">
        <v>352</v>
      </c>
      <c r="E39"/>
      <c r="F39"/>
      <c r="G39"/>
      <c r="H39"/>
      <c r="I39" t="s">
        <v>352</v>
      </c>
      <c r="J39" t="s">
        <v>352</v>
      </c>
      <c r="K39" s="392"/>
      <c r="L39" s="392"/>
      <c r="M39" s="281">
        <v>1987</v>
      </c>
      <c r="N39" s="390">
        <v>12</v>
      </c>
      <c r="O39" s="391">
        <v>253709</v>
      </c>
      <c r="P39" s="391">
        <v>44478</v>
      </c>
      <c r="Q39" s="391">
        <v>0</v>
      </c>
      <c r="R39" s="391">
        <v>298187</v>
      </c>
      <c r="S39" s="233"/>
      <c r="T39" s="225">
        <v>253709</v>
      </c>
      <c r="U39" s="225">
        <v>44478</v>
      </c>
      <c r="V39" s="226">
        <v>0.70167713548880406</v>
      </c>
      <c r="W39" s="227">
        <v>0.85083856774440203</v>
      </c>
      <c r="X39" s="228" t="s">
        <v>853</v>
      </c>
      <c r="Y39" s="229" t="s">
        <v>856</v>
      </c>
      <c r="Z39" s="230" t="s">
        <v>857</v>
      </c>
      <c r="AA39" s="231">
        <v>0</v>
      </c>
      <c r="AB39" s="231">
        <v>44478</v>
      </c>
      <c r="AC39" s="232">
        <v>0</v>
      </c>
      <c r="AD39" s="374">
        <v>44478</v>
      </c>
    </row>
    <row r="40" spans="1:30">
      <c r="A40" s="389" t="s">
        <v>69</v>
      </c>
      <c r="B40" s="221" t="s">
        <v>4</v>
      </c>
      <c r="C40" t="s">
        <v>429</v>
      </c>
      <c r="D40" t="s">
        <v>352</v>
      </c>
      <c r="E40" t="s">
        <v>352</v>
      </c>
      <c r="F40"/>
      <c r="G40"/>
      <c r="H40"/>
      <c r="I40" t="s">
        <v>352</v>
      </c>
      <c r="J40" t="s">
        <v>352</v>
      </c>
      <c r="K40" s="392"/>
      <c r="L40" s="392"/>
      <c r="M40" s="281">
        <v>1998</v>
      </c>
      <c r="N40" s="390">
        <v>13</v>
      </c>
      <c r="O40" s="391">
        <v>250436</v>
      </c>
      <c r="P40" s="391">
        <v>0</v>
      </c>
      <c r="Q40" s="391">
        <v>38146</v>
      </c>
      <c r="R40" s="391">
        <v>288582</v>
      </c>
      <c r="S40" s="233"/>
      <c r="T40" s="225">
        <v>250436</v>
      </c>
      <c r="U40" s="225">
        <v>38146</v>
      </c>
      <c r="V40" s="226">
        <v>1</v>
      </c>
      <c r="W40" s="227">
        <v>0.86781573348303087</v>
      </c>
      <c r="X40" s="228" t="s">
        <v>352</v>
      </c>
      <c r="Y40" s="229" t="s">
        <v>856</v>
      </c>
      <c r="Z40" s="230" t="s">
        <v>857</v>
      </c>
      <c r="AA40" s="231">
        <v>0</v>
      </c>
      <c r="AB40" s="231">
        <v>0</v>
      </c>
      <c r="AC40" s="232">
        <v>38146</v>
      </c>
      <c r="AD40" s="374">
        <v>38146</v>
      </c>
    </row>
    <row r="41" spans="1:30">
      <c r="A41" s="389" t="s">
        <v>69</v>
      </c>
      <c r="B41" s="221" t="s">
        <v>4</v>
      </c>
      <c r="C41" t="s">
        <v>430</v>
      </c>
      <c r="D41" t="s">
        <v>352</v>
      </c>
      <c r="E41"/>
      <c r="F41"/>
      <c r="G41"/>
      <c r="H41"/>
      <c r="I41" t="s">
        <v>352</v>
      </c>
      <c r="J41" t="s">
        <v>352</v>
      </c>
      <c r="K41" s="392"/>
      <c r="L41" s="392"/>
      <c r="M41" s="281">
        <v>2007.5</v>
      </c>
      <c r="N41" s="390">
        <v>14</v>
      </c>
      <c r="O41" s="391">
        <v>203828</v>
      </c>
      <c r="P41" s="391">
        <v>54455</v>
      </c>
      <c r="Q41" s="391">
        <v>0</v>
      </c>
      <c r="R41" s="391">
        <v>258283</v>
      </c>
      <c r="S41" s="233"/>
      <c r="T41" s="225">
        <v>203828</v>
      </c>
      <c r="U41" s="225">
        <v>54455</v>
      </c>
      <c r="V41" s="226">
        <v>0.57833074573239429</v>
      </c>
      <c r="W41" s="227">
        <v>0.78916537286619715</v>
      </c>
      <c r="X41" s="228" t="s">
        <v>853</v>
      </c>
      <c r="Y41" s="229" t="s">
        <v>856</v>
      </c>
      <c r="Z41" s="230" t="s">
        <v>857</v>
      </c>
      <c r="AA41" s="231">
        <v>0</v>
      </c>
      <c r="AB41" s="231">
        <v>54455</v>
      </c>
      <c r="AC41" s="232">
        <v>0</v>
      </c>
      <c r="AD41" s="374">
        <v>54455</v>
      </c>
    </row>
    <row r="42" spans="1:30">
      <c r="A42" s="389" t="s">
        <v>69</v>
      </c>
      <c r="B42" s="221" t="s">
        <v>4</v>
      </c>
      <c r="C42" t="s">
        <v>431</v>
      </c>
      <c r="D42"/>
      <c r="E42"/>
      <c r="F42"/>
      <c r="G42"/>
      <c r="H42"/>
      <c r="I42" t="s">
        <v>352</v>
      </c>
      <c r="J42" t="s">
        <v>853</v>
      </c>
      <c r="K42" s="392">
        <v>1</v>
      </c>
      <c r="L42" s="392"/>
      <c r="M42" s="281">
        <v>2012</v>
      </c>
      <c r="N42" s="390">
        <v>15</v>
      </c>
      <c r="O42" s="391">
        <v>231034</v>
      </c>
      <c r="P42" s="391">
        <v>0</v>
      </c>
      <c r="Q42" s="391">
        <v>0</v>
      </c>
      <c r="R42" s="391">
        <v>231034</v>
      </c>
      <c r="S42" s="233"/>
      <c r="T42" s="225">
        <v>231034</v>
      </c>
      <c r="U42" s="225">
        <v>0</v>
      </c>
      <c r="V42" s="226">
        <v>1</v>
      </c>
      <c r="W42" s="227">
        <v>1</v>
      </c>
      <c r="X42" s="228" t="s">
        <v>352</v>
      </c>
      <c r="Y42" s="229" t="s">
        <v>856</v>
      </c>
      <c r="Z42" s="230" t="s">
        <v>857</v>
      </c>
      <c r="AA42" s="231">
        <v>0</v>
      </c>
      <c r="AB42" s="231">
        <v>0</v>
      </c>
      <c r="AC42" s="232">
        <v>0</v>
      </c>
      <c r="AD42" s="374">
        <v>0</v>
      </c>
    </row>
    <row r="43" spans="1:30">
      <c r="A43" s="389" t="s">
        <v>69</v>
      </c>
      <c r="B43" s="221" t="s">
        <v>4</v>
      </c>
      <c r="C43" t="s">
        <v>432</v>
      </c>
      <c r="D43"/>
      <c r="E43"/>
      <c r="F43"/>
      <c r="G43"/>
      <c r="H43"/>
      <c r="I43" t="s">
        <v>352</v>
      </c>
      <c r="J43" t="s">
        <v>352</v>
      </c>
      <c r="K43" s="392"/>
      <c r="L43" s="392"/>
      <c r="M43" s="281">
        <v>2004</v>
      </c>
      <c r="N43" s="390">
        <v>16</v>
      </c>
      <c r="O43" s="391">
        <v>84649</v>
      </c>
      <c r="P43" s="391">
        <v>62801</v>
      </c>
      <c r="Q43" s="391">
        <v>0</v>
      </c>
      <c r="R43" s="391">
        <v>147450</v>
      </c>
      <c r="S43" s="233"/>
      <c r="T43" s="225">
        <v>84649</v>
      </c>
      <c r="U43" s="225">
        <v>62801</v>
      </c>
      <c r="V43" s="226">
        <v>0.14817226178365547</v>
      </c>
      <c r="W43" s="227">
        <v>0.5740861308918277</v>
      </c>
      <c r="X43" s="228" t="s">
        <v>853</v>
      </c>
      <c r="Y43" s="229" t="s">
        <v>856</v>
      </c>
      <c r="Z43" s="230" t="s">
        <v>855</v>
      </c>
      <c r="AA43" s="231">
        <v>0</v>
      </c>
      <c r="AB43" s="231">
        <v>62801</v>
      </c>
      <c r="AC43" s="232">
        <v>0</v>
      </c>
      <c r="AD43" s="374">
        <v>62801</v>
      </c>
    </row>
    <row r="44" spans="1:30">
      <c r="A44" s="389" t="s">
        <v>69</v>
      </c>
      <c r="B44" s="221" t="s">
        <v>4</v>
      </c>
      <c r="C44" t="s">
        <v>433</v>
      </c>
      <c r="D44"/>
      <c r="E44"/>
      <c r="F44"/>
      <c r="G44" t="s">
        <v>352</v>
      </c>
      <c r="H44"/>
      <c r="I44" t="s">
        <v>352</v>
      </c>
      <c r="J44" t="s">
        <v>352</v>
      </c>
      <c r="K44" s="392"/>
      <c r="L44" s="392"/>
      <c r="M44" s="281">
        <v>2000</v>
      </c>
      <c r="N44" s="390">
        <v>17</v>
      </c>
      <c r="O44" s="391">
        <v>159392</v>
      </c>
      <c r="P44" s="391">
        <v>57336</v>
      </c>
      <c r="Q44" s="391">
        <v>0</v>
      </c>
      <c r="R44" s="391">
        <v>216728</v>
      </c>
      <c r="S44" s="233"/>
      <c r="T44" s="225">
        <v>159392</v>
      </c>
      <c r="U44" s="225">
        <v>57336</v>
      </c>
      <c r="V44" s="226">
        <v>0.47089439297183566</v>
      </c>
      <c r="W44" s="227">
        <v>0.73544719648591783</v>
      </c>
      <c r="X44" s="228" t="s">
        <v>853</v>
      </c>
      <c r="Y44" s="229" t="s">
        <v>856</v>
      </c>
      <c r="Z44" s="230" t="s">
        <v>857</v>
      </c>
      <c r="AA44" s="231">
        <v>0</v>
      </c>
      <c r="AB44" s="231">
        <v>57336</v>
      </c>
      <c r="AC44" s="232">
        <v>0</v>
      </c>
      <c r="AD44" s="374">
        <v>57336</v>
      </c>
    </row>
    <row r="45" spans="1:30">
      <c r="A45" s="389" t="s">
        <v>69</v>
      </c>
      <c r="B45" s="221" t="s">
        <v>4</v>
      </c>
      <c r="C45" t="s">
        <v>434</v>
      </c>
      <c r="D45" t="s">
        <v>352</v>
      </c>
      <c r="E45"/>
      <c r="F45"/>
      <c r="G45"/>
      <c r="H45"/>
      <c r="I45" t="s">
        <v>352</v>
      </c>
      <c r="J45" t="s">
        <v>352</v>
      </c>
      <c r="K45" s="392"/>
      <c r="L45" s="392"/>
      <c r="M45" s="281">
        <v>1992</v>
      </c>
      <c r="N45" s="390">
        <v>18</v>
      </c>
      <c r="O45" s="391">
        <v>212831</v>
      </c>
      <c r="P45" s="391">
        <v>89103</v>
      </c>
      <c r="Q45" s="391">
        <v>0</v>
      </c>
      <c r="R45" s="391">
        <v>301934</v>
      </c>
      <c r="S45" s="233"/>
      <c r="T45" s="225">
        <v>212831</v>
      </c>
      <c r="U45" s="225">
        <v>89103</v>
      </c>
      <c r="V45" s="226">
        <v>0.4097849198831533</v>
      </c>
      <c r="W45" s="227">
        <v>0.70489245994157668</v>
      </c>
      <c r="X45" s="228" t="s">
        <v>853</v>
      </c>
      <c r="Y45" s="229" t="s">
        <v>856</v>
      </c>
      <c r="Z45" s="230" t="s">
        <v>857</v>
      </c>
      <c r="AA45" s="231">
        <v>0</v>
      </c>
      <c r="AB45" s="231">
        <v>89103</v>
      </c>
      <c r="AC45" s="232">
        <v>0</v>
      </c>
      <c r="AD45" s="374">
        <v>89103</v>
      </c>
    </row>
    <row r="46" spans="1:30">
      <c r="A46" s="389" t="s">
        <v>69</v>
      </c>
      <c r="B46" s="221" t="s">
        <v>4</v>
      </c>
      <c r="C46" t="s">
        <v>435</v>
      </c>
      <c r="D46" t="s">
        <v>352</v>
      </c>
      <c r="E46"/>
      <c r="F46"/>
      <c r="G46"/>
      <c r="H46"/>
      <c r="I46" t="s">
        <v>352</v>
      </c>
      <c r="J46" t="s">
        <v>352</v>
      </c>
      <c r="K46" s="392"/>
      <c r="L46" s="392"/>
      <c r="M46" s="281">
        <v>1994</v>
      </c>
      <c r="N46" s="390">
        <v>19</v>
      </c>
      <c r="O46" s="391">
        <v>162300</v>
      </c>
      <c r="P46" s="391">
        <v>59313</v>
      </c>
      <c r="Q46" s="391">
        <v>0</v>
      </c>
      <c r="R46" s="391">
        <v>221613</v>
      </c>
      <c r="S46" s="233"/>
      <c r="T46" s="225">
        <v>162300</v>
      </c>
      <c r="U46" s="225">
        <v>59313</v>
      </c>
      <c r="V46" s="226">
        <v>0.46471551759147706</v>
      </c>
      <c r="W46" s="227">
        <v>0.7323577587957385</v>
      </c>
      <c r="X46" s="228" t="s">
        <v>853</v>
      </c>
      <c r="Y46" s="229" t="s">
        <v>856</v>
      </c>
      <c r="Z46" s="230" t="s">
        <v>857</v>
      </c>
      <c r="AA46" s="231">
        <v>0</v>
      </c>
      <c r="AB46" s="231">
        <v>59313</v>
      </c>
      <c r="AC46" s="232">
        <v>0</v>
      </c>
      <c r="AD46" s="374">
        <v>59313</v>
      </c>
    </row>
    <row r="47" spans="1:30">
      <c r="A47" s="389" t="s">
        <v>69</v>
      </c>
      <c r="B47" s="221" t="s">
        <v>4</v>
      </c>
      <c r="C47" t="s">
        <v>436</v>
      </c>
      <c r="D47"/>
      <c r="E47"/>
      <c r="F47"/>
      <c r="G47"/>
      <c r="H47"/>
      <c r="I47" t="s">
        <v>352</v>
      </c>
      <c r="J47" t="s">
        <v>352</v>
      </c>
      <c r="K47" s="392"/>
      <c r="L47" s="392"/>
      <c r="M47" s="281">
        <v>1993</v>
      </c>
      <c r="N47" s="390">
        <v>20</v>
      </c>
      <c r="O47" s="391">
        <v>172996</v>
      </c>
      <c r="P47" s="391">
        <v>60566</v>
      </c>
      <c r="Q47" s="391">
        <v>0</v>
      </c>
      <c r="R47" s="391">
        <v>233562</v>
      </c>
      <c r="S47" s="233"/>
      <c r="T47" s="225">
        <v>172996</v>
      </c>
      <c r="U47" s="225">
        <v>60566</v>
      </c>
      <c r="V47" s="226">
        <v>0.48137111345167449</v>
      </c>
      <c r="W47" s="227">
        <v>0.74068555672583725</v>
      </c>
      <c r="X47" s="228" t="s">
        <v>853</v>
      </c>
      <c r="Y47" s="229" t="s">
        <v>856</v>
      </c>
      <c r="Z47" s="230" t="s">
        <v>857</v>
      </c>
      <c r="AA47" s="231">
        <v>0</v>
      </c>
      <c r="AB47" s="231">
        <v>60566</v>
      </c>
      <c r="AC47" s="232">
        <v>0</v>
      </c>
      <c r="AD47" s="374">
        <v>60566</v>
      </c>
    </row>
    <row r="48" spans="1:30">
      <c r="A48" s="389" t="s">
        <v>69</v>
      </c>
      <c r="B48" s="221" t="s">
        <v>4</v>
      </c>
      <c r="C48" t="s">
        <v>437</v>
      </c>
      <c r="D48"/>
      <c r="E48"/>
      <c r="F48"/>
      <c r="G48"/>
      <c r="H48"/>
      <c r="I48" t="s">
        <v>352</v>
      </c>
      <c r="J48" t="s">
        <v>853</v>
      </c>
      <c r="K48" s="389"/>
      <c r="L48" s="389">
        <v>1</v>
      </c>
      <c r="M48" s="281">
        <v>2012</v>
      </c>
      <c r="N48" s="390">
        <v>21</v>
      </c>
      <c r="O48" s="391">
        <v>49119</v>
      </c>
      <c r="P48" s="391">
        <v>67164</v>
      </c>
      <c r="Q48" s="391">
        <v>0</v>
      </c>
      <c r="R48" s="391">
        <v>116283</v>
      </c>
      <c r="S48" s="233"/>
      <c r="T48" s="225">
        <v>67164</v>
      </c>
      <c r="U48" s="225">
        <v>49119</v>
      </c>
      <c r="V48" s="226">
        <v>0.15518175485668584</v>
      </c>
      <c r="W48" s="227">
        <v>0.57759087742834292</v>
      </c>
      <c r="X48" s="228" t="s">
        <v>853</v>
      </c>
      <c r="Y48" s="229" t="s">
        <v>854</v>
      </c>
      <c r="Z48" s="230" t="s">
        <v>855</v>
      </c>
      <c r="AA48" s="231">
        <v>49119</v>
      </c>
      <c r="AB48" s="231">
        <v>0</v>
      </c>
      <c r="AC48" s="232">
        <v>0</v>
      </c>
      <c r="AD48" s="374">
        <v>49119</v>
      </c>
    </row>
    <row r="49" spans="1:30">
      <c r="A49" s="389" t="s">
        <v>69</v>
      </c>
      <c r="B49" s="221" t="s">
        <v>4</v>
      </c>
      <c r="C49" t="s">
        <v>438</v>
      </c>
      <c r="D49"/>
      <c r="E49"/>
      <c r="F49"/>
      <c r="G49"/>
      <c r="H49"/>
      <c r="I49" t="s">
        <v>352</v>
      </c>
      <c r="J49" t="s">
        <v>352</v>
      </c>
      <c r="K49" s="389"/>
      <c r="L49" s="389"/>
      <c r="M49" s="281">
        <v>2002</v>
      </c>
      <c r="N49" s="390">
        <v>22</v>
      </c>
      <c r="O49" s="391">
        <v>81555</v>
      </c>
      <c r="P49" s="391">
        <v>132386</v>
      </c>
      <c r="Q49" s="391">
        <v>0</v>
      </c>
      <c r="R49" s="391">
        <v>213941</v>
      </c>
      <c r="S49" s="233"/>
      <c r="T49" s="225">
        <v>132386</v>
      </c>
      <c r="U49" s="225">
        <v>81555</v>
      </c>
      <c r="V49" s="226">
        <v>0.23759354214479694</v>
      </c>
      <c r="W49" s="227">
        <v>0.6187967710723985</v>
      </c>
      <c r="X49" s="228" t="s">
        <v>853</v>
      </c>
      <c r="Y49" s="229" t="s">
        <v>854</v>
      </c>
      <c r="Z49" s="230" t="s">
        <v>859</v>
      </c>
      <c r="AA49" s="231">
        <v>81555</v>
      </c>
      <c r="AB49" s="231">
        <v>0</v>
      </c>
      <c r="AC49" s="232">
        <v>0</v>
      </c>
      <c r="AD49" s="374">
        <v>81555</v>
      </c>
    </row>
    <row r="50" spans="1:30">
      <c r="A50" s="389" t="s">
        <v>69</v>
      </c>
      <c r="B50" s="221" t="s">
        <v>4</v>
      </c>
      <c r="C50" t="s">
        <v>439</v>
      </c>
      <c r="D50"/>
      <c r="E50"/>
      <c r="F50"/>
      <c r="G50"/>
      <c r="H50"/>
      <c r="I50" t="s">
        <v>352</v>
      </c>
      <c r="J50" t="s">
        <v>352</v>
      </c>
      <c r="K50" s="389"/>
      <c r="L50" s="389"/>
      <c r="M50" s="281">
        <v>2006</v>
      </c>
      <c r="N50" s="390">
        <v>23</v>
      </c>
      <c r="O50" s="391">
        <v>0</v>
      </c>
      <c r="P50" s="391">
        <v>158161</v>
      </c>
      <c r="Q50" s="391">
        <v>57842</v>
      </c>
      <c r="R50" s="391">
        <v>216003</v>
      </c>
      <c r="S50" s="233"/>
      <c r="T50" s="225">
        <v>158161</v>
      </c>
      <c r="U50" s="225">
        <v>57842</v>
      </c>
      <c r="V50" s="226">
        <v>1</v>
      </c>
      <c r="W50" s="227">
        <v>0.73221668217571056</v>
      </c>
      <c r="X50" s="228" t="s">
        <v>352</v>
      </c>
      <c r="Y50" s="229" t="s">
        <v>854</v>
      </c>
      <c r="Z50" s="230" t="s">
        <v>857</v>
      </c>
      <c r="AA50" s="231">
        <v>0</v>
      </c>
      <c r="AB50" s="231">
        <v>0</v>
      </c>
      <c r="AC50" s="232">
        <v>57842</v>
      </c>
      <c r="AD50" s="374">
        <v>57842</v>
      </c>
    </row>
    <row r="51" spans="1:30">
      <c r="A51" s="389" t="s">
        <v>69</v>
      </c>
      <c r="B51" s="221" t="s">
        <v>4</v>
      </c>
      <c r="C51" t="s">
        <v>440</v>
      </c>
      <c r="D51" t="s">
        <v>352</v>
      </c>
      <c r="E51"/>
      <c r="F51"/>
      <c r="G51"/>
      <c r="H51"/>
      <c r="I51" t="s">
        <v>352</v>
      </c>
      <c r="J51" t="s">
        <v>352</v>
      </c>
      <c r="K51" s="392"/>
      <c r="L51" s="392"/>
      <c r="M51" s="281">
        <v>1998</v>
      </c>
      <c r="N51" s="390">
        <v>24</v>
      </c>
      <c r="O51" s="391">
        <v>156749</v>
      </c>
      <c r="P51" s="391">
        <v>127746</v>
      </c>
      <c r="Q51" s="391">
        <v>0</v>
      </c>
      <c r="R51" s="391">
        <v>284495</v>
      </c>
      <c r="S51" s="233"/>
      <c r="T51" s="225">
        <v>156749</v>
      </c>
      <c r="U51" s="225">
        <v>127746</v>
      </c>
      <c r="V51" s="226">
        <v>0.10194555264591645</v>
      </c>
      <c r="W51" s="227">
        <v>0.55097277632295827</v>
      </c>
      <c r="X51" s="228" t="s">
        <v>853</v>
      </c>
      <c r="Y51" s="229" t="s">
        <v>856</v>
      </c>
      <c r="Z51" s="230" t="s">
        <v>855</v>
      </c>
      <c r="AA51" s="231">
        <v>0</v>
      </c>
      <c r="AB51" s="231">
        <v>127746</v>
      </c>
      <c r="AC51" s="232">
        <v>0</v>
      </c>
      <c r="AD51" s="374">
        <v>127746</v>
      </c>
    </row>
    <row r="52" spans="1:30">
      <c r="A52" s="389" t="s">
        <v>69</v>
      </c>
      <c r="B52" s="221" t="s">
        <v>4</v>
      </c>
      <c r="C52" t="s">
        <v>441</v>
      </c>
      <c r="D52"/>
      <c r="E52"/>
      <c r="F52"/>
      <c r="G52"/>
      <c r="H52"/>
      <c r="I52" t="s">
        <v>352</v>
      </c>
      <c r="J52" t="s">
        <v>352</v>
      </c>
      <c r="K52" s="389"/>
      <c r="L52" s="389"/>
      <c r="M52" s="281">
        <v>1992</v>
      </c>
      <c r="N52" s="390">
        <v>25</v>
      </c>
      <c r="O52" s="391">
        <v>106982</v>
      </c>
      <c r="P52" s="391">
        <v>129593</v>
      </c>
      <c r="Q52" s="391">
        <v>0</v>
      </c>
      <c r="R52" s="391">
        <v>236575</v>
      </c>
      <c r="S52" s="233"/>
      <c r="T52" s="225">
        <v>129593</v>
      </c>
      <c r="U52" s="225">
        <v>106982</v>
      </c>
      <c r="V52" s="226">
        <v>9.5576455669449431E-2</v>
      </c>
      <c r="W52" s="227">
        <v>0.54778822783472469</v>
      </c>
      <c r="X52" s="228" t="s">
        <v>853</v>
      </c>
      <c r="Y52" s="229" t="s">
        <v>854</v>
      </c>
      <c r="Z52" s="230" t="s">
        <v>858</v>
      </c>
      <c r="AA52" s="231">
        <v>106982</v>
      </c>
      <c r="AB52" s="231">
        <v>0</v>
      </c>
      <c r="AC52" s="232">
        <v>0</v>
      </c>
      <c r="AD52" s="374">
        <v>106982</v>
      </c>
    </row>
    <row r="53" spans="1:30">
      <c r="A53" s="389" t="s">
        <v>69</v>
      </c>
      <c r="B53" s="221" t="s">
        <v>4</v>
      </c>
      <c r="C53" t="s">
        <v>442</v>
      </c>
      <c r="D53" t="s">
        <v>352</v>
      </c>
      <c r="E53"/>
      <c r="F53"/>
      <c r="G53"/>
      <c r="H53"/>
      <c r="I53" t="s">
        <v>352</v>
      </c>
      <c r="J53" t="s">
        <v>853</v>
      </c>
      <c r="K53" s="392"/>
      <c r="L53" s="392">
        <v>1</v>
      </c>
      <c r="M53" s="281">
        <v>2012</v>
      </c>
      <c r="N53" s="390">
        <v>26</v>
      </c>
      <c r="O53" s="391">
        <v>139072</v>
      </c>
      <c r="P53" s="391">
        <v>124863</v>
      </c>
      <c r="Q53" s="391">
        <v>0</v>
      </c>
      <c r="R53" s="391">
        <v>263935</v>
      </c>
      <c r="S53" s="233"/>
      <c r="T53" s="225">
        <v>139072</v>
      </c>
      <c r="U53" s="225">
        <v>124863</v>
      </c>
      <c r="V53" s="226">
        <v>5.3835224581809914E-2</v>
      </c>
      <c r="W53" s="227">
        <v>0.52691761229090495</v>
      </c>
      <c r="X53" s="228" t="s">
        <v>853</v>
      </c>
      <c r="Y53" s="229" t="s">
        <v>856</v>
      </c>
      <c r="Z53" s="230" t="s">
        <v>858</v>
      </c>
      <c r="AA53" s="231">
        <v>0</v>
      </c>
      <c r="AB53" s="231">
        <v>124863</v>
      </c>
      <c r="AC53" s="232">
        <v>0</v>
      </c>
      <c r="AD53" s="374">
        <v>124863</v>
      </c>
    </row>
    <row r="54" spans="1:30">
      <c r="A54" s="389" t="s">
        <v>69</v>
      </c>
      <c r="B54" s="221" t="s">
        <v>4</v>
      </c>
      <c r="C54" t="s">
        <v>443</v>
      </c>
      <c r="D54" t="s">
        <v>352</v>
      </c>
      <c r="E54"/>
      <c r="F54"/>
      <c r="G54" t="s">
        <v>352</v>
      </c>
      <c r="H54"/>
      <c r="I54" t="s">
        <v>352</v>
      </c>
      <c r="J54" t="s">
        <v>352</v>
      </c>
      <c r="K54" s="392"/>
      <c r="L54" s="392"/>
      <c r="M54" s="281">
        <v>2009</v>
      </c>
      <c r="N54" s="390">
        <v>27</v>
      </c>
      <c r="O54" s="391">
        <v>154191</v>
      </c>
      <c r="P54" s="391">
        <v>86817</v>
      </c>
      <c r="Q54" s="391">
        <v>0</v>
      </c>
      <c r="R54" s="391">
        <v>241008</v>
      </c>
      <c r="S54" s="233"/>
      <c r="T54" s="225">
        <v>154191</v>
      </c>
      <c r="U54" s="225">
        <v>86817</v>
      </c>
      <c r="V54" s="226">
        <v>0.27955088627763391</v>
      </c>
      <c r="W54" s="227">
        <v>0.63977544313881696</v>
      </c>
      <c r="X54" s="228" t="s">
        <v>853</v>
      </c>
      <c r="Y54" s="229" t="s">
        <v>856</v>
      </c>
      <c r="Z54" s="230" t="s">
        <v>859</v>
      </c>
      <c r="AA54" s="231">
        <v>0</v>
      </c>
      <c r="AB54" s="231">
        <v>86817</v>
      </c>
      <c r="AC54" s="232">
        <v>0</v>
      </c>
      <c r="AD54" s="374">
        <v>86817</v>
      </c>
    </row>
    <row r="55" spans="1:30">
      <c r="A55" s="389" t="s">
        <v>69</v>
      </c>
      <c r="B55" s="221" t="s">
        <v>4</v>
      </c>
      <c r="C55" t="s">
        <v>444</v>
      </c>
      <c r="D55"/>
      <c r="E55"/>
      <c r="F55"/>
      <c r="G55"/>
      <c r="H55"/>
      <c r="I55" t="s">
        <v>352</v>
      </c>
      <c r="J55" t="s">
        <v>352</v>
      </c>
      <c r="K55" s="392"/>
      <c r="L55" s="392"/>
      <c r="M55" s="281">
        <v>2000</v>
      </c>
      <c r="N55" s="390">
        <v>28</v>
      </c>
      <c r="O55" s="391">
        <v>188703</v>
      </c>
      <c r="P55" s="391">
        <v>58008</v>
      </c>
      <c r="Q55" s="391">
        <v>0</v>
      </c>
      <c r="R55" s="391">
        <v>246711</v>
      </c>
      <c r="S55" s="233"/>
      <c r="T55" s="225">
        <v>188703</v>
      </c>
      <c r="U55" s="225">
        <v>58008</v>
      </c>
      <c r="V55" s="226">
        <v>0.52974938288118489</v>
      </c>
      <c r="W55" s="227">
        <v>0.76487469144059239</v>
      </c>
      <c r="X55" s="228" t="s">
        <v>853</v>
      </c>
      <c r="Y55" s="229" t="s">
        <v>856</v>
      </c>
      <c r="Z55" s="230" t="s">
        <v>857</v>
      </c>
      <c r="AA55" s="231">
        <v>0</v>
      </c>
      <c r="AB55" s="231">
        <v>58008</v>
      </c>
      <c r="AC55" s="232">
        <v>0</v>
      </c>
      <c r="AD55" s="374">
        <v>58008</v>
      </c>
    </row>
    <row r="56" spans="1:30">
      <c r="A56" s="389" t="s">
        <v>69</v>
      </c>
      <c r="B56" s="221" t="s">
        <v>4</v>
      </c>
      <c r="C56" t="s">
        <v>445</v>
      </c>
      <c r="D56"/>
      <c r="E56"/>
      <c r="F56" t="s">
        <v>352</v>
      </c>
      <c r="G56"/>
      <c r="H56"/>
      <c r="I56" t="s">
        <v>352</v>
      </c>
      <c r="J56" t="s">
        <v>352</v>
      </c>
      <c r="K56" s="392"/>
      <c r="L56" s="392"/>
      <c r="M56" s="281">
        <v>2012</v>
      </c>
      <c r="N56" s="390">
        <v>29</v>
      </c>
      <c r="O56" s="391">
        <v>111287</v>
      </c>
      <c r="P56" s="391">
        <v>0</v>
      </c>
      <c r="Q56" s="391">
        <v>38994</v>
      </c>
      <c r="R56" s="391">
        <v>150281</v>
      </c>
      <c r="S56" s="233"/>
      <c r="T56" s="225">
        <v>111287</v>
      </c>
      <c r="U56" s="225">
        <v>38994</v>
      </c>
      <c r="V56" s="226">
        <v>1</v>
      </c>
      <c r="W56" s="227">
        <v>0.74052608114132856</v>
      </c>
      <c r="X56" s="228" t="s">
        <v>352</v>
      </c>
      <c r="Y56" s="229" t="s">
        <v>856</v>
      </c>
      <c r="Z56" s="230" t="s">
        <v>857</v>
      </c>
      <c r="AA56" s="231">
        <v>0</v>
      </c>
      <c r="AB56" s="231">
        <v>0</v>
      </c>
      <c r="AC56" s="232">
        <v>38994</v>
      </c>
      <c r="AD56" s="374">
        <v>38994</v>
      </c>
    </row>
    <row r="57" spans="1:30">
      <c r="A57" s="389" t="s">
        <v>69</v>
      </c>
      <c r="B57" s="221" t="s">
        <v>4</v>
      </c>
      <c r="C57" t="s">
        <v>446</v>
      </c>
      <c r="D57"/>
      <c r="E57"/>
      <c r="F57"/>
      <c r="G57"/>
      <c r="H57"/>
      <c r="I57" t="s">
        <v>352</v>
      </c>
      <c r="J57" t="s">
        <v>352</v>
      </c>
      <c r="K57" s="392"/>
      <c r="L57" s="392"/>
      <c r="M57" s="281">
        <v>1982</v>
      </c>
      <c r="N57" s="390">
        <v>30</v>
      </c>
      <c r="O57" s="391">
        <v>247851</v>
      </c>
      <c r="P57" s="391">
        <v>0</v>
      </c>
      <c r="Q57" s="391">
        <v>0</v>
      </c>
      <c r="R57" s="391">
        <v>247851</v>
      </c>
      <c r="S57" s="233"/>
      <c r="T57" s="225">
        <v>247851</v>
      </c>
      <c r="U57" s="225">
        <v>0</v>
      </c>
      <c r="V57" s="226">
        <v>1</v>
      </c>
      <c r="W57" s="227">
        <v>1</v>
      </c>
      <c r="X57" s="228" t="s">
        <v>352</v>
      </c>
      <c r="Y57" s="229" t="s">
        <v>856</v>
      </c>
      <c r="Z57" s="230" t="s">
        <v>857</v>
      </c>
      <c r="AA57" s="231">
        <v>0</v>
      </c>
      <c r="AB57" s="231">
        <v>0</v>
      </c>
      <c r="AC57" s="232">
        <v>0</v>
      </c>
      <c r="AD57" s="374">
        <v>0</v>
      </c>
    </row>
    <row r="58" spans="1:30">
      <c r="A58" s="389" t="s">
        <v>69</v>
      </c>
      <c r="B58" s="221" t="s">
        <v>4</v>
      </c>
      <c r="C58" t="s">
        <v>447</v>
      </c>
      <c r="D58"/>
      <c r="E58"/>
      <c r="F58"/>
      <c r="H58"/>
      <c r="I58" t="s">
        <v>352</v>
      </c>
      <c r="J58" t="s">
        <v>352</v>
      </c>
      <c r="K58" s="389"/>
      <c r="L58" s="389"/>
      <c r="M58" s="281">
        <v>1998</v>
      </c>
      <c r="N58" s="390">
        <v>31</v>
      </c>
      <c r="O58" s="391">
        <v>0</v>
      </c>
      <c r="P58" s="391">
        <v>161219</v>
      </c>
      <c r="Q58" s="391">
        <v>0</v>
      </c>
      <c r="R58" s="391">
        <v>161219</v>
      </c>
      <c r="S58" s="233"/>
      <c r="T58" s="225">
        <v>161219</v>
      </c>
      <c r="U58" s="225">
        <v>0</v>
      </c>
      <c r="V58" s="226">
        <v>1</v>
      </c>
      <c r="W58" s="227">
        <v>1</v>
      </c>
      <c r="X58" s="228" t="s">
        <v>352</v>
      </c>
      <c r="Y58" s="229" t="s">
        <v>854</v>
      </c>
      <c r="Z58" s="230" t="s">
        <v>857</v>
      </c>
      <c r="AA58" s="231">
        <v>0</v>
      </c>
      <c r="AB58" s="231">
        <v>0</v>
      </c>
      <c r="AC58" s="232">
        <v>0</v>
      </c>
      <c r="AD58" s="374">
        <v>0</v>
      </c>
    </row>
    <row r="59" spans="1:30">
      <c r="A59" s="389" t="s">
        <v>69</v>
      </c>
      <c r="B59" s="221" t="s">
        <v>4</v>
      </c>
      <c r="C59" t="s">
        <v>448</v>
      </c>
      <c r="D59" t="s">
        <v>352</v>
      </c>
      <c r="F59" t="s">
        <v>352</v>
      </c>
      <c r="G59"/>
      <c r="H59"/>
      <c r="I59" t="s">
        <v>352</v>
      </c>
      <c r="J59" t="s">
        <v>352</v>
      </c>
      <c r="K59" s="392"/>
      <c r="L59" s="392"/>
      <c r="M59" s="281">
        <v>1998</v>
      </c>
      <c r="N59" s="390">
        <v>32</v>
      </c>
      <c r="O59" s="391">
        <v>124903</v>
      </c>
      <c r="P59" s="391">
        <v>65208</v>
      </c>
      <c r="Q59" s="391">
        <v>0</v>
      </c>
      <c r="R59" s="391">
        <v>190111</v>
      </c>
      <c r="S59" s="233"/>
      <c r="T59" s="225">
        <v>124903</v>
      </c>
      <c r="U59" s="225">
        <v>65208</v>
      </c>
      <c r="V59" s="226">
        <v>0.31400076797239507</v>
      </c>
      <c r="W59" s="227">
        <v>0.65700038398619753</v>
      </c>
      <c r="X59" s="228" t="s">
        <v>853</v>
      </c>
      <c r="Y59" s="229" t="s">
        <v>856</v>
      </c>
      <c r="Z59" s="230" t="s">
        <v>859</v>
      </c>
      <c r="AA59" s="231">
        <v>0</v>
      </c>
      <c r="AB59" s="231">
        <v>65208</v>
      </c>
      <c r="AC59" s="232">
        <v>0</v>
      </c>
      <c r="AD59" s="374">
        <v>65208</v>
      </c>
    </row>
    <row r="60" spans="1:30">
      <c r="A60" s="389" t="s">
        <v>69</v>
      </c>
      <c r="B60" s="221" t="s">
        <v>4</v>
      </c>
      <c r="C60" t="s">
        <v>449</v>
      </c>
      <c r="D60"/>
      <c r="E60"/>
      <c r="G60"/>
      <c r="H60"/>
      <c r="I60" t="s">
        <v>352</v>
      </c>
      <c r="J60" t="s">
        <v>352</v>
      </c>
      <c r="K60" s="392"/>
      <c r="L60" s="392"/>
      <c r="M60" s="281">
        <v>1974</v>
      </c>
      <c r="N60" s="390">
        <v>33</v>
      </c>
      <c r="O60" s="391">
        <v>171860</v>
      </c>
      <c r="P60" s="391">
        <v>0</v>
      </c>
      <c r="Q60" s="391">
        <v>146660</v>
      </c>
      <c r="R60" s="391">
        <v>318520</v>
      </c>
      <c r="S60" s="233"/>
      <c r="T60" s="225">
        <v>171860</v>
      </c>
      <c r="U60" s="225">
        <v>146660</v>
      </c>
      <c r="V60" s="226">
        <v>1</v>
      </c>
      <c r="W60" s="227">
        <v>0.53955795554439279</v>
      </c>
      <c r="X60" s="228" t="s">
        <v>352</v>
      </c>
      <c r="Y60" s="229" t="s">
        <v>856</v>
      </c>
      <c r="Z60" s="230" t="s">
        <v>857</v>
      </c>
      <c r="AA60" s="231">
        <v>0</v>
      </c>
      <c r="AB60" s="231">
        <v>0</v>
      </c>
      <c r="AC60" s="232">
        <v>146660</v>
      </c>
      <c r="AD60" s="374">
        <v>146660</v>
      </c>
    </row>
    <row r="61" spans="1:30">
      <c r="A61" s="389" t="s">
        <v>69</v>
      </c>
      <c r="B61" s="221" t="s">
        <v>4</v>
      </c>
      <c r="C61" t="s">
        <v>450</v>
      </c>
      <c r="D61"/>
      <c r="E61"/>
      <c r="F61"/>
      <c r="G61"/>
      <c r="H61"/>
      <c r="I61" t="s">
        <v>352</v>
      </c>
      <c r="J61" t="s">
        <v>352</v>
      </c>
      <c r="K61" s="392"/>
      <c r="L61" s="392"/>
      <c r="M61" s="281">
        <v>1992</v>
      </c>
      <c r="N61" s="390">
        <v>34</v>
      </c>
      <c r="O61" s="391">
        <v>120367</v>
      </c>
      <c r="P61" s="391">
        <v>20223</v>
      </c>
      <c r="Q61" s="391">
        <v>0</v>
      </c>
      <c r="R61" s="391">
        <v>140590</v>
      </c>
      <c r="S61" s="233"/>
      <c r="T61" s="225">
        <v>120367</v>
      </c>
      <c r="U61" s="225">
        <v>20223</v>
      </c>
      <c r="V61" s="226">
        <v>0.71231239775232946</v>
      </c>
      <c r="W61" s="227">
        <v>0.85615619887616479</v>
      </c>
      <c r="X61" s="228" t="s">
        <v>853</v>
      </c>
      <c r="Y61" s="229" t="s">
        <v>856</v>
      </c>
      <c r="Z61" s="230" t="s">
        <v>857</v>
      </c>
      <c r="AA61" s="231">
        <v>0</v>
      </c>
      <c r="AB61" s="231">
        <v>20223</v>
      </c>
      <c r="AC61" s="232">
        <v>0</v>
      </c>
      <c r="AD61" s="374">
        <v>20223</v>
      </c>
    </row>
    <row r="62" spans="1:30">
      <c r="A62" s="389" t="s">
        <v>69</v>
      </c>
      <c r="B62" s="221" t="s">
        <v>4</v>
      </c>
      <c r="C62" t="s">
        <v>451</v>
      </c>
      <c r="D62" t="s">
        <v>352</v>
      </c>
      <c r="E62" t="s">
        <v>352</v>
      </c>
      <c r="F62" t="s">
        <v>352</v>
      </c>
      <c r="G62"/>
      <c r="H62"/>
      <c r="I62" t="s">
        <v>352</v>
      </c>
      <c r="J62" t="s">
        <v>853</v>
      </c>
      <c r="K62" s="392">
        <v>1</v>
      </c>
      <c r="L62" s="392"/>
      <c r="M62" s="281">
        <v>2012</v>
      </c>
      <c r="N62" s="390">
        <v>35</v>
      </c>
      <c r="O62" s="391">
        <v>142680</v>
      </c>
      <c r="P62" s="391">
        <v>0</v>
      </c>
      <c r="Q62" s="391">
        <v>0</v>
      </c>
      <c r="R62" s="391">
        <v>142680</v>
      </c>
      <c r="S62" s="233"/>
      <c r="T62" s="225">
        <v>142680</v>
      </c>
      <c r="U62" s="225">
        <v>0</v>
      </c>
      <c r="V62" s="226">
        <v>1</v>
      </c>
      <c r="W62" s="227">
        <v>1</v>
      </c>
      <c r="X62" s="228" t="s">
        <v>352</v>
      </c>
      <c r="Y62" s="229" t="s">
        <v>856</v>
      </c>
      <c r="Z62" s="230" t="s">
        <v>857</v>
      </c>
      <c r="AA62" s="231">
        <v>0</v>
      </c>
      <c r="AB62" s="231">
        <v>0</v>
      </c>
      <c r="AC62" s="232">
        <v>0</v>
      </c>
      <c r="AD62" s="374">
        <v>0</v>
      </c>
    </row>
    <row r="63" spans="1:30">
      <c r="A63" s="389" t="s">
        <v>69</v>
      </c>
      <c r="B63" s="221" t="s">
        <v>4</v>
      </c>
      <c r="C63" t="s">
        <v>452</v>
      </c>
      <c r="D63"/>
      <c r="E63"/>
      <c r="F63" t="s">
        <v>352</v>
      </c>
      <c r="G63"/>
      <c r="H63"/>
      <c r="I63" t="s">
        <v>352</v>
      </c>
      <c r="J63" t="s">
        <v>853</v>
      </c>
      <c r="K63" s="392">
        <v>1</v>
      </c>
      <c r="L63" s="392">
        <v>1</v>
      </c>
      <c r="M63" s="281">
        <v>2012</v>
      </c>
      <c r="N63" s="390">
        <v>36</v>
      </c>
      <c r="O63" s="391">
        <v>110189</v>
      </c>
      <c r="P63" s="391">
        <v>97953</v>
      </c>
      <c r="Q63" s="391">
        <v>0</v>
      </c>
      <c r="R63" s="391">
        <v>208142</v>
      </c>
      <c r="S63" s="233"/>
      <c r="T63" s="225">
        <v>110189</v>
      </c>
      <c r="U63" s="225">
        <v>97953</v>
      </c>
      <c r="V63" s="226">
        <v>5.8786789787741059E-2</v>
      </c>
      <c r="W63" s="227">
        <v>0.52939339489387049</v>
      </c>
      <c r="X63" s="228" t="s">
        <v>853</v>
      </c>
      <c r="Y63" s="229" t="s">
        <v>856</v>
      </c>
      <c r="Z63" s="230" t="s">
        <v>858</v>
      </c>
      <c r="AA63" s="231">
        <v>0</v>
      </c>
      <c r="AB63" s="231">
        <v>97953</v>
      </c>
      <c r="AC63" s="232">
        <v>0</v>
      </c>
      <c r="AD63" s="374">
        <v>97953</v>
      </c>
    </row>
    <row r="64" spans="1:30">
      <c r="A64" s="389" t="s">
        <v>69</v>
      </c>
      <c r="B64" s="221" t="s">
        <v>4</v>
      </c>
      <c r="C64" t="s">
        <v>453</v>
      </c>
      <c r="D64" t="s">
        <v>352</v>
      </c>
      <c r="E64" t="s">
        <v>352</v>
      </c>
      <c r="F64"/>
      <c r="G64"/>
      <c r="H64"/>
      <c r="I64" t="s">
        <v>352</v>
      </c>
      <c r="J64" t="s">
        <v>352</v>
      </c>
      <c r="K64" s="392"/>
      <c r="L64" s="392"/>
      <c r="M64" s="281">
        <v>2010</v>
      </c>
      <c r="N64" s="390">
        <v>37</v>
      </c>
      <c r="O64" s="391">
        <v>207039</v>
      </c>
      <c r="P64" s="391">
        <v>32541</v>
      </c>
      <c r="Q64" s="391">
        <v>0</v>
      </c>
      <c r="R64" s="391">
        <v>239580</v>
      </c>
      <c r="S64" s="233"/>
      <c r="T64" s="225">
        <v>207039</v>
      </c>
      <c r="U64" s="225">
        <v>32541</v>
      </c>
      <c r="V64" s="226">
        <v>0.72834961182068625</v>
      </c>
      <c r="W64" s="227">
        <v>0.86417480591034312</v>
      </c>
      <c r="X64" s="228" t="s">
        <v>853</v>
      </c>
      <c r="Y64" s="229" t="s">
        <v>856</v>
      </c>
      <c r="Z64" s="230" t="s">
        <v>857</v>
      </c>
      <c r="AA64" s="231">
        <v>0</v>
      </c>
      <c r="AB64" s="231">
        <v>32541</v>
      </c>
      <c r="AC64" s="232">
        <v>0</v>
      </c>
      <c r="AD64" s="374">
        <v>32541</v>
      </c>
    </row>
    <row r="65" spans="1:31">
      <c r="A65" s="389" t="s">
        <v>69</v>
      </c>
      <c r="B65" s="221" t="s">
        <v>4</v>
      </c>
      <c r="C65" t="s">
        <v>454</v>
      </c>
      <c r="D65" t="s">
        <v>352</v>
      </c>
      <c r="E65"/>
      <c r="F65" t="s">
        <v>352</v>
      </c>
      <c r="G65"/>
      <c r="H65"/>
      <c r="I65" t="s">
        <v>352</v>
      </c>
      <c r="J65" t="s">
        <v>352</v>
      </c>
      <c r="K65" s="392"/>
      <c r="L65" s="392"/>
      <c r="M65" s="281">
        <v>2002</v>
      </c>
      <c r="N65" s="390">
        <v>38</v>
      </c>
      <c r="O65" s="391">
        <v>145280</v>
      </c>
      <c r="P65" s="391">
        <v>69807</v>
      </c>
      <c r="Q65" s="391">
        <v>0</v>
      </c>
      <c r="R65" s="391">
        <v>215087</v>
      </c>
      <c r="S65" s="233"/>
      <c r="T65" s="225">
        <v>145280</v>
      </c>
      <c r="U65" s="225">
        <v>69807</v>
      </c>
      <c r="V65" s="226">
        <v>0.35089521914388133</v>
      </c>
      <c r="W65" s="227">
        <v>0.67544760957194061</v>
      </c>
      <c r="X65" s="228" t="s">
        <v>853</v>
      </c>
      <c r="Y65" s="229" t="s">
        <v>856</v>
      </c>
      <c r="Z65" s="230" t="s">
        <v>859</v>
      </c>
      <c r="AA65" s="231">
        <v>0</v>
      </c>
      <c r="AB65" s="231">
        <v>69807</v>
      </c>
      <c r="AC65" s="232">
        <v>0</v>
      </c>
      <c r="AD65" s="374">
        <v>69807</v>
      </c>
    </row>
    <row r="66" spans="1:31">
      <c r="A66" s="389" t="s">
        <v>69</v>
      </c>
      <c r="B66" s="221" t="s">
        <v>4</v>
      </c>
      <c r="C66" t="s">
        <v>455</v>
      </c>
      <c r="D66"/>
      <c r="E66"/>
      <c r="F66"/>
      <c r="G66"/>
      <c r="H66"/>
      <c r="I66" t="s">
        <v>352</v>
      </c>
      <c r="J66" t="s">
        <v>352</v>
      </c>
      <c r="K66" s="389"/>
      <c r="L66" s="389"/>
      <c r="M66" s="281">
        <v>1992</v>
      </c>
      <c r="N66" s="390">
        <v>39</v>
      </c>
      <c r="O66" s="391">
        <v>106360</v>
      </c>
      <c r="P66" s="391">
        <v>145607</v>
      </c>
      <c r="Q66" s="391">
        <v>0</v>
      </c>
      <c r="R66" s="391">
        <v>251967</v>
      </c>
      <c r="S66" s="233"/>
      <c r="T66" s="225">
        <v>145607</v>
      </c>
      <c r="U66" s="225">
        <v>106360</v>
      </c>
      <c r="V66" s="226">
        <v>0.15576246095718885</v>
      </c>
      <c r="W66" s="227">
        <v>0.57788123047859441</v>
      </c>
      <c r="X66" s="228" t="s">
        <v>853</v>
      </c>
      <c r="Y66" s="229" t="s">
        <v>854</v>
      </c>
      <c r="Z66" s="230" t="s">
        <v>855</v>
      </c>
      <c r="AA66" s="231">
        <v>106360</v>
      </c>
      <c r="AB66" s="231">
        <v>0</v>
      </c>
      <c r="AC66" s="232">
        <v>0</v>
      </c>
      <c r="AD66" s="374">
        <v>106360</v>
      </c>
    </row>
    <row r="67" spans="1:31">
      <c r="A67" s="389" t="s">
        <v>69</v>
      </c>
      <c r="B67" s="221" t="s">
        <v>4</v>
      </c>
      <c r="C67" t="s">
        <v>827</v>
      </c>
      <c r="D67" t="s">
        <v>352</v>
      </c>
      <c r="E67"/>
      <c r="F67" t="s">
        <v>352</v>
      </c>
      <c r="G67"/>
      <c r="H67"/>
      <c r="I67" t="s">
        <v>352</v>
      </c>
      <c r="J67" t="s">
        <v>352</v>
      </c>
      <c r="K67" s="392"/>
      <c r="L67" s="392"/>
      <c r="M67" s="281">
        <v>1992</v>
      </c>
      <c r="N67" s="390">
        <v>40</v>
      </c>
      <c r="O67" s="391">
        <v>125553</v>
      </c>
      <c r="P67" s="391">
        <v>0</v>
      </c>
      <c r="Q67" s="391">
        <v>0</v>
      </c>
      <c r="R67" s="391">
        <v>125553</v>
      </c>
      <c r="S67" s="233"/>
      <c r="T67" s="225">
        <v>125553</v>
      </c>
      <c r="U67" s="225">
        <v>0</v>
      </c>
      <c r="V67" s="226">
        <v>1</v>
      </c>
      <c r="W67" s="227">
        <v>1</v>
      </c>
      <c r="X67" s="228" t="s">
        <v>352</v>
      </c>
      <c r="Y67" s="229" t="s">
        <v>856</v>
      </c>
      <c r="Z67" s="230" t="s">
        <v>857</v>
      </c>
      <c r="AA67" s="231">
        <v>0</v>
      </c>
      <c r="AB67" s="231">
        <v>0</v>
      </c>
      <c r="AC67" s="232">
        <v>0</v>
      </c>
      <c r="AD67" s="374">
        <v>0</v>
      </c>
    </row>
    <row r="68" spans="1:31">
      <c r="A68" s="389" t="s">
        <v>69</v>
      </c>
      <c r="B68" s="221" t="s">
        <v>4</v>
      </c>
      <c r="C68" t="s">
        <v>456</v>
      </c>
      <c r="D68"/>
      <c r="E68"/>
      <c r="F68"/>
      <c r="G68"/>
      <c r="H68"/>
      <c r="I68" t="s">
        <v>352</v>
      </c>
      <c r="J68" t="s">
        <v>853</v>
      </c>
      <c r="K68" s="392"/>
      <c r="L68" s="392">
        <v>1</v>
      </c>
      <c r="M68" s="281">
        <v>2012</v>
      </c>
      <c r="N68" s="390">
        <v>41</v>
      </c>
      <c r="O68" s="391">
        <v>103578</v>
      </c>
      <c r="P68" s="391">
        <v>72074</v>
      </c>
      <c r="Q68" s="391">
        <v>0</v>
      </c>
      <c r="R68" s="391">
        <v>175652</v>
      </c>
      <c r="S68" s="233"/>
      <c r="T68" s="225">
        <v>103578</v>
      </c>
      <c r="U68" s="225">
        <v>72074</v>
      </c>
      <c r="V68" s="226">
        <v>0.17935463302438914</v>
      </c>
      <c r="W68" s="227">
        <v>0.58967731651219457</v>
      </c>
      <c r="X68" s="228" t="s">
        <v>853</v>
      </c>
      <c r="Y68" s="229" t="s">
        <v>856</v>
      </c>
      <c r="Z68" s="230" t="s">
        <v>855</v>
      </c>
      <c r="AA68" s="231">
        <v>0</v>
      </c>
      <c r="AB68" s="231">
        <v>72074</v>
      </c>
      <c r="AC68" s="232">
        <v>0</v>
      </c>
      <c r="AD68" s="374">
        <v>72074</v>
      </c>
    </row>
    <row r="69" spans="1:31">
      <c r="A69" s="389" t="s">
        <v>69</v>
      </c>
      <c r="B69" s="221" t="s">
        <v>4</v>
      </c>
      <c r="C69" t="s">
        <v>457</v>
      </c>
      <c r="D69"/>
      <c r="E69"/>
      <c r="F69"/>
      <c r="G69"/>
      <c r="H69"/>
      <c r="I69" t="s">
        <v>352</v>
      </c>
      <c r="J69" t="s">
        <v>352</v>
      </c>
      <c r="K69" s="389"/>
      <c r="L69" s="389"/>
      <c r="M69" s="281">
        <v>1992</v>
      </c>
      <c r="N69" s="390">
        <v>42</v>
      </c>
      <c r="O69" s="391">
        <v>84702</v>
      </c>
      <c r="P69" s="391">
        <v>130245</v>
      </c>
      <c r="Q69" s="391">
        <v>0</v>
      </c>
      <c r="R69" s="391">
        <v>214947</v>
      </c>
      <c r="S69" s="233"/>
      <c r="T69" s="225">
        <v>130245</v>
      </c>
      <c r="U69" s="225">
        <v>84702</v>
      </c>
      <c r="V69" s="226">
        <v>0.2118801378944577</v>
      </c>
      <c r="W69" s="227">
        <v>0.60594006894722885</v>
      </c>
      <c r="X69" s="228" t="s">
        <v>853</v>
      </c>
      <c r="Y69" s="229" t="s">
        <v>854</v>
      </c>
      <c r="Z69" s="230" t="s">
        <v>859</v>
      </c>
      <c r="AA69" s="231">
        <v>84702</v>
      </c>
      <c r="AB69" s="231">
        <v>0</v>
      </c>
      <c r="AC69" s="232">
        <v>0</v>
      </c>
      <c r="AD69" s="374">
        <v>84702</v>
      </c>
    </row>
    <row r="70" spans="1:31">
      <c r="A70" s="389" t="s">
        <v>69</v>
      </c>
      <c r="B70" s="221" t="s">
        <v>4</v>
      </c>
      <c r="C70" t="s">
        <v>458</v>
      </c>
      <c r="D70" t="s">
        <v>352</v>
      </c>
      <c r="E70" t="s">
        <v>352</v>
      </c>
      <c r="F70"/>
      <c r="G70"/>
      <c r="H70"/>
      <c r="I70" t="s">
        <v>352</v>
      </c>
      <c r="J70" t="s">
        <v>352</v>
      </c>
      <c r="K70" s="392"/>
      <c r="L70" s="392"/>
      <c r="M70" s="281">
        <v>1990</v>
      </c>
      <c r="N70" s="390">
        <v>43</v>
      </c>
      <c r="O70" s="391">
        <v>200894</v>
      </c>
      <c r="P70" s="391">
        <v>0</v>
      </c>
      <c r="Q70" s="391">
        <v>0</v>
      </c>
      <c r="R70" s="391">
        <v>200894</v>
      </c>
      <c r="S70" s="233"/>
      <c r="T70" s="225">
        <v>200894</v>
      </c>
      <c r="U70" s="225">
        <v>0</v>
      </c>
      <c r="V70" s="226">
        <v>1</v>
      </c>
      <c r="W70" s="227">
        <v>1</v>
      </c>
      <c r="X70" s="228" t="s">
        <v>352</v>
      </c>
      <c r="Y70" s="229" t="s">
        <v>856</v>
      </c>
      <c r="Z70" s="230" t="s">
        <v>857</v>
      </c>
      <c r="AA70" s="231">
        <v>0</v>
      </c>
      <c r="AB70" s="231">
        <v>0</v>
      </c>
      <c r="AC70" s="232">
        <v>0</v>
      </c>
      <c r="AD70" s="374">
        <v>0</v>
      </c>
    </row>
    <row r="71" spans="1:31">
      <c r="A71" s="389" t="s">
        <v>69</v>
      </c>
      <c r="B71" s="221" t="s">
        <v>4</v>
      </c>
      <c r="C71" t="s">
        <v>459</v>
      </c>
      <c r="D71" t="s">
        <v>352</v>
      </c>
      <c r="E71"/>
      <c r="F71"/>
      <c r="G71"/>
      <c r="H71"/>
      <c r="I71" t="s">
        <v>352</v>
      </c>
      <c r="J71" t="s">
        <v>352</v>
      </c>
      <c r="K71" s="392"/>
      <c r="L71" s="392"/>
      <c r="M71" s="281">
        <v>2011</v>
      </c>
      <c r="N71" s="390">
        <v>44</v>
      </c>
      <c r="O71" s="391">
        <v>165898</v>
      </c>
      <c r="P71" s="391">
        <v>0</v>
      </c>
      <c r="Q71" s="391">
        <v>0</v>
      </c>
      <c r="R71" s="391">
        <v>165898</v>
      </c>
      <c r="S71" s="233"/>
      <c r="T71" s="225">
        <v>165898</v>
      </c>
      <c r="U71" s="225">
        <v>0</v>
      </c>
      <c r="V71" s="226">
        <v>1</v>
      </c>
      <c r="W71" s="227">
        <v>1</v>
      </c>
      <c r="X71" s="228" t="s">
        <v>352</v>
      </c>
      <c r="Y71" s="229" t="s">
        <v>856</v>
      </c>
      <c r="Z71" s="230" t="s">
        <v>857</v>
      </c>
      <c r="AA71" s="231">
        <v>0</v>
      </c>
      <c r="AB71" s="231">
        <v>0</v>
      </c>
      <c r="AC71" s="232">
        <v>0</v>
      </c>
      <c r="AD71" s="374">
        <v>0</v>
      </c>
    </row>
    <row r="72" spans="1:31">
      <c r="A72" s="389" t="s">
        <v>69</v>
      </c>
      <c r="B72" s="221" t="s">
        <v>4</v>
      </c>
      <c r="C72" t="s">
        <v>460</v>
      </c>
      <c r="D72"/>
      <c r="E72"/>
      <c r="F72"/>
      <c r="G72"/>
      <c r="H72"/>
      <c r="I72" t="s">
        <v>352</v>
      </c>
      <c r="J72" t="s">
        <v>352</v>
      </c>
      <c r="K72" s="389"/>
      <c r="L72" s="389"/>
      <c r="M72" s="281">
        <v>2005</v>
      </c>
      <c r="N72" s="390">
        <v>45</v>
      </c>
      <c r="O72" s="391">
        <v>121814</v>
      </c>
      <c r="P72" s="391">
        <v>171417</v>
      </c>
      <c r="Q72" s="391">
        <v>0</v>
      </c>
      <c r="R72" s="391">
        <v>293231</v>
      </c>
      <c r="S72" s="233"/>
      <c r="T72" s="225">
        <v>171417</v>
      </c>
      <c r="U72" s="225">
        <v>121814</v>
      </c>
      <c r="V72" s="226">
        <v>0.16916015018875905</v>
      </c>
      <c r="W72" s="227">
        <v>0.58458007509437948</v>
      </c>
      <c r="X72" s="228" t="s">
        <v>853</v>
      </c>
      <c r="Y72" s="229" t="s">
        <v>854</v>
      </c>
      <c r="Z72" s="230" t="s">
        <v>855</v>
      </c>
      <c r="AA72" s="231">
        <v>121814</v>
      </c>
      <c r="AB72" s="231">
        <v>0</v>
      </c>
      <c r="AC72" s="232">
        <v>0</v>
      </c>
      <c r="AD72" s="374">
        <v>121814</v>
      </c>
    </row>
    <row r="73" spans="1:31">
      <c r="A73" s="389" t="s">
        <v>69</v>
      </c>
      <c r="B73" s="221" t="s">
        <v>4</v>
      </c>
      <c r="C73" t="s">
        <v>461</v>
      </c>
      <c r="D73" t="s">
        <v>352</v>
      </c>
      <c r="E73"/>
      <c r="F73" t="s">
        <v>352</v>
      </c>
      <c r="G73"/>
      <c r="H73"/>
      <c r="I73" t="s">
        <v>352</v>
      </c>
      <c r="J73" t="s">
        <v>352</v>
      </c>
      <c r="K73" s="392"/>
      <c r="L73" s="392"/>
      <c r="M73" s="281">
        <v>1996</v>
      </c>
      <c r="N73" s="390">
        <v>46</v>
      </c>
      <c r="O73" s="391">
        <v>95694</v>
      </c>
      <c r="P73" s="391">
        <v>54121</v>
      </c>
      <c r="Q73" s="391">
        <v>0</v>
      </c>
      <c r="R73" s="391">
        <v>149815</v>
      </c>
      <c r="S73" s="233"/>
      <c r="T73" s="225">
        <v>95694</v>
      </c>
      <c r="U73" s="225">
        <v>54121</v>
      </c>
      <c r="V73" s="226">
        <v>0.27749557787938456</v>
      </c>
      <c r="W73" s="227">
        <v>0.63874778893969231</v>
      </c>
      <c r="X73" s="228" t="s">
        <v>853</v>
      </c>
      <c r="Y73" s="229" t="s">
        <v>856</v>
      </c>
      <c r="Z73" s="230" t="s">
        <v>859</v>
      </c>
      <c r="AA73" s="231">
        <v>0</v>
      </c>
      <c r="AB73" s="231">
        <v>54121</v>
      </c>
      <c r="AC73" s="232">
        <v>0</v>
      </c>
      <c r="AD73" s="374">
        <v>54121</v>
      </c>
    </row>
    <row r="74" spans="1:31">
      <c r="A74" s="389" t="s">
        <v>69</v>
      </c>
      <c r="B74" s="221" t="s">
        <v>4</v>
      </c>
      <c r="C74" t="s">
        <v>462</v>
      </c>
      <c r="D74"/>
      <c r="E74"/>
      <c r="F74"/>
      <c r="G74"/>
      <c r="H74"/>
      <c r="I74" t="s">
        <v>352</v>
      </c>
      <c r="J74" t="s">
        <v>352</v>
      </c>
      <c r="K74" s="392"/>
      <c r="L74" s="392"/>
      <c r="M74" s="281">
        <v>2012</v>
      </c>
      <c r="N74" s="390">
        <v>47</v>
      </c>
      <c r="O74" s="391">
        <v>130093</v>
      </c>
      <c r="P74" s="391">
        <v>99919</v>
      </c>
      <c r="Q74" s="391">
        <v>0</v>
      </c>
      <c r="R74" s="391">
        <v>230012</v>
      </c>
      <c r="S74" s="233"/>
      <c r="T74" s="225">
        <v>130093</v>
      </c>
      <c r="U74" s="225">
        <v>99919</v>
      </c>
      <c r="V74" s="226">
        <v>0.13118445994122047</v>
      </c>
      <c r="W74" s="227">
        <v>0.56559222997061021</v>
      </c>
      <c r="X74" s="228" t="s">
        <v>853</v>
      </c>
      <c r="Y74" s="229" t="s">
        <v>856</v>
      </c>
      <c r="Z74" s="230" t="s">
        <v>855</v>
      </c>
      <c r="AA74" s="231">
        <v>0</v>
      </c>
      <c r="AB74" s="231">
        <v>99919</v>
      </c>
      <c r="AC74" s="232">
        <v>0</v>
      </c>
      <c r="AD74" s="374">
        <v>99919</v>
      </c>
    </row>
    <row r="75" spans="1:31">
      <c r="A75" s="389" t="s">
        <v>69</v>
      </c>
      <c r="B75" s="221" t="s">
        <v>4</v>
      </c>
      <c r="C75" t="s">
        <v>463</v>
      </c>
      <c r="D75"/>
      <c r="E75"/>
      <c r="F75"/>
      <c r="G75"/>
      <c r="H75"/>
      <c r="I75" t="s">
        <v>352</v>
      </c>
      <c r="J75" t="s">
        <v>352</v>
      </c>
      <c r="K75" s="389"/>
      <c r="L75" s="389"/>
      <c r="M75" s="281">
        <v>1988</v>
      </c>
      <c r="N75" s="390">
        <v>48</v>
      </c>
      <c r="O75" s="391">
        <v>113358</v>
      </c>
      <c r="P75" s="391">
        <v>177144</v>
      </c>
      <c r="Q75" s="391">
        <v>0</v>
      </c>
      <c r="R75" s="391">
        <v>290502</v>
      </c>
      <c r="S75" s="233"/>
      <c r="T75" s="225">
        <v>177144</v>
      </c>
      <c r="U75" s="225">
        <v>113358</v>
      </c>
      <c r="V75" s="226">
        <v>0.21957163806101163</v>
      </c>
      <c r="W75" s="227">
        <v>0.60978581903050577</v>
      </c>
      <c r="X75" s="228" t="s">
        <v>853</v>
      </c>
      <c r="Y75" s="229" t="s">
        <v>854</v>
      </c>
      <c r="Z75" s="230" t="s">
        <v>859</v>
      </c>
      <c r="AA75" s="231">
        <v>113358</v>
      </c>
      <c r="AB75" s="231">
        <v>0</v>
      </c>
      <c r="AC75" s="232">
        <v>0</v>
      </c>
      <c r="AD75" s="374">
        <v>113358</v>
      </c>
    </row>
    <row r="76" spans="1:31">
      <c r="A76" s="389" t="s">
        <v>69</v>
      </c>
      <c r="B76" s="221" t="s">
        <v>4</v>
      </c>
      <c r="C76" t="s">
        <v>464</v>
      </c>
      <c r="D76"/>
      <c r="E76"/>
      <c r="F76"/>
      <c r="G76"/>
      <c r="H76"/>
      <c r="I76" t="s">
        <v>352</v>
      </c>
      <c r="J76" t="s">
        <v>352</v>
      </c>
      <c r="K76" s="389"/>
      <c r="L76" s="389"/>
      <c r="M76" s="281">
        <v>2000</v>
      </c>
      <c r="N76" s="390">
        <v>49</v>
      </c>
      <c r="O76" s="391">
        <v>114893</v>
      </c>
      <c r="P76" s="391">
        <v>159725</v>
      </c>
      <c r="Q76" s="391">
        <v>0</v>
      </c>
      <c r="R76" s="391">
        <v>274618</v>
      </c>
      <c r="S76" s="233"/>
      <c r="T76" s="225">
        <v>159725</v>
      </c>
      <c r="U76" s="225">
        <v>114893</v>
      </c>
      <c r="V76" s="226">
        <v>0.16325222672949333</v>
      </c>
      <c r="W76" s="227">
        <v>0.58162611336474668</v>
      </c>
      <c r="X76" s="228" t="s">
        <v>853</v>
      </c>
      <c r="Y76" s="229" t="s">
        <v>854</v>
      </c>
      <c r="Z76" s="230" t="s">
        <v>855</v>
      </c>
      <c r="AA76" s="231">
        <v>114893</v>
      </c>
      <c r="AB76" s="231">
        <v>0</v>
      </c>
      <c r="AC76" s="232">
        <v>0</v>
      </c>
      <c r="AD76" s="374">
        <v>114893</v>
      </c>
    </row>
    <row r="77" spans="1:31">
      <c r="A77" s="389" t="s">
        <v>69</v>
      </c>
      <c r="B77" s="221" t="s">
        <v>4</v>
      </c>
      <c r="C77" t="s">
        <v>465</v>
      </c>
      <c r="D77"/>
      <c r="E77"/>
      <c r="F77"/>
      <c r="G77"/>
      <c r="H77"/>
      <c r="I77" t="s">
        <v>352</v>
      </c>
      <c r="J77" t="s">
        <v>352</v>
      </c>
      <c r="K77" s="389"/>
      <c r="L77" s="389"/>
      <c r="M77" s="281">
        <v>2008</v>
      </c>
      <c r="N77" s="390">
        <v>50</v>
      </c>
      <c r="O77" s="391">
        <v>83455</v>
      </c>
      <c r="P77" s="391">
        <v>174838</v>
      </c>
      <c r="Q77" s="391">
        <v>0</v>
      </c>
      <c r="R77" s="391">
        <v>258293</v>
      </c>
      <c r="S77" s="233"/>
      <c r="T77" s="225">
        <v>174838</v>
      </c>
      <c r="U77" s="225">
        <v>83455</v>
      </c>
      <c r="V77" s="226">
        <v>0.35379588297011533</v>
      </c>
      <c r="W77" s="227">
        <v>0.67689794148505766</v>
      </c>
      <c r="X77" s="228" t="s">
        <v>853</v>
      </c>
      <c r="Y77" s="229" t="s">
        <v>854</v>
      </c>
      <c r="Z77" s="230" t="s">
        <v>859</v>
      </c>
      <c r="AA77" s="231">
        <v>83455</v>
      </c>
      <c r="AB77" s="231">
        <v>0</v>
      </c>
      <c r="AC77" s="232">
        <v>0</v>
      </c>
      <c r="AD77" s="374">
        <v>83455</v>
      </c>
    </row>
    <row r="78" spans="1:31">
      <c r="A78" s="389" t="s">
        <v>69</v>
      </c>
      <c r="B78" s="221" t="s">
        <v>4</v>
      </c>
      <c r="C78" t="s">
        <v>466</v>
      </c>
      <c r="D78"/>
      <c r="E78"/>
      <c r="F78" t="s">
        <v>352</v>
      </c>
      <c r="G78"/>
      <c r="H78"/>
      <c r="I78" t="s">
        <v>352</v>
      </c>
      <c r="J78" t="s">
        <v>352</v>
      </c>
      <c r="K78" s="392"/>
      <c r="L78" s="392"/>
      <c r="M78" s="281">
        <v>2012</v>
      </c>
      <c r="N78" s="390">
        <v>51</v>
      </c>
      <c r="O78" s="391">
        <v>113934</v>
      </c>
      <c r="P78" s="391">
        <v>45464</v>
      </c>
      <c r="Q78" s="391">
        <v>0</v>
      </c>
      <c r="R78" s="391">
        <v>159398</v>
      </c>
      <c r="S78" s="233"/>
      <c r="T78" s="225">
        <v>113934</v>
      </c>
      <c r="U78" s="225">
        <v>45464</v>
      </c>
      <c r="V78" s="226">
        <v>0.42955369578037367</v>
      </c>
      <c r="W78" s="227">
        <v>0.71477684789018681</v>
      </c>
      <c r="X78" s="228" t="s">
        <v>853</v>
      </c>
      <c r="Y78" s="229" t="s">
        <v>856</v>
      </c>
      <c r="Z78" s="230" t="s">
        <v>857</v>
      </c>
      <c r="AA78" s="231">
        <v>0</v>
      </c>
      <c r="AB78" s="231">
        <v>45464</v>
      </c>
      <c r="AC78" s="232">
        <v>0</v>
      </c>
      <c r="AD78" s="374">
        <v>45464</v>
      </c>
    </row>
    <row r="79" spans="1:31">
      <c r="A79" s="389" t="s">
        <v>69</v>
      </c>
      <c r="B79" s="221" t="s">
        <v>4</v>
      </c>
      <c r="C79" t="s">
        <v>467</v>
      </c>
      <c r="D79"/>
      <c r="E79"/>
      <c r="F79"/>
      <c r="G79"/>
      <c r="H79"/>
      <c r="I79" t="s">
        <v>352</v>
      </c>
      <c r="J79" t="s">
        <v>853</v>
      </c>
      <c r="K79" s="392">
        <v>1</v>
      </c>
      <c r="L79" s="392">
        <v>1</v>
      </c>
      <c r="M79" s="281">
        <v>2012</v>
      </c>
      <c r="N79" s="390">
        <v>52</v>
      </c>
      <c r="O79" s="391">
        <v>151451</v>
      </c>
      <c r="P79" s="391">
        <v>144459</v>
      </c>
      <c r="Q79" s="391">
        <v>0</v>
      </c>
      <c r="R79" s="391">
        <v>295910</v>
      </c>
      <c r="S79" s="233"/>
      <c r="T79" s="225">
        <v>151451</v>
      </c>
      <c r="U79" s="225">
        <v>144459</v>
      </c>
      <c r="V79" s="226">
        <v>2.3628806055895374E-2</v>
      </c>
      <c r="W79" s="227">
        <v>0.51181440302794767</v>
      </c>
      <c r="X79" s="228" t="s">
        <v>853</v>
      </c>
      <c r="Y79" s="229" t="s">
        <v>856</v>
      </c>
      <c r="Z79" s="230" t="s">
        <v>860</v>
      </c>
      <c r="AA79" s="231">
        <v>0</v>
      </c>
      <c r="AB79" s="231">
        <v>144459</v>
      </c>
      <c r="AC79" s="232">
        <v>0</v>
      </c>
      <c r="AD79" s="374">
        <v>144459</v>
      </c>
      <c r="AE79" s="374">
        <v>3761381</v>
      </c>
    </row>
    <row r="80" spans="1:31">
      <c r="A80" s="389" t="s">
        <v>69</v>
      </c>
      <c r="B80" s="221" t="s">
        <v>4</v>
      </c>
      <c r="C80" t="s">
        <v>468</v>
      </c>
      <c r="D80" t="s">
        <v>352</v>
      </c>
      <c r="E80"/>
      <c r="F80"/>
      <c r="G80"/>
      <c r="H80"/>
      <c r="I80" t="s">
        <v>352</v>
      </c>
      <c r="J80" t="s">
        <v>352</v>
      </c>
      <c r="K80" s="392"/>
      <c r="L80" s="392"/>
      <c r="M80" s="281">
        <v>2000</v>
      </c>
      <c r="N80" s="390">
        <v>53</v>
      </c>
      <c r="O80" s="391">
        <v>164825</v>
      </c>
      <c r="P80" s="391">
        <v>103482</v>
      </c>
      <c r="Q80" s="391">
        <v>0</v>
      </c>
      <c r="R80" s="391">
        <v>268307</v>
      </c>
      <c r="S80" s="233"/>
      <c r="T80" s="225">
        <v>164825</v>
      </c>
      <c r="U80" s="225">
        <v>103482</v>
      </c>
      <c r="V80" s="226">
        <v>0.22862989038675846</v>
      </c>
      <c r="W80" s="227">
        <v>0.61431494519337926</v>
      </c>
      <c r="X80" s="228" t="s">
        <v>853</v>
      </c>
      <c r="Y80" s="229" t="s">
        <v>856</v>
      </c>
      <c r="Z80" s="230" t="s">
        <v>859</v>
      </c>
      <c r="AA80" s="231">
        <v>0</v>
      </c>
      <c r="AB80" s="231">
        <v>103482</v>
      </c>
      <c r="AC80" s="232">
        <v>0</v>
      </c>
      <c r="AD80" s="374">
        <v>103482</v>
      </c>
    </row>
    <row r="81" spans="1:31">
      <c r="A81" s="389" t="s">
        <v>70</v>
      </c>
      <c r="B81" s="221" t="s">
        <v>5</v>
      </c>
      <c r="C81" t="s">
        <v>469</v>
      </c>
      <c r="D81" t="s">
        <v>353</v>
      </c>
      <c r="E81"/>
      <c r="F81"/>
      <c r="G81"/>
      <c r="H81"/>
      <c r="I81" t="s">
        <v>353</v>
      </c>
      <c r="J81" t="s">
        <v>353</v>
      </c>
      <c r="K81" s="392"/>
      <c r="L81" s="392"/>
      <c r="M81" s="281">
        <v>1996</v>
      </c>
      <c r="N81" s="390">
        <v>1</v>
      </c>
      <c r="O81" s="391">
        <v>237579</v>
      </c>
      <c r="P81" s="391">
        <v>93217</v>
      </c>
      <c r="Q81" s="391">
        <v>17432</v>
      </c>
      <c r="R81" s="391">
        <v>348228</v>
      </c>
      <c r="S81" s="233"/>
      <c r="T81" s="225">
        <v>237579</v>
      </c>
      <c r="U81" s="225">
        <v>93217</v>
      </c>
      <c r="V81" s="226">
        <v>0.43640793721810422</v>
      </c>
      <c r="W81" s="227">
        <v>0.68225128364175192</v>
      </c>
      <c r="X81" s="228" t="s">
        <v>861</v>
      </c>
      <c r="Y81" s="229" t="s">
        <v>862</v>
      </c>
      <c r="Z81" s="230" t="s">
        <v>863</v>
      </c>
      <c r="AA81" s="231">
        <v>0</v>
      </c>
      <c r="AB81" s="231">
        <v>93217</v>
      </c>
      <c r="AC81" s="232">
        <v>17432</v>
      </c>
      <c r="AD81" s="374">
        <v>110649</v>
      </c>
    </row>
    <row r="82" spans="1:31">
      <c r="A82" s="389" t="s">
        <v>70</v>
      </c>
      <c r="B82" s="221" t="s">
        <v>5</v>
      </c>
      <c r="C82" t="s">
        <v>470</v>
      </c>
      <c r="D82"/>
      <c r="E82"/>
      <c r="F82"/>
      <c r="G82"/>
      <c r="H82"/>
      <c r="I82" t="s">
        <v>353</v>
      </c>
      <c r="J82" t="s">
        <v>353</v>
      </c>
      <c r="K82" s="392"/>
      <c r="L82" s="392"/>
      <c r="M82" s="281">
        <v>2008</v>
      </c>
      <c r="N82" s="390">
        <v>2</v>
      </c>
      <c r="O82" s="391">
        <v>234758</v>
      </c>
      <c r="P82" s="391">
        <v>162639</v>
      </c>
      <c r="Q82" s="391">
        <v>24183</v>
      </c>
      <c r="R82" s="391">
        <v>421580</v>
      </c>
      <c r="S82" s="233"/>
      <c r="T82" s="225">
        <v>234758</v>
      </c>
      <c r="U82" s="225">
        <v>162639</v>
      </c>
      <c r="V82" s="226">
        <v>0.18147847115101523</v>
      </c>
      <c r="W82" s="227">
        <v>0.5568527918781726</v>
      </c>
      <c r="X82" s="228" t="s">
        <v>861</v>
      </c>
      <c r="Y82" s="229" t="s">
        <v>862</v>
      </c>
      <c r="Z82" s="230" t="s">
        <v>864</v>
      </c>
      <c r="AA82" s="231">
        <v>0</v>
      </c>
      <c r="AB82" s="231">
        <v>162639</v>
      </c>
      <c r="AC82" s="232">
        <v>24183</v>
      </c>
      <c r="AD82" s="374">
        <v>186822</v>
      </c>
    </row>
    <row r="83" spans="1:31">
      <c r="A83" s="389" t="s">
        <v>70</v>
      </c>
      <c r="B83" s="221" t="s">
        <v>5</v>
      </c>
      <c r="C83" t="s">
        <v>471</v>
      </c>
      <c r="D83"/>
      <c r="E83"/>
      <c r="F83"/>
      <c r="G83"/>
      <c r="H83"/>
      <c r="I83" t="s">
        <v>353</v>
      </c>
      <c r="J83" t="s">
        <v>353</v>
      </c>
      <c r="K83" s="389"/>
      <c r="L83" s="389"/>
      <c r="M83" s="281">
        <v>2010</v>
      </c>
      <c r="N83" s="390">
        <v>3</v>
      </c>
      <c r="O83" s="391">
        <v>142619</v>
      </c>
      <c r="P83" s="391">
        <v>185291</v>
      </c>
      <c r="Q83" s="391">
        <v>19362</v>
      </c>
      <c r="R83" s="391">
        <v>347272</v>
      </c>
      <c r="S83" s="233"/>
      <c r="T83" s="225">
        <v>185291</v>
      </c>
      <c r="U83" s="225">
        <v>142619</v>
      </c>
      <c r="V83" s="226">
        <v>0.13013326827483152</v>
      </c>
      <c r="W83" s="227">
        <v>0.53356158861065672</v>
      </c>
      <c r="X83" s="228" t="s">
        <v>861</v>
      </c>
      <c r="Y83" s="229" t="s">
        <v>865</v>
      </c>
      <c r="Z83" s="230" t="s">
        <v>864</v>
      </c>
      <c r="AA83" s="231">
        <v>142619</v>
      </c>
      <c r="AB83" s="231">
        <v>0</v>
      </c>
      <c r="AC83" s="232">
        <v>19362</v>
      </c>
      <c r="AD83" s="374">
        <v>161981</v>
      </c>
    </row>
    <row r="84" spans="1:31">
      <c r="A84" s="389" t="s">
        <v>70</v>
      </c>
      <c r="B84" s="221" t="s">
        <v>5</v>
      </c>
      <c r="C84" t="s">
        <v>472</v>
      </c>
      <c r="D84"/>
      <c r="E84"/>
      <c r="F84"/>
      <c r="G84"/>
      <c r="H84"/>
      <c r="I84" t="s">
        <v>353</v>
      </c>
      <c r="J84" t="s">
        <v>353</v>
      </c>
      <c r="K84" s="389"/>
      <c r="L84" s="389"/>
      <c r="M84" s="281">
        <v>2010</v>
      </c>
      <c r="N84" s="390">
        <v>4</v>
      </c>
      <c r="O84" s="391">
        <v>125715</v>
      </c>
      <c r="P84" s="391">
        <v>199842</v>
      </c>
      <c r="Q84" s="391">
        <v>16519</v>
      </c>
      <c r="R84" s="391">
        <v>342076</v>
      </c>
      <c r="S84" s="233"/>
      <c r="T84" s="225">
        <v>199842</v>
      </c>
      <c r="U84" s="225">
        <v>125715</v>
      </c>
      <c r="V84" s="226">
        <v>0.22769284641399201</v>
      </c>
      <c r="W84" s="227">
        <v>0.58420351033103757</v>
      </c>
      <c r="X84" s="228" t="s">
        <v>861</v>
      </c>
      <c r="Y84" s="229" t="s">
        <v>865</v>
      </c>
      <c r="Z84" s="230" t="s">
        <v>866</v>
      </c>
      <c r="AA84" s="231">
        <v>125715</v>
      </c>
      <c r="AB84" s="231">
        <v>0</v>
      </c>
      <c r="AC84" s="232">
        <v>16519</v>
      </c>
      <c r="AD84" s="374">
        <v>142234</v>
      </c>
    </row>
    <row r="85" spans="1:31">
      <c r="A85" s="389" t="s">
        <v>70</v>
      </c>
      <c r="B85" s="221" t="s">
        <v>5</v>
      </c>
      <c r="C85" t="s">
        <v>473</v>
      </c>
      <c r="D85"/>
      <c r="E85"/>
      <c r="F85"/>
      <c r="G85"/>
      <c r="H85"/>
      <c r="I85" t="s">
        <v>353</v>
      </c>
      <c r="J85" t="s">
        <v>353</v>
      </c>
      <c r="K85" s="389"/>
      <c r="L85" s="389"/>
      <c r="M85" s="281">
        <v>2006</v>
      </c>
      <c r="N85" s="390">
        <v>5</v>
      </c>
      <c r="O85" s="391">
        <v>0</v>
      </c>
      <c r="P85" s="391">
        <v>199639</v>
      </c>
      <c r="Q85" s="391">
        <v>107598</v>
      </c>
      <c r="R85" s="391">
        <v>307237</v>
      </c>
      <c r="S85" s="233"/>
      <c r="T85" s="225">
        <v>199639</v>
      </c>
      <c r="U85" s="225">
        <v>107598</v>
      </c>
      <c r="V85" s="226">
        <v>1</v>
      </c>
      <c r="W85" s="227">
        <v>0.64978827419874563</v>
      </c>
      <c r="X85" s="228" t="s">
        <v>353</v>
      </c>
      <c r="Y85" s="229" t="s">
        <v>865</v>
      </c>
      <c r="Z85" s="230" t="s">
        <v>863</v>
      </c>
      <c r="AA85" s="231">
        <v>0</v>
      </c>
      <c r="AB85" s="231">
        <v>0</v>
      </c>
      <c r="AC85" s="232">
        <v>107598</v>
      </c>
      <c r="AD85" s="374">
        <v>107598</v>
      </c>
    </row>
    <row r="86" spans="1:31">
      <c r="A86" s="389" t="s">
        <v>70</v>
      </c>
      <c r="B86" s="221" t="s">
        <v>5</v>
      </c>
      <c r="C86" t="s">
        <v>474</v>
      </c>
      <c r="D86"/>
      <c r="E86"/>
      <c r="F86"/>
      <c r="G86"/>
      <c r="H86"/>
      <c r="I86" t="s">
        <v>353</v>
      </c>
      <c r="J86" t="s">
        <v>353</v>
      </c>
      <c r="K86" s="389"/>
      <c r="L86" s="389"/>
      <c r="M86" s="281">
        <v>2008</v>
      </c>
      <c r="N86" s="390">
        <v>6</v>
      </c>
      <c r="O86" s="391">
        <v>156929</v>
      </c>
      <c r="P86" s="391">
        <v>163922</v>
      </c>
      <c r="Q86" s="391">
        <v>22039</v>
      </c>
      <c r="R86" s="391">
        <v>342890</v>
      </c>
      <c r="S86" s="233"/>
      <c r="T86" s="225">
        <v>163922</v>
      </c>
      <c r="U86" s="225">
        <v>156929</v>
      </c>
      <c r="V86" s="226">
        <v>2.179516348710149E-2</v>
      </c>
      <c r="W86" s="227">
        <v>0.47806001924815539</v>
      </c>
      <c r="X86" s="228" t="s">
        <v>861</v>
      </c>
      <c r="Y86" s="229" t="s">
        <v>865</v>
      </c>
      <c r="Z86" s="230" t="s">
        <v>867</v>
      </c>
      <c r="AA86" s="231">
        <v>156929</v>
      </c>
      <c r="AB86" s="231">
        <v>0</v>
      </c>
      <c r="AC86" s="232">
        <v>22039</v>
      </c>
      <c r="AD86" s="374">
        <v>178968</v>
      </c>
      <c r="AE86" s="374">
        <v>991734</v>
      </c>
    </row>
    <row r="87" spans="1:31">
      <c r="A87" s="389" t="s">
        <v>70</v>
      </c>
      <c r="B87" s="221" t="s">
        <v>5</v>
      </c>
      <c r="C87" t="s">
        <v>475</v>
      </c>
      <c r="D87"/>
      <c r="E87"/>
      <c r="F87"/>
      <c r="G87"/>
      <c r="H87"/>
      <c r="I87" t="s">
        <v>353</v>
      </c>
      <c r="J87" t="s">
        <v>353</v>
      </c>
      <c r="K87" s="392"/>
      <c r="L87" s="392"/>
      <c r="M87" s="281">
        <v>2006</v>
      </c>
      <c r="N87" s="390">
        <v>7</v>
      </c>
      <c r="O87" s="391">
        <v>182460</v>
      </c>
      <c r="P87" s="391">
        <v>139066</v>
      </c>
      <c r="Q87" s="391">
        <v>19444</v>
      </c>
      <c r="R87" s="391">
        <v>340970</v>
      </c>
      <c r="S87" s="233"/>
      <c r="T87" s="225">
        <v>182460</v>
      </c>
      <c r="U87" s="225">
        <v>139066</v>
      </c>
      <c r="V87" s="226">
        <v>0.13496264687770196</v>
      </c>
      <c r="W87" s="227">
        <v>0.5351203918233276</v>
      </c>
      <c r="X87" s="228" t="s">
        <v>861</v>
      </c>
      <c r="Y87" s="229" t="s">
        <v>862</v>
      </c>
      <c r="Z87" s="230" t="s">
        <v>864</v>
      </c>
      <c r="AA87" s="231">
        <v>0</v>
      </c>
      <c r="AB87" s="231">
        <v>139066</v>
      </c>
      <c r="AC87" s="232">
        <v>19444</v>
      </c>
      <c r="AD87" s="374">
        <v>158510</v>
      </c>
    </row>
    <row r="88" spans="1:31">
      <c r="A88" s="389" t="s">
        <v>71</v>
      </c>
      <c r="B88" s="221" t="s">
        <v>6</v>
      </c>
      <c r="C88" t="s">
        <v>476</v>
      </c>
      <c r="D88"/>
      <c r="E88"/>
      <c r="F88"/>
      <c r="G88"/>
      <c r="H88"/>
      <c r="I88" t="s">
        <v>354</v>
      </c>
      <c r="J88" t="s">
        <v>354</v>
      </c>
      <c r="K88" s="392"/>
      <c r="L88" s="392"/>
      <c r="M88" s="281">
        <v>1998</v>
      </c>
      <c r="N88" s="390">
        <v>1</v>
      </c>
      <c r="O88" s="391">
        <v>206973</v>
      </c>
      <c r="P88" s="391">
        <v>82321</v>
      </c>
      <c r="Q88" s="391">
        <v>7767</v>
      </c>
      <c r="R88" s="391">
        <v>297061</v>
      </c>
      <c r="S88" s="233"/>
      <c r="T88" s="225">
        <v>206973</v>
      </c>
      <c r="U88" s="225">
        <v>82321</v>
      </c>
      <c r="V88" s="226">
        <v>0.4308834611156816</v>
      </c>
      <c r="W88" s="227">
        <v>0.69673568728308333</v>
      </c>
      <c r="X88" s="228" t="s">
        <v>868</v>
      </c>
      <c r="Y88" s="229" t="s">
        <v>869</v>
      </c>
      <c r="Z88" s="230" t="s">
        <v>870</v>
      </c>
      <c r="AA88" s="231">
        <v>0</v>
      </c>
      <c r="AB88" s="231">
        <v>82321</v>
      </c>
      <c r="AC88" s="232">
        <v>7767</v>
      </c>
      <c r="AD88" s="374">
        <v>90088</v>
      </c>
    </row>
    <row r="89" spans="1:31">
      <c r="A89" s="389" t="s">
        <v>71</v>
      </c>
      <c r="B89" s="221" t="s">
        <v>6</v>
      </c>
      <c r="C89" t="s">
        <v>477</v>
      </c>
      <c r="E89"/>
      <c r="F89"/>
      <c r="G89"/>
      <c r="H89"/>
      <c r="I89" t="s">
        <v>354</v>
      </c>
      <c r="J89" t="s">
        <v>354</v>
      </c>
      <c r="K89" s="392"/>
      <c r="L89" s="392"/>
      <c r="M89" s="281">
        <v>2006</v>
      </c>
      <c r="N89" s="390">
        <v>2</v>
      </c>
      <c r="O89" s="391">
        <v>204708</v>
      </c>
      <c r="P89" s="391">
        <v>88103</v>
      </c>
      <c r="Q89" s="391">
        <v>7149</v>
      </c>
      <c r="R89" s="391">
        <v>299960</v>
      </c>
      <c r="S89" s="233"/>
      <c r="T89" s="225">
        <v>204708</v>
      </c>
      <c r="U89" s="225">
        <v>88103</v>
      </c>
      <c r="V89" s="226">
        <v>0.39822615953635621</v>
      </c>
      <c r="W89" s="227">
        <v>0.68245099346579541</v>
      </c>
      <c r="X89" s="228" t="s">
        <v>868</v>
      </c>
      <c r="Y89" s="229" t="s">
        <v>869</v>
      </c>
      <c r="Z89" s="230" t="s">
        <v>871</v>
      </c>
      <c r="AA89" s="231">
        <v>0</v>
      </c>
      <c r="AB89" s="231">
        <v>88103</v>
      </c>
      <c r="AC89" s="232">
        <v>7149</v>
      </c>
      <c r="AD89" s="374">
        <v>95252</v>
      </c>
    </row>
    <row r="90" spans="1:31">
      <c r="A90" s="389" t="s">
        <v>71</v>
      </c>
      <c r="B90" s="221" t="s">
        <v>6</v>
      </c>
      <c r="C90" t="s">
        <v>478</v>
      </c>
      <c r="D90" t="s">
        <v>354</v>
      </c>
      <c r="E90"/>
      <c r="F90"/>
      <c r="G90"/>
      <c r="H90"/>
      <c r="I90" t="s">
        <v>354</v>
      </c>
      <c r="J90" t="s">
        <v>354</v>
      </c>
      <c r="K90" s="392"/>
      <c r="L90" s="392"/>
      <c r="M90" s="281">
        <v>1990</v>
      </c>
      <c r="N90" s="390">
        <v>3</v>
      </c>
      <c r="O90" s="391">
        <v>217573</v>
      </c>
      <c r="P90" s="391">
        <v>73726</v>
      </c>
      <c r="Q90" s="391">
        <v>2</v>
      </c>
      <c r="R90" s="391">
        <v>291301</v>
      </c>
      <c r="S90" s="233"/>
      <c r="T90" s="225">
        <v>217573</v>
      </c>
      <c r="U90" s="225">
        <v>73726</v>
      </c>
      <c r="V90" s="226">
        <v>0.49381219983590746</v>
      </c>
      <c r="W90" s="227">
        <v>0.74690097184698989</v>
      </c>
      <c r="X90" s="228" t="s">
        <v>868</v>
      </c>
      <c r="Y90" s="229" t="s">
        <v>869</v>
      </c>
      <c r="Z90" s="230" t="s">
        <v>870</v>
      </c>
      <c r="AA90" s="231">
        <v>0</v>
      </c>
      <c r="AB90" s="231">
        <v>73726</v>
      </c>
      <c r="AC90" s="232">
        <v>2</v>
      </c>
      <c r="AD90" s="374">
        <v>73728</v>
      </c>
    </row>
    <row r="91" spans="1:31">
      <c r="A91" s="389" t="s">
        <v>71</v>
      </c>
      <c r="B91" s="221" t="s">
        <v>6</v>
      </c>
      <c r="C91" t="s">
        <v>479</v>
      </c>
      <c r="D91"/>
      <c r="E91"/>
      <c r="F91"/>
      <c r="G91"/>
      <c r="H91"/>
      <c r="I91" t="s">
        <v>354</v>
      </c>
      <c r="J91" t="s">
        <v>354</v>
      </c>
      <c r="K91" s="392"/>
      <c r="L91" s="392"/>
      <c r="M91" s="281">
        <v>2008</v>
      </c>
      <c r="N91" s="390">
        <v>4</v>
      </c>
      <c r="O91" s="391">
        <v>175929</v>
      </c>
      <c r="P91" s="391">
        <v>117503</v>
      </c>
      <c r="Q91" s="391">
        <v>0</v>
      </c>
      <c r="R91" s="391">
        <v>293432</v>
      </c>
      <c r="S91" s="233"/>
      <c r="T91" s="225">
        <v>175929</v>
      </c>
      <c r="U91" s="225">
        <v>117503</v>
      </c>
      <c r="V91" s="226">
        <v>0.19911257122604215</v>
      </c>
      <c r="W91" s="227">
        <v>0.5995562856130211</v>
      </c>
      <c r="X91" s="228" t="s">
        <v>868</v>
      </c>
      <c r="Y91" s="229" t="s">
        <v>869</v>
      </c>
      <c r="Z91" s="230" t="s">
        <v>872</v>
      </c>
      <c r="AA91" s="231">
        <v>0</v>
      </c>
      <c r="AB91" s="231">
        <v>117503</v>
      </c>
      <c r="AC91" s="232">
        <v>0</v>
      </c>
      <c r="AD91" s="374">
        <v>117503</v>
      </c>
      <c r="AE91" s="374">
        <v>535081</v>
      </c>
    </row>
    <row r="92" spans="1:31">
      <c r="A92" s="389" t="s">
        <v>71</v>
      </c>
      <c r="B92" s="221" t="s">
        <v>6</v>
      </c>
      <c r="C92" t="s">
        <v>480</v>
      </c>
      <c r="D92" t="s">
        <v>354</v>
      </c>
      <c r="E92"/>
      <c r="F92"/>
      <c r="G92"/>
      <c r="H92"/>
      <c r="I92" t="s">
        <v>354</v>
      </c>
      <c r="J92" t="s">
        <v>354</v>
      </c>
      <c r="K92" s="392"/>
      <c r="L92" s="392"/>
      <c r="M92" s="281">
        <v>2012</v>
      </c>
      <c r="N92" s="390">
        <v>5</v>
      </c>
      <c r="O92" s="391">
        <v>146098</v>
      </c>
      <c r="P92" s="391">
        <v>138637</v>
      </c>
      <c r="Q92" s="391">
        <v>22</v>
      </c>
      <c r="R92" s="391">
        <v>284757</v>
      </c>
      <c r="S92" s="233"/>
      <c r="T92" s="225">
        <v>146098</v>
      </c>
      <c r="U92" s="225">
        <v>138637</v>
      </c>
      <c r="V92" s="226">
        <v>2.6203311851370571E-2</v>
      </c>
      <c r="W92" s="227">
        <v>0.51306201427884124</v>
      </c>
      <c r="X92" s="228" t="s">
        <v>868</v>
      </c>
      <c r="Y92" s="229" t="s">
        <v>869</v>
      </c>
      <c r="Z92" s="230" t="s">
        <v>873</v>
      </c>
      <c r="AA92" s="231">
        <v>0</v>
      </c>
      <c r="AB92" s="231">
        <v>138637</v>
      </c>
      <c r="AC92" s="232">
        <v>22</v>
      </c>
      <c r="AD92" s="374">
        <v>138659</v>
      </c>
      <c r="AE92" s="374">
        <v>138659</v>
      </c>
    </row>
    <row r="93" spans="1:31">
      <c r="A93" s="389" t="s">
        <v>72</v>
      </c>
      <c r="B93" s="221" t="s">
        <v>7</v>
      </c>
      <c r="C93" t="s">
        <v>481</v>
      </c>
      <c r="D93"/>
      <c r="E93"/>
      <c r="F93"/>
      <c r="G93"/>
      <c r="H93"/>
      <c r="I93" t="s">
        <v>874</v>
      </c>
      <c r="J93" t="s">
        <v>874</v>
      </c>
      <c r="K93" s="392"/>
      <c r="L93" s="392"/>
      <c r="M93" s="281">
        <v>2010</v>
      </c>
      <c r="N93" s="390" t="s">
        <v>0</v>
      </c>
      <c r="O93" s="391">
        <v>249933</v>
      </c>
      <c r="P93" s="391">
        <v>129757</v>
      </c>
      <c r="Q93" s="391">
        <v>8369</v>
      </c>
      <c r="R93" s="391">
        <v>388059</v>
      </c>
      <c r="S93" s="233"/>
      <c r="T93" s="225">
        <v>249933</v>
      </c>
      <c r="U93" s="225">
        <v>129757</v>
      </c>
      <c r="V93" s="226">
        <v>0.31651083778872235</v>
      </c>
      <c r="W93" s="227">
        <v>0.64405927964562093</v>
      </c>
      <c r="X93" s="228" t="s">
        <v>875</v>
      </c>
      <c r="Y93" s="229" t="s">
        <v>876</v>
      </c>
      <c r="Z93" s="230" t="s">
        <v>877</v>
      </c>
      <c r="AA93" s="231">
        <v>0</v>
      </c>
      <c r="AB93" s="231">
        <v>129757</v>
      </c>
      <c r="AC93" s="232">
        <v>8369</v>
      </c>
      <c r="AD93" s="374">
        <v>138126</v>
      </c>
    </row>
    <row r="94" spans="1:31">
      <c r="A94" s="389" t="s">
        <v>73</v>
      </c>
      <c r="B94" s="221" t="s">
        <v>8</v>
      </c>
      <c r="C94" t="s">
        <v>482</v>
      </c>
      <c r="D94"/>
      <c r="E94"/>
      <c r="F94"/>
      <c r="G94"/>
      <c r="H94"/>
      <c r="I94" t="s">
        <v>355</v>
      </c>
      <c r="J94" t="s">
        <v>355</v>
      </c>
      <c r="K94" s="389"/>
      <c r="L94" s="389"/>
      <c r="M94" s="281">
        <v>2001</v>
      </c>
      <c r="N94" s="390">
        <v>1</v>
      </c>
      <c r="O94" s="391">
        <v>92961</v>
      </c>
      <c r="P94" s="391">
        <v>238440</v>
      </c>
      <c r="Q94" s="391">
        <v>11193</v>
      </c>
      <c r="R94" s="391">
        <v>342594</v>
      </c>
      <c r="S94" s="233"/>
      <c r="T94" s="225">
        <v>238440</v>
      </c>
      <c r="U94" s="225">
        <v>92961</v>
      </c>
      <c r="V94" s="226">
        <v>0.43898177736337551</v>
      </c>
      <c r="W94" s="227">
        <v>0.695984167848824</v>
      </c>
      <c r="X94" s="228" t="s">
        <v>878</v>
      </c>
      <c r="Y94" s="229" t="s">
        <v>879</v>
      </c>
      <c r="Z94" s="230" t="s">
        <v>880</v>
      </c>
      <c r="AA94" s="231">
        <v>92961</v>
      </c>
      <c r="AB94" s="231">
        <v>0</v>
      </c>
      <c r="AC94" s="232">
        <v>11193</v>
      </c>
      <c r="AD94" s="374">
        <v>104154</v>
      </c>
    </row>
    <row r="95" spans="1:31">
      <c r="A95" s="389" t="s">
        <v>73</v>
      </c>
      <c r="B95" s="221" t="s">
        <v>8</v>
      </c>
      <c r="C95" t="s">
        <v>483</v>
      </c>
      <c r="F95"/>
      <c r="G95"/>
      <c r="H95"/>
      <c r="I95" t="s">
        <v>355</v>
      </c>
      <c r="J95" t="s">
        <v>355</v>
      </c>
      <c r="K95" s="389"/>
      <c r="L95" s="389"/>
      <c r="M95" s="281">
        <v>2010</v>
      </c>
      <c r="N95" s="390">
        <v>2</v>
      </c>
      <c r="O95" s="391">
        <v>157634</v>
      </c>
      <c r="P95" s="391">
        <v>175856</v>
      </c>
      <c r="Q95" s="391">
        <v>228</v>
      </c>
      <c r="R95" s="391">
        <v>333718</v>
      </c>
      <c r="S95" s="233"/>
      <c r="T95" s="225">
        <v>175856</v>
      </c>
      <c r="U95" s="225">
        <v>157634</v>
      </c>
      <c r="V95" s="226">
        <v>5.4640319050046481E-2</v>
      </c>
      <c r="W95" s="227">
        <v>0.5269598882889146</v>
      </c>
      <c r="X95" s="228" t="s">
        <v>878</v>
      </c>
      <c r="Y95" s="229" t="s">
        <v>879</v>
      </c>
      <c r="Z95" s="230" t="s">
        <v>881</v>
      </c>
      <c r="AA95" s="231">
        <v>157634</v>
      </c>
      <c r="AB95" s="231">
        <v>0</v>
      </c>
      <c r="AC95" s="232">
        <v>228</v>
      </c>
      <c r="AD95" s="374">
        <v>157862</v>
      </c>
    </row>
    <row r="96" spans="1:31">
      <c r="A96" s="389" t="s">
        <v>73</v>
      </c>
      <c r="B96" s="221" t="s">
        <v>8</v>
      </c>
      <c r="C96" t="s">
        <v>484</v>
      </c>
      <c r="D96"/>
      <c r="E96"/>
      <c r="F96"/>
      <c r="G96"/>
      <c r="H96"/>
      <c r="I96" t="s">
        <v>355</v>
      </c>
      <c r="J96" t="s">
        <v>355</v>
      </c>
      <c r="K96" s="389"/>
      <c r="L96" s="389"/>
      <c r="M96" s="281">
        <v>2012</v>
      </c>
      <c r="N96" s="390">
        <v>3</v>
      </c>
      <c r="O96" s="391">
        <v>102468</v>
      </c>
      <c r="P96" s="391">
        <v>204331</v>
      </c>
      <c r="Q96" s="391">
        <v>8870</v>
      </c>
      <c r="R96" s="391">
        <v>315669</v>
      </c>
      <c r="S96" s="233"/>
      <c r="T96" s="225">
        <v>204331</v>
      </c>
      <c r="U96" s="225">
        <v>102468</v>
      </c>
      <c r="V96" s="226">
        <v>0.33201868324212269</v>
      </c>
      <c r="W96" s="227">
        <v>0.64729510975103666</v>
      </c>
      <c r="X96" s="228" t="s">
        <v>878</v>
      </c>
      <c r="Y96" s="229" t="s">
        <v>879</v>
      </c>
      <c r="Z96" s="230" t="s">
        <v>882</v>
      </c>
      <c r="AA96" s="231">
        <v>102468</v>
      </c>
      <c r="AB96" s="231">
        <v>0</v>
      </c>
      <c r="AC96" s="232">
        <v>8870</v>
      </c>
      <c r="AD96" s="374">
        <v>111338</v>
      </c>
    </row>
    <row r="97" spans="1:30">
      <c r="A97" s="389" t="s">
        <v>73</v>
      </c>
      <c r="B97" s="221" t="s">
        <v>8</v>
      </c>
      <c r="C97" t="s">
        <v>485</v>
      </c>
      <c r="D97"/>
      <c r="E97"/>
      <c r="F97"/>
      <c r="G97"/>
      <c r="H97"/>
      <c r="I97" t="s">
        <v>355</v>
      </c>
      <c r="J97" t="s">
        <v>355</v>
      </c>
      <c r="K97" s="389"/>
      <c r="L97" s="389"/>
      <c r="M97" s="281">
        <v>2000</v>
      </c>
      <c r="N97" s="390">
        <v>4</v>
      </c>
      <c r="O97" s="391">
        <v>0</v>
      </c>
      <c r="P97" s="391">
        <v>239988</v>
      </c>
      <c r="Q97" s="391">
        <v>75482</v>
      </c>
      <c r="R97" s="391">
        <v>315470</v>
      </c>
      <c r="S97" s="233"/>
      <c r="T97" s="225">
        <v>239988</v>
      </c>
      <c r="U97" s="225">
        <v>75482</v>
      </c>
      <c r="V97" s="226">
        <v>1</v>
      </c>
      <c r="W97" s="227">
        <v>0.76073160680888829</v>
      </c>
      <c r="X97" s="228" t="s">
        <v>355</v>
      </c>
      <c r="Y97" s="229" t="s">
        <v>879</v>
      </c>
      <c r="Z97" s="230" t="s">
        <v>880</v>
      </c>
      <c r="AA97" s="231">
        <v>0</v>
      </c>
      <c r="AB97" s="231">
        <v>0</v>
      </c>
      <c r="AC97" s="232">
        <v>75482</v>
      </c>
      <c r="AD97" s="374">
        <v>75482</v>
      </c>
    </row>
    <row r="98" spans="1:30">
      <c r="A98" s="389" t="s">
        <v>73</v>
      </c>
      <c r="B98" s="221" t="s">
        <v>8</v>
      </c>
      <c r="C98" t="s">
        <v>486</v>
      </c>
      <c r="D98" t="s">
        <v>355</v>
      </c>
      <c r="E98" t="s">
        <v>355</v>
      </c>
      <c r="F98"/>
      <c r="G98"/>
      <c r="H98"/>
      <c r="I98" t="s">
        <v>355</v>
      </c>
      <c r="J98" t="s">
        <v>355</v>
      </c>
      <c r="K98" s="392"/>
      <c r="L98" s="392"/>
      <c r="M98" s="281">
        <v>1992</v>
      </c>
      <c r="N98" s="390">
        <v>5</v>
      </c>
      <c r="O98" s="391">
        <v>190472</v>
      </c>
      <c r="P98" s="391">
        <v>70700</v>
      </c>
      <c r="Q98" s="391">
        <v>7981</v>
      </c>
      <c r="R98" s="391">
        <v>269153</v>
      </c>
      <c r="S98" s="233"/>
      <c r="T98" s="225">
        <v>190472</v>
      </c>
      <c r="U98" s="225">
        <v>70700</v>
      </c>
      <c r="V98" s="226">
        <v>0.45859433629945018</v>
      </c>
      <c r="W98" s="227">
        <v>0.70767184463855126</v>
      </c>
      <c r="X98" s="228" t="s">
        <v>878</v>
      </c>
      <c r="Y98" s="229" t="s">
        <v>883</v>
      </c>
      <c r="Z98" s="230" t="s">
        <v>880</v>
      </c>
      <c r="AA98" s="231">
        <v>0</v>
      </c>
      <c r="AB98" s="231">
        <v>70700</v>
      </c>
      <c r="AC98" s="232">
        <v>7981</v>
      </c>
      <c r="AD98" s="374">
        <v>78681</v>
      </c>
    </row>
    <row r="99" spans="1:30">
      <c r="A99" s="389" t="s">
        <v>73</v>
      </c>
      <c r="B99" s="221" t="s">
        <v>8</v>
      </c>
      <c r="C99" t="s">
        <v>487</v>
      </c>
      <c r="D99"/>
      <c r="E99"/>
      <c r="F99"/>
      <c r="G99"/>
      <c r="H99"/>
      <c r="I99" t="s">
        <v>355</v>
      </c>
      <c r="J99" t="s">
        <v>355</v>
      </c>
      <c r="K99" s="389"/>
      <c r="L99" s="389"/>
      <c r="M99" s="281">
        <v>2012</v>
      </c>
      <c r="N99" s="390">
        <v>6</v>
      </c>
      <c r="O99" s="391">
        <v>146489</v>
      </c>
      <c r="P99" s="391">
        <v>195962</v>
      </c>
      <c r="Q99" s="391">
        <v>0</v>
      </c>
      <c r="R99" s="391">
        <v>342451</v>
      </c>
      <c r="S99" s="233"/>
      <c r="T99" s="225">
        <v>195962</v>
      </c>
      <c r="U99" s="225">
        <v>146489</v>
      </c>
      <c r="V99" s="226">
        <v>0.14446738365488784</v>
      </c>
      <c r="W99" s="227">
        <v>0.57223369182744388</v>
      </c>
      <c r="X99" s="228" t="s">
        <v>878</v>
      </c>
      <c r="Y99" s="229" t="s">
        <v>879</v>
      </c>
      <c r="Z99" s="230" t="s">
        <v>884</v>
      </c>
      <c r="AA99" s="231">
        <v>146489</v>
      </c>
      <c r="AB99" s="231">
        <v>0</v>
      </c>
      <c r="AC99" s="232">
        <v>0</v>
      </c>
      <c r="AD99" s="374">
        <v>146489</v>
      </c>
    </row>
    <row r="100" spans="1:30">
      <c r="A100" s="389" t="s">
        <v>73</v>
      </c>
      <c r="B100" s="221" t="s">
        <v>8</v>
      </c>
      <c r="C100" t="s">
        <v>488</v>
      </c>
      <c r="D100"/>
      <c r="E100"/>
      <c r="F100"/>
      <c r="G100"/>
      <c r="H100"/>
      <c r="I100" t="s">
        <v>355</v>
      </c>
      <c r="J100" t="s">
        <v>355</v>
      </c>
      <c r="K100" s="389"/>
      <c r="L100" s="389"/>
      <c r="M100" s="281">
        <v>2012</v>
      </c>
      <c r="N100" s="390">
        <v>7</v>
      </c>
      <c r="O100" s="391">
        <v>130479</v>
      </c>
      <c r="P100" s="391">
        <v>185518</v>
      </c>
      <c r="Q100" s="391">
        <v>13</v>
      </c>
      <c r="R100" s="391">
        <v>316010</v>
      </c>
      <c r="S100" s="233"/>
      <c r="T100" s="225">
        <v>185518</v>
      </c>
      <c r="U100" s="225">
        <v>130479</v>
      </c>
      <c r="V100" s="226">
        <v>0.17417570419972342</v>
      </c>
      <c r="W100" s="227">
        <v>0.58706370051580647</v>
      </c>
      <c r="X100" s="228" t="s">
        <v>878</v>
      </c>
      <c r="Y100" s="229" t="s">
        <v>879</v>
      </c>
      <c r="Z100" s="230" t="s">
        <v>884</v>
      </c>
      <c r="AA100" s="231">
        <v>130479</v>
      </c>
      <c r="AB100" s="231">
        <v>0</v>
      </c>
      <c r="AC100" s="232">
        <v>13</v>
      </c>
      <c r="AD100" s="374">
        <v>130492</v>
      </c>
    </row>
    <row r="101" spans="1:30">
      <c r="A101" s="389" t="s">
        <v>73</v>
      </c>
      <c r="B101" s="221" t="s">
        <v>8</v>
      </c>
      <c r="C101" t="s">
        <v>489</v>
      </c>
      <c r="D101"/>
      <c r="E101"/>
      <c r="F101"/>
      <c r="G101"/>
      <c r="H101"/>
      <c r="I101" t="s">
        <v>355</v>
      </c>
      <c r="J101" t="s">
        <v>355</v>
      </c>
      <c r="K101" s="389"/>
      <c r="L101" s="389"/>
      <c r="M101" s="281">
        <v>2008</v>
      </c>
      <c r="N101" s="390">
        <v>8</v>
      </c>
      <c r="O101" s="391">
        <v>130870</v>
      </c>
      <c r="P101" s="391">
        <v>205432</v>
      </c>
      <c r="Q101" s="391">
        <v>12607</v>
      </c>
      <c r="R101" s="391">
        <v>348909</v>
      </c>
      <c r="S101" s="233"/>
      <c r="T101" s="225">
        <v>205432</v>
      </c>
      <c r="U101" s="225">
        <v>130870</v>
      </c>
      <c r="V101" s="226">
        <v>0.22171143793376191</v>
      </c>
      <c r="W101" s="227">
        <v>0.58878389494108774</v>
      </c>
      <c r="X101" s="228" t="s">
        <v>878</v>
      </c>
      <c r="Y101" s="229" t="s">
        <v>879</v>
      </c>
      <c r="Z101" s="230" t="s">
        <v>882</v>
      </c>
      <c r="AA101" s="231">
        <v>130870</v>
      </c>
      <c r="AB101" s="231">
        <v>0</v>
      </c>
      <c r="AC101" s="232">
        <v>12607</v>
      </c>
      <c r="AD101" s="374">
        <v>143477</v>
      </c>
    </row>
    <row r="102" spans="1:30">
      <c r="A102" s="389" t="s">
        <v>73</v>
      </c>
      <c r="B102" s="221" t="s">
        <v>8</v>
      </c>
      <c r="C102" t="s">
        <v>490</v>
      </c>
      <c r="D102"/>
      <c r="E102"/>
      <c r="F102"/>
      <c r="G102"/>
      <c r="H102"/>
      <c r="I102" t="s">
        <v>355</v>
      </c>
      <c r="J102" t="s">
        <v>355</v>
      </c>
      <c r="K102" s="392"/>
      <c r="L102" s="392"/>
      <c r="M102" s="281">
        <v>2012</v>
      </c>
      <c r="N102" s="390">
        <v>9</v>
      </c>
      <c r="O102" s="391">
        <v>164891</v>
      </c>
      <c r="P102" s="391">
        <v>98856</v>
      </c>
      <c r="Q102" s="391">
        <v>0</v>
      </c>
      <c r="R102" s="391">
        <v>263747</v>
      </c>
      <c r="S102" s="233"/>
      <c r="T102" s="225">
        <v>164891</v>
      </c>
      <c r="U102" s="225">
        <v>98856</v>
      </c>
      <c r="V102" s="226">
        <v>0.25037251608549099</v>
      </c>
      <c r="W102" s="227">
        <v>0.62518625804274552</v>
      </c>
      <c r="X102" s="228" t="s">
        <v>878</v>
      </c>
      <c r="Y102" s="229" t="s">
        <v>883</v>
      </c>
      <c r="Z102" s="230" t="s">
        <v>882</v>
      </c>
      <c r="AA102" s="231">
        <v>0</v>
      </c>
      <c r="AB102" s="231">
        <v>98856</v>
      </c>
      <c r="AC102" s="232">
        <v>0</v>
      </c>
      <c r="AD102" s="374">
        <v>98856</v>
      </c>
    </row>
    <row r="103" spans="1:30">
      <c r="A103" s="389" t="s">
        <v>73</v>
      </c>
      <c r="B103" s="221" t="s">
        <v>8</v>
      </c>
      <c r="C103" t="s">
        <v>491</v>
      </c>
      <c r="E103"/>
      <c r="F103"/>
      <c r="G103"/>
      <c r="H103"/>
      <c r="I103" t="s">
        <v>355</v>
      </c>
      <c r="J103" t="s">
        <v>355</v>
      </c>
      <c r="K103" s="389"/>
      <c r="L103" s="389"/>
      <c r="M103" s="281">
        <v>2010</v>
      </c>
      <c r="N103" s="390">
        <v>10</v>
      </c>
      <c r="O103" s="391">
        <v>153574</v>
      </c>
      <c r="P103" s="391">
        <v>164649</v>
      </c>
      <c r="Q103" s="391">
        <v>46</v>
      </c>
      <c r="R103" s="391">
        <v>318269</v>
      </c>
      <c r="S103" s="233"/>
      <c r="T103" s="225">
        <v>164649</v>
      </c>
      <c r="U103" s="225">
        <v>153574</v>
      </c>
      <c r="V103" s="226">
        <v>3.4802638401372619E-2</v>
      </c>
      <c r="W103" s="227">
        <v>0.51732653824280717</v>
      </c>
      <c r="X103" s="228" t="s">
        <v>878</v>
      </c>
      <c r="Y103" s="229" t="s">
        <v>879</v>
      </c>
      <c r="Z103" s="230" t="s">
        <v>885</v>
      </c>
      <c r="AA103" s="231">
        <v>153574</v>
      </c>
      <c r="AB103" s="231">
        <v>0</v>
      </c>
      <c r="AC103" s="232">
        <v>46</v>
      </c>
      <c r="AD103" s="374">
        <v>153620</v>
      </c>
    </row>
    <row r="104" spans="1:30">
      <c r="A104" s="389" t="s">
        <v>73</v>
      </c>
      <c r="B104" s="221" t="s">
        <v>8</v>
      </c>
      <c r="C104" t="s">
        <v>492</v>
      </c>
      <c r="D104"/>
      <c r="E104"/>
      <c r="F104"/>
      <c r="G104"/>
      <c r="H104"/>
      <c r="I104" t="s">
        <v>355</v>
      </c>
      <c r="J104" t="s">
        <v>355</v>
      </c>
      <c r="K104" s="389"/>
      <c r="L104" s="389"/>
      <c r="M104" s="281">
        <v>2010</v>
      </c>
      <c r="N104" s="390">
        <v>11</v>
      </c>
      <c r="O104" s="391">
        <v>120303</v>
      </c>
      <c r="P104" s="391">
        <v>218360</v>
      </c>
      <c r="Q104" s="391">
        <v>0</v>
      </c>
      <c r="R104" s="391">
        <v>338663</v>
      </c>
      <c r="S104" s="233"/>
      <c r="T104" s="225">
        <v>218360</v>
      </c>
      <c r="U104" s="225">
        <v>120303</v>
      </c>
      <c r="V104" s="226">
        <v>0.28954152062669969</v>
      </c>
      <c r="W104" s="227">
        <v>0.6447707603133499</v>
      </c>
      <c r="X104" s="228" t="s">
        <v>878</v>
      </c>
      <c r="Y104" s="229" t="s">
        <v>879</v>
      </c>
      <c r="Z104" s="230" t="s">
        <v>882</v>
      </c>
      <c r="AA104" s="231">
        <v>120303</v>
      </c>
      <c r="AB104" s="231">
        <v>0</v>
      </c>
      <c r="AC104" s="232">
        <v>0</v>
      </c>
      <c r="AD104" s="374">
        <v>120303</v>
      </c>
    </row>
    <row r="105" spans="1:30">
      <c r="A105" s="389" t="s">
        <v>73</v>
      </c>
      <c r="B105" s="221" t="s">
        <v>8</v>
      </c>
      <c r="C105" t="s">
        <v>493</v>
      </c>
      <c r="D105"/>
      <c r="E105"/>
      <c r="F105"/>
      <c r="G105"/>
      <c r="H105"/>
      <c r="I105" t="s">
        <v>355</v>
      </c>
      <c r="J105" t="s">
        <v>355</v>
      </c>
      <c r="K105" s="389"/>
      <c r="L105" s="389"/>
      <c r="M105" s="281">
        <v>2006</v>
      </c>
      <c r="N105" s="390">
        <v>12</v>
      </c>
      <c r="O105" s="391">
        <v>108770</v>
      </c>
      <c r="P105" s="391">
        <v>209604</v>
      </c>
      <c r="Q105" s="391">
        <v>11793</v>
      </c>
      <c r="R105" s="391">
        <v>330167</v>
      </c>
      <c r="S105" s="233"/>
      <c r="T105" s="225">
        <v>209604</v>
      </c>
      <c r="U105" s="225">
        <v>108770</v>
      </c>
      <c r="V105" s="226">
        <v>0.31671556094404696</v>
      </c>
      <c r="W105" s="227">
        <v>0.63484236765031032</v>
      </c>
      <c r="X105" s="228" t="s">
        <v>878</v>
      </c>
      <c r="Y105" s="229" t="s">
        <v>879</v>
      </c>
      <c r="Z105" s="230" t="s">
        <v>882</v>
      </c>
      <c r="AA105" s="231">
        <v>108770</v>
      </c>
      <c r="AB105" s="231">
        <v>0</v>
      </c>
      <c r="AC105" s="232">
        <v>11793</v>
      </c>
      <c r="AD105" s="374">
        <v>120563</v>
      </c>
    </row>
    <row r="106" spans="1:30">
      <c r="A106" s="389" t="s">
        <v>73</v>
      </c>
      <c r="B106" s="221" t="s">
        <v>8</v>
      </c>
      <c r="C106" t="s">
        <v>494</v>
      </c>
      <c r="D106"/>
      <c r="E106"/>
      <c r="F106"/>
      <c r="G106"/>
      <c r="H106"/>
      <c r="I106" t="s">
        <v>355</v>
      </c>
      <c r="J106" t="s">
        <v>355</v>
      </c>
      <c r="K106" s="389"/>
      <c r="L106" s="389"/>
      <c r="M106" s="281">
        <v>1970</v>
      </c>
      <c r="N106" s="390">
        <v>13</v>
      </c>
      <c r="O106" s="391">
        <v>139742</v>
      </c>
      <c r="P106" s="391">
        <v>189605</v>
      </c>
      <c r="Q106" s="391">
        <v>0</v>
      </c>
      <c r="R106" s="391">
        <v>329347</v>
      </c>
      <c r="S106" s="233"/>
      <c r="T106" s="225">
        <v>189605</v>
      </c>
      <c r="U106" s="225">
        <v>139742</v>
      </c>
      <c r="V106" s="226">
        <v>0.15139958766893277</v>
      </c>
      <c r="W106" s="227">
        <v>0.57569979383446634</v>
      </c>
      <c r="X106" s="228" t="s">
        <v>878</v>
      </c>
      <c r="Y106" s="229" t="s">
        <v>879</v>
      </c>
      <c r="Z106" s="230" t="s">
        <v>884</v>
      </c>
      <c r="AA106" s="231">
        <v>139742</v>
      </c>
      <c r="AB106" s="231">
        <v>0</v>
      </c>
      <c r="AC106" s="232">
        <v>0</v>
      </c>
      <c r="AD106" s="374">
        <v>139742</v>
      </c>
    </row>
    <row r="107" spans="1:30">
      <c r="A107" s="389" t="s">
        <v>73</v>
      </c>
      <c r="B107" s="221" t="s">
        <v>8</v>
      </c>
      <c r="C107" t="s">
        <v>495</v>
      </c>
      <c r="D107" t="s">
        <v>355</v>
      </c>
      <c r="E107"/>
      <c r="F107"/>
      <c r="G107"/>
      <c r="H107"/>
      <c r="I107" t="s">
        <v>355</v>
      </c>
      <c r="J107" t="s">
        <v>355</v>
      </c>
      <c r="K107" s="392"/>
      <c r="L107" s="392"/>
      <c r="M107" s="281">
        <v>2006</v>
      </c>
      <c r="N107" s="390">
        <v>14</v>
      </c>
      <c r="O107" s="391">
        <v>197121</v>
      </c>
      <c r="P107" s="391">
        <v>83480</v>
      </c>
      <c r="Q107" s="391">
        <v>0</v>
      </c>
      <c r="R107" s="391">
        <v>280601</v>
      </c>
      <c r="S107" s="233"/>
      <c r="T107" s="225">
        <v>197121</v>
      </c>
      <c r="U107" s="225">
        <v>83480</v>
      </c>
      <c r="V107" s="226">
        <v>0.40499142911108654</v>
      </c>
      <c r="W107" s="227">
        <v>0.70249571455554327</v>
      </c>
      <c r="X107" s="228" t="s">
        <v>878</v>
      </c>
      <c r="Y107" s="229" t="s">
        <v>883</v>
      </c>
      <c r="Z107" s="230" t="s">
        <v>880</v>
      </c>
      <c r="AA107" s="231">
        <v>0</v>
      </c>
      <c r="AB107" s="231">
        <v>83480</v>
      </c>
      <c r="AC107" s="232">
        <v>0</v>
      </c>
      <c r="AD107" s="374">
        <v>83480</v>
      </c>
    </row>
    <row r="108" spans="1:30">
      <c r="A108" s="389" t="s">
        <v>73</v>
      </c>
      <c r="B108" s="221" t="s">
        <v>8</v>
      </c>
      <c r="C108" t="s">
        <v>496</v>
      </c>
      <c r="D108"/>
      <c r="E108"/>
      <c r="F108"/>
      <c r="G108"/>
      <c r="H108"/>
      <c r="I108" t="s">
        <v>355</v>
      </c>
      <c r="J108" t="s">
        <v>355</v>
      </c>
      <c r="K108" s="389"/>
      <c r="L108" s="389"/>
      <c r="M108" s="281">
        <v>2010</v>
      </c>
      <c r="N108" s="390">
        <v>15</v>
      </c>
      <c r="O108" s="391">
        <v>0</v>
      </c>
      <c r="P108" s="391">
        <v>1</v>
      </c>
      <c r="Q108" s="391">
        <v>0</v>
      </c>
      <c r="R108" s="391">
        <v>1</v>
      </c>
      <c r="S108" s="233"/>
      <c r="T108" s="225">
        <v>1</v>
      </c>
      <c r="U108" s="225">
        <v>0</v>
      </c>
      <c r="V108" s="226">
        <v>1</v>
      </c>
      <c r="W108" s="227">
        <v>1</v>
      </c>
      <c r="X108" s="228" t="s">
        <v>355</v>
      </c>
      <c r="Y108" s="229" t="s">
        <v>879</v>
      </c>
      <c r="Z108" s="230" t="s">
        <v>880</v>
      </c>
      <c r="AA108" s="231">
        <v>0</v>
      </c>
      <c r="AB108" s="231">
        <v>0</v>
      </c>
      <c r="AC108" s="232">
        <v>0</v>
      </c>
      <c r="AD108" s="374">
        <v>0</v>
      </c>
    </row>
    <row r="109" spans="1:30">
      <c r="A109" s="389" t="s">
        <v>73</v>
      </c>
      <c r="B109" s="221" t="s">
        <v>8</v>
      </c>
      <c r="C109" t="s">
        <v>497</v>
      </c>
      <c r="D109"/>
      <c r="E109"/>
      <c r="F109"/>
      <c r="G109"/>
      <c r="H109"/>
      <c r="I109" t="s">
        <v>355</v>
      </c>
      <c r="J109" t="s">
        <v>355</v>
      </c>
      <c r="K109" s="389"/>
      <c r="L109" s="389"/>
      <c r="M109" s="281">
        <v>2006</v>
      </c>
      <c r="N109" s="390">
        <v>16</v>
      </c>
      <c r="O109" s="391">
        <v>161929</v>
      </c>
      <c r="P109" s="391">
        <v>187147</v>
      </c>
      <c r="Q109" s="391">
        <v>0</v>
      </c>
      <c r="R109" s="391">
        <v>349076</v>
      </c>
      <c r="S109" s="233"/>
      <c r="T109" s="225">
        <v>187147</v>
      </c>
      <c r="U109" s="225">
        <v>161929</v>
      </c>
      <c r="V109" s="226">
        <v>7.2242147841730747E-2</v>
      </c>
      <c r="W109" s="227">
        <v>0.53612107392086539</v>
      </c>
      <c r="X109" s="228" t="s">
        <v>878</v>
      </c>
      <c r="Y109" s="229" t="s">
        <v>879</v>
      </c>
      <c r="Z109" s="230" t="s">
        <v>881</v>
      </c>
      <c r="AA109" s="231">
        <v>161929</v>
      </c>
      <c r="AB109" s="231">
        <v>0</v>
      </c>
      <c r="AC109" s="232">
        <v>0</v>
      </c>
      <c r="AD109" s="374">
        <v>161929</v>
      </c>
    </row>
    <row r="110" spans="1:30">
      <c r="A110" s="389" t="s">
        <v>73</v>
      </c>
      <c r="B110" s="221" t="s">
        <v>8</v>
      </c>
      <c r="C110" t="s">
        <v>498</v>
      </c>
      <c r="D110"/>
      <c r="E110"/>
      <c r="G110"/>
      <c r="H110"/>
      <c r="I110" t="s">
        <v>355</v>
      </c>
      <c r="J110" t="s">
        <v>355</v>
      </c>
      <c r="K110" s="389"/>
      <c r="L110" s="389"/>
      <c r="M110" s="281">
        <v>2008</v>
      </c>
      <c r="N110" s="390">
        <v>17</v>
      </c>
      <c r="O110" s="391">
        <v>116766</v>
      </c>
      <c r="P110" s="391">
        <v>165488</v>
      </c>
      <c r="Q110" s="391">
        <v>12</v>
      </c>
      <c r="R110" s="391">
        <v>282266</v>
      </c>
      <c r="S110" s="233"/>
      <c r="T110" s="225">
        <v>165488</v>
      </c>
      <c r="U110" s="225">
        <v>116766</v>
      </c>
      <c r="V110" s="226">
        <v>0.17261757140731399</v>
      </c>
      <c r="W110" s="227">
        <v>0.58628385990519583</v>
      </c>
      <c r="X110" s="228" t="s">
        <v>878</v>
      </c>
      <c r="Y110" s="229" t="s">
        <v>879</v>
      </c>
      <c r="Z110" s="230" t="s">
        <v>884</v>
      </c>
      <c r="AA110" s="231">
        <v>116766</v>
      </c>
      <c r="AB110" s="231">
        <v>0</v>
      </c>
      <c r="AC110" s="232">
        <v>12</v>
      </c>
      <c r="AD110" s="374">
        <v>116778</v>
      </c>
    </row>
    <row r="111" spans="1:30">
      <c r="A111" s="389" t="s">
        <v>73</v>
      </c>
      <c r="B111" s="221" t="s">
        <v>8</v>
      </c>
      <c r="C111" t="s">
        <v>499</v>
      </c>
      <c r="D111"/>
      <c r="E111"/>
      <c r="F111"/>
      <c r="G111"/>
      <c r="H111"/>
      <c r="I111" t="s">
        <v>355</v>
      </c>
      <c r="J111" t="s">
        <v>878</v>
      </c>
      <c r="K111" s="392">
        <v>1</v>
      </c>
      <c r="L111" s="392">
        <v>1</v>
      </c>
      <c r="M111" s="281">
        <v>2012</v>
      </c>
      <c r="N111" s="390">
        <v>18</v>
      </c>
      <c r="O111" s="391">
        <v>166257</v>
      </c>
      <c r="P111" s="391">
        <v>164353</v>
      </c>
      <c r="Q111" s="391">
        <v>55</v>
      </c>
      <c r="R111" s="391">
        <v>330665</v>
      </c>
      <c r="S111" s="233"/>
      <c r="T111" s="225">
        <v>166257</v>
      </c>
      <c r="U111" s="225">
        <v>164353</v>
      </c>
      <c r="V111" s="226">
        <v>5.7590514503493544E-3</v>
      </c>
      <c r="W111" s="227">
        <v>0.50279588102762618</v>
      </c>
      <c r="X111" s="228" t="s">
        <v>878</v>
      </c>
      <c r="Y111" s="229" t="s">
        <v>883</v>
      </c>
      <c r="Z111" s="230" t="s">
        <v>885</v>
      </c>
      <c r="AA111" s="231">
        <v>0</v>
      </c>
      <c r="AB111" s="231">
        <v>164353</v>
      </c>
      <c r="AC111" s="232">
        <v>55</v>
      </c>
      <c r="AD111" s="374">
        <v>164408</v>
      </c>
    </row>
    <row r="112" spans="1:30">
      <c r="A112" s="389" t="s">
        <v>73</v>
      </c>
      <c r="B112" s="221" t="s">
        <v>8</v>
      </c>
      <c r="C112" t="s">
        <v>500</v>
      </c>
      <c r="D112"/>
      <c r="E112"/>
      <c r="F112"/>
      <c r="G112"/>
      <c r="H112"/>
      <c r="I112" t="s">
        <v>355</v>
      </c>
      <c r="J112" t="s">
        <v>355</v>
      </c>
      <c r="K112" s="389"/>
      <c r="L112" s="389"/>
      <c r="M112" s="281">
        <v>2012</v>
      </c>
      <c r="N112" s="390">
        <v>19</v>
      </c>
      <c r="O112" s="391">
        <v>109746</v>
      </c>
      <c r="P112" s="391">
        <v>189833</v>
      </c>
      <c r="Q112" s="391">
        <v>6637</v>
      </c>
      <c r="R112" s="391">
        <v>306216</v>
      </c>
      <c r="S112" s="233"/>
      <c r="T112" s="225">
        <v>189833</v>
      </c>
      <c r="U112" s="225">
        <v>109746</v>
      </c>
      <c r="V112" s="226">
        <v>0.26733182232399466</v>
      </c>
      <c r="W112" s="227">
        <v>0.61993168221124961</v>
      </c>
      <c r="X112" s="228" t="s">
        <v>878</v>
      </c>
      <c r="Y112" s="229" t="s">
        <v>879</v>
      </c>
      <c r="Z112" s="230" t="s">
        <v>882</v>
      </c>
      <c r="AA112" s="231">
        <v>109746</v>
      </c>
      <c r="AB112" s="231">
        <v>0</v>
      </c>
      <c r="AC112" s="232">
        <v>6637</v>
      </c>
      <c r="AD112" s="374">
        <v>116383</v>
      </c>
    </row>
    <row r="113" spans="1:31">
      <c r="A113" s="389" t="s">
        <v>73</v>
      </c>
      <c r="B113" s="221" t="s">
        <v>8</v>
      </c>
      <c r="C113" t="s">
        <v>501</v>
      </c>
      <c r="D113"/>
      <c r="E113" t="s">
        <v>355</v>
      </c>
      <c r="G113"/>
      <c r="H113"/>
      <c r="I113" t="s">
        <v>355</v>
      </c>
      <c r="J113" t="s">
        <v>355</v>
      </c>
      <c r="K113" s="392"/>
      <c r="L113" s="392"/>
      <c r="M113" s="281">
        <v>1992</v>
      </c>
      <c r="N113" s="390">
        <v>20</v>
      </c>
      <c r="O113" s="391">
        <v>214727</v>
      </c>
      <c r="P113" s="391">
        <v>0</v>
      </c>
      <c r="Q113" s="391">
        <v>29558</v>
      </c>
      <c r="R113" s="391">
        <v>244285</v>
      </c>
      <c r="S113" s="233"/>
      <c r="T113" s="225">
        <v>214727</v>
      </c>
      <c r="U113" s="225">
        <v>29558</v>
      </c>
      <c r="V113" s="226">
        <v>1</v>
      </c>
      <c r="W113" s="227">
        <v>0.87900198538592222</v>
      </c>
      <c r="X113" s="228" t="s">
        <v>355</v>
      </c>
      <c r="Y113" s="229" t="s">
        <v>883</v>
      </c>
      <c r="Z113" s="230" t="s">
        <v>880</v>
      </c>
      <c r="AA113" s="231">
        <v>0</v>
      </c>
      <c r="AB113" s="231">
        <v>0</v>
      </c>
      <c r="AC113" s="232">
        <v>29558</v>
      </c>
      <c r="AD113" s="374">
        <v>29558</v>
      </c>
    </row>
    <row r="114" spans="1:31">
      <c r="A114" s="389" t="s">
        <v>73</v>
      </c>
      <c r="B114" s="221" t="s">
        <v>8</v>
      </c>
      <c r="C114" t="s">
        <v>502</v>
      </c>
      <c r="D114"/>
      <c r="E114"/>
      <c r="F114"/>
      <c r="G114"/>
      <c r="H114"/>
      <c r="I114" t="s">
        <v>355</v>
      </c>
      <c r="J114" t="s">
        <v>355</v>
      </c>
      <c r="K114" s="392"/>
      <c r="L114" s="392"/>
      <c r="M114" s="281">
        <v>2010</v>
      </c>
      <c r="N114" s="390">
        <v>21</v>
      </c>
      <c r="O114" s="391">
        <v>221263</v>
      </c>
      <c r="P114" s="391">
        <v>0</v>
      </c>
      <c r="Q114" s="391">
        <v>63137</v>
      </c>
      <c r="R114" s="391">
        <v>284400</v>
      </c>
      <c r="S114" s="233"/>
      <c r="T114" s="225">
        <v>221263</v>
      </c>
      <c r="U114" s="225">
        <v>63137</v>
      </c>
      <c r="V114" s="226">
        <v>1</v>
      </c>
      <c r="W114" s="227">
        <v>0.77799929676511959</v>
      </c>
      <c r="X114" s="228" t="s">
        <v>355</v>
      </c>
      <c r="Y114" s="229" t="s">
        <v>883</v>
      </c>
      <c r="Z114" s="230" t="s">
        <v>880</v>
      </c>
      <c r="AA114" s="231">
        <v>0</v>
      </c>
      <c r="AB114" s="231">
        <v>0</v>
      </c>
      <c r="AC114" s="232">
        <v>63137</v>
      </c>
      <c r="AD114" s="374">
        <v>63137</v>
      </c>
    </row>
    <row r="115" spans="1:31">
      <c r="A115" s="389" t="s">
        <v>73</v>
      </c>
      <c r="B115" s="221" t="s">
        <v>8</v>
      </c>
      <c r="C115" t="s">
        <v>503</v>
      </c>
      <c r="D115" t="s">
        <v>355</v>
      </c>
      <c r="E115"/>
      <c r="F115"/>
      <c r="G115"/>
      <c r="H115"/>
      <c r="I115" t="s">
        <v>355</v>
      </c>
      <c r="J115" t="s">
        <v>355</v>
      </c>
      <c r="K115" s="392"/>
      <c r="L115" s="392"/>
      <c r="M115" s="281">
        <v>2012</v>
      </c>
      <c r="N115" s="390">
        <v>22</v>
      </c>
      <c r="O115" s="391">
        <v>171021</v>
      </c>
      <c r="P115" s="391">
        <v>142050</v>
      </c>
      <c r="Q115" s="391">
        <v>0</v>
      </c>
      <c r="R115" s="391">
        <v>313071</v>
      </c>
      <c r="S115" s="233"/>
      <c r="T115" s="225">
        <v>171021</v>
      </c>
      <c r="U115" s="225">
        <v>142050</v>
      </c>
      <c r="V115" s="226">
        <v>9.2538114357446077E-2</v>
      </c>
      <c r="W115" s="227">
        <v>0.54626905717872298</v>
      </c>
      <c r="X115" s="228" t="s">
        <v>878</v>
      </c>
      <c r="Y115" s="229" t="s">
        <v>883</v>
      </c>
      <c r="Z115" s="230" t="s">
        <v>881</v>
      </c>
      <c r="AA115" s="231">
        <v>0</v>
      </c>
      <c r="AB115" s="231">
        <v>142050</v>
      </c>
      <c r="AC115" s="232">
        <v>0</v>
      </c>
      <c r="AD115" s="374">
        <v>142050</v>
      </c>
    </row>
    <row r="116" spans="1:31">
      <c r="A116" s="389" t="s">
        <v>73</v>
      </c>
      <c r="B116" s="221" t="s">
        <v>8</v>
      </c>
      <c r="C116" t="s">
        <v>504</v>
      </c>
      <c r="D116" t="s">
        <v>355</v>
      </c>
      <c r="E116"/>
      <c r="F116"/>
      <c r="G116"/>
      <c r="H116"/>
      <c r="I116" t="s">
        <v>355</v>
      </c>
      <c r="J116" t="s">
        <v>355</v>
      </c>
      <c r="K116" s="392"/>
      <c r="L116" s="392"/>
      <c r="M116" s="281">
        <v>2004</v>
      </c>
      <c r="N116" s="390">
        <v>23</v>
      </c>
      <c r="O116" s="391">
        <v>174205</v>
      </c>
      <c r="P116" s="391">
        <v>98096</v>
      </c>
      <c r="Q116" s="391">
        <v>3129</v>
      </c>
      <c r="R116" s="391">
        <v>275430</v>
      </c>
      <c r="S116" s="233"/>
      <c r="T116" s="225">
        <v>174205</v>
      </c>
      <c r="U116" s="225">
        <v>98096</v>
      </c>
      <c r="V116" s="226">
        <v>0.2795031968299786</v>
      </c>
      <c r="W116" s="227">
        <v>0.63248375267763135</v>
      </c>
      <c r="X116" s="228" t="s">
        <v>878</v>
      </c>
      <c r="Y116" s="229" t="s">
        <v>883</v>
      </c>
      <c r="Z116" s="230" t="s">
        <v>882</v>
      </c>
      <c r="AA116" s="231">
        <v>0</v>
      </c>
      <c r="AB116" s="231">
        <v>98096</v>
      </c>
      <c r="AC116" s="232">
        <v>3129</v>
      </c>
      <c r="AD116" s="374">
        <v>101225</v>
      </c>
    </row>
    <row r="117" spans="1:31">
      <c r="A117" s="389" t="s">
        <v>73</v>
      </c>
      <c r="B117" s="221" t="s">
        <v>8</v>
      </c>
      <c r="C117" t="s">
        <v>505</v>
      </c>
      <c r="D117" t="s">
        <v>355</v>
      </c>
      <c r="E117" t="s">
        <v>355</v>
      </c>
      <c r="G117"/>
      <c r="H117"/>
      <c r="I117" t="s">
        <v>355</v>
      </c>
      <c r="J117" t="s">
        <v>355</v>
      </c>
      <c r="K117" s="392"/>
      <c r="L117" s="392"/>
      <c r="M117" s="281">
        <v>2010</v>
      </c>
      <c r="N117" s="390">
        <v>24</v>
      </c>
      <c r="O117" s="391">
        <v>1</v>
      </c>
      <c r="P117" s="391">
        <v>0</v>
      </c>
      <c r="Q117" s="391">
        <v>0</v>
      </c>
      <c r="R117" s="391">
        <v>1</v>
      </c>
      <c r="S117" s="233"/>
      <c r="T117" s="225">
        <v>1</v>
      </c>
      <c r="U117" s="225">
        <v>0</v>
      </c>
      <c r="V117" s="226">
        <v>1</v>
      </c>
      <c r="W117" s="227">
        <v>1</v>
      </c>
      <c r="X117" s="228" t="s">
        <v>355</v>
      </c>
      <c r="Y117" s="229" t="s">
        <v>883</v>
      </c>
      <c r="Z117" s="230" t="s">
        <v>880</v>
      </c>
      <c r="AA117" s="231">
        <v>0</v>
      </c>
      <c r="AB117" s="231">
        <v>0</v>
      </c>
      <c r="AC117" s="232">
        <v>0</v>
      </c>
      <c r="AD117" s="374">
        <v>0</v>
      </c>
      <c r="AE117" s="374">
        <v>2698133</v>
      </c>
    </row>
    <row r="118" spans="1:31">
      <c r="A118" s="389" t="s">
        <v>73</v>
      </c>
      <c r="B118" s="221" t="s">
        <v>8</v>
      </c>
      <c r="C118" t="s">
        <v>830</v>
      </c>
      <c r="D118"/>
      <c r="E118"/>
      <c r="F118" t="s">
        <v>355</v>
      </c>
      <c r="G118"/>
      <c r="H118"/>
      <c r="I118" t="s">
        <v>355</v>
      </c>
      <c r="J118" t="s">
        <v>355</v>
      </c>
      <c r="K118" s="389"/>
      <c r="L118" s="389"/>
      <c r="M118" s="281">
        <v>2010</v>
      </c>
      <c r="N118" s="390">
        <v>25</v>
      </c>
      <c r="O118" s="391">
        <v>0</v>
      </c>
      <c r="P118" s="391">
        <v>151466</v>
      </c>
      <c r="Q118" s="391">
        <v>48763</v>
      </c>
      <c r="R118" s="391">
        <v>200229</v>
      </c>
      <c r="S118" s="233"/>
      <c r="T118" s="225">
        <v>151466</v>
      </c>
      <c r="U118" s="225">
        <v>48763</v>
      </c>
      <c r="V118" s="226">
        <v>1</v>
      </c>
      <c r="W118" s="227">
        <v>0.75646384889301754</v>
      </c>
      <c r="X118" s="228" t="s">
        <v>355</v>
      </c>
      <c r="Y118" s="229" t="s">
        <v>879</v>
      </c>
      <c r="Z118" s="230" t="s">
        <v>880</v>
      </c>
      <c r="AA118" s="231">
        <v>0</v>
      </c>
      <c r="AB118" s="231">
        <v>0</v>
      </c>
      <c r="AC118" s="232">
        <v>48763</v>
      </c>
      <c r="AD118" s="374">
        <v>48763</v>
      </c>
    </row>
    <row r="119" spans="1:31">
      <c r="A119" s="389" t="s">
        <v>73</v>
      </c>
      <c r="B119" s="221" t="s">
        <v>8</v>
      </c>
      <c r="C119" t="s">
        <v>506</v>
      </c>
      <c r="D119"/>
      <c r="E119"/>
      <c r="F119" t="s">
        <v>355</v>
      </c>
      <c r="G119"/>
      <c r="H119"/>
      <c r="I119" t="s">
        <v>355</v>
      </c>
      <c r="J119" t="s">
        <v>878</v>
      </c>
      <c r="K119" s="392">
        <v>1</v>
      </c>
      <c r="L119" s="392">
        <v>1</v>
      </c>
      <c r="M119" s="281">
        <v>2012</v>
      </c>
      <c r="N119" s="390">
        <v>26</v>
      </c>
      <c r="O119" s="391">
        <v>135694</v>
      </c>
      <c r="P119" s="391">
        <v>108820</v>
      </c>
      <c r="Q119" s="391">
        <v>8443</v>
      </c>
      <c r="R119" s="391">
        <v>252957</v>
      </c>
      <c r="S119" s="233"/>
      <c r="T119" s="225">
        <v>135694</v>
      </c>
      <c r="U119" s="225">
        <v>108820</v>
      </c>
      <c r="V119" s="226">
        <v>0.10990781713930491</v>
      </c>
      <c r="W119" s="227">
        <v>0.53643109303162195</v>
      </c>
      <c r="X119" s="228" t="s">
        <v>878</v>
      </c>
      <c r="Y119" s="229" t="s">
        <v>883</v>
      </c>
      <c r="Z119" s="230" t="s">
        <v>884</v>
      </c>
      <c r="AA119" s="231">
        <v>0</v>
      </c>
      <c r="AB119" s="231">
        <v>108820</v>
      </c>
      <c r="AC119" s="232">
        <v>8443</v>
      </c>
      <c r="AD119" s="374">
        <v>117263</v>
      </c>
    </row>
    <row r="120" spans="1:31">
      <c r="A120" s="389" t="s">
        <v>73</v>
      </c>
      <c r="B120" s="221" t="s">
        <v>8</v>
      </c>
      <c r="C120" t="s">
        <v>828</v>
      </c>
      <c r="D120" t="s">
        <v>355</v>
      </c>
      <c r="E120"/>
      <c r="F120" t="s">
        <v>355</v>
      </c>
      <c r="G120"/>
      <c r="H120"/>
      <c r="I120" t="s">
        <v>355</v>
      </c>
      <c r="J120" t="s">
        <v>355</v>
      </c>
      <c r="K120" s="389"/>
      <c r="L120" s="389"/>
      <c r="M120" s="281">
        <v>1989</v>
      </c>
      <c r="N120" s="390">
        <v>27</v>
      </c>
      <c r="O120" s="391">
        <v>85020</v>
      </c>
      <c r="P120" s="391">
        <v>138488</v>
      </c>
      <c r="Q120" s="391">
        <v>6663</v>
      </c>
      <c r="R120" s="391">
        <v>230171</v>
      </c>
      <c r="S120" s="233"/>
      <c r="T120" s="225">
        <v>138488</v>
      </c>
      <c r="U120" s="225">
        <v>85020</v>
      </c>
      <c r="V120" s="226">
        <v>0.23922186230470499</v>
      </c>
      <c r="W120" s="227">
        <v>0.6016744072884942</v>
      </c>
      <c r="X120" s="228" t="s">
        <v>878</v>
      </c>
      <c r="Y120" s="229" t="s">
        <v>879</v>
      </c>
      <c r="Z120" s="230" t="s">
        <v>882</v>
      </c>
      <c r="AA120" s="231">
        <v>85020</v>
      </c>
      <c r="AB120" s="231">
        <v>0</v>
      </c>
      <c r="AC120" s="232">
        <v>6663</v>
      </c>
      <c r="AD120" s="374">
        <v>91683</v>
      </c>
    </row>
    <row r="121" spans="1:31">
      <c r="A121" s="389" t="s">
        <v>74</v>
      </c>
      <c r="B121" s="221" t="s">
        <v>9</v>
      </c>
      <c r="C121" t="s">
        <v>507</v>
      </c>
      <c r="D121"/>
      <c r="F121"/>
      <c r="G121"/>
      <c r="H121"/>
      <c r="I121" t="s">
        <v>356</v>
      </c>
      <c r="J121" t="s">
        <v>356</v>
      </c>
      <c r="K121" s="389"/>
      <c r="L121" s="389"/>
      <c r="M121" s="281">
        <v>1992</v>
      </c>
      <c r="N121" s="390">
        <v>1</v>
      </c>
      <c r="O121" s="391">
        <v>92399</v>
      </c>
      <c r="P121" s="391">
        <v>157181</v>
      </c>
      <c r="Q121" s="391">
        <v>0</v>
      </c>
      <c r="R121" s="391">
        <v>249580</v>
      </c>
      <c r="S121" s="233"/>
      <c r="T121" s="225">
        <v>157181</v>
      </c>
      <c r="U121" s="225">
        <v>92399</v>
      </c>
      <c r="V121" s="226">
        <v>0.2595640676336245</v>
      </c>
      <c r="W121" s="227">
        <v>0.62978203381681219</v>
      </c>
      <c r="X121" s="228" t="s">
        <v>886</v>
      </c>
      <c r="Y121" s="229" t="s">
        <v>887</v>
      </c>
      <c r="Z121" s="230" t="s">
        <v>888</v>
      </c>
      <c r="AA121" s="231">
        <v>92399</v>
      </c>
      <c r="AB121" s="231">
        <v>0</v>
      </c>
      <c r="AC121" s="232">
        <v>0</v>
      </c>
      <c r="AD121" s="374">
        <v>92399</v>
      </c>
    </row>
    <row r="122" spans="1:31">
      <c r="A122" s="389" t="s">
        <v>74</v>
      </c>
      <c r="B122" s="221" t="s">
        <v>9</v>
      </c>
      <c r="C122" t="s">
        <v>508</v>
      </c>
      <c r="D122"/>
      <c r="E122" t="s">
        <v>356</v>
      </c>
      <c r="F122"/>
      <c r="G122"/>
      <c r="H122"/>
      <c r="I122" t="s">
        <v>356</v>
      </c>
      <c r="J122" t="s">
        <v>356</v>
      </c>
      <c r="K122" s="392"/>
      <c r="L122" s="392"/>
      <c r="M122" s="281">
        <v>1992</v>
      </c>
      <c r="N122" s="390">
        <v>2</v>
      </c>
      <c r="O122" s="391">
        <v>162751</v>
      </c>
      <c r="P122" s="391">
        <v>92410</v>
      </c>
      <c r="Q122" s="391">
        <v>0</v>
      </c>
      <c r="R122" s="391">
        <v>255161</v>
      </c>
      <c r="S122" s="233"/>
      <c r="T122" s="225">
        <v>162751</v>
      </c>
      <c r="U122" s="225">
        <v>92410</v>
      </c>
      <c r="V122" s="226">
        <v>0.27567300645474818</v>
      </c>
      <c r="W122" s="227">
        <v>0.63783650322737406</v>
      </c>
      <c r="X122" s="228" t="s">
        <v>886</v>
      </c>
      <c r="Y122" s="229" t="s">
        <v>889</v>
      </c>
      <c r="Z122" s="230" t="s">
        <v>888</v>
      </c>
      <c r="AA122" s="231">
        <v>0</v>
      </c>
      <c r="AB122" s="231">
        <v>92410</v>
      </c>
      <c r="AC122" s="232">
        <v>0</v>
      </c>
      <c r="AD122" s="374">
        <v>92410</v>
      </c>
    </row>
    <row r="123" spans="1:31">
      <c r="A123" s="389" t="s">
        <v>74</v>
      </c>
      <c r="B123" s="221" t="s">
        <v>9</v>
      </c>
      <c r="C123" t="s">
        <v>509</v>
      </c>
      <c r="D123"/>
      <c r="E123"/>
      <c r="F123"/>
      <c r="G123"/>
      <c r="H123"/>
      <c r="I123" t="s">
        <v>356</v>
      </c>
      <c r="J123" t="s">
        <v>356</v>
      </c>
      <c r="K123" s="389"/>
      <c r="L123" s="389"/>
      <c r="M123" s="281">
        <v>2004</v>
      </c>
      <c r="N123" s="390">
        <v>3</v>
      </c>
      <c r="O123" s="391">
        <v>0</v>
      </c>
      <c r="P123" s="391">
        <v>232380</v>
      </c>
      <c r="Q123" s="391">
        <v>105</v>
      </c>
      <c r="R123" s="391">
        <v>232485</v>
      </c>
      <c r="S123" s="233"/>
      <c r="T123" s="225">
        <v>232380</v>
      </c>
      <c r="U123" s="225">
        <v>105</v>
      </c>
      <c r="V123" s="226">
        <v>1</v>
      </c>
      <c r="W123" s="227">
        <v>0.99954835795857799</v>
      </c>
      <c r="X123" s="228" t="s">
        <v>356</v>
      </c>
      <c r="Y123" s="229" t="s">
        <v>887</v>
      </c>
      <c r="Z123" s="230" t="s">
        <v>890</v>
      </c>
      <c r="AA123" s="231">
        <v>0</v>
      </c>
      <c r="AB123" s="231">
        <v>0</v>
      </c>
      <c r="AC123" s="232">
        <v>105</v>
      </c>
      <c r="AD123" s="374">
        <v>105</v>
      </c>
    </row>
    <row r="124" spans="1:31">
      <c r="A124" s="389" t="s">
        <v>74</v>
      </c>
      <c r="B124" s="221" t="s">
        <v>9</v>
      </c>
      <c r="C124" t="s">
        <v>510</v>
      </c>
      <c r="D124"/>
      <c r="E124" t="s">
        <v>356</v>
      </c>
      <c r="F124"/>
      <c r="G124"/>
      <c r="H124"/>
      <c r="I124" t="s">
        <v>356</v>
      </c>
      <c r="J124" t="s">
        <v>356</v>
      </c>
      <c r="K124" s="392"/>
      <c r="L124" s="392"/>
      <c r="M124" s="281">
        <v>2006</v>
      </c>
      <c r="N124" s="390">
        <v>4</v>
      </c>
      <c r="O124" s="391">
        <v>208861</v>
      </c>
      <c r="P124" s="391">
        <v>75041</v>
      </c>
      <c r="Q124" s="391">
        <v>58</v>
      </c>
      <c r="R124" s="391">
        <v>283960</v>
      </c>
      <c r="S124" s="233"/>
      <c r="T124" s="225">
        <v>208861</v>
      </c>
      <c r="U124" s="225">
        <v>75041</v>
      </c>
      <c r="V124" s="226">
        <v>0.47135983543617166</v>
      </c>
      <c r="W124" s="227">
        <v>0.73552965206367094</v>
      </c>
      <c r="X124" s="228" t="s">
        <v>886</v>
      </c>
      <c r="Y124" s="229" t="s">
        <v>889</v>
      </c>
      <c r="Z124" s="230" t="s">
        <v>890</v>
      </c>
      <c r="AA124" s="231">
        <v>0</v>
      </c>
      <c r="AB124" s="231">
        <v>75041</v>
      </c>
      <c r="AC124" s="232">
        <v>58</v>
      </c>
      <c r="AD124" s="374">
        <v>75099</v>
      </c>
    </row>
    <row r="125" spans="1:31">
      <c r="A125" s="389" t="s">
        <v>74</v>
      </c>
      <c r="B125" s="221" t="s">
        <v>9</v>
      </c>
      <c r="C125" t="s">
        <v>511</v>
      </c>
      <c r="D125"/>
      <c r="E125" t="s">
        <v>356</v>
      </c>
      <c r="F125"/>
      <c r="G125"/>
      <c r="H125"/>
      <c r="I125" t="s">
        <v>356</v>
      </c>
      <c r="J125" t="s">
        <v>356</v>
      </c>
      <c r="K125" s="392"/>
      <c r="L125" s="392"/>
      <c r="M125" s="281">
        <v>1986</v>
      </c>
      <c r="N125" s="390">
        <v>5</v>
      </c>
      <c r="O125" s="391">
        <v>234330</v>
      </c>
      <c r="P125" s="391">
        <v>43335</v>
      </c>
      <c r="Q125" s="391">
        <v>24</v>
      </c>
      <c r="R125" s="391">
        <v>277689</v>
      </c>
      <c r="S125" s="233"/>
      <c r="T125" s="225">
        <v>234330</v>
      </c>
      <c r="U125" s="225">
        <v>43335</v>
      </c>
      <c r="V125" s="226">
        <v>0.68786127167630062</v>
      </c>
      <c r="W125" s="227">
        <v>0.84385769691993562</v>
      </c>
      <c r="X125" s="228" t="s">
        <v>886</v>
      </c>
      <c r="Y125" s="229" t="s">
        <v>889</v>
      </c>
      <c r="Z125" s="230" t="s">
        <v>890</v>
      </c>
      <c r="AA125" s="231">
        <v>0</v>
      </c>
      <c r="AB125" s="231">
        <v>43335</v>
      </c>
      <c r="AC125" s="232">
        <v>24</v>
      </c>
      <c r="AD125" s="374">
        <v>43359</v>
      </c>
    </row>
    <row r="126" spans="1:31">
      <c r="A126" s="389" t="s">
        <v>74</v>
      </c>
      <c r="B126" s="221" t="s">
        <v>9</v>
      </c>
      <c r="C126" t="s">
        <v>512</v>
      </c>
      <c r="D126"/>
      <c r="E126"/>
      <c r="F126"/>
      <c r="G126"/>
      <c r="H126"/>
      <c r="I126" t="s">
        <v>356</v>
      </c>
      <c r="J126" t="s">
        <v>356</v>
      </c>
      <c r="K126" s="389"/>
      <c r="L126" s="389"/>
      <c r="M126" s="281">
        <v>2004</v>
      </c>
      <c r="N126" s="390">
        <v>6</v>
      </c>
      <c r="O126" s="391">
        <v>104365</v>
      </c>
      <c r="P126" s="391">
        <v>189669</v>
      </c>
      <c r="Q126" s="391">
        <v>0</v>
      </c>
      <c r="R126" s="391">
        <v>294034</v>
      </c>
      <c r="S126" s="233"/>
      <c r="T126" s="225">
        <v>189669</v>
      </c>
      <c r="U126" s="225">
        <v>104365</v>
      </c>
      <c r="V126" s="226">
        <v>0.29011610902140567</v>
      </c>
      <c r="W126" s="227">
        <v>0.64505805451070286</v>
      </c>
      <c r="X126" s="228" t="s">
        <v>886</v>
      </c>
      <c r="Y126" s="229" t="s">
        <v>887</v>
      </c>
      <c r="Z126" s="230" t="s">
        <v>888</v>
      </c>
      <c r="AA126" s="231">
        <v>104365</v>
      </c>
      <c r="AB126" s="231">
        <v>0</v>
      </c>
      <c r="AC126" s="232">
        <v>0</v>
      </c>
      <c r="AD126" s="374">
        <v>104365</v>
      </c>
    </row>
    <row r="127" spans="1:31">
      <c r="A127" s="389" t="s">
        <v>74</v>
      </c>
      <c r="B127" s="221" t="s">
        <v>9</v>
      </c>
      <c r="C127" t="s">
        <v>513</v>
      </c>
      <c r="D127"/>
      <c r="E127"/>
      <c r="F127"/>
      <c r="G127"/>
      <c r="H127"/>
      <c r="I127" t="s">
        <v>356</v>
      </c>
      <c r="J127" t="s">
        <v>356</v>
      </c>
      <c r="K127" s="389"/>
      <c r="L127" s="389"/>
      <c r="M127" s="281">
        <v>2010</v>
      </c>
      <c r="N127" s="390">
        <v>7</v>
      </c>
      <c r="O127" s="391">
        <v>95377</v>
      </c>
      <c r="P127" s="391">
        <v>156689</v>
      </c>
      <c r="Q127" s="391">
        <v>0</v>
      </c>
      <c r="R127" s="391">
        <v>252066</v>
      </c>
      <c r="S127" s="233"/>
      <c r="T127" s="225">
        <v>156689</v>
      </c>
      <c r="U127" s="225">
        <v>95377</v>
      </c>
      <c r="V127" s="226">
        <v>0.2432378821419787</v>
      </c>
      <c r="W127" s="227">
        <v>0.62161894107098936</v>
      </c>
      <c r="X127" s="228" t="s">
        <v>886</v>
      </c>
      <c r="Y127" s="229" t="s">
        <v>887</v>
      </c>
      <c r="Z127" s="230" t="s">
        <v>888</v>
      </c>
      <c r="AA127" s="231">
        <v>95377</v>
      </c>
      <c r="AB127" s="231">
        <v>0</v>
      </c>
      <c r="AC127" s="232">
        <v>0</v>
      </c>
      <c r="AD127" s="374">
        <v>95377</v>
      </c>
    </row>
    <row r="128" spans="1:31">
      <c r="A128" s="389" t="s">
        <v>74</v>
      </c>
      <c r="B128" s="221" t="s">
        <v>9</v>
      </c>
      <c r="C128" t="s">
        <v>514</v>
      </c>
      <c r="D128"/>
      <c r="E128"/>
      <c r="F128"/>
      <c r="G128"/>
      <c r="H128"/>
      <c r="I128" t="s">
        <v>356</v>
      </c>
      <c r="J128" t="s">
        <v>356</v>
      </c>
      <c r="K128" s="389"/>
      <c r="L128" s="389"/>
      <c r="M128" s="281">
        <v>2010</v>
      </c>
      <c r="N128" s="390">
        <v>8</v>
      </c>
      <c r="O128" s="391">
        <v>0</v>
      </c>
      <c r="P128" s="391">
        <v>197789</v>
      </c>
      <c r="Q128" s="391">
        <v>0</v>
      </c>
      <c r="R128" s="391">
        <v>197789</v>
      </c>
      <c r="S128" s="233"/>
      <c r="T128" s="225">
        <v>197789</v>
      </c>
      <c r="U128" s="225">
        <v>0</v>
      </c>
      <c r="V128" s="226">
        <v>1</v>
      </c>
      <c r="W128" s="227">
        <v>1</v>
      </c>
      <c r="X128" s="228" t="s">
        <v>356</v>
      </c>
      <c r="Y128" s="229" t="s">
        <v>887</v>
      </c>
      <c r="Z128" s="230" t="s">
        <v>890</v>
      </c>
      <c r="AA128" s="231">
        <v>0</v>
      </c>
      <c r="AB128" s="231">
        <v>0</v>
      </c>
      <c r="AC128" s="232">
        <v>0</v>
      </c>
      <c r="AD128" s="374">
        <v>0</v>
      </c>
    </row>
    <row r="129" spans="1:31" ht="13.5" customHeight="1">
      <c r="A129" s="389" t="s">
        <v>74</v>
      </c>
      <c r="B129" s="221" t="s">
        <v>9</v>
      </c>
      <c r="C129" t="s">
        <v>515</v>
      </c>
      <c r="D129"/>
      <c r="E129"/>
      <c r="F129"/>
      <c r="G129"/>
      <c r="H129"/>
      <c r="I129" t="s">
        <v>356</v>
      </c>
      <c r="J129" t="s">
        <v>356</v>
      </c>
      <c r="K129" s="389"/>
      <c r="L129" s="389"/>
      <c r="M129" s="281">
        <v>2012</v>
      </c>
      <c r="N129" s="390">
        <v>9</v>
      </c>
      <c r="O129" s="391">
        <v>60052</v>
      </c>
      <c r="P129" s="391">
        <v>192101</v>
      </c>
      <c r="Q129" s="391">
        <v>0</v>
      </c>
      <c r="R129" s="391">
        <v>252153</v>
      </c>
      <c r="S129" s="233"/>
      <c r="T129" s="225">
        <v>192101</v>
      </c>
      <c r="U129" s="225">
        <v>60052</v>
      </c>
      <c r="V129" s="226">
        <v>0.52368601602995002</v>
      </c>
      <c r="W129" s="227">
        <v>0.76184300801497506</v>
      </c>
      <c r="X129" s="228" t="s">
        <v>886</v>
      </c>
      <c r="Y129" s="229" t="s">
        <v>887</v>
      </c>
      <c r="Z129" s="230" t="s">
        <v>890</v>
      </c>
      <c r="AA129" s="231">
        <v>60052</v>
      </c>
      <c r="AB129" s="231">
        <v>0</v>
      </c>
      <c r="AC129" s="232">
        <v>0</v>
      </c>
      <c r="AD129" s="374">
        <v>60052</v>
      </c>
    </row>
    <row r="130" spans="1:31">
      <c r="A130" s="389" t="s">
        <v>74</v>
      </c>
      <c r="B130" s="221" t="s">
        <v>9</v>
      </c>
      <c r="C130" t="s">
        <v>516</v>
      </c>
      <c r="D130"/>
      <c r="F130"/>
      <c r="G130"/>
      <c r="H130"/>
      <c r="I130" t="s">
        <v>356</v>
      </c>
      <c r="J130" t="s">
        <v>356</v>
      </c>
      <c r="K130" s="389"/>
      <c r="L130" s="389"/>
      <c r="M130" s="281">
        <v>2007</v>
      </c>
      <c r="N130" s="390">
        <v>10</v>
      </c>
      <c r="O130" s="391">
        <v>0</v>
      </c>
      <c r="P130" s="391">
        <v>211065</v>
      </c>
      <c r="Q130" s="391">
        <v>401</v>
      </c>
      <c r="R130" s="391">
        <v>211466</v>
      </c>
      <c r="S130" s="233"/>
      <c r="T130" s="225">
        <v>211065</v>
      </c>
      <c r="U130" s="225">
        <v>401</v>
      </c>
      <c r="V130" s="226">
        <v>1</v>
      </c>
      <c r="W130" s="227">
        <v>0.99810371407223852</v>
      </c>
      <c r="X130" s="228" t="s">
        <v>356</v>
      </c>
      <c r="Y130" s="229" t="s">
        <v>887</v>
      </c>
      <c r="Z130" s="230" t="s">
        <v>890</v>
      </c>
      <c r="AA130" s="231">
        <v>0</v>
      </c>
      <c r="AB130" s="231">
        <v>0</v>
      </c>
      <c r="AC130" s="232">
        <v>401</v>
      </c>
      <c r="AD130" s="374">
        <v>401</v>
      </c>
      <c r="AE130" s="374">
        <v>821276</v>
      </c>
    </row>
    <row r="131" spans="1:31">
      <c r="A131" s="389" t="s">
        <v>74</v>
      </c>
      <c r="B131" s="221" t="s">
        <v>9</v>
      </c>
      <c r="C131" t="s">
        <v>517</v>
      </c>
      <c r="E131"/>
      <c r="F131"/>
      <c r="H131"/>
      <c r="I131" t="s">
        <v>356</v>
      </c>
      <c r="J131" t="s">
        <v>356</v>
      </c>
      <c r="K131" s="389"/>
      <c r="L131" s="389"/>
      <c r="M131" s="281">
        <v>2002</v>
      </c>
      <c r="N131" s="390">
        <v>11</v>
      </c>
      <c r="O131" s="391">
        <v>90353</v>
      </c>
      <c r="P131" s="391">
        <v>196968</v>
      </c>
      <c r="Q131" s="391">
        <v>30</v>
      </c>
      <c r="R131" s="391">
        <v>287351</v>
      </c>
      <c r="S131" s="233"/>
      <c r="T131" s="225">
        <v>196968</v>
      </c>
      <c r="U131" s="225">
        <v>90353</v>
      </c>
      <c r="V131" s="226">
        <v>0.37106581140953848</v>
      </c>
      <c r="W131" s="227">
        <v>0.68546133474391946</v>
      </c>
      <c r="X131" s="228" t="s">
        <v>886</v>
      </c>
      <c r="Y131" s="229" t="s">
        <v>887</v>
      </c>
      <c r="Z131" s="230" t="s">
        <v>888</v>
      </c>
      <c r="AA131" s="231">
        <v>90353</v>
      </c>
      <c r="AB131" s="231">
        <v>0</v>
      </c>
      <c r="AC131" s="232">
        <v>30</v>
      </c>
      <c r="AD131" s="374">
        <v>90383</v>
      </c>
    </row>
    <row r="132" spans="1:31">
      <c r="A132" s="389" t="s">
        <v>74</v>
      </c>
      <c r="B132" s="221" t="s">
        <v>9</v>
      </c>
      <c r="C132" t="s">
        <v>518</v>
      </c>
      <c r="E132"/>
      <c r="F132"/>
      <c r="H132"/>
      <c r="I132" t="s">
        <v>356</v>
      </c>
      <c r="J132" t="s">
        <v>356</v>
      </c>
      <c r="K132" s="392"/>
      <c r="L132" s="392"/>
      <c r="M132" s="281">
        <v>2004</v>
      </c>
      <c r="N132" s="390">
        <v>12</v>
      </c>
      <c r="O132" s="391">
        <v>139148</v>
      </c>
      <c r="P132" s="391">
        <v>119973</v>
      </c>
      <c r="Q132" s="391">
        <v>0</v>
      </c>
      <c r="R132" s="391">
        <v>259121</v>
      </c>
      <c r="S132" s="233"/>
      <c r="T132" s="225">
        <v>139148</v>
      </c>
      <c r="U132" s="225">
        <v>119973</v>
      </c>
      <c r="V132" s="226">
        <v>7.4000177523242033E-2</v>
      </c>
      <c r="W132" s="227">
        <v>0.53700008876162098</v>
      </c>
      <c r="X132" s="228" t="s">
        <v>886</v>
      </c>
      <c r="Y132" s="229" t="s">
        <v>889</v>
      </c>
      <c r="Z132" s="230" t="s">
        <v>891</v>
      </c>
      <c r="AA132" s="231">
        <v>0</v>
      </c>
      <c r="AB132" s="231">
        <v>119973</v>
      </c>
      <c r="AC132" s="232">
        <v>0</v>
      </c>
      <c r="AD132" s="374">
        <v>119973</v>
      </c>
      <c r="AE132" s="374">
        <v>210356</v>
      </c>
    </row>
    <row r="133" spans="1:31">
      <c r="A133" s="389" t="s">
        <v>74</v>
      </c>
      <c r="B133" s="221" t="s">
        <v>9</v>
      </c>
      <c r="C133" t="s">
        <v>519</v>
      </c>
      <c r="D133"/>
      <c r="E133" t="s">
        <v>356</v>
      </c>
      <c r="G133"/>
      <c r="H133"/>
      <c r="I133" t="s">
        <v>356</v>
      </c>
      <c r="J133" t="s">
        <v>356</v>
      </c>
      <c r="K133" s="392"/>
      <c r="L133" s="392"/>
      <c r="M133" s="281">
        <v>2002</v>
      </c>
      <c r="N133" s="390">
        <v>13</v>
      </c>
      <c r="O133" s="391">
        <v>201988</v>
      </c>
      <c r="P133" s="391">
        <v>79550</v>
      </c>
      <c r="Q133" s="391">
        <v>0</v>
      </c>
      <c r="R133" s="391">
        <v>281538</v>
      </c>
      <c r="S133" s="233"/>
      <c r="T133" s="225">
        <v>201988</v>
      </c>
      <c r="U133" s="225">
        <v>79550</v>
      </c>
      <c r="V133" s="226">
        <v>0.43488978397232347</v>
      </c>
      <c r="W133" s="227">
        <v>0.71744489198616168</v>
      </c>
      <c r="X133" s="228" t="s">
        <v>886</v>
      </c>
      <c r="Y133" s="229" t="s">
        <v>889</v>
      </c>
      <c r="Z133" s="230" t="s">
        <v>890</v>
      </c>
      <c r="AA133" s="231">
        <v>0</v>
      </c>
      <c r="AB133" s="231">
        <v>79550</v>
      </c>
      <c r="AC133" s="232">
        <v>0</v>
      </c>
      <c r="AD133" s="374">
        <v>79550</v>
      </c>
    </row>
    <row r="134" spans="1:31">
      <c r="A134" s="389" t="s">
        <v>74</v>
      </c>
      <c r="B134" s="221" t="s">
        <v>9</v>
      </c>
      <c r="C134" t="s">
        <v>520</v>
      </c>
      <c r="D134"/>
      <c r="E134"/>
      <c r="F134"/>
      <c r="G134"/>
      <c r="H134"/>
      <c r="I134" t="s">
        <v>356</v>
      </c>
      <c r="J134" t="s">
        <v>356</v>
      </c>
      <c r="K134" s="389"/>
      <c r="L134" s="389"/>
      <c r="M134" s="281">
        <v>2010</v>
      </c>
      <c r="N134" s="390">
        <v>14</v>
      </c>
      <c r="O134" s="391">
        <v>59245</v>
      </c>
      <c r="P134" s="391">
        <v>159947</v>
      </c>
      <c r="Q134" s="391">
        <v>0</v>
      </c>
      <c r="R134" s="391">
        <v>219192</v>
      </c>
      <c r="S134" s="233"/>
      <c r="T134" s="225">
        <v>159947</v>
      </c>
      <c r="U134" s="225">
        <v>59245</v>
      </c>
      <c r="V134" s="226">
        <v>0.45942370159494872</v>
      </c>
      <c r="W134" s="227">
        <v>0.72971185079747436</v>
      </c>
      <c r="X134" s="228" t="s">
        <v>886</v>
      </c>
      <c r="Y134" s="229" t="s">
        <v>887</v>
      </c>
      <c r="Z134" s="230" t="s">
        <v>890</v>
      </c>
      <c r="AA134" s="231">
        <v>59245</v>
      </c>
      <c r="AB134" s="231">
        <v>0</v>
      </c>
      <c r="AC134" s="232">
        <v>0</v>
      </c>
      <c r="AD134" s="374">
        <v>59245</v>
      </c>
      <c r="AE134" s="374">
        <v>138795</v>
      </c>
    </row>
    <row r="135" spans="1:31">
      <c r="A135" s="389" t="s">
        <v>75</v>
      </c>
      <c r="B135" s="221" t="s">
        <v>10</v>
      </c>
      <c r="C135" t="s">
        <v>521</v>
      </c>
      <c r="D135" t="s">
        <v>357</v>
      </c>
      <c r="E135"/>
      <c r="F135"/>
      <c r="G135" t="s">
        <v>357</v>
      </c>
      <c r="H135"/>
      <c r="I135" t="s">
        <v>357</v>
      </c>
      <c r="J135" t="s">
        <v>357</v>
      </c>
      <c r="K135" s="392"/>
      <c r="L135" s="392"/>
      <c r="M135" s="281">
        <v>2010</v>
      </c>
      <c r="N135" s="390">
        <v>1</v>
      </c>
      <c r="O135" s="391">
        <v>116505</v>
      </c>
      <c r="P135" s="391">
        <v>96824</v>
      </c>
      <c r="Q135" s="391">
        <v>0</v>
      </c>
      <c r="R135" s="391">
        <v>213329</v>
      </c>
      <c r="S135" s="233"/>
      <c r="T135" s="225">
        <v>116505</v>
      </c>
      <c r="U135" s="225">
        <v>96824</v>
      </c>
      <c r="V135" s="226">
        <v>9.2256561461404679E-2</v>
      </c>
      <c r="W135" s="227">
        <v>0.5461282807307023</v>
      </c>
      <c r="X135" s="228" t="s">
        <v>892</v>
      </c>
      <c r="Y135" s="229" t="s">
        <v>893</v>
      </c>
      <c r="Z135" s="230" t="s">
        <v>894</v>
      </c>
      <c r="AA135" s="231">
        <v>0</v>
      </c>
      <c r="AB135" s="231">
        <v>96824</v>
      </c>
      <c r="AC135" s="232">
        <v>0</v>
      </c>
      <c r="AD135" s="374">
        <v>96824</v>
      </c>
    </row>
    <row r="136" spans="1:31">
      <c r="A136" s="389" t="s">
        <v>75</v>
      </c>
      <c r="B136" s="221" t="s">
        <v>10</v>
      </c>
      <c r="C136" t="s">
        <v>522</v>
      </c>
      <c r="D136" t="s">
        <v>357</v>
      </c>
      <c r="E136"/>
      <c r="F136"/>
      <c r="G136" t="s">
        <v>357</v>
      </c>
      <c r="H136"/>
      <c r="I136" t="s">
        <v>357</v>
      </c>
      <c r="J136" t="s">
        <v>357</v>
      </c>
      <c r="K136" s="392"/>
      <c r="L136" s="392"/>
      <c r="M136" s="281">
        <v>2012</v>
      </c>
      <c r="N136" s="390">
        <v>2</v>
      </c>
      <c r="O136" s="391">
        <v>168503</v>
      </c>
      <c r="P136" s="391">
        <v>40707</v>
      </c>
      <c r="Q136" s="391">
        <v>0</v>
      </c>
      <c r="R136" s="391">
        <v>209210</v>
      </c>
      <c r="S136" s="233"/>
      <c r="T136" s="225">
        <v>168503</v>
      </c>
      <c r="U136" s="225">
        <v>40707</v>
      </c>
      <c r="V136" s="226">
        <v>0.61085034176186603</v>
      </c>
      <c r="W136" s="227">
        <v>0.80542517088093302</v>
      </c>
      <c r="X136" s="228" t="s">
        <v>892</v>
      </c>
      <c r="Y136" s="229" t="s">
        <v>893</v>
      </c>
      <c r="Z136" s="230" t="s">
        <v>895</v>
      </c>
      <c r="AA136" s="231">
        <v>0</v>
      </c>
      <c r="AB136" s="231">
        <v>40707</v>
      </c>
      <c r="AC136" s="232">
        <v>0</v>
      </c>
      <c r="AD136" s="374">
        <v>40707</v>
      </c>
    </row>
    <row r="137" spans="1:31">
      <c r="A137" s="389" t="s">
        <v>76</v>
      </c>
      <c r="B137" s="221" t="s">
        <v>11</v>
      </c>
      <c r="C137" t="s">
        <v>523</v>
      </c>
      <c r="D137"/>
      <c r="E137"/>
      <c r="F137" t="s">
        <v>358</v>
      </c>
      <c r="G137"/>
      <c r="H137"/>
      <c r="I137" t="s">
        <v>358</v>
      </c>
      <c r="J137" t="s">
        <v>358</v>
      </c>
      <c r="K137" s="389"/>
      <c r="L137" s="389"/>
      <c r="M137" s="281">
        <v>2010</v>
      </c>
      <c r="N137" s="390">
        <v>1</v>
      </c>
      <c r="O137" s="391">
        <v>97450</v>
      </c>
      <c r="P137" s="391">
        <v>199402</v>
      </c>
      <c r="Q137" s="391">
        <v>19869</v>
      </c>
      <c r="R137" s="391">
        <v>316721</v>
      </c>
      <c r="S137" s="233"/>
      <c r="T137" s="225">
        <v>199402</v>
      </c>
      <c r="U137" s="225">
        <v>97450</v>
      </c>
      <c r="V137" s="226">
        <v>0.34344387101990215</v>
      </c>
      <c r="W137" s="227">
        <v>0.62958250321260667</v>
      </c>
      <c r="X137" s="228" t="s">
        <v>896</v>
      </c>
      <c r="Y137" s="229" t="s">
        <v>897</v>
      </c>
      <c r="Z137" s="230" t="s">
        <v>898</v>
      </c>
      <c r="AA137" s="231">
        <v>97450</v>
      </c>
      <c r="AB137" s="231">
        <v>0</v>
      </c>
      <c r="AC137" s="232">
        <v>19869</v>
      </c>
      <c r="AD137" s="374">
        <v>117319</v>
      </c>
    </row>
    <row r="138" spans="1:31">
      <c r="A138" s="389" t="s">
        <v>76</v>
      </c>
      <c r="B138" s="221" t="s">
        <v>11</v>
      </c>
      <c r="C138" t="s">
        <v>524</v>
      </c>
      <c r="D138"/>
      <c r="E138"/>
      <c r="G138"/>
      <c r="H138"/>
      <c r="I138" t="s">
        <v>358</v>
      </c>
      <c r="J138" t="s">
        <v>358</v>
      </c>
      <c r="K138" s="389"/>
      <c r="L138" s="389"/>
      <c r="M138" s="281">
        <v>1998</v>
      </c>
      <c r="N138" s="390">
        <v>2</v>
      </c>
      <c r="O138" s="391">
        <v>110847</v>
      </c>
      <c r="P138" s="391">
        <v>207412</v>
      </c>
      <c r="Q138" s="391">
        <v>235</v>
      </c>
      <c r="R138" s="391">
        <v>318494</v>
      </c>
      <c r="S138" s="233"/>
      <c r="T138" s="225">
        <v>207412</v>
      </c>
      <c r="U138" s="225">
        <v>110847</v>
      </c>
      <c r="V138" s="226">
        <v>0.30341639985043628</v>
      </c>
      <c r="W138" s="227">
        <v>0.65122733866258076</v>
      </c>
      <c r="X138" s="228" t="s">
        <v>896</v>
      </c>
      <c r="Y138" s="229" t="s">
        <v>897</v>
      </c>
      <c r="Z138" s="230" t="s">
        <v>898</v>
      </c>
      <c r="AA138" s="231">
        <v>110847</v>
      </c>
      <c r="AB138" s="231">
        <v>0</v>
      </c>
      <c r="AC138" s="232">
        <v>235</v>
      </c>
      <c r="AD138" s="374">
        <v>111082</v>
      </c>
    </row>
    <row r="139" spans="1:31">
      <c r="A139" s="389" t="s">
        <v>77</v>
      </c>
      <c r="B139" s="221" t="s">
        <v>12</v>
      </c>
      <c r="C139" t="s">
        <v>525</v>
      </c>
      <c r="D139"/>
      <c r="E139" t="s">
        <v>359</v>
      </c>
      <c r="F139"/>
      <c r="G139"/>
      <c r="H139"/>
      <c r="I139" t="s">
        <v>359</v>
      </c>
      <c r="J139" t="s">
        <v>359</v>
      </c>
      <c r="K139" s="392"/>
      <c r="L139" s="392"/>
      <c r="M139" s="281">
        <v>1992</v>
      </c>
      <c r="N139" s="390">
        <v>1</v>
      </c>
      <c r="O139" s="391">
        <v>236854</v>
      </c>
      <c r="P139" s="391">
        <v>83989</v>
      </c>
      <c r="Q139" s="391">
        <v>1</v>
      </c>
      <c r="R139" s="391">
        <v>320844</v>
      </c>
      <c r="S139" s="233"/>
      <c r="T139" s="225">
        <v>236854</v>
      </c>
      <c r="U139" s="225">
        <v>83989</v>
      </c>
      <c r="V139" s="226">
        <v>0.47644798234650593</v>
      </c>
      <c r="W139" s="227">
        <v>0.73822169029185525</v>
      </c>
      <c r="X139" s="228" t="s">
        <v>899</v>
      </c>
      <c r="Y139" s="229" t="s">
        <v>900</v>
      </c>
      <c r="Z139" s="230" t="s">
        <v>901</v>
      </c>
      <c r="AA139" s="231">
        <v>0</v>
      </c>
      <c r="AB139" s="231">
        <v>83989</v>
      </c>
      <c r="AC139" s="232">
        <v>1</v>
      </c>
      <c r="AD139" s="374">
        <v>83990</v>
      </c>
    </row>
    <row r="140" spans="1:31">
      <c r="A140" s="389" t="s">
        <v>77</v>
      </c>
      <c r="B140" s="221" t="s">
        <v>12</v>
      </c>
      <c r="C140" t="s">
        <v>526</v>
      </c>
      <c r="D140"/>
      <c r="E140"/>
      <c r="F140"/>
      <c r="G140"/>
      <c r="H140"/>
      <c r="I140" t="s">
        <v>359</v>
      </c>
      <c r="J140" t="s">
        <v>359</v>
      </c>
      <c r="K140" s="392"/>
      <c r="L140" s="392"/>
      <c r="M140" s="281">
        <v>1995</v>
      </c>
      <c r="N140" s="390">
        <v>2</v>
      </c>
      <c r="O140" s="391">
        <v>188303</v>
      </c>
      <c r="P140" s="391">
        <v>69115</v>
      </c>
      <c r="Q140" s="391">
        <v>40294</v>
      </c>
      <c r="R140" s="391">
        <v>297712</v>
      </c>
      <c r="S140" s="233"/>
      <c r="T140" s="225">
        <v>188303</v>
      </c>
      <c r="U140" s="225">
        <v>69115</v>
      </c>
      <c r="V140" s="226">
        <v>0.46301346448189329</v>
      </c>
      <c r="W140" s="227">
        <v>0.63250053743214918</v>
      </c>
      <c r="X140" s="228" t="s">
        <v>899</v>
      </c>
      <c r="Y140" s="229" t="s">
        <v>900</v>
      </c>
      <c r="Z140" s="230" t="s">
        <v>901</v>
      </c>
      <c r="AA140" s="231">
        <v>0</v>
      </c>
      <c r="AB140" s="231">
        <v>69115</v>
      </c>
      <c r="AC140" s="232">
        <v>40294</v>
      </c>
      <c r="AD140" s="374">
        <v>109409</v>
      </c>
    </row>
    <row r="141" spans="1:31">
      <c r="A141" s="389" t="s">
        <v>77</v>
      </c>
      <c r="B141" s="221" t="s">
        <v>12</v>
      </c>
      <c r="C141" t="s">
        <v>527</v>
      </c>
      <c r="D141"/>
      <c r="F141"/>
      <c r="G141"/>
      <c r="H141"/>
      <c r="I141" t="s">
        <v>359</v>
      </c>
      <c r="J141" t="s">
        <v>359</v>
      </c>
      <c r="K141" s="392"/>
      <c r="L141" s="392"/>
      <c r="M141" s="281">
        <v>2004</v>
      </c>
      <c r="N141" s="390">
        <v>3</v>
      </c>
      <c r="O141" s="391">
        <v>168738</v>
      </c>
      <c r="P141" s="391">
        <v>77653</v>
      </c>
      <c r="Q141" s="391">
        <v>7</v>
      </c>
      <c r="R141" s="391">
        <v>246398</v>
      </c>
      <c r="S141" s="233"/>
      <c r="T141" s="225">
        <v>168738</v>
      </c>
      <c r="U141" s="225">
        <v>77653</v>
      </c>
      <c r="V141" s="226">
        <v>0.36967665215044382</v>
      </c>
      <c r="W141" s="227">
        <v>0.68481887028303801</v>
      </c>
      <c r="X141" s="228" t="s">
        <v>899</v>
      </c>
      <c r="Y141" s="229" t="s">
        <v>900</v>
      </c>
      <c r="Z141" s="230" t="s">
        <v>902</v>
      </c>
      <c r="AA141" s="231">
        <v>0</v>
      </c>
      <c r="AB141" s="231">
        <v>77653</v>
      </c>
      <c r="AC141" s="232">
        <v>7</v>
      </c>
      <c r="AD141" s="374">
        <v>77660</v>
      </c>
    </row>
    <row r="142" spans="1:31">
      <c r="A142" s="389" t="s">
        <v>77</v>
      </c>
      <c r="B142" s="221" t="s">
        <v>12</v>
      </c>
      <c r="C142" t="s">
        <v>528</v>
      </c>
      <c r="D142"/>
      <c r="E142"/>
      <c r="F142" t="s">
        <v>359</v>
      </c>
      <c r="G142"/>
      <c r="H142"/>
      <c r="I142" t="s">
        <v>359</v>
      </c>
      <c r="J142" t="s">
        <v>359</v>
      </c>
      <c r="K142" s="392"/>
      <c r="L142" s="392"/>
      <c r="M142" s="281">
        <v>1992</v>
      </c>
      <c r="N142" s="390">
        <v>4</v>
      </c>
      <c r="O142" s="391">
        <v>133226</v>
      </c>
      <c r="P142" s="391">
        <v>27279</v>
      </c>
      <c r="Q142" s="391">
        <v>4</v>
      </c>
      <c r="R142" s="391">
        <v>160509</v>
      </c>
      <c r="S142" s="233"/>
      <c r="T142" s="225">
        <v>133226</v>
      </c>
      <c r="U142" s="225">
        <v>27279</v>
      </c>
      <c r="V142" s="226">
        <v>0.66008535559639891</v>
      </c>
      <c r="W142" s="227">
        <v>0.83002199253624409</v>
      </c>
      <c r="X142" s="228" t="s">
        <v>899</v>
      </c>
      <c r="Y142" s="229" t="s">
        <v>900</v>
      </c>
      <c r="Z142" s="230" t="s">
        <v>901</v>
      </c>
      <c r="AA142" s="231">
        <v>0</v>
      </c>
      <c r="AB142" s="231">
        <v>27279</v>
      </c>
      <c r="AC142" s="232">
        <v>4</v>
      </c>
      <c r="AD142" s="374">
        <v>27283</v>
      </c>
    </row>
    <row r="143" spans="1:31">
      <c r="A143" s="389" t="s">
        <v>77</v>
      </c>
      <c r="B143" s="221" t="s">
        <v>12</v>
      </c>
      <c r="C143" t="s">
        <v>529</v>
      </c>
      <c r="E143"/>
      <c r="F143"/>
      <c r="G143"/>
      <c r="H143"/>
      <c r="I143" t="s">
        <v>359</v>
      </c>
      <c r="J143" t="s">
        <v>359</v>
      </c>
      <c r="K143" s="392"/>
      <c r="L143" s="392"/>
      <c r="M143" s="281">
        <v>2009</v>
      </c>
      <c r="N143" s="390">
        <v>5</v>
      </c>
      <c r="O143" s="391">
        <v>177729</v>
      </c>
      <c r="P143" s="391">
        <v>77289</v>
      </c>
      <c r="Q143" s="391">
        <v>15359</v>
      </c>
      <c r="R143" s="391">
        <v>270377</v>
      </c>
      <c r="S143" s="233"/>
      <c r="T143" s="225">
        <v>177729</v>
      </c>
      <c r="U143" s="225">
        <v>77289</v>
      </c>
      <c r="V143" s="226">
        <v>0.39385455144342751</v>
      </c>
      <c r="W143" s="227">
        <v>0.65733771733542423</v>
      </c>
      <c r="X143" s="228" t="s">
        <v>899</v>
      </c>
      <c r="Y143" s="229" t="s">
        <v>900</v>
      </c>
      <c r="Z143" s="230" t="s">
        <v>902</v>
      </c>
      <c r="AA143" s="231">
        <v>0</v>
      </c>
      <c r="AB143" s="231">
        <v>77289</v>
      </c>
      <c r="AC143" s="232">
        <v>15359</v>
      </c>
      <c r="AD143" s="374">
        <v>92648</v>
      </c>
    </row>
    <row r="144" spans="1:31">
      <c r="A144" s="389" t="s">
        <v>77</v>
      </c>
      <c r="B144" s="221" t="s">
        <v>12</v>
      </c>
      <c r="C144" t="s">
        <v>530</v>
      </c>
      <c r="D144"/>
      <c r="E144"/>
      <c r="F144"/>
      <c r="G144"/>
      <c r="H144"/>
      <c r="I144" t="s">
        <v>359</v>
      </c>
      <c r="J144" t="s">
        <v>359</v>
      </c>
      <c r="K144" s="389"/>
      <c r="L144" s="389"/>
      <c r="M144" s="281">
        <v>2006</v>
      </c>
      <c r="N144" s="390">
        <v>6</v>
      </c>
      <c r="O144" s="391">
        <v>132991</v>
      </c>
      <c r="P144" s="391">
        <v>193138</v>
      </c>
      <c r="Q144" s="391">
        <v>0</v>
      </c>
      <c r="R144" s="391">
        <v>326129</v>
      </c>
      <c r="S144" s="233"/>
      <c r="T144" s="225">
        <v>193138</v>
      </c>
      <c r="U144" s="225">
        <v>132991</v>
      </c>
      <c r="V144" s="226">
        <v>0.18442702120939874</v>
      </c>
      <c r="W144" s="227">
        <v>0.5922135106046994</v>
      </c>
      <c r="X144" s="228" t="s">
        <v>899</v>
      </c>
      <c r="Y144" s="229" t="s">
        <v>903</v>
      </c>
      <c r="Z144" s="230" t="s">
        <v>904</v>
      </c>
      <c r="AA144" s="231">
        <v>132991</v>
      </c>
      <c r="AB144" s="231">
        <v>0</v>
      </c>
      <c r="AC144" s="232">
        <v>0</v>
      </c>
      <c r="AD144" s="374">
        <v>132991</v>
      </c>
    </row>
    <row r="145" spans="1:31">
      <c r="A145" s="389" t="s">
        <v>77</v>
      </c>
      <c r="B145" s="221" t="s">
        <v>12</v>
      </c>
      <c r="C145" t="s">
        <v>531</v>
      </c>
      <c r="D145"/>
      <c r="E145" t="s">
        <v>359</v>
      </c>
      <c r="F145"/>
      <c r="G145"/>
      <c r="H145"/>
      <c r="I145" t="s">
        <v>359</v>
      </c>
      <c r="J145" t="s">
        <v>359</v>
      </c>
      <c r="K145" s="392"/>
      <c r="L145" s="392"/>
      <c r="M145" s="281">
        <v>1996</v>
      </c>
      <c r="N145" s="390">
        <v>7</v>
      </c>
      <c r="O145" s="391">
        <v>242439</v>
      </c>
      <c r="P145" s="391">
        <v>31466</v>
      </c>
      <c r="Q145" s="391">
        <v>12530</v>
      </c>
      <c r="R145" s="391">
        <v>286435</v>
      </c>
      <c r="S145" s="233"/>
      <c r="T145" s="225">
        <v>242439</v>
      </c>
      <c r="U145" s="225">
        <v>31466</v>
      </c>
      <c r="V145" s="226">
        <v>0.77024150709187489</v>
      </c>
      <c r="W145" s="227">
        <v>0.84640145233648123</v>
      </c>
      <c r="X145" s="228" t="s">
        <v>899</v>
      </c>
      <c r="Y145" s="229" t="s">
        <v>900</v>
      </c>
      <c r="Z145" s="230" t="s">
        <v>901</v>
      </c>
      <c r="AA145" s="231">
        <v>0</v>
      </c>
      <c r="AB145" s="231">
        <v>31466</v>
      </c>
      <c r="AC145" s="232">
        <v>12530</v>
      </c>
      <c r="AD145" s="374">
        <v>43996</v>
      </c>
    </row>
    <row r="146" spans="1:31">
      <c r="A146" s="389" t="s">
        <v>77</v>
      </c>
      <c r="B146" s="221" t="s">
        <v>12</v>
      </c>
      <c r="C146" t="s">
        <v>532</v>
      </c>
      <c r="D146" t="s">
        <v>359</v>
      </c>
      <c r="E146"/>
      <c r="F146"/>
      <c r="G146" t="s">
        <v>359</v>
      </c>
      <c r="H146"/>
      <c r="I146" t="s">
        <v>359</v>
      </c>
      <c r="J146" t="s">
        <v>899</v>
      </c>
      <c r="K146" s="392">
        <v>1</v>
      </c>
      <c r="L146" s="392">
        <v>1</v>
      </c>
      <c r="M146" s="281">
        <v>2012</v>
      </c>
      <c r="N146" s="390">
        <v>8</v>
      </c>
      <c r="O146" s="391">
        <v>123206</v>
      </c>
      <c r="P146" s="391">
        <v>101860</v>
      </c>
      <c r="Q146" s="391">
        <v>0</v>
      </c>
      <c r="R146" s="391">
        <v>225066</v>
      </c>
      <c r="S146" s="233"/>
      <c r="T146" s="225">
        <v>123206</v>
      </c>
      <c r="U146" s="225">
        <v>101860</v>
      </c>
      <c r="V146" s="226">
        <v>9.4843290412590084E-2</v>
      </c>
      <c r="W146" s="227">
        <v>0.54742164520629499</v>
      </c>
      <c r="X146" s="228" t="s">
        <v>899</v>
      </c>
      <c r="Y146" s="229" t="s">
        <v>900</v>
      </c>
      <c r="Z146" s="230" t="s">
        <v>905</v>
      </c>
      <c r="AA146" s="231">
        <v>0</v>
      </c>
      <c r="AB146" s="231">
        <v>101860</v>
      </c>
      <c r="AC146" s="232">
        <v>0</v>
      </c>
      <c r="AD146" s="374">
        <v>101860</v>
      </c>
    </row>
    <row r="147" spans="1:31">
      <c r="A147" s="389" t="s">
        <v>77</v>
      </c>
      <c r="B147" s="221" t="s">
        <v>12</v>
      </c>
      <c r="C147" t="s">
        <v>533</v>
      </c>
      <c r="D147" t="s">
        <v>359</v>
      </c>
      <c r="E147"/>
      <c r="F147"/>
      <c r="G147"/>
      <c r="H147"/>
      <c r="I147" t="s">
        <v>359</v>
      </c>
      <c r="J147" t="s">
        <v>359</v>
      </c>
      <c r="K147" s="392"/>
      <c r="L147" s="392"/>
      <c r="M147" s="281">
        <v>1998</v>
      </c>
      <c r="N147" s="390">
        <v>9</v>
      </c>
      <c r="O147" s="391">
        <v>194869</v>
      </c>
      <c r="P147" s="391">
        <v>98924</v>
      </c>
      <c r="Q147" s="391">
        <v>14</v>
      </c>
      <c r="R147" s="391">
        <v>293807</v>
      </c>
      <c r="S147" s="233"/>
      <c r="T147" s="225">
        <v>194869</v>
      </c>
      <c r="U147" s="225">
        <v>98924</v>
      </c>
      <c r="V147" s="226">
        <v>0.32657347179817081</v>
      </c>
      <c r="W147" s="227">
        <v>0.66325513006837822</v>
      </c>
      <c r="X147" s="228" t="s">
        <v>899</v>
      </c>
      <c r="Y147" s="229" t="s">
        <v>900</v>
      </c>
      <c r="Z147" s="230" t="s">
        <v>902</v>
      </c>
      <c r="AA147" s="231">
        <v>0</v>
      </c>
      <c r="AB147" s="231">
        <v>98924</v>
      </c>
      <c r="AC147" s="232">
        <v>14</v>
      </c>
      <c r="AD147" s="374">
        <v>98938</v>
      </c>
    </row>
    <row r="148" spans="1:31">
      <c r="A148" s="389" t="s">
        <v>77</v>
      </c>
      <c r="B148" s="221" t="s">
        <v>12</v>
      </c>
      <c r="C148" t="s">
        <v>534</v>
      </c>
      <c r="D148"/>
      <c r="E148"/>
      <c r="F148"/>
      <c r="G148"/>
      <c r="H148"/>
      <c r="I148" t="s">
        <v>359</v>
      </c>
      <c r="J148" t="s">
        <v>899</v>
      </c>
      <c r="K148" s="392">
        <v>1</v>
      </c>
      <c r="L148" s="392">
        <v>1</v>
      </c>
      <c r="M148" s="281">
        <v>2012</v>
      </c>
      <c r="N148" s="390">
        <v>10</v>
      </c>
      <c r="O148" s="391">
        <v>133890</v>
      </c>
      <c r="P148" s="391">
        <v>130564</v>
      </c>
      <c r="Q148" s="391">
        <v>0</v>
      </c>
      <c r="R148" s="391">
        <v>264454</v>
      </c>
      <c r="S148" s="233"/>
      <c r="T148" s="225">
        <v>133890</v>
      </c>
      <c r="U148" s="225">
        <v>130564</v>
      </c>
      <c r="V148" s="226">
        <v>1.2576856466531042E-2</v>
      </c>
      <c r="W148" s="227">
        <v>0.50628842823326548</v>
      </c>
      <c r="X148" s="228" t="s">
        <v>899</v>
      </c>
      <c r="Y148" s="229" t="s">
        <v>900</v>
      </c>
      <c r="Z148" s="230" t="s">
        <v>906</v>
      </c>
      <c r="AA148" s="231">
        <v>0</v>
      </c>
      <c r="AB148" s="231">
        <v>130564</v>
      </c>
      <c r="AC148" s="232">
        <v>0</v>
      </c>
      <c r="AD148" s="374">
        <v>130564</v>
      </c>
    </row>
    <row r="149" spans="1:31">
      <c r="A149" s="389" t="s">
        <v>77</v>
      </c>
      <c r="B149" s="221" t="s">
        <v>12</v>
      </c>
      <c r="C149" t="s">
        <v>535</v>
      </c>
      <c r="D149"/>
      <c r="E149"/>
      <c r="F149"/>
      <c r="G149"/>
      <c r="H149"/>
      <c r="I149" t="s">
        <v>359</v>
      </c>
      <c r="J149" t="s">
        <v>899</v>
      </c>
      <c r="K149" s="392">
        <v>1</v>
      </c>
      <c r="L149" s="392">
        <v>1</v>
      </c>
      <c r="M149" s="281">
        <v>2012</v>
      </c>
      <c r="N149" s="390">
        <v>11</v>
      </c>
      <c r="O149" s="391">
        <v>148928</v>
      </c>
      <c r="P149" s="391">
        <v>105348</v>
      </c>
      <c r="Q149" s="391">
        <v>19</v>
      </c>
      <c r="R149" s="391">
        <v>254295</v>
      </c>
      <c r="S149" s="233"/>
      <c r="T149" s="225">
        <v>148928</v>
      </c>
      <c r="U149" s="225">
        <v>105348</v>
      </c>
      <c r="V149" s="226">
        <v>0.17138856990042317</v>
      </c>
      <c r="W149" s="227">
        <v>0.58565052399771922</v>
      </c>
      <c r="X149" s="228" t="s">
        <v>899</v>
      </c>
      <c r="Y149" s="229" t="s">
        <v>900</v>
      </c>
      <c r="Z149" s="230" t="s">
        <v>904</v>
      </c>
      <c r="AA149" s="231">
        <v>0</v>
      </c>
      <c r="AB149" s="231">
        <v>105348</v>
      </c>
      <c r="AC149" s="232">
        <v>19</v>
      </c>
      <c r="AD149" s="374">
        <v>105367</v>
      </c>
    </row>
    <row r="150" spans="1:31">
      <c r="A150" s="389" t="s">
        <v>77</v>
      </c>
      <c r="B150" s="221" t="s">
        <v>12</v>
      </c>
      <c r="C150" t="s">
        <v>536</v>
      </c>
      <c r="D150"/>
      <c r="E150"/>
      <c r="F150"/>
      <c r="G150"/>
      <c r="H150"/>
      <c r="I150" t="s">
        <v>359</v>
      </c>
      <c r="J150" t="s">
        <v>359</v>
      </c>
      <c r="K150" s="392"/>
      <c r="L150" s="392"/>
      <c r="M150" s="281">
        <v>2012</v>
      </c>
      <c r="N150" s="390">
        <v>12</v>
      </c>
      <c r="O150" s="391">
        <v>157000</v>
      </c>
      <c r="P150" s="391">
        <v>129902</v>
      </c>
      <c r="Q150" s="391">
        <v>17047</v>
      </c>
      <c r="R150" s="391">
        <v>303949</v>
      </c>
      <c r="S150" s="233"/>
      <c r="T150" s="225">
        <v>157000</v>
      </c>
      <c r="U150" s="225">
        <v>129902</v>
      </c>
      <c r="V150" s="226">
        <v>9.4450369812688659E-2</v>
      </c>
      <c r="W150" s="227">
        <v>0.51653402380004543</v>
      </c>
      <c r="X150" s="228" t="s">
        <v>899</v>
      </c>
      <c r="Y150" s="229" t="s">
        <v>900</v>
      </c>
      <c r="Z150" s="230" t="s">
        <v>905</v>
      </c>
      <c r="AA150" s="231">
        <v>0</v>
      </c>
      <c r="AB150" s="231">
        <v>129902</v>
      </c>
      <c r="AC150" s="232">
        <v>17047</v>
      </c>
      <c r="AD150" s="374">
        <v>146949</v>
      </c>
    </row>
    <row r="151" spans="1:31">
      <c r="A151" s="389" t="s">
        <v>77</v>
      </c>
      <c r="B151" s="221" t="s">
        <v>12</v>
      </c>
      <c r="C151" t="s">
        <v>537</v>
      </c>
      <c r="D151"/>
      <c r="E151"/>
      <c r="F151"/>
      <c r="G151"/>
      <c r="H151"/>
      <c r="I151" t="s">
        <v>359</v>
      </c>
      <c r="J151" t="s">
        <v>359</v>
      </c>
      <c r="K151" s="389"/>
      <c r="L151" s="389"/>
      <c r="M151" s="281">
        <v>2012</v>
      </c>
      <c r="N151" s="390">
        <v>13</v>
      </c>
      <c r="O151" s="391">
        <v>136032</v>
      </c>
      <c r="P151" s="391">
        <v>137034</v>
      </c>
      <c r="Q151" s="391">
        <v>21319</v>
      </c>
      <c r="R151" s="391">
        <v>294385</v>
      </c>
      <c r="S151" s="233"/>
      <c r="T151" s="225">
        <v>137034</v>
      </c>
      <c r="U151" s="225">
        <v>136032</v>
      </c>
      <c r="V151" s="226">
        <v>3.6694425523499815E-3</v>
      </c>
      <c r="W151" s="227">
        <v>0.46549246734718142</v>
      </c>
      <c r="X151" s="228" t="s">
        <v>899</v>
      </c>
      <c r="Y151" s="229" t="s">
        <v>903</v>
      </c>
      <c r="Z151" s="230" t="s">
        <v>906</v>
      </c>
      <c r="AA151" s="231">
        <v>136032</v>
      </c>
      <c r="AB151" s="231">
        <v>0</v>
      </c>
      <c r="AC151" s="232">
        <v>21319</v>
      </c>
      <c r="AD151" s="374">
        <v>157351</v>
      </c>
    </row>
    <row r="152" spans="1:31">
      <c r="A152" s="389" t="s">
        <v>77</v>
      </c>
      <c r="B152" s="221" t="s">
        <v>12</v>
      </c>
      <c r="C152" t="s">
        <v>538</v>
      </c>
      <c r="D152"/>
      <c r="E152"/>
      <c r="F152"/>
      <c r="G152"/>
      <c r="H152"/>
      <c r="I152" t="s">
        <v>359</v>
      </c>
      <c r="J152" t="s">
        <v>359</v>
      </c>
      <c r="K152" s="389"/>
      <c r="L152" s="389"/>
      <c r="M152" s="281">
        <v>2010</v>
      </c>
      <c r="N152" s="390">
        <v>14</v>
      </c>
      <c r="O152" s="391">
        <v>124351</v>
      </c>
      <c r="P152" s="391">
        <v>177603</v>
      </c>
      <c r="Q152" s="391">
        <v>0</v>
      </c>
      <c r="R152" s="391">
        <v>301954</v>
      </c>
      <c r="S152" s="233"/>
      <c r="T152" s="225">
        <v>177603</v>
      </c>
      <c r="U152" s="225">
        <v>124351</v>
      </c>
      <c r="V152" s="226">
        <v>0.17635798830285407</v>
      </c>
      <c r="W152" s="227">
        <v>0.58817899415142705</v>
      </c>
      <c r="X152" s="228" t="s">
        <v>899</v>
      </c>
      <c r="Y152" s="229" t="s">
        <v>903</v>
      </c>
      <c r="Z152" s="230" t="s">
        <v>904</v>
      </c>
      <c r="AA152" s="231">
        <v>124351</v>
      </c>
      <c r="AB152" s="231">
        <v>0</v>
      </c>
      <c r="AC152" s="232">
        <v>0</v>
      </c>
      <c r="AD152" s="374">
        <v>124351</v>
      </c>
    </row>
    <row r="153" spans="1:31">
      <c r="A153" s="389" t="s">
        <v>77</v>
      </c>
      <c r="B153" s="221" t="s">
        <v>12</v>
      </c>
      <c r="C153" t="s">
        <v>539</v>
      </c>
      <c r="D153"/>
      <c r="E153"/>
      <c r="F153"/>
      <c r="G153"/>
      <c r="H153"/>
      <c r="I153" t="s">
        <v>359</v>
      </c>
      <c r="J153" t="s">
        <v>359</v>
      </c>
      <c r="K153" s="389"/>
      <c r="L153" s="389"/>
      <c r="M153" s="281">
        <v>1996</v>
      </c>
      <c r="N153" s="390">
        <v>15</v>
      </c>
      <c r="O153" s="391">
        <v>94162</v>
      </c>
      <c r="P153" s="391">
        <v>205775</v>
      </c>
      <c r="Q153" s="391">
        <v>0</v>
      </c>
      <c r="R153" s="391">
        <v>299937</v>
      </c>
      <c r="S153" s="233"/>
      <c r="T153" s="225">
        <v>205775</v>
      </c>
      <c r="U153" s="225">
        <v>94162</v>
      </c>
      <c r="V153" s="226">
        <v>0.37212147884389057</v>
      </c>
      <c r="W153" s="227">
        <v>0.68606073942194523</v>
      </c>
      <c r="X153" s="228" t="s">
        <v>899</v>
      </c>
      <c r="Y153" s="229" t="s">
        <v>903</v>
      </c>
      <c r="Z153" s="230" t="s">
        <v>902</v>
      </c>
      <c r="AA153" s="231">
        <v>94162</v>
      </c>
      <c r="AB153" s="231">
        <v>0</v>
      </c>
      <c r="AC153" s="232">
        <v>0</v>
      </c>
      <c r="AD153" s="374">
        <v>94162</v>
      </c>
      <c r="AE153" s="374">
        <v>1893451</v>
      </c>
    </row>
    <row r="154" spans="1:31">
      <c r="A154" s="389" t="s">
        <v>77</v>
      </c>
      <c r="B154" s="221" t="s">
        <v>12</v>
      </c>
      <c r="C154" t="s">
        <v>540</v>
      </c>
      <c r="D154"/>
      <c r="E154"/>
      <c r="F154"/>
      <c r="G154"/>
      <c r="H154"/>
      <c r="I154" t="s">
        <v>359</v>
      </c>
      <c r="J154" t="s">
        <v>359</v>
      </c>
      <c r="K154" s="389"/>
      <c r="L154" s="389"/>
      <c r="M154" s="281">
        <v>2010</v>
      </c>
      <c r="N154" s="390">
        <v>16</v>
      </c>
      <c r="O154" s="391">
        <v>112301</v>
      </c>
      <c r="P154" s="391">
        <v>181789</v>
      </c>
      <c r="Q154" s="391">
        <v>0</v>
      </c>
      <c r="R154" s="391">
        <v>294090</v>
      </c>
      <c r="S154" s="233"/>
      <c r="T154" s="225">
        <v>181789</v>
      </c>
      <c r="U154" s="225">
        <v>112301</v>
      </c>
      <c r="V154" s="226">
        <v>0.23628141045258255</v>
      </c>
      <c r="W154" s="227">
        <v>0.61814070522629128</v>
      </c>
      <c r="X154" s="228" t="s">
        <v>899</v>
      </c>
      <c r="Y154" s="229" t="s">
        <v>903</v>
      </c>
      <c r="Z154" s="230" t="s">
        <v>902</v>
      </c>
      <c r="AA154" s="231">
        <v>112301</v>
      </c>
      <c r="AB154" s="231">
        <v>0</v>
      </c>
      <c r="AC154" s="232">
        <v>0</v>
      </c>
      <c r="AD154" s="374">
        <v>112301</v>
      </c>
    </row>
    <row r="155" spans="1:31">
      <c r="A155" s="389" t="s">
        <v>77</v>
      </c>
      <c r="B155" s="221" t="s">
        <v>12</v>
      </c>
      <c r="C155" t="s">
        <v>541</v>
      </c>
      <c r="D155" t="s">
        <v>359</v>
      </c>
      <c r="E155"/>
      <c r="F155"/>
      <c r="G155"/>
      <c r="H155"/>
      <c r="I155" t="s">
        <v>359</v>
      </c>
      <c r="J155" t="s">
        <v>899</v>
      </c>
      <c r="K155" s="392">
        <v>1</v>
      </c>
      <c r="L155" s="392">
        <v>1</v>
      </c>
      <c r="M155" s="281">
        <v>2012</v>
      </c>
      <c r="N155" s="390">
        <v>17</v>
      </c>
      <c r="O155" s="391">
        <v>153519</v>
      </c>
      <c r="P155" s="391">
        <v>134623</v>
      </c>
      <c r="Q155" s="391">
        <v>19</v>
      </c>
      <c r="R155" s="391">
        <v>288161</v>
      </c>
      <c r="S155" s="233"/>
      <c r="T155" s="225">
        <v>153519</v>
      </c>
      <c r="U155" s="225">
        <v>134623</v>
      </c>
      <c r="V155" s="226">
        <v>6.5578777130720273E-2</v>
      </c>
      <c r="W155" s="227">
        <v>0.53275425890387662</v>
      </c>
      <c r="X155" s="228" t="s">
        <v>899</v>
      </c>
      <c r="Y155" s="229" t="s">
        <v>900</v>
      </c>
      <c r="Z155" s="230" t="s">
        <v>905</v>
      </c>
      <c r="AA155" s="231">
        <v>0</v>
      </c>
      <c r="AB155" s="231">
        <v>134623</v>
      </c>
      <c r="AC155" s="232">
        <v>19</v>
      </c>
      <c r="AD155" s="374">
        <v>134642</v>
      </c>
    </row>
    <row r="156" spans="1:31">
      <c r="A156" s="389" t="s">
        <v>77</v>
      </c>
      <c r="B156" s="221" t="s">
        <v>12</v>
      </c>
      <c r="C156" t="s">
        <v>542</v>
      </c>
      <c r="D156"/>
      <c r="E156"/>
      <c r="F156"/>
      <c r="G156"/>
      <c r="H156"/>
      <c r="I156" t="s">
        <v>359</v>
      </c>
      <c r="J156" t="s">
        <v>359</v>
      </c>
      <c r="K156" s="389"/>
      <c r="L156" s="389"/>
      <c r="M156" s="281">
        <v>2008</v>
      </c>
      <c r="N156" s="390">
        <v>18</v>
      </c>
      <c r="O156" s="391">
        <v>85164</v>
      </c>
      <c r="P156" s="391">
        <v>244467</v>
      </c>
      <c r="Q156" s="391">
        <v>0</v>
      </c>
      <c r="R156" s="391">
        <v>329631</v>
      </c>
      <c r="S156" s="233"/>
      <c r="T156" s="225">
        <v>244467</v>
      </c>
      <c r="U156" s="225">
        <v>85164</v>
      </c>
      <c r="V156" s="226">
        <v>0.48327675491686156</v>
      </c>
      <c r="W156" s="227">
        <v>0.74163837745843075</v>
      </c>
      <c r="X156" s="228" t="s">
        <v>899</v>
      </c>
      <c r="Y156" s="229" t="s">
        <v>903</v>
      </c>
      <c r="Z156" s="230" t="s">
        <v>901</v>
      </c>
      <c r="AA156" s="231">
        <v>85164</v>
      </c>
      <c r="AB156" s="231">
        <v>0</v>
      </c>
      <c r="AC156" s="232">
        <v>0</v>
      </c>
      <c r="AD156" s="374">
        <v>85164</v>
      </c>
    </row>
    <row r="157" spans="1:31">
      <c r="A157" s="389" t="s">
        <v>78</v>
      </c>
      <c r="B157" s="221" t="s">
        <v>13</v>
      </c>
      <c r="C157" t="s">
        <v>543</v>
      </c>
      <c r="D157"/>
      <c r="E157"/>
      <c r="F157"/>
      <c r="G157"/>
      <c r="H157"/>
      <c r="I157" t="s">
        <v>360</v>
      </c>
      <c r="J157" t="s">
        <v>360</v>
      </c>
      <c r="K157" s="392"/>
      <c r="L157" s="392"/>
      <c r="M157" s="281">
        <v>1984</v>
      </c>
      <c r="N157" s="390">
        <v>1</v>
      </c>
      <c r="O157" s="391">
        <v>187743</v>
      </c>
      <c r="P157" s="391">
        <v>91291</v>
      </c>
      <c r="Q157" s="391">
        <v>0</v>
      </c>
      <c r="R157" s="391">
        <v>279034</v>
      </c>
      <c r="S157" s="233"/>
      <c r="T157" s="225">
        <v>187743</v>
      </c>
      <c r="U157" s="225">
        <v>91291</v>
      </c>
      <c r="V157" s="226">
        <v>0.34566396926539417</v>
      </c>
      <c r="W157" s="227">
        <v>0.67283198463269711</v>
      </c>
      <c r="X157" s="228" t="s">
        <v>907</v>
      </c>
      <c r="Y157" s="229" t="s">
        <v>908</v>
      </c>
      <c r="Z157" s="230" t="s">
        <v>909</v>
      </c>
      <c r="AA157" s="231">
        <v>0</v>
      </c>
      <c r="AB157" s="231">
        <v>91291</v>
      </c>
      <c r="AC157" s="232">
        <v>0</v>
      </c>
      <c r="AD157" s="374">
        <v>91291</v>
      </c>
    </row>
    <row r="158" spans="1:31">
      <c r="A158" s="389" t="s">
        <v>78</v>
      </c>
      <c r="B158" s="221" t="s">
        <v>13</v>
      </c>
      <c r="C158" t="s">
        <v>544</v>
      </c>
      <c r="D158" t="s">
        <v>360</v>
      </c>
      <c r="E158"/>
      <c r="F158"/>
      <c r="G158"/>
      <c r="H158"/>
      <c r="I158" t="s">
        <v>360</v>
      </c>
      <c r="J158" t="s">
        <v>907</v>
      </c>
      <c r="K158" s="389"/>
      <c r="L158" s="389">
        <v>1</v>
      </c>
      <c r="M158" s="281">
        <v>2012</v>
      </c>
      <c r="N158" s="390">
        <v>2</v>
      </c>
      <c r="O158" s="391">
        <v>130113</v>
      </c>
      <c r="P158" s="391">
        <v>134033</v>
      </c>
      <c r="Q158" s="391">
        <v>9329</v>
      </c>
      <c r="R158" s="391">
        <v>273475</v>
      </c>
      <c r="S158" s="233"/>
      <c r="T158" s="225">
        <v>134033</v>
      </c>
      <c r="U158" s="225">
        <v>130113</v>
      </c>
      <c r="V158" s="226">
        <v>1.4840277725197429E-2</v>
      </c>
      <c r="W158" s="227">
        <v>0.49011061340159062</v>
      </c>
      <c r="X158" s="228" t="s">
        <v>907</v>
      </c>
      <c r="Y158" s="229" t="s">
        <v>910</v>
      </c>
      <c r="Z158" s="230" t="s">
        <v>911</v>
      </c>
      <c r="AA158" s="231">
        <v>130113</v>
      </c>
      <c r="AB158" s="231">
        <v>0</v>
      </c>
      <c r="AC158" s="232">
        <v>9329</v>
      </c>
      <c r="AD158" s="374">
        <v>139442</v>
      </c>
    </row>
    <row r="159" spans="1:31">
      <c r="A159" s="389" t="s">
        <v>78</v>
      </c>
      <c r="B159" s="221" t="s">
        <v>13</v>
      </c>
      <c r="C159" t="s">
        <v>545</v>
      </c>
      <c r="D159"/>
      <c r="E159"/>
      <c r="F159"/>
      <c r="G159"/>
      <c r="H159"/>
      <c r="I159" t="s">
        <v>360</v>
      </c>
      <c r="J159" t="s">
        <v>360</v>
      </c>
      <c r="K159" s="389"/>
      <c r="L159" s="389"/>
      <c r="M159" s="281">
        <v>2010</v>
      </c>
      <c r="N159" s="390">
        <v>3</v>
      </c>
      <c r="O159" s="391">
        <v>92363</v>
      </c>
      <c r="P159" s="391">
        <v>187872</v>
      </c>
      <c r="Q159" s="391">
        <v>0</v>
      </c>
      <c r="R159" s="391">
        <v>280235</v>
      </c>
      <c r="S159" s="233"/>
      <c r="T159" s="225">
        <v>187872</v>
      </c>
      <c r="U159" s="225">
        <v>92363</v>
      </c>
      <c r="V159" s="226">
        <v>0.34081752814602029</v>
      </c>
      <c r="W159" s="227">
        <v>0.6704087640730102</v>
      </c>
      <c r="X159" s="228" t="s">
        <v>907</v>
      </c>
      <c r="Y159" s="229" t="s">
        <v>910</v>
      </c>
      <c r="Z159" s="230" t="s">
        <v>909</v>
      </c>
      <c r="AA159" s="231">
        <v>92363</v>
      </c>
      <c r="AB159" s="231">
        <v>0</v>
      </c>
      <c r="AC159" s="232">
        <v>0</v>
      </c>
      <c r="AD159" s="374">
        <v>92363</v>
      </c>
    </row>
    <row r="160" spans="1:31">
      <c r="A160" s="389" t="s">
        <v>78</v>
      </c>
      <c r="B160" s="221" t="s">
        <v>13</v>
      </c>
      <c r="C160" t="s">
        <v>546</v>
      </c>
      <c r="D160"/>
      <c r="F160"/>
      <c r="G160"/>
      <c r="H160"/>
      <c r="I160" t="s">
        <v>360</v>
      </c>
      <c r="J160" t="s">
        <v>360</v>
      </c>
      <c r="K160" s="389"/>
      <c r="L160" s="389"/>
      <c r="M160" s="281">
        <v>2010</v>
      </c>
      <c r="N160" s="390">
        <v>4</v>
      </c>
      <c r="O160" s="391">
        <v>93015</v>
      </c>
      <c r="P160" s="391">
        <v>168688</v>
      </c>
      <c r="Q160" s="391">
        <v>10565</v>
      </c>
      <c r="R160" s="391">
        <v>272268</v>
      </c>
      <c r="S160" s="233"/>
      <c r="T160" s="225">
        <v>168688</v>
      </c>
      <c r="U160" s="225">
        <v>93015</v>
      </c>
      <c r="V160" s="226">
        <v>0.28915602801649198</v>
      </c>
      <c r="W160" s="227">
        <v>0.61956601583733673</v>
      </c>
      <c r="X160" s="228" t="s">
        <v>907</v>
      </c>
      <c r="Y160" s="229" t="s">
        <v>910</v>
      </c>
      <c r="Z160" s="230" t="s">
        <v>909</v>
      </c>
      <c r="AA160" s="231">
        <v>93015</v>
      </c>
      <c r="AB160" s="231">
        <v>0</v>
      </c>
      <c r="AC160" s="232">
        <v>10565</v>
      </c>
      <c r="AD160" s="374">
        <v>103580</v>
      </c>
    </row>
    <row r="161" spans="1:31">
      <c r="A161" s="389" t="s">
        <v>78</v>
      </c>
      <c r="B161" s="221" t="s">
        <v>13</v>
      </c>
      <c r="C161" t="s">
        <v>547</v>
      </c>
      <c r="D161" t="s">
        <v>360</v>
      </c>
      <c r="E161"/>
      <c r="F161"/>
      <c r="G161"/>
      <c r="H161"/>
      <c r="I161" t="s">
        <v>360</v>
      </c>
      <c r="J161" t="s">
        <v>360</v>
      </c>
      <c r="K161" s="389"/>
      <c r="L161" s="389"/>
      <c r="M161" s="281">
        <v>2012</v>
      </c>
      <c r="N161" s="390">
        <v>5</v>
      </c>
      <c r="O161" s="391">
        <v>125347</v>
      </c>
      <c r="P161" s="391">
        <v>194570</v>
      </c>
      <c r="Q161" s="391">
        <v>13442</v>
      </c>
      <c r="R161" s="391">
        <v>333359</v>
      </c>
      <c r="S161" s="233"/>
      <c r="T161" s="225">
        <v>194570</v>
      </c>
      <c r="U161" s="225">
        <v>125347</v>
      </c>
      <c r="V161" s="226">
        <v>0.21637799804324245</v>
      </c>
      <c r="W161" s="227">
        <v>0.58366505779055011</v>
      </c>
      <c r="X161" s="228" t="s">
        <v>907</v>
      </c>
      <c r="Y161" s="229" t="s">
        <v>910</v>
      </c>
      <c r="Z161" s="230" t="s">
        <v>909</v>
      </c>
      <c r="AA161" s="231">
        <v>125347</v>
      </c>
      <c r="AB161" s="231">
        <v>0</v>
      </c>
      <c r="AC161" s="232">
        <v>13442</v>
      </c>
      <c r="AD161" s="374">
        <v>138789</v>
      </c>
    </row>
    <row r="162" spans="1:31">
      <c r="A162" s="389" t="s">
        <v>78</v>
      </c>
      <c r="B162" s="221" t="s">
        <v>13</v>
      </c>
      <c r="C162" t="s">
        <v>548</v>
      </c>
      <c r="D162"/>
      <c r="E162"/>
      <c r="F162"/>
      <c r="G162"/>
      <c r="H162"/>
      <c r="I162" t="s">
        <v>360</v>
      </c>
      <c r="J162" t="s">
        <v>360</v>
      </c>
      <c r="K162" s="389"/>
      <c r="L162" s="389"/>
      <c r="M162" s="281">
        <v>2012</v>
      </c>
      <c r="N162" s="390">
        <v>6</v>
      </c>
      <c r="O162" s="391">
        <v>96678</v>
      </c>
      <c r="P162" s="391">
        <v>162613</v>
      </c>
      <c r="Q162" s="391">
        <v>15962</v>
      </c>
      <c r="R162" s="391">
        <v>275253</v>
      </c>
      <c r="S162" s="233"/>
      <c r="T162" s="225">
        <v>162613</v>
      </c>
      <c r="U162" s="225">
        <v>96678</v>
      </c>
      <c r="V162" s="226">
        <v>0.25428958197546386</v>
      </c>
      <c r="W162" s="227">
        <v>0.59077648563321739</v>
      </c>
      <c r="X162" s="228" t="s">
        <v>907</v>
      </c>
      <c r="Y162" s="229" t="s">
        <v>910</v>
      </c>
      <c r="Z162" s="230" t="s">
        <v>909</v>
      </c>
      <c r="AA162" s="231">
        <v>96678</v>
      </c>
      <c r="AB162" s="231">
        <v>0</v>
      </c>
      <c r="AC162" s="232">
        <v>15962</v>
      </c>
      <c r="AD162" s="374">
        <v>112640</v>
      </c>
      <c r="AE162" s="374">
        <v>1010212</v>
      </c>
    </row>
    <row r="163" spans="1:31">
      <c r="A163" s="389" t="s">
        <v>78</v>
      </c>
      <c r="B163" s="221" t="s">
        <v>13</v>
      </c>
      <c r="C163" t="s">
        <v>549</v>
      </c>
      <c r="D163"/>
      <c r="E163" t="s">
        <v>360</v>
      </c>
      <c r="F163"/>
      <c r="G163"/>
      <c r="H163"/>
      <c r="I163" t="s">
        <v>360</v>
      </c>
      <c r="J163" t="s">
        <v>360</v>
      </c>
      <c r="K163" s="392"/>
      <c r="L163" s="392"/>
      <c r="M163" s="281">
        <v>2007.5</v>
      </c>
      <c r="N163" s="390">
        <v>7</v>
      </c>
      <c r="O163" s="391">
        <v>162122</v>
      </c>
      <c r="P163" s="391">
        <v>95828</v>
      </c>
      <c r="Q163" s="391">
        <v>0</v>
      </c>
      <c r="R163" s="391">
        <v>257950</v>
      </c>
      <c r="S163" s="233"/>
      <c r="T163" s="225">
        <v>162122</v>
      </c>
      <c r="U163" s="225">
        <v>95828</v>
      </c>
      <c r="V163" s="226">
        <v>0.25700329521225046</v>
      </c>
      <c r="W163" s="227">
        <v>0.62850164760612526</v>
      </c>
      <c r="X163" s="228" t="s">
        <v>907</v>
      </c>
      <c r="Y163" s="229" t="s">
        <v>908</v>
      </c>
      <c r="Z163" s="230" t="s">
        <v>909</v>
      </c>
      <c r="AA163" s="231">
        <v>0</v>
      </c>
      <c r="AB163" s="231">
        <v>95828</v>
      </c>
      <c r="AC163" s="232">
        <v>0</v>
      </c>
      <c r="AD163" s="374">
        <v>95828</v>
      </c>
    </row>
    <row r="164" spans="1:31">
      <c r="A164" s="389" t="s">
        <v>78</v>
      </c>
      <c r="B164" s="221" t="s">
        <v>13</v>
      </c>
      <c r="C164" t="s">
        <v>550</v>
      </c>
      <c r="D164"/>
      <c r="E164"/>
      <c r="F164"/>
      <c r="G164"/>
      <c r="H164"/>
      <c r="I164" t="s">
        <v>360</v>
      </c>
      <c r="J164" t="s">
        <v>360</v>
      </c>
      <c r="K164" s="389"/>
      <c r="L164" s="389"/>
      <c r="M164" s="281">
        <v>2010</v>
      </c>
      <c r="N164" s="390">
        <v>8</v>
      </c>
      <c r="O164" s="391">
        <v>122325</v>
      </c>
      <c r="P164" s="391">
        <v>151533</v>
      </c>
      <c r="Q164" s="391">
        <v>10134</v>
      </c>
      <c r="R164" s="391">
        <v>283992</v>
      </c>
      <c r="S164" s="233"/>
      <c r="T164" s="225">
        <v>151533</v>
      </c>
      <c r="U164" s="225">
        <v>122325</v>
      </c>
      <c r="V164" s="226">
        <v>0.10665381329009925</v>
      </c>
      <c r="W164" s="227">
        <v>0.53358193188540526</v>
      </c>
      <c r="X164" s="228" t="s">
        <v>907</v>
      </c>
      <c r="Y164" s="229" t="s">
        <v>910</v>
      </c>
      <c r="Z164" s="230" t="s">
        <v>912</v>
      </c>
      <c r="AA164" s="231">
        <v>122325</v>
      </c>
      <c r="AB164" s="231">
        <v>0</v>
      </c>
      <c r="AC164" s="232">
        <v>10134</v>
      </c>
      <c r="AD164" s="374">
        <v>132459</v>
      </c>
    </row>
    <row r="165" spans="1:31">
      <c r="A165" s="389" t="s">
        <v>78</v>
      </c>
      <c r="B165" s="221" t="s">
        <v>13</v>
      </c>
      <c r="C165" t="s">
        <v>551</v>
      </c>
      <c r="D165"/>
      <c r="E165"/>
      <c r="F165"/>
      <c r="G165"/>
      <c r="H165"/>
      <c r="I165" t="s">
        <v>360</v>
      </c>
      <c r="J165" t="s">
        <v>360</v>
      </c>
      <c r="K165" s="389"/>
      <c r="L165" s="389"/>
      <c r="M165" s="281">
        <v>2010</v>
      </c>
      <c r="N165" s="390">
        <v>9</v>
      </c>
      <c r="O165" s="391">
        <v>132848</v>
      </c>
      <c r="P165" s="391">
        <v>165332</v>
      </c>
      <c r="Q165" s="391">
        <v>0</v>
      </c>
      <c r="R165" s="391">
        <v>298180</v>
      </c>
      <c r="S165" s="233"/>
      <c r="T165" s="225">
        <v>165332</v>
      </c>
      <c r="U165" s="225">
        <v>132848</v>
      </c>
      <c r="V165" s="226">
        <v>0.10894090817626936</v>
      </c>
      <c r="W165" s="227">
        <v>0.55447045408813467</v>
      </c>
      <c r="X165" s="228" t="s">
        <v>907</v>
      </c>
      <c r="Y165" s="229" t="s">
        <v>910</v>
      </c>
      <c r="Z165" s="230" t="s">
        <v>912</v>
      </c>
      <c r="AA165" s="231">
        <v>132848</v>
      </c>
      <c r="AB165" s="231">
        <v>0</v>
      </c>
      <c r="AC165" s="232">
        <v>0</v>
      </c>
      <c r="AD165" s="374">
        <v>132848</v>
      </c>
    </row>
    <row r="166" spans="1:31">
      <c r="A166" s="389" t="s">
        <v>79</v>
      </c>
      <c r="B166" s="221" t="s">
        <v>14</v>
      </c>
      <c r="C166" t="s">
        <v>552</v>
      </c>
      <c r="D166"/>
      <c r="E166"/>
      <c r="F166"/>
      <c r="G166"/>
      <c r="H166"/>
      <c r="I166" t="s">
        <v>913</v>
      </c>
      <c r="J166" t="s">
        <v>913</v>
      </c>
      <c r="K166" s="392"/>
      <c r="L166" s="392"/>
      <c r="M166" s="281">
        <v>2006</v>
      </c>
      <c r="N166" s="390">
        <v>1</v>
      </c>
      <c r="O166" s="391">
        <v>222422</v>
      </c>
      <c r="P166" s="391">
        <v>162465</v>
      </c>
      <c r="Q166" s="391">
        <v>5962</v>
      </c>
      <c r="R166" s="391">
        <v>390849</v>
      </c>
      <c r="S166" s="233"/>
      <c r="T166" s="225">
        <v>222422</v>
      </c>
      <c r="U166" s="225">
        <v>162465</v>
      </c>
      <c r="V166" s="226">
        <v>0.15577818944261562</v>
      </c>
      <c r="W166" s="227">
        <v>0.56907399021105343</v>
      </c>
      <c r="X166" s="228" t="s">
        <v>914</v>
      </c>
      <c r="Y166" s="229" t="s">
        <v>915</v>
      </c>
      <c r="Z166" s="230" t="s">
        <v>916</v>
      </c>
      <c r="AA166" s="231">
        <v>0</v>
      </c>
      <c r="AB166" s="231">
        <v>162465</v>
      </c>
      <c r="AC166" s="232">
        <v>5962</v>
      </c>
      <c r="AD166" s="374">
        <v>168427</v>
      </c>
    </row>
    <row r="167" spans="1:31">
      <c r="A167" s="389" t="s">
        <v>79</v>
      </c>
      <c r="B167" s="221" t="s">
        <v>14</v>
      </c>
      <c r="C167" t="s">
        <v>553</v>
      </c>
      <c r="D167"/>
      <c r="E167"/>
      <c r="F167"/>
      <c r="G167"/>
      <c r="H167"/>
      <c r="I167" t="s">
        <v>913</v>
      </c>
      <c r="J167" t="s">
        <v>913</v>
      </c>
      <c r="K167" s="392"/>
      <c r="L167" s="392"/>
      <c r="M167" s="281">
        <v>2006</v>
      </c>
      <c r="N167" s="390">
        <v>2</v>
      </c>
      <c r="O167" s="391">
        <v>211863</v>
      </c>
      <c r="P167" s="391">
        <v>161977</v>
      </c>
      <c r="Q167" s="391">
        <v>7435</v>
      </c>
      <c r="R167" s="391">
        <v>381275</v>
      </c>
      <c r="S167" s="233"/>
      <c r="T167" s="225">
        <v>211863</v>
      </c>
      <c r="U167" s="225">
        <v>161977</v>
      </c>
      <c r="V167" s="226">
        <v>0.13344211427348598</v>
      </c>
      <c r="W167" s="227">
        <v>0.55566979214477741</v>
      </c>
      <c r="X167" s="228" t="s">
        <v>914</v>
      </c>
      <c r="Y167" s="229" t="s">
        <v>915</v>
      </c>
      <c r="Z167" s="230" t="s">
        <v>916</v>
      </c>
      <c r="AA167" s="231">
        <v>0</v>
      </c>
      <c r="AB167" s="231">
        <v>161977</v>
      </c>
      <c r="AC167" s="232">
        <v>7435</v>
      </c>
      <c r="AD167" s="374">
        <v>169412</v>
      </c>
      <c r="AE167" s="374">
        <v>698974</v>
      </c>
    </row>
    <row r="168" spans="1:31">
      <c r="A168" s="389" t="s">
        <v>79</v>
      </c>
      <c r="B168" s="221" t="s">
        <v>14</v>
      </c>
      <c r="C168" t="s">
        <v>554</v>
      </c>
      <c r="D168"/>
      <c r="E168"/>
      <c r="F168"/>
      <c r="G168"/>
      <c r="H168"/>
      <c r="I168" t="s">
        <v>913</v>
      </c>
      <c r="J168" t="s">
        <v>913</v>
      </c>
      <c r="K168" s="389"/>
      <c r="L168" s="389"/>
      <c r="M168" s="281">
        <v>11994</v>
      </c>
      <c r="N168" s="390">
        <v>3</v>
      </c>
      <c r="O168" s="391">
        <v>168632</v>
      </c>
      <c r="P168" s="391">
        <v>202000</v>
      </c>
      <c r="Q168" s="391">
        <v>16210</v>
      </c>
      <c r="R168" s="391">
        <v>386842</v>
      </c>
      <c r="S168" s="233"/>
      <c r="T168" s="225">
        <v>202000</v>
      </c>
      <c r="U168" s="225">
        <v>168632</v>
      </c>
      <c r="V168" s="226">
        <v>9.0030002806017834E-2</v>
      </c>
      <c r="W168" s="227">
        <v>0.52217701283728235</v>
      </c>
      <c r="X168" s="228" t="s">
        <v>914</v>
      </c>
      <c r="Y168" s="229" t="s">
        <v>917</v>
      </c>
      <c r="Z168" s="230" t="s">
        <v>918</v>
      </c>
      <c r="AA168" s="231">
        <v>168632</v>
      </c>
      <c r="AB168" s="231">
        <v>0</v>
      </c>
      <c r="AC168" s="232">
        <v>16210</v>
      </c>
      <c r="AD168" s="374">
        <v>184842</v>
      </c>
    </row>
    <row r="169" spans="1:31">
      <c r="A169" s="389" t="s">
        <v>79</v>
      </c>
      <c r="B169" s="221" t="s">
        <v>14</v>
      </c>
      <c r="C169" t="s">
        <v>555</v>
      </c>
      <c r="E169"/>
      <c r="F169"/>
      <c r="G169"/>
      <c r="H169"/>
      <c r="I169" t="s">
        <v>913</v>
      </c>
      <c r="J169" t="s">
        <v>913</v>
      </c>
      <c r="K169" s="389"/>
      <c r="L169" s="389"/>
      <c r="M169" s="281">
        <v>2002</v>
      </c>
      <c r="N169" s="390">
        <v>4</v>
      </c>
      <c r="O169" s="391">
        <v>169470</v>
      </c>
      <c r="P169" s="391">
        <v>200063</v>
      </c>
      <c r="Q169" s="391">
        <v>8350</v>
      </c>
      <c r="R169" s="391">
        <v>377883</v>
      </c>
      <c r="S169" s="233"/>
      <c r="T169" s="225">
        <v>200063</v>
      </c>
      <c r="U169" s="225">
        <v>169470</v>
      </c>
      <c r="V169" s="226">
        <v>8.2788276013238335E-2</v>
      </c>
      <c r="W169" s="227">
        <v>0.52943106728802303</v>
      </c>
      <c r="X169" s="228" t="s">
        <v>914</v>
      </c>
      <c r="Y169" s="229" t="s">
        <v>917</v>
      </c>
      <c r="Z169" s="230" t="s">
        <v>918</v>
      </c>
      <c r="AA169" s="231">
        <v>169470</v>
      </c>
      <c r="AB169" s="231">
        <v>0</v>
      </c>
      <c r="AC169" s="232">
        <v>8350</v>
      </c>
      <c r="AD169" s="374">
        <v>177820</v>
      </c>
    </row>
    <row r="170" spans="1:31">
      <c r="A170" s="389" t="s">
        <v>80</v>
      </c>
      <c r="B170" s="221" t="s">
        <v>15</v>
      </c>
      <c r="C170" t="s">
        <v>556</v>
      </c>
      <c r="D170"/>
      <c r="E170"/>
      <c r="F170"/>
      <c r="G170"/>
      <c r="H170"/>
      <c r="I170" t="s">
        <v>361</v>
      </c>
      <c r="J170" t="s">
        <v>361</v>
      </c>
      <c r="K170" s="389"/>
      <c r="L170" s="389"/>
      <c r="M170" s="281">
        <v>2010</v>
      </c>
      <c r="N170" s="390">
        <v>1</v>
      </c>
      <c r="O170" s="391">
        <v>0</v>
      </c>
      <c r="P170" s="391">
        <v>211337</v>
      </c>
      <c r="Q170" s="391">
        <v>0</v>
      </c>
      <c r="R170" s="391">
        <v>211337</v>
      </c>
      <c r="S170" s="233"/>
      <c r="T170" s="225">
        <v>211337</v>
      </c>
      <c r="U170" s="225">
        <v>0</v>
      </c>
      <c r="V170" s="226">
        <v>1</v>
      </c>
      <c r="W170" s="227">
        <v>1</v>
      </c>
      <c r="X170" s="228" t="s">
        <v>361</v>
      </c>
      <c r="Y170" s="229" t="s">
        <v>919</v>
      </c>
      <c r="Z170" s="230" t="s">
        <v>920</v>
      </c>
      <c r="AA170" s="231">
        <v>0</v>
      </c>
      <c r="AB170" s="231">
        <v>0</v>
      </c>
      <c r="AC170" s="232">
        <v>0</v>
      </c>
      <c r="AD170" s="374">
        <v>0</v>
      </c>
    </row>
    <row r="171" spans="1:31">
      <c r="A171" s="389" t="s">
        <v>80</v>
      </c>
      <c r="B171" s="221" t="s">
        <v>15</v>
      </c>
      <c r="C171" t="s">
        <v>557</v>
      </c>
      <c r="D171" t="s">
        <v>361</v>
      </c>
      <c r="E171"/>
      <c r="F171"/>
      <c r="G171"/>
      <c r="H171"/>
      <c r="I171" t="s">
        <v>361</v>
      </c>
      <c r="J171" t="s">
        <v>361</v>
      </c>
      <c r="K171" s="389"/>
      <c r="L171" s="389"/>
      <c r="M171" s="281">
        <v>2009</v>
      </c>
      <c r="N171" s="390">
        <v>2</v>
      </c>
      <c r="O171" s="391">
        <v>113735</v>
      </c>
      <c r="P171" s="391">
        <v>167463</v>
      </c>
      <c r="Q171" s="391">
        <v>12520</v>
      </c>
      <c r="R171" s="391">
        <v>293718</v>
      </c>
      <c r="S171" s="233"/>
      <c r="T171" s="225">
        <v>167463</v>
      </c>
      <c r="U171" s="225">
        <v>113735</v>
      </c>
      <c r="V171" s="226">
        <v>0.19106821527891379</v>
      </c>
      <c r="W171" s="227">
        <v>0.57014891835025427</v>
      </c>
      <c r="X171" s="228" t="s">
        <v>921</v>
      </c>
      <c r="Y171" s="229" t="s">
        <v>919</v>
      </c>
      <c r="Z171" s="230" t="s">
        <v>922</v>
      </c>
      <c r="AA171" s="231">
        <v>113735</v>
      </c>
      <c r="AB171" s="231">
        <v>0</v>
      </c>
      <c r="AC171" s="232">
        <v>12520</v>
      </c>
      <c r="AD171" s="374">
        <v>126255</v>
      </c>
      <c r="AE171" s="374">
        <v>488917</v>
      </c>
    </row>
    <row r="172" spans="1:31">
      <c r="A172" s="389" t="s">
        <v>80</v>
      </c>
      <c r="B172" s="221" t="s">
        <v>15</v>
      </c>
      <c r="C172" t="s">
        <v>558</v>
      </c>
      <c r="D172"/>
      <c r="E172"/>
      <c r="F172"/>
      <c r="G172"/>
      <c r="H172"/>
      <c r="I172" t="s">
        <v>361</v>
      </c>
      <c r="J172" t="s">
        <v>361</v>
      </c>
      <c r="K172" s="389"/>
      <c r="L172" s="389"/>
      <c r="M172" s="281">
        <v>2010</v>
      </c>
      <c r="N172" s="390">
        <v>3</v>
      </c>
      <c r="O172" s="391">
        <v>0</v>
      </c>
      <c r="P172" s="391">
        <v>201087</v>
      </c>
      <c r="Q172" s="391">
        <v>92675</v>
      </c>
      <c r="R172" s="391">
        <v>293762</v>
      </c>
      <c r="S172" s="233"/>
      <c r="T172" s="225">
        <v>201087</v>
      </c>
      <c r="U172" s="225">
        <v>92675</v>
      </c>
      <c r="V172" s="226">
        <v>1</v>
      </c>
      <c r="W172" s="227">
        <v>0.68452352584745479</v>
      </c>
      <c r="X172" s="228" t="s">
        <v>361</v>
      </c>
      <c r="Y172" s="229" t="s">
        <v>919</v>
      </c>
      <c r="Z172" s="230" t="s">
        <v>920</v>
      </c>
      <c r="AA172" s="231">
        <v>0</v>
      </c>
      <c r="AB172" s="231">
        <v>0</v>
      </c>
      <c r="AC172" s="232">
        <v>92675</v>
      </c>
      <c r="AD172" s="374">
        <v>92675</v>
      </c>
    </row>
    <row r="173" spans="1:31">
      <c r="A173" s="389" t="s">
        <v>80</v>
      </c>
      <c r="B173" s="221" t="s">
        <v>15</v>
      </c>
      <c r="C173" t="s">
        <v>559</v>
      </c>
      <c r="D173"/>
      <c r="E173"/>
      <c r="F173"/>
      <c r="G173"/>
      <c r="H173"/>
      <c r="I173" t="s">
        <v>361</v>
      </c>
      <c r="J173" t="s">
        <v>361</v>
      </c>
      <c r="K173" s="389"/>
      <c r="L173" s="389"/>
      <c r="M173" s="281">
        <v>2010</v>
      </c>
      <c r="N173" s="390">
        <v>4</v>
      </c>
      <c r="O173" s="391">
        <v>81770</v>
      </c>
      <c r="P173" s="391">
        <v>161094</v>
      </c>
      <c r="Q173" s="391">
        <v>16058</v>
      </c>
      <c r="R173" s="391">
        <v>258922</v>
      </c>
      <c r="S173" s="233"/>
      <c r="T173" s="225">
        <v>161094</v>
      </c>
      <c r="U173" s="225">
        <v>81770</v>
      </c>
      <c r="V173" s="226">
        <v>0.32661901311021807</v>
      </c>
      <c r="W173" s="227">
        <v>0.62217192822548872</v>
      </c>
      <c r="X173" s="228" t="s">
        <v>921</v>
      </c>
      <c r="Y173" s="229" t="s">
        <v>919</v>
      </c>
      <c r="Z173" s="230" t="s">
        <v>923</v>
      </c>
      <c r="AA173" s="231">
        <v>81770</v>
      </c>
      <c r="AB173" s="231">
        <v>0</v>
      </c>
      <c r="AC173" s="232">
        <v>16058</v>
      </c>
      <c r="AD173" s="374">
        <v>97828</v>
      </c>
    </row>
    <row r="174" spans="1:31">
      <c r="A174" s="389" t="s">
        <v>81</v>
      </c>
      <c r="B174" s="221" t="s">
        <v>16</v>
      </c>
      <c r="C174" t="s">
        <v>560</v>
      </c>
      <c r="D174"/>
      <c r="E174"/>
      <c r="F174"/>
      <c r="G174"/>
      <c r="H174"/>
      <c r="I174" t="s">
        <v>924</v>
      </c>
      <c r="J174" t="s">
        <v>924</v>
      </c>
      <c r="K174" s="389"/>
      <c r="L174" s="389"/>
      <c r="M174" s="281">
        <v>1994</v>
      </c>
      <c r="N174" s="390">
        <v>1</v>
      </c>
      <c r="O174" s="391">
        <v>87196</v>
      </c>
      <c r="P174" s="391">
        <v>199952</v>
      </c>
      <c r="Q174" s="391">
        <v>0</v>
      </c>
      <c r="R174" s="391">
        <v>287148</v>
      </c>
      <c r="S174" s="233"/>
      <c r="T174" s="225">
        <v>199952</v>
      </c>
      <c r="U174" s="225">
        <v>87196</v>
      </c>
      <c r="V174" s="226">
        <v>0.39267555406967836</v>
      </c>
      <c r="W174" s="227">
        <v>0.69633777703483912</v>
      </c>
      <c r="X174" s="228" t="s">
        <v>925</v>
      </c>
      <c r="Y174" s="229" t="s">
        <v>926</v>
      </c>
      <c r="Z174" s="230" t="s">
        <v>927</v>
      </c>
      <c r="AA174" s="231">
        <v>87196</v>
      </c>
      <c r="AB174" s="231">
        <v>0</v>
      </c>
      <c r="AC174" s="232">
        <v>0</v>
      </c>
      <c r="AD174" s="374">
        <v>87196</v>
      </c>
    </row>
    <row r="175" spans="1:31">
      <c r="A175" s="389" t="s">
        <v>81</v>
      </c>
      <c r="B175" s="221" t="s">
        <v>16</v>
      </c>
      <c r="C175" t="s">
        <v>561</v>
      </c>
      <c r="D175"/>
      <c r="E175"/>
      <c r="F175"/>
      <c r="G175"/>
      <c r="H175"/>
      <c r="I175" t="s">
        <v>924</v>
      </c>
      <c r="J175" t="s">
        <v>924</v>
      </c>
      <c r="K175" s="389"/>
      <c r="L175" s="389"/>
      <c r="M175" s="281">
        <v>2008</v>
      </c>
      <c r="N175" s="390">
        <v>2</v>
      </c>
      <c r="O175" s="391">
        <v>89541</v>
      </c>
      <c r="P175" s="391">
        <v>181508</v>
      </c>
      <c r="Q175" s="391">
        <v>11218</v>
      </c>
      <c r="R175" s="391">
        <v>282267</v>
      </c>
      <c r="S175" s="233"/>
      <c r="T175" s="225">
        <v>181508</v>
      </c>
      <c r="U175" s="225">
        <v>89541</v>
      </c>
      <c r="V175" s="226">
        <v>0.33930027412017755</v>
      </c>
      <c r="W175" s="227">
        <v>0.64303655758554845</v>
      </c>
      <c r="X175" s="228" t="s">
        <v>925</v>
      </c>
      <c r="Y175" s="229" t="s">
        <v>926</v>
      </c>
      <c r="Z175" s="230" t="s">
        <v>927</v>
      </c>
      <c r="AA175" s="231">
        <v>89541</v>
      </c>
      <c r="AB175" s="231">
        <v>0</v>
      </c>
      <c r="AC175" s="232">
        <v>11218</v>
      </c>
      <c r="AD175" s="374">
        <v>100759</v>
      </c>
    </row>
    <row r="176" spans="1:31">
      <c r="A176" s="389" t="s">
        <v>81</v>
      </c>
      <c r="B176" s="221" t="s">
        <v>16</v>
      </c>
      <c r="C176" t="s">
        <v>562</v>
      </c>
      <c r="D176"/>
      <c r="E176"/>
      <c r="F176"/>
      <c r="G176"/>
      <c r="H176"/>
      <c r="I176" t="s">
        <v>924</v>
      </c>
      <c r="J176" t="s">
        <v>924</v>
      </c>
      <c r="K176" s="392"/>
      <c r="L176" s="392"/>
      <c r="M176" s="281">
        <v>2006</v>
      </c>
      <c r="N176" s="390">
        <v>3</v>
      </c>
      <c r="O176" s="391">
        <v>206385</v>
      </c>
      <c r="P176" s="391">
        <v>111452</v>
      </c>
      <c r="Q176" s="391">
        <v>4819</v>
      </c>
      <c r="R176" s="391">
        <v>322656</v>
      </c>
      <c r="S176" s="233"/>
      <c r="T176" s="225">
        <v>206385</v>
      </c>
      <c r="U176" s="225">
        <v>111452</v>
      </c>
      <c r="V176" s="226">
        <v>0.29868454585211918</v>
      </c>
      <c r="W176" s="227">
        <v>0.63964407914311217</v>
      </c>
      <c r="X176" s="228" t="s">
        <v>925</v>
      </c>
      <c r="Y176" s="229" t="s">
        <v>928</v>
      </c>
      <c r="Z176" s="230" t="s">
        <v>927</v>
      </c>
      <c r="AA176" s="231">
        <v>0</v>
      </c>
      <c r="AB176" s="231">
        <v>111452</v>
      </c>
      <c r="AC176" s="232">
        <v>4819</v>
      </c>
      <c r="AD176" s="374">
        <v>116271</v>
      </c>
    </row>
    <row r="177" spans="1:32">
      <c r="A177" s="389" t="s">
        <v>81</v>
      </c>
      <c r="B177" s="221" t="s">
        <v>16</v>
      </c>
      <c r="C177" t="s">
        <v>563</v>
      </c>
      <c r="D177"/>
      <c r="E177"/>
      <c r="F177"/>
      <c r="G177"/>
      <c r="H177"/>
      <c r="I177" t="s">
        <v>924</v>
      </c>
      <c r="J177" t="s">
        <v>924</v>
      </c>
      <c r="K177" s="389"/>
      <c r="L177" s="389"/>
      <c r="M177" s="281">
        <v>2012</v>
      </c>
      <c r="N177" s="390">
        <v>4</v>
      </c>
      <c r="O177" s="391">
        <v>104733</v>
      </c>
      <c r="P177" s="391">
        <v>186036</v>
      </c>
      <c r="Q177" s="391">
        <v>8674</v>
      </c>
      <c r="R177" s="391">
        <v>299443</v>
      </c>
      <c r="S177" s="233"/>
      <c r="T177" s="225">
        <v>186036</v>
      </c>
      <c r="U177" s="225">
        <v>104733</v>
      </c>
      <c r="V177" s="226">
        <v>0.27961371397913809</v>
      </c>
      <c r="W177" s="227">
        <v>0.62127349779423802</v>
      </c>
      <c r="X177" s="228" t="s">
        <v>925</v>
      </c>
      <c r="Y177" s="229" t="s">
        <v>926</v>
      </c>
      <c r="Z177" s="230" t="s">
        <v>927</v>
      </c>
      <c r="AA177" s="231">
        <v>104733</v>
      </c>
      <c r="AB177" s="231">
        <v>0</v>
      </c>
      <c r="AC177" s="232">
        <v>8674</v>
      </c>
      <c r="AD177" s="374">
        <v>113407</v>
      </c>
      <c r="AE177" s="194">
        <v>608136</v>
      </c>
    </row>
    <row r="178" spans="1:32">
      <c r="A178" s="389" t="s">
        <v>81</v>
      </c>
      <c r="B178" s="221" t="s">
        <v>16</v>
      </c>
      <c r="C178" t="s">
        <v>564</v>
      </c>
      <c r="D178"/>
      <c r="E178"/>
      <c r="F178"/>
      <c r="G178"/>
      <c r="H178"/>
      <c r="I178" t="s">
        <v>924</v>
      </c>
      <c r="J178" t="s">
        <v>924</v>
      </c>
      <c r="K178" s="389"/>
      <c r="L178" s="389"/>
      <c r="M178" s="281">
        <v>1980</v>
      </c>
      <c r="N178" s="390">
        <v>5</v>
      </c>
      <c r="O178" s="391">
        <v>55447</v>
      </c>
      <c r="P178" s="391">
        <v>195408</v>
      </c>
      <c r="Q178" s="391">
        <v>0</v>
      </c>
      <c r="R178" s="391">
        <v>250855</v>
      </c>
      <c r="S178" s="223">
        <v>288007</v>
      </c>
      <c r="T178" s="225">
        <v>195408</v>
      </c>
      <c r="U178" s="225">
        <v>55447</v>
      </c>
      <c r="V178" s="226">
        <v>0.55793585936098544</v>
      </c>
      <c r="W178" s="227">
        <v>0.77896792968049267</v>
      </c>
      <c r="X178" s="228" t="s">
        <v>270</v>
      </c>
      <c r="Y178" s="229" t="s">
        <v>926</v>
      </c>
      <c r="Z178" s="230" t="s">
        <v>929</v>
      </c>
      <c r="AA178" s="231">
        <v>55447</v>
      </c>
      <c r="AB178" s="231">
        <v>0</v>
      </c>
      <c r="AC178" s="232">
        <v>0</v>
      </c>
      <c r="AD178" s="374">
        <v>55447</v>
      </c>
      <c r="AF178" s="6"/>
    </row>
    <row r="179" spans="1:32">
      <c r="A179" s="389" t="s">
        <v>81</v>
      </c>
      <c r="B179" s="221" t="s">
        <v>16</v>
      </c>
      <c r="C179" t="s">
        <v>565</v>
      </c>
      <c r="D179"/>
      <c r="E179"/>
      <c r="F179"/>
      <c r="G179"/>
      <c r="H179"/>
      <c r="I179" t="s">
        <v>924</v>
      </c>
      <c r="J179" t="s">
        <v>925</v>
      </c>
      <c r="K179" s="389">
        <v>1</v>
      </c>
      <c r="L179" s="389">
        <v>1</v>
      </c>
      <c r="M179" s="281">
        <v>2012</v>
      </c>
      <c r="N179" s="390">
        <v>6</v>
      </c>
      <c r="O179" s="391">
        <v>141438</v>
      </c>
      <c r="P179" s="391">
        <v>153223</v>
      </c>
      <c r="Q179" s="391">
        <v>8340</v>
      </c>
      <c r="R179" s="391">
        <v>303001</v>
      </c>
      <c r="S179" s="222">
        <v>163626</v>
      </c>
      <c r="T179" s="225">
        <v>153223</v>
      </c>
      <c r="U179" s="225">
        <v>141438</v>
      </c>
      <c r="V179" s="226">
        <v>3.9995113028191719E-2</v>
      </c>
      <c r="W179" s="227">
        <v>0.50568479972013292</v>
      </c>
      <c r="X179" s="228" t="s">
        <v>270</v>
      </c>
      <c r="Y179" s="229" t="s">
        <v>926</v>
      </c>
      <c r="Z179" s="230" t="s">
        <v>930</v>
      </c>
      <c r="AA179" s="231">
        <v>141438</v>
      </c>
      <c r="AB179" s="231">
        <v>0</v>
      </c>
      <c r="AC179" s="232">
        <v>8340</v>
      </c>
      <c r="AD179" s="374">
        <v>149778</v>
      </c>
    </row>
    <row r="180" spans="1:32">
      <c r="A180" s="389" t="s">
        <v>82</v>
      </c>
      <c r="B180" s="221" t="s">
        <v>17</v>
      </c>
      <c r="C180" t="s">
        <v>566</v>
      </c>
      <c r="D180"/>
      <c r="E180"/>
      <c r="F180"/>
      <c r="G180"/>
      <c r="H180"/>
      <c r="I180" t="s">
        <v>272</v>
      </c>
      <c r="J180" t="s">
        <v>272</v>
      </c>
      <c r="K180" s="389"/>
      <c r="L180" s="389"/>
      <c r="M180" s="281">
        <v>2007.5</v>
      </c>
      <c r="N180" s="390">
        <v>1</v>
      </c>
      <c r="O180" s="391">
        <v>61703</v>
      </c>
      <c r="P180" s="391">
        <v>218340</v>
      </c>
      <c r="Q180" s="391">
        <v>10367</v>
      </c>
      <c r="R180" s="391">
        <v>290410</v>
      </c>
      <c r="S180" s="223">
        <v>1</v>
      </c>
      <c r="T180" s="225">
        <v>218340</v>
      </c>
      <c r="U180" s="225">
        <v>61703</v>
      </c>
      <c r="V180" s="226">
        <v>0.55933195973475502</v>
      </c>
      <c r="W180" s="227">
        <v>0.75183361454495368</v>
      </c>
      <c r="X180" s="228" t="s">
        <v>270</v>
      </c>
      <c r="Y180" s="229" t="s">
        <v>931</v>
      </c>
      <c r="Z180" s="230" t="s">
        <v>932</v>
      </c>
      <c r="AA180" s="231">
        <v>61703</v>
      </c>
      <c r="AB180" s="231">
        <v>0</v>
      </c>
      <c r="AC180" s="232">
        <v>10367</v>
      </c>
      <c r="AD180" s="374">
        <v>72070</v>
      </c>
    </row>
    <row r="181" spans="1:32">
      <c r="A181" s="389" t="s">
        <v>82</v>
      </c>
      <c r="B181" s="221" t="s">
        <v>17</v>
      </c>
      <c r="C181" t="s">
        <v>567</v>
      </c>
      <c r="D181"/>
      <c r="E181" t="s">
        <v>272</v>
      </c>
      <c r="F181"/>
      <c r="G181"/>
      <c r="H181"/>
      <c r="I181" t="s">
        <v>272</v>
      </c>
      <c r="J181" t="s">
        <v>272</v>
      </c>
      <c r="K181" s="392"/>
      <c r="L181" s="392"/>
      <c r="M181" s="281">
        <v>2010</v>
      </c>
      <c r="N181" s="390">
        <v>2</v>
      </c>
      <c r="O181" s="391">
        <v>230417</v>
      </c>
      <c r="P181" s="391">
        <v>50146</v>
      </c>
      <c r="Q181" s="391">
        <v>6791</v>
      </c>
      <c r="R181" s="391">
        <v>287354</v>
      </c>
      <c r="S181" s="223">
        <v>227588</v>
      </c>
      <c r="T181" s="225">
        <v>230417</v>
      </c>
      <c r="U181" s="225">
        <v>50146</v>
      </c>
      <c r="V181" s="226">
        <v>0.64253304961808932</v>
      </c>
      <c r="W181" s="227">
        <v>0.80185763900972318</v>
      </c>
      <c r="X181" s="238" t="s">
        <v>270</v>
      </c>
      <c r="Y181" s="229" t="s">
        <v>933</v>
      </c>
      <c r="Z181" s="230" t="s">
        <v>932</v>
      </c>
      <c r="AA181" s="231">
        <v>0</v>
      </c>
      <c r="AB181" s="231">
        <v>50146</v>
      </c>
      <c r="AC181" s="232">
        <v>6791</v>
      </c>
      <c r="AD181" s="374">
        <v>56937</v>
      </c>
    </row>
    <row r="182" spans="1:32">
      <c r="A182" s="389" t="s">
        <v>82</v>
      </c>
      <c r="B182" s="221" t="s">
        <v>17</v>
      </c>
      <c r="C182" t="s">
        <v>568</v>
      </c>
      <c r="D182"/>
      <c r="E182"/>
      <c r="F182"/>
      <c r="G182"/>
      <c r="H182"/>
      <c r="I182" t="s">
        <v>272</v>
      </c>
      <c r="J182" t="s">
        <v>272</v>
      </c>
      <c r="K182" s="389"/>
      <c r="L182" s="389"/>
      <c r="M182" s="281">
        <v>2004</v>
      </c>
      <c r="N182" s="390">
        <v>3</v>
      </c>
      <c r="O182" s="391">
        <v>67070</v>
      </c>
      <c r="P182" s="391">
        <v>240558</v>
      </c>
      <c r="Q182" s="391">
        <v>3765</v>
      </c>
      <c r="R182" s="391">
        <v>311393</v>
      </c>
      <c r="S182" s="223">
        <v>1</v>
      </c>
      <c r="T182" s="225">
        <v>240558</v>
      </c>
      <c r="U182" s="225">
        <v>67070</v>
      </c>
      <c r="V182" s="226">
        <v>0.56395386635806888</v>
      </c>
      <c r="W182" s="227">
        <v>0.77252218257956984</v>
      </c>
      <c r="X182" s="228" t="s">
        <v>270</v>
      </c>
      <c r="Y182" s="229" t="s">
        <v>931</v>
      </c>
      <c r="Z182" s="230" t="s">
        <v>932</v>
      </c>
      <c r="AA182" s="231">
        <v>67070</v>
      </c>
      <c r="AB182" s="231">
        <v>0</v>
      </c>
      <c r="AC182" s="232">
        <v>3765</v>
      </c>
      <c r="AD182" s="374">
        <v>70835</v>
      </c>
      <c r="AE182" s="194"/>
    </row>
    <row r="183" spans="1:32">
      <c r="A183" s="389" t="s">
        <v>82</v>
      </c>
      <c r="B183" s="221" t="s">
        <v>17</v>
      </c>
      <c r="C183" t="s">
        <v>569</v>
      </c>
      <c r="D183"/>
      <c r="E183"/>
      <c r="F183"/>
      <c r="G183"/>
      <c r="H183"/>
      <c r="I183" t="s">
        <v>272</v>
      </c>
      <c r="J183" t="s">
        <v>272</v>
      </c>
      <c r="K183" s="389"/>
      <c r="L183" s="389"/>
      <c r="M183" s="281">
        <v>2008</v>
      </c>
      <c r="N183" s="390">
        <v>4</v>
      </c>
      <c r="O183" s="391">
        <v>0</v>
      </c>
      <c r="P183" s="391">
        <v>187894</v>
      </c>
      <c r="Q183" s="391">
        <v>61637</v>
      </c>
      <c r="R183" s="391">
        <v>249531</v>
      </c>
      <c r="S183" s="223">
        <v>312416</v>
      </c>
      <c r="T183" s="225">
        <v>187894</v>
      </c>
      <c r="U183" s="225">
        <v>61637</v>
      </c>
      <c r="V183" s="226">
        <v>1</v>
      </c>
      <c r="W183" s="227">
        <v>0.7529886066260304</v>
      </c>
      <c r="X183" s="228" t="s">
        <v>272</v>
      </c>
      <c r="Y183" s="229" t="s">
        <v>931</v>
      </c>
      <c r="Z183" s="230" t="s">
        <v>932</v>
      </c>
      <c r="AA183" s="231">
        <v>0</v>
      </c>
      <c r="AB183" s="231">
        <v>0</v>
      </c>
      <c r="AC183" s="232">
        <v>61637</v>
      </c>
      <c r="AD183" s="374">
        <v>61637</v>
      </c>
    </row>
    <row r="184" spans="1:32">
      <c r="A184" s="389" t="s">
        <v>82</v>
      </c>
      <c r="B184" s="221" t="s">
        <v>17</v>
      </c>
      <c r="C184" t="s">
        <v>570</v>
      </c>
      <c r="D184"/>
      <c r="E184"/>
      <c r="F184"/>
      <c r="G184"/>
      <c r="H184"/>
      <c r="I184" t="s">
        <v>272</v>
      </c>
      <c r="J184" t="s">
        <v>272</v>
      </c>
      <c r="K184" s="389"/>
      <c r="L184" s="389"/>
      <c r="M184" s="281">
        <v>2002</v>
      </c>
      <c r="N184" s="390">
        <v>5</v>
      </c>
      <c r="O184" s="391">
        <v>0</v>
      </c>
      <c r="P184" s="391">
        <v>202536</v>
      </c>
      <c r="Q184" s="391">
        <v>57680</v>
      </c>
      <c r="R184" s="391">
        <v>260216</v>
      </c>
      <c r="S184" s="234">
        <v>286299</v>
      </c>
      <c r="T184" s="225">
        <v>202536</v>
      </c>
      <c r="U184" s="225">
        <v>57680</v>
      </c>
      <c r="V184" s="226">
        <v>1</v>
      </c>
      <c r="W184" s="227">
        <v>0.77833799612629506</v>
      </c>
      <c r="X184" s="228" t="s">
        <v>270</v>
      </c>
      <c r="Y184" s="229" t="s">
        <v>931</v>
      </c>
      <c r="Z184" s="230" t="s">
        <v>932</v>
      </c>
      <c r="AA184" s="231">
        <v>0</v>
      </c>
      <c r="AB184" s="231">
        <v>0</v>
      </c>
      <c r="AC184" s="232">
        <v>57680</v>
      </c>
      <c r="AD184" s="374">
        <v>57680</v>
      </c>
      <c r="AE184" s="374">
        <v>524384</v>
      </c>
    </row>
    <row r="185" spans="1:32">
      <c r="A185" s="389" t="s">
        <v>82</v>
      </c>
      <c r="B185" s="221" t="s">
        <v>17</v>
      </c>
      <c r="C185" t="s">
        <v>571</v>
      </c>
      <c r="E185"/>
      <c r="F185"/>
      <c r="G185"/>
      <c r="H185"/>
      <c r="I185" t="s">
        <v>272</v>
      </c>
      <c r="J185" t="s">
        <v>272</v>
      </c>
      <c r="K185" s="389"/>
      <c r="L185" s="389"/>
      <c r="M185" s="281">
        <v>2008</v>
      </c>
      <c r="N185" s="390">
        <v>6</v>
      </c>
      <c r="O185" s="391">
        <v>0</v>
      </c>
      <c r="P185" s="391">
        <v>243553</v>
      </c>
      <c r="Q185" s="391">
        <v>63160</v>
      </c>
      <c r="R185" s="391">
        <v>306713</v>
      </c>
      <c r="S185" s="233"/>
      <c r="T185" s="225">
        <v>243553</v>
      </c>
      <c r="U185" s="225">
        <v>63160</v>
      </c>
      <c r="V185" s="226">
        <v>1</v>
      </c>
      <c r="W185" s="227">
        <v>0.79407459090420029</v>
      </c>
      <c r="X185" s="228" t="s">
        <v>272</v>
      </c>
      <c r="Y185" s="229" t="s">
        <v>931</v>
      </c>
      <c r="Z185" s="230" t="s">
        <v>932</v>
      </c>
      <c r="AA185" s="231">
        <v>0</v>
      </c>
      <c r="AB185" s="231">
        <v>0</v>
      </c>
      <c r="AC185" s="232">
        <v>63160</v>
      </c>
      <c r="AD185" s="374">
        <v>63160</v>
      </c>
    </row>
    <row r="186" spans="1:32">
      <c r="A186" s="389" t="s">
        <v>83</v>
      </c>
      <c r="B186" s="221" t="s">
        <v>18</v>
      </c>
      <c r="C186" t="s">
        <v>572</v>
      </c>
      <c r="D186" t="s">
        <v>362</v>
      </c>
      <c r="E186"/>
      <c r="F186"/>
      <c r="G186"/>
      <c r="H186"/>
      <c r="I186" t="s">
        <v>362</v>
      </c>
      <c r="J186" t="s">
        <v>362</v>
      </c>
      <c r="K186" s="392"/>
      <c r="L186" s="392"/>
      <c r="M186" s="281">
        <v>2008</v>
      </c>
      <c r="N186" s="390">
        <v>1</v>
      </c>
      <c r="O186" s="391">
        <v>236363</v>
      </c>
      <c r="P186" s="391">
        <v>128440</v>
      </c>
      <c r="Q186" s="391">
        <v>0</v>
      </c>
      <c r="R186" s="391">
        <v>364803</v>
      </c>
      <c r="S186" s="233"/>
      <c r="T186" s="225">
        <v>236363</v>
      </c>
      <c r="U186" s="225">
        <v>128440</v>
      </c>
      <c r="V186" s="226">
        <v>0.2958391241300099</v>
      </c>
      <c r="W186" s="227">
        <v>0.64791956206500489</v>
      </c>
      <c r="X186" s="228" t="s">
        <v>934</v>
      </c>
      <c r="Y186" s="229" t="s">
        <v>935</v>
      </c>
      <c r="Z186" s="230" t="s">
        <v>936</v>
      </c>
      <c r="AA186" s="231">
        <v>0</v>
      </c>
      <c r="AB186" s="231">
        <v>128440</v>
      </c>
      <c r="AC186" s="232">
        <v>0</v>
      </c>
      <c r="AD186" s="374">
        <v>128440</v>
      </c>
      <c r="AE186" s="374">
        <v>191600</v>
      </c>
    </row>
    <row r="187" spans="1:32">
      <c r="A187" s="389" t="s">
        <v>83</v>
      </c>
      <c r="B187" s="221" t="s">
        <v>18</v>
      </c>
      <c r="C187" t="s">
        <v>573</v>
      </c>
      <c r="D187"/>
      <c r="E187"/>
      <c r="F187"/>
      <c r="G187"/>
      <c r="H187"/>
      <c r="I187" t="s">
        <v>362</v>
      </c>
      <c r="J187" t="s">
        <v>362</v>
      </c>
      <c r="K187" s="392"/>
      <c r="L187" s="392"/>
      <c r="M187" s="281">
        <v>2002</v>
      </c>
      <c r="N187" s="390">
        <v>2</v>
      </c>
      <c r="O187" s="391">
        <v>191456</v>
      </c>
      <c r="P187" s="391">
        <v>137542</v>
      </c>
      <c r="Q187" s="391">
        <v>0</v>
      </c>
      <c r="R187" s="391">
        <v>328998</v>
      </c>
      <c r="S187" s="233"/>
      <c r="T187" s="225">
        <v>191456</v>
      </c>
      <c r="U187" s="225">
        <v>137542</v>
      </c>
      <c r="V187" s="226">
        <v>0.16387333661602807</v>
      </c>
      <c r="W187" s="227">
        <v>0.58193666830801405</v>
      </c>
      <c r="X187" s="228" t="s">
        <v>934</v>
      </c>
      <c r="Y187" s="229" t="s">
        <v>935</v>
      </c>
      <c r="Z187" s="230" t="s">
        <v>937</v>
      </c>
      <c r="AA187" s="231">
        <v>0</v>
      </c>
      <c r="AB187" s="231">
        <v>137542</v>
      </c>
      <c r="AC187" s="232">
        <v>0</v>
      </c>
      <c r="AD187" s="374">
        <v>137542</v>
      </c>
    </row>
    <row r="188" spans="1:32">
      <c r="A188" s="389" t="s">
        <v>84</v>
      </c>
      <c r="B188" s="221" t="s">
        <v>19</v>
      </c>
      <c r="C188" t="s">
        <v>574</v>
      </c>
      <c r="D188"/>
      <c r="E188"/>
      <c r="F188"/>
      <c r="G188"/>
      <c r="H188"/>
      <c r="I188" t="s">
        <v>363</v>
      </c>
      <c r="J188" t="s">
        <v>363</v>
      </c>
      <c r="K188" s="389"/>
      <c r="L188" s="389"/>
      <c r="M188" s="281">
        <v>2010</v>
      </c>
      <c r="N188" s="390">
        <v>1</v>
      </c>
      <c r="O188" s="391">
        <v>92812</v>
      </c>
      <c r="P188" s="391">
        <v>214204</v>
      </c>
      <c r="Q188" s="391">
        <v>30744</v>
      </c>
      <c r="R188" s="391">
        <v>337760</v>
      </c>
      <c r="S188" s="233"/>
      <c r="T188" s="225">
        <v>214204</v>
      </c>
      <c r="U188" s="225">
        <v>92812</v>
      </c>
      <c r="V188" s="226">
        <v>0.39539307397660056</v>
      </c>
      <c r="W188" s="227">
        <v>0.63418995736617712</v>
      </c>
      <c r="X188" s="228" t="s">
        <v>938</v>
      </c>
      <c r="Y188" s="229" t="s">
        <v>939</v>
      </c>
      <c r="Z188" s="230" t="s">
        <v>940</v>
      </c>
      <c r="AA188" s="231">
        <v>92812</v>
      </c>
      <c r="AB188" s="231">
        <v>0</v>
      </c>
      <c r="AC188" s="232">
        <v>30744</v>
      </c>
      <c r="AD188" s="374">
        <v>123556</v>
      </c>
    </row>
    <row r="189" spans="1:32">
      <c r="A189" s="389" t="s">
        <v>84</v>
      </c>
      <c r="B189" s="221" t="s">
        <v>19</v>
      </c>
      <c r="C189" t="s">
        <v>575</v>
      </c>
      <c r="D189"/>
      <c r="E189"/>
      <c r="F189"/>
      <c r="G189"/>
      <c r="H189"/>
      <c r="I189" t="s">
        <v>363</v>
      </c>
      <c r="J189" t="s">
        <v>363</v>
      </c>
      <c r="K189" s="392"/>
      <c r="L189" s="392"/>
      <c r="M189" s="281">
        <v>2002</v>
      </c>
      <c r="N189" s="390">
        <v>2</v>
      </c>
      <c r="O189" s="391">
        <v>194088</v>
      </c>
      <c r="P189" s="391">
        <v>92071</v>
      </c>
      <c r="Q189" s="391">
        <v>9781</v>
      </c>
      <c r="R189" s="391">
        <v>295940</v>
      </c>
      <c r="S189" s="233"/>
      <c r="T189" s="225">
        <v>194088</v>
      </c>
      <c r="U189" s="225">
        <v>92071</v>
      </c>
      <c r="V189" s="226">
        <v>0.35650460058918293</v>
      </c>
      <c r="W189" s="227">
        <v>0.65583564235993785</v>
      </c>
      <c r="X189" s="228" t="s">
        <v>938</v>
      </c>
      <c r="Y189" s="229" t="s">
        <v>941</v>
      </c>
      <c r="Z189" s="230" t="s">
        <v>940</v>
      </c>
      <c r="AA189" s="231">
        <v>0</v>
      </c>
      <c r="AB189" s="231">
        <v>92071</v>
      </c>
      <c r="AC189" s="232">
        <v>9781</v>
      </c>
      <c r="AD189" s="374">
        <v>101852</v>
      </c>
    </row>
    <row r="190" spans="1:32">
      <c r="A190" s="389" t="s">
        <v>84</v>
      </c>
      <c r="B190" s="221" t="s">
        <v>19</v>
      </c>
      <c r="C190" t="s">
        <v>576</v>
      </c>
      <c r="F190"/>
      <c r="G190"/>
      <c r="H190"/>
      <c r="I190" t="s">
        <v>363</v>
      </c>
      <c r="J190" t="s">
        <v>363</v>
      </c>
      <c r="K190" s="392"/>
      <c r="L190" s="392"/>
      <c r="M190" s="281">
        <v>2006</v>
      </c>
      <c r="N190" s="390">
        <v>3</v>
      </c>
      <c r="O190" s="391">
        <v>213747</v>
      </c>
      <c r="P190" s="391">
        <v>94549</v>
      </c>
      <c r="Q190" s="391">
        <v>11563</v>
      </c>
      <c r="R190" s="391">
        <v>319859</v>
      </c>
      <c r="S190" s="233"/>
      <c r="T190" s="225">
        <v>213747</v>
      </c>
      <c r="U190" s="225">
        <v>94549</v>
      </c>
      <c r="V190" s="226">
        <v>0.38663492228248175</v>
      </c>
      <c r="W190" s="227">
        <v>0.66825382434135039</v>
      </c>
      <c r="X190" s="228" t="s">
        <v>938</v>
      </c>
      <c r="Y190" s="229" t="s">
        <v>941</v>
      </c>
      <c r="Z190" s="230" t="s">
        <v>940</v>
      </c>
      <c r="AA190" s="231">
        <v>0</v>
      </c>
      <c r="AB190" s="231">
        <v>94549</v>
      </c>
      <c r="AC190" s="232">
        <v>11563</v>
      </c>
      <c r="AD190" s="374">
        <v>106112</v>
      </c>
    </row>
    <row r="191" spans="1:32">
      <c r="A191" s="389" t="s">
        <v>84</v>
      </c>
      <c r="B191" s="221" t="s">
        <v>19</v>
      </c>
      <c r="C191" t="s">
        <v>577</v>
      </c>
      <c r="D191" t="s">
        <v>363</v>
      </c>
      <c r="E191" t="s">
        <v>363</v>
      </c>
      <c r="F191"/>
      <c r="G191"/>
      <c r="H191"/>
      <c r="I191" t="s">
        <v>363</v>
      </c>
      <c r="J191" t="s">
        <v>363</v>
      </c>
      <c r="K191" s="392"/>
      <c r="L191" s="392"/>
      <c r="M191" s="281">
        <v>2007.5</v>
      </c>
      <c r="N191" s="390">
        <v>4</v>
      </c>
      <c r="O191" s="391">
        <v>240385</v>
      </c>
      <c r="P191" s="391">
        <v>64560</v>
      </c>
      <c r="Q191" s="391">
        <v>6567</v>
      </c>
      <c r="R191" s="391">
        <v>311512</v>
      </c>
      <c r="S191" s="233"/>
      <c r="T191" s="225">
        <v>240385</v>
      </c>
      <c r="U191" s="225">
        <v>64560</v>
      </c>
      <c r="V191" s="226">
        <v>0.57657938316745638</v>
      </c>
      <c r="W191" s="227">
        <v>0.77167171730142015</v>
      </c>
      <c r="X191" s="228" t="s">
        <v>938</v>
      </c>
      <c r="Y191" s="229" t="s">
        <v>941</v>
      </c>
      <c r="Z191" s="230" t="s">
        <v>942</v>
      </c>
      <c r="AA191" s="231">
        <v>0</v>
      </c>
      <c r="AB191" s="231">
        <v>64560</v>
      </c>
      <c r="AC191" s="232">
        <v>6567</v>
      </c>
      <c r="AD191" s="374">
        <v>71127</v>
      </c>
    </row>
    <row r="192" spans="1:32">
      <c r="A192" s="389" t="s">
        <v>84</v>
      </c>
      <c r="B192" s="221" t="s">
        <v>19</v>
      </c>
      <c r="C192" t="s">
        <v>578</v>
      </c>
      <c r="D192"/>
      <c r="E192"/>
      <c r="F192"/>
      <c r="G192"/>
      <c r="H192"/>
      <c r="I192" t="s">
        <v>363</v>
      </c>
      <c r="J192" t="s">
        <v>363</v>
      </c>
      <c r="K192" s="392"/>
      <c r="L192" s="392"/>
      <c r="M192" s="281">
        <v>1981</v>
      </c>
      <c r="N192" s="390">
        <v>5</v>
      </c>
      <c r="O192" s="391">
        <v>238618</v>
      </c>
      <c r="P192" s="391">
        <v>95271</v>
      </c>
      <c r="Q192" s="391">
        <v>9931</v>
      </c>
      <c r="R192" s="391">
        <v>343820</v>
      </c>
      <c r="S192" s="233"/>
      <c r="T192" s="225">
        <v>238618</v>
      </c>
      <c r="U192" s="225">
        <v>95271</v>
      </c>
      <c r="V192" s="226">
        <v>0.42932531470039442</v>
      </c>
      <c r="W192" s="227">
        <v>0.69402012681054037</v>
      </c>
      <c r="X192" s="228" t="s">
        <v>938</v>
      </c>
      <c r="Y192" s="229" t="s">
        <v>941</v>
      </c>
      <c r="Z192" s="230" t="s">
        <v>942</v>
      </c>
      <c r="AA192" s="231">
        <v>0</v>
      </c>
      <c r="AB192" s="231">
        <v>95271</v>
      </c>
      <c r="AC192" s="232">
        <v>9931</v>
      </c>
      <c r="AD192" s="374">
        <v>105202</v>
      </c>
    </row>
    <row r="193" spans="1:31">
      <c r="A193" s="389" t="s">
        <v>84</v>
      </c>
      <c r="B193" s="221" t="s">
        <v>19</v>
      </c>
      <c r="C193" t="s">
        <v>579</v>
      </c>
      <c r="D193"/>
      <c r="F193"/>
      <c r="G193"/>
      <c r="H193"/>
      <c r="I193" t="s">
        <v>363</v>
      </c>
      <c r="J193" t="s">
        <v>938</v>
      </c>
      <c r="K193" s="392">
        <v>1</v>
      </c>
      <c r="L193" s="392">
        <v>1</v>
      </c>
      <c r="M193" s="281">
        <v>2012</v>
      </c>
      <c r="N193" s="390">
        <v>6</v>
      </c>
      <c r="O193" s="391">
        <v>181921</v>
      </c>
      <c r="P193" s="391">
        <v>117313</v>
      </c>
      <c r="Q193" s="391">
        <v>10315</v>
      </c>
      <c r="R193" s="391">
        <v>309549</v>
      </c>
      <c r="S193" s="233"/>
      <c r="T193" s="225">
        <v>181921</v>
      </c>
      <c r="U193" s="225">
        <v>117313</v>
      </c>
      <c r="V193" s="226">
        <v>0.21591129350274368</v>
      </c>
      <c r="W193" s="227">
        <v>0.58769693974136561</v>
      </c>
      <c r="X193" s="228" t="s">
        <v>938</v>
      </c>
      <c r="Y193" s="229" t="s">
        <v>941</v>
      </c>
      <c r="Z193" s="230" t="s">
        <v>940</v>
      </c>
      <c r="AA193" s="231">
        <v>0</v>
      </c>
      <c r="AB193" s="231">
        <v>117313</v>
      </c>
      <c r="AC193" s="232">
        <v>10315</v>
      </c>
      <c r="AD193" s="374">
        <v>127628</v>
      </c>
    </row>
    <row r="194" spans="1:31">
      <c r="A194" s="389" t="s">
        <v>84</v>
      </c>
      <c r="B194" s="221" t="s">
        <v>19</v>
      </c>
      <c r="C194" t="s">
        <v>580</v>
      </c>
      <c r="D194"/>
      <c r="E194" t="s">
        <v>363</v>
      </c>
      <c r="F194"/>
      <c r="G194"/>
      <c r="H194"/>
      <c r="I194" t="s">
        <v>363</v>
      </c>
      <c r="J194" t="s">
        <v>363</v>
      </c>
      <c r="K194" s="392"/>
      <c r="L194" s="392"/>
      <c r="M194" s="281">
        <v>1996</v>
      </c>
      <c r="N194" s="390">
        <v>7</v>
      </c>
      <c r="O194" s="391">
        <v>247770</v>
      </c>
      <c r="P194" s="391">
        <v>67405</v>
      </c>
      <c r="Q194" s="391">
        <v>8643</v>
      </c>
      <c r="R194" s="391">
        <v>323818</v>
      </c>
      <c r="S194" s="233"/>
      <c r="T194" s="225">
        <v>247770</v>
      </c>
      <c r="U194" s="225">
        <v>67405</v>
      </c>
      <c r="V194" s="226">
        <v>0.57226937415721424</v>
      </c>
      <c r="W194" s="227">
        <v>0.76515202984392472</v>
      </c>
      <c r="X194" s="228" t="s">
        <v>938</v>
      </c>
      <c r="Y194" s="229" t="s">
        <v>941</v>
      </c>
      <c r="Z194" s="230" t="s">
        <v>942</v>
      </c>
      <c r="AA194" s="231">
        <v>0</v>
      </c>
      <c r="AB194" s="231">
        <v>67405</v>
      </c>
      <c r="AC194" s="232">
        <v>8643</v>
      </c>
      <c r="AD194" s="374">
        <v>76048</v>
      </c>
      <c r="AE194" s="374">
        <v>849067</v>
      </c>
    </row>
    <row r="195" spans="1:31">
      <c r="A195" s="389" t="s">
        <v>84</v>
      </c>
      <c r="B195" s="221" t="s">
        <v>19</v>
      </c>
      <c r="C195" t="s">
        <v>581</v>
      </c>
      <c r="D195"/>
      <c r="E195"/>
      <c r="F195"/>
      <c r="G195"/>
      <c r="H195"/>
      <c r="I195" t="s">
        <v>363</v>
      </c>
      <c r="J195" t="s">
        <v>363</v>
      </c>
      <c r="K195" s="392"/>
      <c r="L195" s="392"/>
      <c r="M195" s="281">
        <v>2002</v>
      </c>
      <c r="N195" s="390">
        <v>8</v>
      </c>
      <c r="O195" s="391">
        <v>217531</v>
      </c>
      <c r="P195" s="391">
        <v>113033</v>
      </c>
      <c r="Q195" s="391">
        <v>12692</v>
      </c>
      <c r="R195" s="391">
        <v>343256</v>
      </c>
      <c r="S195" s="233"/>
      <c r="T195" s="225">
        <v>217531</v>
      </c>
      <c r="U195" s="225">
        <v>113033</v>
      </c>
      <c r="V195" s="226">
        <v>0.31612032768238524</v>
      </c>
      <c r="W195" s="227">
        <v>0.63372817955112215</v>
      </c>
      <c r="X195" s="228" t="s">
        <v>938</v>
      </c>
      <c r="Y195" s="229" t="s">
        <v>941</v>
      </c>
      <c r="Z195" s="230" t="s">
        <v>940</v>
      </c>
      <c r="AA195" s="231">
        <v>0</v>
      </c>
      <c r="AB195" s="231">
        <v>113033</v>
      </c>
      <c r="AC195" s="232">
        <v>12692</v>
      </c>
      <c r="AD195" s="374">
        <v>125725</v>
      </c>
    </row>
    <row r="196" spans="1:31">
      <c r="A196" s="389" t="s">
        <v>85</v>
      </c>
      <c r="B196" s="221" t="s">
        <v>20</v>
      </c>
      <c r="C196" t="s">
        <v>582</v>
      </c>
      <c r="D196"/>
      <c r="E196"/>
      <c r="F196"/>
      <c r="G196"/>
      <c r="H196"/>
      <c r="I196" t="s">
        <v>364</v>
      </c>
      <c r="J196" t="s">
        <v>364</v>
      </c>
      <c r="K196" s="392"/>
      <c r="L196" s="392"/>
      <c r="M196" s="281">
        <v>1988</v>
      </c>
      <c r="N196" s="390">
        <v>1</v>
      </c>
      <c r="O196" s="391">
        <v>261936</v>
      </c>
      <c r="P196" s="391">
        <v>0</v>
      </c>
      <c r="Q196" s="391">
        <v>4197</v>
      </c>
      <c r="R196" s="391">
        <v>266133</v>
      </c>
      <c r="S196" s="233"/>
      <c r="T196" s="225">
        <v>261936</v>
      </c>
      <c r="U196" s="225">
        <v>4197</v>
      </c>
      <c r="V196" s="226">
        <v>1</v>
      </c>
      <c r="W196" s="227">
        <v>0.98422968966644497</v>
      </c>
      <c r="X196" s="228" t="s">
        <v>364</v>
      </c>
      <c r="Y196" s="229" t="s">
        <v>943</v>
      </c>
      <c r="Z196" s="230" t="s">
        <v>944</v>
      </c>
      <c r="AA196" s="231">
        <v>0</v>
      </c>
      <c r="AB196" s="231">
        <v>0</v>
      </c>
      <c r="AC196" s="232">
        <v>4197</v>
      </c>
      <c r="AD196" s="374">
        <v>4197</v>
      </c>
    </row>
    <row r="197" spans="1:31">
      <c r="A197" s="389" t="s">
        <v>85</v>
      </c>
      <c r="B197" s="221" t="s">
        <v>20</v>
      </c>
      <c r="C197" t="s">
        <v>583</v>
      </c>
      <c r="D197"/>
      <c r="E197"/>
      <c r="F197"/>
      <c r="G197"/>
      <c r="H197"/>
      <c r="I197" t="s">
        <v>364</v>
      </c>
      <c r="J197" t="s">
        <v>364</v>
      </c>
      <c r="K197" s="392"/>
      <c r="L197" s="392"/>
      <c r="M197" s="281">
        <v>1996</v>
      </c>
      <c r="N197" s="390">
        <v>2</v>
      </c>
      <c r="O197" s="391">
        <v>259257</v>
      </c>
      <c r="P197" s="391">
        <v>0</v>
      </c>
      <c r="Q197" s="391">
        <v>4078</v>
      </c>
      <c r="R197" s="391">
        <v>263335</v>
      </c>
      <c r="S197" s="233"/>
      <c r="T197" s="225">
        <v>259257</v>
      </c>
      <c r="U197" s="225">
        <v>4078</v>
      </c>
      <c r="V197" s="226">
        <v>1</v>
      </c>
      <c r="W197" s="227">
        <v>0.98451402206315153</v>
      </c>
      <c r="X197" s="228" t="s">
        <v>364</v>
      </c>
      <c r="Y197" s="229" t="s">
        <v>943</v>
      </c>
      <c r="Z197" s="230" t="s">
        <v>944</v>
      </c>
      <c r="AA197" s="231">
        <v>0</v>
      </c>
      <c r="AB197" s="231">
        <v>0</v>
      </c>
      <c r="AC197" s="232">
        <v>4078</v>
      </c>
      <c r="AD197" s="374">
        <v>4078</v>
      </c>
    </row>
    <row r="198" spans="1:31">
      <c r="A198" s="389" t="s">
        <v>85</v>
      </c>
      <c r="B198" s="221" t="s">
        <v>20</v>
      </c>
      <c r="C198" t="s">
        <v>584</v>
      </c>
      <c r="D198" t="s">
        <v>364</v>
      </c>
      <c r="E198"/>
      <c r="F198"/>
      <c r="G198"/>
      <c r="H198"/>
      <c r="I198" t="s">
        <v>364</v>
      </c>
      <c r="J198" t="s">
        <v>364</v>
      </c>
      <c r="K198" s="392"/>
      <c r="L198" s="392"/>
      <c r="M198" s="281">
        <v>2007</v>
      </c>
      <c r="N198" s="390">
        <v>3</v>
      </c>
      <c r="O198" s="391">
        <v>212119</v>
      </c>
      <c r="P198" s="391">
        <v>109372</v>
      </c>
      <c r="Q198" s="391">
        <v>262</v>
      </c>
      <c r="R198" s="391">
        <v>321753</v>
      </c>
      <c r="S198" s="233"/>
      <c r="T198" s="225">
        <v>212119</v>
      </c>
      <c r="U198" s="225">
        <v>109372</v>
      </c>
      <c r="V198" s="226">
        <v>0.31959526083156292</v>
      </c>
      <c r="W198" s="227">
        <v>0.65926036431672741</v>
      </c>
      <c r="X198" s="228" t="s">
        <v>945</v>
      </c>
      <c r="Y198" s="229" t="s">
        <v>943</v>
      </c>
      <c r="Z198" s="230" t="s">
        <v>946</v>
      </c>
      <c r="AA198" s="231">
        <v>0</v>
      </c>
      <c r="AB198" s="231">
        <v>109372</v>
      </c>
      <c r="AC198" s="232">
        <v>262</v>
      </c>
      <c r="AD198" s="374">
        <v>109634</v>
      </c>
    </row>
    <row r="199" spans="1:31">
      <c r="A199" s="389" t="s">
        <v>85</v>
      </c>
      <c r="B199" s="221" t="s">
        <v>20</v>
      </c>
      <c r="C199" t="s">
        <v>585</v>
      </c>
      <c r="E199"/>
      <c r="F199"/>
      <c r="G199"/>
      <c r="H199"/>
      <c r="I199" t="s">
        <v>364</v>
      </c>
      <c r="J199" t="s">
        <v>364</v>
      </c>
      <c r="K199" s="392"/>
      <c r="L199" s="392"/>
      <c r="M199" s="281">
        <v>2012</v>
      </c>
      <c r="N199" s="390">
        <v>4</v>
      </c>
      <c r="O199" s="391">
        <v>221303</v>
      </c>
      <c r="P199" s="391">
        <v>129936</v>
      </c>
      <c r="Q199" s="391">
        <v>11006</v>
      </c>
      <c r="R199" s="391">
        <v>362245</v>
      </c>
      <c r="S199" s="233"/>
      <c r="T199" s="225">
        <v>221303</v>
      </c>
      <c r="U199" s="225">
        <v>129936</v>
      </c>
      <c r="V199" s="226">
        <v>0.26012771930224149</v>
      </c>
      <c r="W199" s="227">
        <v>0.61092078565611674</v>
      </c>
      <c r="X199" s="228" t="s">
        <v>945</v>
      </c>
      <c r="Y199" s="229" t="s">
        <v>943</v>
      </c>
      <c r="Z199" s="230" t="s">
        <v>946</v>
      </c>
      <c r="AA199" s="231">
        <v>0</v>
      </c>
      <c r="AB199" s="231">
        <v>129936</v>
      </c>
      <c r="AC199" s="232">
        <v>11006</v>
      </c>
      <c r="AD199" s="374">
        <v>140942</v>
      </c>
    </row>
    <row r="200" spans="1:31">
      <c r="A200" s="389" t="s">
        <v>85</v>
      </c>
      <c r="B200" s="221" t="s">
        <v>20</v>
      </c>
      <c r="C200" t="s">
        <v>586</v>
      </c>
      <c r="D200"/>
      <c r="E200"/>
      <c r="F200"/>
      <c r="G200"/>
      <c r="H200"/>
      <c r="I200" t="s">
        <v>364</v>
      </c>
      <c r="J200" t="s">
        <v>364</v>
      </c>
      <c r="K200" s="392"/>
      <c r="L200" s="392"/>
      <c r="M200" s="281">
        <v>1976</v>
      </c>
      <c r="N200" s="390">
        <v>5</v>
      </c>
      <c r="O200" s="391">
        <v>257490</v>
      </c>
      <c r="P200" s="391">
        <v>82944</v>
      </c>
      <c r="Q200" s="391">
        <v>675</v>
      </c>
      <c r="R200" s="391">
        <v>341109</v>
      </c>
      <c r="S200" s="233"/>
      <c r="T200" s="225">
        <v>257490</v>
      </c>
      <c r="U200" s="225">
        <v>82944</v>
      </c>
      <c r="V200" s="226">
        <v>0.51271612118648546</v>
      </c>
      <c r="W200" s="227">
        <v>0.75486134930476767</v>
      </c>
      <c r="X200" s="228" t="s">
        <v>945</v>
      </c>
      <c r="Y200" s="229" t="s">
        <v>943</v>
      </c>
      <c r="Z200" s="230" t="s">
        <v>944</v>
      </c>
      <c r="AA200" s="231">
        <v>0</v>
      </c>
      <c r="AB200" s="231">
        <v>82944</v>
      </c>
      <c r="AC200" s="232">
        <v>675</v>
      </c>
      <c r="AD200" s="374">
        <v>83619</v>
      </c>
    </row>
    <row r="201" spans="1:31">
      <c r="A201" s="389" t="s">
        <v>85</v>
      </c>
      <c r="B201" s="221" t="s">
        <v>20</v>
      </c>
      <c r="C201" t="s">
        <v>587</v>
      </c>
      <c r="D201"/>
      <c r="E201"/>
      <c r="F201"/>
      <c r="G201"/>
      <c r="H201"/>
      <c r="I201" t="s">
        <v>364</v>
      </c>
      <c r="J201" t="s">
        <v>364</v>
      </c>
      <c r="K201" s="392"/>
      <c r="L201" s="392"/>
      <c r="M201" s="281">
        <v>1996</v>
      </c>
      <c r="N201" s="390">
        <v>6</v>
      </c>
      <c r="O201" s="391">
        <v>180942</v>
      </c>
      <c r="P201" s="391">
        <v>176612</v>
      </c>
      <c r="Q201" s="391">
        <v>17253</v>
      </c>
      <c r="R201" s="391">
        <v>374807</v>
      </c>
      <c r="S201" s="233"/>
      <c r="T201" s="225">
        <v>180942</v>
      </c>
      <c r="U201" s="225">
        <v>176612</v>
      </c>
      <c r="V201" s="226">
        <v>1.2110058900194096E-2</v>
      </c>
      <c r="W201" s="227">
        <v>0.48276046071711576</v>
      </c>
      <c r="X201" s="228" t="s">
        <v>945</v>
      </c>
      <c r="Y201" s="229" t="s">
        <v>943</v>
      </c>
      <c r="Z201" s="230" t="s">
        <v>947</v>
      </c>
      <c r="AA201" s="231">
        <v>0</v>
      </c>
      <c r="AB201" s="231">
        <v>176612</v>
      </c>
      <c r="AC201" s="232">
        <v>17253</v>
      </c>
      <c r="AD201" s="374">
        <v>193865</v>
      </c>
    </row>
    <row r="202" spans="1:31">
      <c r="A202" s="389" t="s">
        <v>85</v>
      </c>
      <c r="B202" s="221" t="s">
        <v>20</v>
      </c>
      <c r="C202" t="s">
        <v>588</v>
      </c>
      <c r="D202"/>
      <c r="E202"/>
      <c r="F202"/>
      <c r="G202"/>
      <c r="H202"/>
      <c r="I202" t="s">
        <v>364</v>
      </c>
      <c r="J202" t="s">
        <v>364</v>
      </c>
      <c r="K202" s="392"/>
      <c r="L202" s="392"/>
      <c r="M202" s="281">
        <v>1999</v>
      </c>
      <c r="N202" s="390">
        <v>7</v>
      </c>
      <c r="O202" s="391">
        <v>210794</v>
      </c>
      <c r="P202" s="391">
        <v>0</v>
      </c>
      <c r="Q202" s="391">
        <v>42042</v>
      </c>
      <c r="R202" s="391">
        <v>252836</v>
      </c>
      <c r="S202" s="233"/>
      <c r="T202" s="225">
        <v>210794</v>
      </c>
      <c r="U202" s="225">
        <v>42042</v>
      </c>
      <c r="V202" s="226">
        <v>1</v>
      </c>
      <c r="W202" s="227">
        <v>0.83371829960923283</v>
      </c>
      <c r="X202" s="228" t="s">
        <v>364</v>
      </c>
      <c r="Y202" s="229" t="s">
        <v>943</v>
      </c>
      <c r="Z202" s="230" t="s">
        <v>944</v>
      </c>
      <c r="AA202" s="231">
        <v>0</v>
      </c>
      <c r="AB202" s="231">
        <v>0</v>
      </c>
      <c r="AC202" s="232">
        <v>42042</v>
      </c>
      <c r="AD202" s="374">
        <v>42042</v>
      </c>
    </row>
    <row r="203" spans="1:31">
      <c r="A203" s="389" t="s">
        <v>85</v>
      </c>
      <c r="B203" s="221" t="s">
        <v>20</v>
      </c>
      <c r="C203" t="s">
        <v>589</v>
      </c>
      <c r="D203"/>
      <c r="E203"/>
      <c r="F203"/>
      <c r="G203"/>
      <c r="H203"/>
      <c r="I203" t="s">
        <v>364</v>
      </c>
      <c r="J203" t="s">
        <v>364</v>
      </c>
      <c r="K203" s="392"/>
      <c r="L203" s="392"/>
      <c r="M203" s="281">
        <v>2001</v>
      </c>
      <c r="N203" s="390">
        <v>8</v>
      </c>
      <c r="O203" s="391">
        <v>263999</v>
      </c>
      <c r="P203" s="391">
        <v>82242</v>
      </c>
      <c r="Q203" s="391">
        <v>570</v>
      </c>
      <c r="R203" s="391">
        <v>346811</v>
      </c>
      <c r="S203" s="233"/>
      <c r="T203" s="225">
        <v>263999</v>
      </c>
      <c r="U203" s="225">
        <v>82242</v>
      </c>
      <c r="V203" s="226">
        <v>0.52494360864253509</v>
      </c>
      <c r="W203" s="227">
        <v>0.76121864646738424</v>
      </c>
      <c r="X203" s="228" t="s">
        <v>945</v>
      </c>
      <c r="Y203" s="229" t="s">
        <v>943</v>
      </c>
      <c r="Z203" s="230" t="s">
        <v>944</v>
      </c>
      <c r="AA203" s="231">
        <v>0</v>
      </c>
      <c r="AB203" s="231">
        <v>82242</v>
      </c>
      <c r="AC203" s="232">
        <v>570</v>
      </c>
      <c r="AD203" s="374">
        <v>82812</v>
      </c>
    </row>
    <row r="204" spans="1:31">
      <c r="A204" s="389" t="s">
        <v>85</v>
      </c>
      <c r="B204" s="221" t="s">
        <v>20</v>
      </c>
      <c r="C204" t="s">
        <v>590</v>
      </c>
      <c r="D204"/>
      <c r="E204"/>
      <c r="F204"/>
      <c r="G204"/>
      <c r="H204"/>
      <c r="I204" t="s">
        <v>364</v>
      </c>
      <c r="J204" t="s">
        <v>364</v>
      </c>
      <c r="K204" s="392"/>
      <c r="L204" s="392"/>
      <c r="M204" s="281">
        <v>2010</v>
      </c>
      <c r="N204" s="390">
        <v>9</v>
      </c>
      <c r="O204" s="391">
        <v>212754</v>
      </c>
      <c r="P204" s="391">
        <v>116531</v>
      </c>
      <c r="Q204" s="391">
        <v>33120</v>
      </c>
      <c r="R204" s="391">
        <v>362405</v>
      </c>
      <c r="S204" s="233"/>
      <c r="T204" s="225">
        <v>212754</v>
      </c>
      <c r="U204" s="225">
        <v>116531</v>
      </c>
      <c r="V204" s="226">
        <v>0.29221798745767347</v>
      </c>
      <c r="W204" s="227">
        <v>0.58706143679033129</v>
      </c>
      <c r="X204" s="228" t="s">
        <v>945</v>
      </c>
      <c r="Y204" s="229" t="s">
        <v>943</v>
      </c>
      <c r="Z204" s="230" t="s">
        <v>946</v>
      </c>
      <c r="AA204" s="231">
        <v>0</v>
      </c>
      <c r="AB204" s="231">
        <v>116531</v>
      </c>
      <c r="AC204" s="232">
        <v>33120</v>
      </c>
      <c r="AD204" s="374">
        <v>149651</v>
      </c>
      <c r="AE204" s="374">
        <v>936565</v>
      </c>
    </row>
    <row r="205" spans="1:31">
      <c r="A205" s="389" t="s">
        <v>86</v>
      </c>
      <c r="B205" s="221" t="s">
        <v>21</v>
      </c>
      <c r="C205" t="s">
        <v>591</v>
      </c>
      <c r="D205"/>
      <c r="E205"/>
      <c r="F205"/>
      <c r="G205"/>
      <c r="H205"/>
      <c r="I205" t="s">
        <v>365</v>
      </c>
      <c r="J205" t="s">
        <v>365</v>
      </c>
      <c r="K205" s="392"/>
      <c r="L205" s="392"/>
      <c r="M205" s="281">
        <v>2010</v>
      </c>
      <c r="N205" s="390">
        <v>1</v>
      </c>
      <c r="O205" s="391">
        <v>165179</v>
      </c>
      <c r="P205" s="391">
        <v>167060</v>
      </c>
      <c r="Q205" s="391">
        <v>14798</v>
      </c>
      <c r="R205" s="391">
        <v>347037</v>
      </c>
      <c r="S205" s="233"/>
      <c r="T205" s="225">
        <v>167060</v>
      </c>
      <c r="U205" s="225">
        <v>165179</v>
      </c>
      <c r="V205" s="226">
        <v>5.6615869900884606E-3</v>
      </c>
      <c r="W205" s="227">
        <v>0.4813895924642041</v>
      </c>
      <c r="X205" s="228" t="s">
        <v>948</v>
      </c>
      <c r="Y205" s="229" t="s">
        <v>949</v>
      </c>
      <c r="Z205" s="230" t="s">
        <v>950</v>
      </c>
      <c r="AA205" s="231">
        <v>165179</v>
      </c>
      <c r="AB205" s="231">
        <v>0</v>
      </c>
      <c r="AC205" s="232">
        <v>14798</v>
      </c>
      <c r="AD205" s="374">
        <v>179977</v>
      </c>
    </row>
    <row r="206" spans="1:31">
      <c r="A206" s="389" t="s">
        <v>86</v>
      </c>
      <c r="B206" s="221" t="s">
        <v>21</v>
      </c>
      <c r="C206" t="s">
        <v>592</v>
      </c>
      <c r="D206"/>
      <c r="E206"/>
      <c r="F206"/>
      <c r="G206"/>
      <c r="H206"/>
      <c r="I206" t="s">
        <v>365</v>
      </c>
      <c r="J206" t="s">
        <v>365</v>
      </c>
      <c r="K206" s="389"/>
      <c r="L206" s="389"/>
      <c r="M206" s="281">
        <v>2010</v>
      </c>
      <c r="N206" s="390">
        <v>2</v>
      </c>
      <c r="O206" s="391">
        <v>108973</v>
      </c>
      <c r="P206" s="391">
        <v>194653</v>
      </c>
      <c r="Q206" s="391">
        <v>14641</v>
      </c>
      <c r="R206" s="391">
        <v>318267</v>
      </c>
      <c r="S206" s="233"/>
      <c r="T206" s="225">
        <v>194653</v>
      </c>
      <c r="U206" s="225">
        <v>108973</v>
      </c>
      <c r="V206" s="226">
        <v>0.2821892723284567</v>
      </c>
      <c r="W206" s="227">
        <v>0.61160283661202697</v>
      </c>
      <c r="X206" s="228" t="s">
        <v>948</v>
      </c>
      <c r="Y206" s="229" t="s">
        <v>949</v>
      </c>
      <c r="Z206" s="230" t="s">
        <v>951</v>
      </c>
      <c r="AA206" s="231">
        <v>108973</v>
      </c>
      <c r="AB206" s="231">
        <v>0</v>
      </c>
      <c r="AC206" s="232">
        <v>14641</v>
      </c>
      <c r="AD206" s="374">
        <v>123614</v>
      </c>
    </row>
    <row r="207" spans="1:31">
      <c r="A207" s="389" t="s">
        <v>86</v>
      </c>
      <c r="B207" s="221" t="s">
        <v>21</v>
      </c>
      <c r="C207" t="s">
        <v>593</v>
      </c>
      <c r="D207"/>
      <c r="E207"/>
      <c r="F207"/>
      <c r="G207"/>
      <c r="H207"/>
      <c r="I207" t="s">
        <v>365</v>
      </c>
      <c r="J207" t="s">
        <v>365</v>
      </c>
      <c r="K207" s="389"/>
      <c r="L207" s="389"/>
      <c r="M207" s="281">
        <v>2010</v>
      </c>
      <c r="N207" s="390">
        <v>3</v>
      </c>
      <c r="O207" s="391">
        <v>144108</v>
      </c>
      <c r="P207" s="391">
        <v>171675</v>
      </c>
      <c r="Q207" s="391">
        <v>10500</v>
      </c>
      <c r="R207" s="391">
        <v>326283</v>
      </c>
      <c r="S207" s="233"/>
      <c r="T207" s="225">
        <v>171675</v>
      </c>
      <c r="U207" s="225">
        <v>144108</v>
      </c>
      <c r="V207" s="226">
        <v>8.7297289594436681E-2</v>
      </c>
      <c r="W207" s="227">
        <v>0.52615367640974242</v>
      </c>
      <c r="X207" s="228" t="s">
        <v>948</v>
      </c>
      <c r="Y207" s="229" t="s">
        <v>949</v>
      </c>
      <c r="Z207" s="230" t="s">
        <v>952</v>
      </c>
      <c r="AA207" s="231">
        <v>144108</v>
      </c>
      <c r="AB207" s="231">
        <v>0</v>
      </c>
      <c r="AC207" s="232">
        <v>10500</v>
      </c>
      <c r="AD207" s="374">
        <v>154608</v>
      </c>
    </row>
    <row r="208" spans="1:31">
      <c r="A208" s="389" t="s">
        <v>86</v>
      </c>
      <c r="B208" s="221" t="s">
        <v>21</v>
      </c>
      <c r="C208" t="s">
        <v>594</v>
      </c>
      <c r="D208"/>
      <c r="E208"/>
      <c r="F208"/>
      <c r="G208"/>
      <c r="H208"/>
      <c r="I208" t="s">
        <v>365</v>
      </c>
      <c r="J208" t="s">
        <v>365</v>
      </c>
      <c r="K208" s="389"/>
      <c r="L208" s="389"/>
      <c r="M208" s="281">
        <v>1990</v>
      </c>
      <c r="N208" s="390">
        <v>4</v>
      </c>
      <c r="O208" s="391">
        <v>104996</v>
      </c>
      <c r="P208" s="391">
        <v>197386</v>
      </c>
      <c r="Q208" s="391">
        <v>10567</v>
      </c>
      <c r="R208" s="391">
        <v>312949</v>
      </c>
      <c r="S208" s="233"/>
      <c r="T208" s="225">
        <v>197386</v>
      </c>
      <c r="U208" s="225">
        <v>104996</v>
      </c>
      <c r="V208" s="226">
        <v>0.30554067371735089</v>
      </c>
      <c r="W208" s="227">
        <v>0.63072896861788985</v>
      </c>
      <c r="X208" s="228" t="s">
        <v>948</v>
      </c>
      <c r="Y208" s="229" t="s">
        <v>949</v>
      </c>
      <c r="Z208" s="230" t="s">
        <v>951</v>
      </c>
      <c r="AA208" s="231">
        <v>104996</v>
      </c>
      <c r="AB208" s="231">
        <v>0</v>
      </c>
      <c r="AC208" s="232">
        <v>10567</v>
      </c>
      <c r="AD208" s="374">
        <v>115563</v>
      </c>
    </row>
    <row r="209" spans="1:31">
      <c r="A209" s="389" t="s">
        <v>86</v>
      </c>
      <c r="B209" s="221" t="s">
        <v>21</v>
      </c>
      <c r="C209" t="s">
        <v>595</v>
      </c>
      <c r="D209"/>
      <c r="E209"/>
      <c r="F209"/>
      <c r="G209"/>
      <c r="H209"/>
      <c r="I209" t="s">
        <v>365</v>
      </c>
      <c r="J209" t="s">
        <v>365</v>
      </c>
      <c r="K209" s="392"/>
      <c r="L209" s="392"/>
      <c r="M209" s="281">
        <v>2012</v>
      </c>
      <c r="N209" s="390">
        <v>5</v>
      </c>
      <c r="O209" s="391">
        <v>214531</v>
      </c>
      <c r="P209" s="391">
        <v>103931</v>
      </c>
      <c r="Q209" s="391">
        <v>11684</v>
      </c>
      <c r="R209" s="391">
        <v>330146</v>
      </c>
      <c r="S209" s="233"/>
      <c r="T209" s="225">
        <v>214531</v>
      </c>
      <c r="U209" s="225">
        <v>103931</v>
      </c>
      <c r="V209" s="226">
        <v>0.34729418266543577</v>
      </c>
      <c r="W209" s="227">
        <v>0.64980644926789966</v>
      </c>
      <c r="X209" s="228" t="s">
        <v>948</v>
      </c>
      <c r="Y209" s="229" t="s">
        <v>953</v>
      </c>
      <c r="Z209" s="230" t="s">
        <v>951</v>
      </c>
      <c r="AA209" s="231">
        <v>0</v>
      </c>
      <c r="AB209" s="231">
        <v>103931</v>
      </c>
      <c r="AC209" s="232">
        <v>11684</v>
      </c>
      <c r="AD209" s="374">
        <v>115615</v>
      </c>
    </row>
    <row r="210" spans="1:31">
      <c r="A210" s="389" t="s">
        <v>86</v>
      </c>
      <c r="B210" s="221" t="s">
        <v>21</v>
      </c>
      <c r="C210" t="s">
        <v>596</v>
      </c>
      <c r="D210"/>
      <c r="E210"/>
      <c r="F210"/>
      <c r="G210"/>
      <c r="H210"/>
      <c r="I210" t="s">
        <v>365</v>
      </c>
      <c r="J210" t="s">
        <v>365</v>
      </c>
      <c r="K210" s="389"/>
      <c r="L210" s="389"/>
      <c r="M210" s="281">
        <v>1986</v>
      </c>
      <c r="N210" s="390">
        <v>6</v>
      </c>
      <c r="O210" s="391">
        <v>136563</v>
      </c>
      <c r="P210" s="391">
        <v>174955</v>
      </c>
      <c r="Q210" s="391">
        <v>8957</v>
      </c>
      <c r="R210" s="391">
        <v>320475</v>
      </c>
      <c r="S210" s="233"/>
      <c r="T210" s="225">
        <v>174955</v>
      </c>
      <c r="U210" s="225">
        <v>136563</v>
      </c>
      <c r="V210" s="226">
        <v>0.12324167463838366</v>
      </c>
      <c r="W210" s="227">
        <v>0.54592401903424603</v>
      </c>
      <c r="X210" s="228" t="s">
        <v>948</v>
      </c>
      <c r="Y210" s="229" t="s">
        <v>949</v>
      </c>
      <c r="Z210" s="230" t="s">
        <v>954</v>
      </c>
      <c r="AA210" s="231">
        <v>136563</v>
      </c>
      <c r="AB210" s="231">
        <v>0</v>
      </c>
      <c r="AC210" s="232">
        <v>8957</v>
      </c>
      <c r="AD210" s="374">
        <v>145520</v>
      </c>
    </row>
    <row r="211" spans="1:31">
      <c r="A211" s="389" t="s">
        <v>86</v>
      </c>
      <c r="B211" s="221" t="s">
        <v>21</v>
      </c>
      <c r="C211" t="s">
        <v>597</v>
      </c>
      <c r="D211"/>
      <c r="E211"/>
      <c r="F211"/>
      <c r="G211"/>
      <c r="H211"/>
      <c r="I211" t="s">
        <v>365</v>
      </c>
      <c r="J211" t="s">
        <v>365</v>
      </c>
      <c r="K211" s="389"/>
      <c r="L211" s="389"/>
      <c r="M211" s="281">
        <v>2010</v>
      </c>
      <c r="N211" s="390">
        <v>7</v>
      </c>
      <c r="O211" s="391">
        <v>136849</v>
      </c>
      <c r="P211" s="391">
        <v>169668</v>
      </c>
      <c r="Q211" s="391">
        <v>11552</v>
      </c>
      <c r="R211" s="391">
        <v>318069</v>
      </c>
      <c r="S211" s="233"/>
      <c r="T211" s="225">
        <v>169668</v>
      </c>
      <c r="U211" s="225">
        <v>136849</v>
      </c>
      <c r="V211" s="226">
        <v>0.10707073343403466</v>
      </c>
      <c r="W211" s="227">
        <v>0.53343142525678389</v>
      </c>
      <c r="X211" s="228" t="s">
        <v>948</v>
      </c>
      <c r="Y211" s="229" t="s">
        <v>949</v>
      </c>
      <c r="Z211" s="230" t="s">
        <v>954</v>
      </c>
      <c r="AA211" s="231">
        <v>136849</v>
      </c>
      <c r="AB211" s="231">
        <v>0</v>
      </c>
      <c r="AC211" s="232">
        <v>11552</v>
      </c>
      <c r="AD211" s="374">
        <v>148401</v>
      </c>
    </row>
    <row r="212" spans="1:31">
      <c r="A212" s="389" t="s">
        <v>86</v>
      </c>
      <c r="B212" s="221" t="s">
        <v>21</v>
      </c>
      <c r="C212" t="s">
        <v>398</v>
      </c>
      <c r="D212"/>
      <c r="E212"/>
      <c r="F212"/>
      <c r="G212"/>
      <c r="H212"/>
      <c r="I212" t="s">
        <v>365</v>
      </c>
      <c r="J212" t="s">
        <v>365</v>
      </c>
      <c r="K212" s="389"/>
      <c r="L212" s="389"/>
      <c r="M212" s="281">
        <v>2000</v>
      </c>
      <c r="N212" s="390">
        <v>8</v>
      </c>
      <c r="O212" s="391">
        <v>128657</v>
      </c>
      <c r="P212" s="391">
        <v>202217</v>
      </c>
      <c r="Q212" s="391">
        <v>14180</v>
      </c>
      <c r="R212" s="391">
        <v>345054</v>
      </c>
      <c r="S212" s="233"/>
      <c r="T212" s="225">
        <v>202217</v>
      </c>
      <c r="U212" s="225">
        <v>128657</v>
      </c>
      <c r="V212" s="226">
        <v>0.22232027901859922</v>
      </c>
      <c r="W212" s="227">
        <v>0.58604450317921253</v>
      </c>
      <c r="X212" s="228" t="s">
        <v>948</v>
      </c>
      <c r="Y212" s="229" t="s">
        <v>949</v>
      </c>
      <c r="Z212" s="230" t="s">
        <v>951</v>
      </c>
      <c r="AA212" s="231">
        <v>128657</v>
      </c>
      <c r="AB212" s="231">
        <v>0</v>
      </c>
      <c r="AC212" s="232">
        <v>14180</v>
      </c>
      <c r="AD212" s="374">
        <v>142837</v>
      </c>
    </row>
    <row r="213" spans="1:31">
      <c r="A213" s="389" t="s">
        <v>86</v>
      </c>
      <c r="B213" s="221" t="s">
        <v>21</v>
      </c>
      <c r="C213" t="s">
        <v>598</v>
      </c>
      <c r="D213"/>
      <c r="E213"/>
      <c r="F213"/>
      <c r="G213"/>
      <c r="H213"/>
      <c r="I213" t="s">
        <v>365</v>
      </c>
      <c r="J213" t="s">
        <v>365</v>
      </c>
      <c r="K213" s="392"/>
      <c r="L213" s="392"/>
      <c r="M213" s="281">
        <v>1982</v>
      </c>
      <c r="N213" s="390">
        <v>9</v>
      </c>
      <c r="O213" s="391">
        <v>208846</v>
      </c>
      <c r="P213" s="391">
        <v>114760</v>
      </c>
      <c r="Q213" s="391">
        <v>13710</v>
      </c>
      <c r="R213" s="391">
        <v>337316</v>
      </c>
      <c r="S213" s="233"/>
      <c r="T213" s="225">
        <v>208846</v>
      </c>
      <c r="U213" s="225">
        <v>114760</v>
      </c>
      <c r="V213" s="226">
        <v>0.29074244606095068</v>
      </c>
      <c r="W213" s="227">
        <v>0.61914050919612473</v>
      </c>
      <c r="X213" s="228" t="s">
        <v>948</v>
      </c>
      <c r="Y213" s="229" t="s">
        <v>953</v>
      </c>
      <c r="Z213" s="230" t="s">
        <v>951</v>
      </c>
      <c r="AA213" s="231">
        <v>0</v>
      </c>
      <c r="AB213" s="231">
        <v>114760</v>
      </c>
      <c r="AC213" s="232">
        <v>13710</v>
      </c>
      <c r="AD213" s="374">
        <v>128470</v>
      </c>
    </row>
    <row r="214" spans="1:31">
      <c r="A214" s="389" t="s">
        <v>86</v>
      </c>
      <c r="B214" s="221" t="s">
        <v>21</v>
      </c>
      <c r="C214" t="s">
        <v>599</v>
      </c>
      <c r="D214" t="s">
        <v>365</v>
      </c>
      <c r="E214"/>
      <c r="F214"/>
      <c r="G214"/>
      <c r="H214"/>
      <c r="I214" t="s">
        <v>365</v>
      </c>
      <c r="J214" t="s">
        <v>365</v>
      </c>
      <c r="K214" s="389"/>
      <c r="L214" s="389"/>
      <c r="M214" s="281">
        <v>2002</v>
      </c>
      <c r="N214" s="390">
        <v>10</v>
      </c>
      <c r="O214" s="391">
        <v>97734</v>
      </c>
      <c r="P214" s="391">
        <v>226075</v>
      </c>
      <c r="Q214" s="391">
        <v>4803</v>
      </c>
      <c r="R214" s="391">
        <v>328612</v>
      </c>
      <c r="S214" s="233"/>
      <c r="T214" s="225">
        <v>226075</v>
      </c>
      <c r="U214" s="225">
        <v>97734</v>
      </c>
      <c r="V214" s="226">
        <v>0.39634784703328196</v>
      </c>
      <c r="W214" s="227">
        <v>0.68796939856122119</v>
      </c>
      <c r="X214" s="228" t="s">
        <v>948</v>
      </c>
      <c r="Y214" s="229" t="s">
        <v>949</v>
      </c>
      <c r="Z214" s="230" t="s">
        <v>951</v>
      </c>
      <c r="AA214" s="231">
        <v>97734</v>
      </c>
      <c r="AB214" s="231">
        <v>0</v>
      </c>
      <c r="AC214" s="232">
        <v>4803</v>
      </c>
      <c r="AD214" s="374">
        <v>102537</v>
      </c>
    </row>
    <row r="215" spans="1:31">
      <c r="A215" s="389" t="s">
        <v>86</v>
      </c>
      <c r="B215" s="221" t="s">
        <v>21</v>
      </c>
      <c r="C215" t="s">
        <v>600</v>
      </c>
      <c r="D215"/>
      <c r="E215"/>
      <c r="F215"/>
      <c r="G215"/>
      <c r="H215"/>
      <c r="I215" t="s">
        <v>365</v>
      </c>
      <c r="J215" t="s">
        <v>365</v>
      </c>
      <c r="K215" s="389"/>
      <c r="L215" s="389"/>
      <c r="M215" s="281">
        <v>2002</v>
      </c>
      <c r="N215" s="390">
        <v>11</v>
      </c>
      <c r="O215" s="391">
        <v>158879</v>
      </c>
      <c r="P215" s="391">
        <v>181788</v>
      </c>
      <c r="Q215" s="391">
        <v>17472</v>
      </c>
      <c r="R215" s="391">
        <v>358139</v>
      </c>
      <c r="S215" s="233"/>
      <c r="T215" s="225">
        <v>181788</v>
      </c>
      <c r="U215" s="225">
        <v>158879</v>
      </c>
      <c r="V215" s="226">
        <v>6.7247488016156542E-2</v>
      </c>
      <c r="W215" s="227">
        <v>0.50759062821976941</v>
      </c>
      <c r="X215" s="228" t="s">
        <v>948</v>
      </c>
      <c r="Y215" s="229" t="s">
        <v>949</v>
      </c>
      <c r="Z215" s="230" t="s">
        <v>952</v>
      </c>
      <c r="AA215" s="231">
        <v>158879</v>
      </c>
      <c r="AB215" s="231">
        <v>0</v>
      </c>
      <c r="AC215" s="232">
        <v>17472</v>
      </c>
      <c r="AD215" s="374">
        <v>176351</v>
      </c>
    </row>
    <row r="216" spans="1:31">
      <c r="A216" s="389" t="s">
        <v>86</v>
      </c>
      <c r="B216" s="221" t="s">
        <v>21</v>
      </c>
      <c r="C216" t="s">
        <v>601</v>
      </c>
      <c r="D216"/>
      <c r="E216"/>
      <c r="F216"/>
      <c r="G216"/>
      <c r="H216"/>
      <c r="I216" t="s">
        <v>365</v>
      </c>
      <c r="J216" t="s">
        <v>365</v>
      </c>
      <c r="K216" s="392"/>
      <c r="L216" s="392"/>
      <c r="M216" s="281">
        <v>1955</v>
      </c>
      <c r="N216" s="390">
        <v>12</v>
      </c>
      <c r="O216" s="391">
        <v>216884</v>
      </c>
      <c r="P216" s="391">
        <v>92472</v>
      </c>
      <c r="Q216" s="391">
        <v>9867</v>
      </c>
      <c r="R216" s="391">
        <v>319223</v>
      </c>
      <c r="S216" s="233"/>
      <c r="T216" s="225">
        <v>216884</v>
      </c>
      <c r="U216" s="225">
        <v>92472</v>
      </c>
      <c r="V216" s="226">
        <v>0.40216449656706188</v>
      </c>
      <c r="W216" s="227">
        <v>0.67941219774264383</v>
      </c>
      <c r="X216" s="228" t="s">
        <v>948</v>
      </c>
      <c r="Y216" s="229" t="s">
        <v>953</v>
      </c>
      <c r="Z216" s="230" t="s">
        <v>955</v>
      </c>
      <c r="AA216" s="231">
        <v>0</v>
      </c>
      <c r="AB216" s="231">
        <v>92472</v>
      </c>
      <c r="AC216" s="232">
        <v>9867</v>
      </c>
      <c r="AD216" s="374">
        <v>102339</v>
      </c>
    </row>
    <row r="217" spans="1:31">
      <c r="A217" s="389" t="s">
        <v>86</v>
      </c>
      <c r="B217" s="221" t="s">
        <v>21</v>
      </c>
      <c r="C217" t="s">
        <v>602</v>
      </c>
      <c r="D217"/>
      <c r="E217" t="s">
        <v>365</v>
      </c>
      <c r="F217"/>
      <c r="G217"/>
      <c r="H217"/>
      <c r="I217" t="s">
        <v>365</v>
      </c>
      <c r="J217" t="s">
        <v>365</v>
      </c>
      <c r="K217" s="392"/>
      <c r="L217" s="392"/>
      <c r="M217" s="281">
        <v>1964</v>
      </c>
      <c r="N217" s="390">
        <v>13</v>
      </c>
      <c r="O217" s="391">
        <v>235336</v>
      </c>
      <c r="P217" s="391">
        <v>38769</v>
      </c>
      <c r="Q217" s="391">
        <v>10165</v>
      </c>
      <c r="R217" s="391">
        <v>284270</v>
      </c>
      <c r="S217" s="233"/>
      <c r="T217" s="225">
        <v>235336</v>
      </c>
      <c r="U217" s="225">
        <v>38769</v>
      </c>
      <c r="V217" s="226">
        <v>0.71712300031010012</v>
      </c>
      <c r="W217" s="227">
        <v>0.82786083652865239</v>
      </c>
      <c r="X217" s="228" t="s">
        <v>948</v>
      </c>
      <c r="Y217" s="229" t="s">
        <v>953</v>
      </c>
      <c r="Z217" s="230" t="s">
        <v>955</v>
      </c>
      <c r="AA217" s="231">
        <v>0</v>
      </c>
      <c r="AB217" s="231">
        <v>38769</v>
      </c>
      <c r="AC217" s="232">
        <v>10165</v>
      </c>
      <c r="AD217" s="374">
        <v>48934</v>
      </c>
    </row>
    <row r="218" spans="1:31">
      <c r="A218" s="389" t="s">
        <v>86</v>
      </c>
      <c r="B218" s="221" t="s">
        <v>21</v>
      </c>
      <c r="C218" t="s">
        <v>603</v>
      </c>
      <c r="D218"/>
      <c r="E218"/>
      <c r="F218"/>
      <c r="G218"/>
      <c r="H218"/>
      <c r="I218" t="s">
        <v>365</v>
      </c>
      <c r="J218" t="s">
        <v>365</v>
      </c>
      <c r="K218" s="392"/>
      <c r="L218" s="392"/>
      <c r="M218" s="281">
        <v>2012</v>
      </c>
      <c r="N218" s="390">
        <v>14</v>
      </c>
      <c r="O218" s="391">
        <v>270450</v>
      </c>
      <c r="P218" s="391">
        <v>51395</v>
      </c>
      <c r="Q218" s="391">
        <v>6947</v>
      </c>
      <c r="R218" s="391">
        <v>328792</v>
      </c>
      <c r="S218" s="233"/>
      <c r="T218" s="225">
        <v>270450</v>
      </c>
      <c r="U218" s="225">
        <v>51395</v>
      </c>
      <c r="V218" s="226">
        <v>0.68062265997607541</v>
      </c>
      <c r="W218" s="227">
        <v>0.82255650989075157</v>
      </c>
      <c r="X218" s="228" t="s">
        <v>948</v>
      </c>
      <c r="Y218" s="229" t="s">
        <v>953</v>
      </c>
      <c r="Z218" s="230" t="s">
        <v>955</v>
      </c>
      <c r="AA218" s="231">
        <v>0</v>
      </c>
      <c r="AB218" s="231">
        <v>51395</v>
      </c>
      <c r="AC218" s="232">
        <v>6947</v>
      </c>
      <c r="AD218" s="374">
        <v>58342</v>
      </c>
    </row>
    <row r="219" spans="1:31">
      <c r="A219" s="389" t="s">
        <v>87</v>
      </c>
      <c r="B219" s="221" t="s">
        <v>22</v>
      </c>
      <c r="C219" t="s">
        <v>604</v>
      </c>
      <c r="D219"/>
      <c r="E219"/>
      <c r="F219"/>
      <c r="G219"/>
      <c r="H219"/>
      <c r="I219" t="s">
        <v>366</v>
      </c>
      <c r="J219" t="s">
        <v>366</v>
      </c>
      <c r="K219" s="392"/>
      <c r="L219" s="392"/>
      <c r="M219" s="281">
        <v>2006</v>
      </c>
      <c r="N219" s="390">
        <v>1</v>
      </c>
      <c r="O219" s="391">
        <v>193211</v>
      </c>
      <c r="P219" s="391">
        <v>142164</v>
      </c>
      <c r="Q219" s="391">
        <v>505</v>
      </c>
      <c r="R219" s="391">
        <v>335880</v>
      </c>
      <c r="S219" s="233"/>
      <c r="T219" s="225">
        <v>193211</v>
      </c>
      <c r="U219" s="225">
        <v>142164</v>
      </c>
      <c r="V219" s="226">
        <v>0.15220872158032053</v>
      </c>
      <c r="W219" s="227">
        <v>0.57523818030248897</v>
      </c>
      <c r="X219" s="228" t="s">
        <v>956</v>
      </c>
      <c r="Y219" s="229" t="s">
        <v>957</v>
      </c>
      <c r="Z219" s="230" t="s">
        <v>958</v>
      </c>
      <c r="AA219" s="231">
        <v>0</v>
      </c>
      <c r="AB219" s="231">
        <v>142164</v>
      </c>
      <c r="AC219" s="232">
        <v>505</v>
      </c>
      <c r="AD219" s="374">
        <v>142669</v>
      </c>
      <c r="AE219" s="374">
        <v>1885777</v>
      </c>
    </row>
    <row r="220" spans="1:31">
      <c r="A220" s="389" t="s">
        <v>87</v>
      </c>
      <c r="B220" s="221" t="s">
        <v>22</v>
      </c>
      <c r="C220" t="s">
        <v>605</v>
      </c>
      <c r="D220"/>
      <c r="E220"/>
      <c r="F220"/>
      <c r="G220"/>
      <c r="H220"/>
      <c r="I220" t="s">
        <v>366</v>
      </c>
      <c r="J220" t="s">
        <v>366</v>
      </c>
      <c r="K220" s="389"/>
      <c r="L220" s="389"/>
      <c r="M220" s="281">
        <v>2002</v>
      </c>
      <c r="N220" s="390">
        <v>2</v>
      </c>
      <c r="O220" s="391">
        <v>164338</v>
      </c>
      <c r="P220" s="391">
        <v>193587</v>
      </c>
      <c r="Q220" s="391">
        <v>521</v>
      </c>
      <c r="R220" s="391">
        <v>358446</v>
      </c>
      <c r="S220" s="233"/>
      <c r="T220" s="225">
        <v>193587</v>
      </c>
      <c r="U220" s="225">
        <v>164338</v>
      </c>
      <c r="V220" s="226">
        <v>8.1718237060836765E-2</v>
      </c>
      <c r="W220" s="227">
        <v>0.54007298170435714</v>
      </c>
      <c r="X220" s="228" t="s">
        <v>956</v>
      </c>
      <c r="Y220" s="229" t="s">
        <v>959</v>
      </c>
      <c r="Z220" s="230" t="s">
        <v>960</v>
      </c>
      <c r="AA220" s="231">
        <v>164338</v>
      </c>
      <c r="AB220" s="231">
        <v>0</v>
      </c>
      <c r="AC220" s="232">
        <v>521</v>
      </c>
      <c r="AD220" s="374">
        <v>164859</v>
      </c>
    </row>
    <row r="221" spans="1:31">
      <c r="A221" s="389" t="s">
        <v>87</v>
      </c>
      <c r="B221" s="221" t="s">
        <v>22</v>
      </c>
      <c r="C221" t="s">
        <v>606</v>
      </c>
      <c r="D221"/>
      <c r="E221"/>
      <c r="F221"/>
      <c r="G221"/>
      <c r="H221"/>
      <c r="I221" t="s">
        <v>366</v>
      </c>
      <c r="J221" t="s">
        <v>366</v>
      </c>
      <c r="K221" s="389"/>
      <c r="L221" s="389"/>
      <c r="M221" s="281">
        <v>2008</v>
      </c>
      <c r="N221" s="390">
        <v>3</v>
      </c>
      <c r="O221" s="391">
        <v>159937</v>
      </c>
      <c r="P221" s="391">
        <v>222335</v>
      </c>
      <c r="Q221" s="391">
        <v>433</v>
      </c>
      <c r="R221" s="391">
        <v>382705</v>
      </c>
      <c r="S221" s="233"/>
      <c r="T221" s="225">
        <v>222335</v>
      </c>
      <c r="U221" s="225">
        <v>159937</v>
      </c>
      <c r="V221" s="226">
        <v>0.16322932362297002</v>
      </c>
      <c r="W221" s="227">
        <v>0.58095661148926714</v>
      </c>
      <c r="X221" s="228" t="s">
        <v>956</v>
      </c>
      <c r="Y221" s="229" t="s">
        <v>959</v>
      </c>
      <c r="Z221" s="230" t="s">
        <v>958</v>
      </c>
      <c r="AA221" s="231">
        <v>159937</v>
      </c>
      <c r="AB221" s="231">
        <v>0</v>
      </c>
      <c r="AC221" s="232">
        <v>433</v>
      </c>
      <c r="AD221" s="374">
        <v>160370</v>
      </c>
    </row>
    <row r="222" spans="1:31">
      <c r="A222" s="389" t="s">
        <v>87</v>
      </c>
      <c r="B222" s="221" t="s">
        <v>22</v>
      </c>
      <c r="C222" t="s">
        <v>607</v>
      </c>
      <c r="D222" s="382" t="s">
        <v>366</v>
      </c>
      <c r="E222"/>
      <c r="F222"/>
      <c r="G222"/>
      <c r="H222" s="382"/>
      <c r="I222" t="s">
        <v>366</v>
      </c>
      <c r="J222" t="s">
        <v>366</v>
      </c>
      <c r="K222" s="392"/>
      <c r="L222" s="392"/>
      <c r="M222" s="281">
        <v>2000</v>
      </c>
      <c r="N222" s="390">
        <v>4</v>
      </c>
      <c r="O222" s="391">
        <v>216685</v>
      </c>
      <c r="P222" s="391">
        <v>109659</v>
      </c>
      <c r="Q222" s="391">
        <v>21647</v>
      </c>
      <c r="R222" s="391">
        <v>347991</v>
      </c>
      <c r="S222" s="233"/>
      <c r="T222" s="225">
        <v>216685</v>
      </c>
      <c r="U222" s="225">
        <v>109659</v>
      </c>
      <c r="V222" s="226">
        <v>0.32795455102591131</v>
      </c>
      <c r="W222" s="227">
        <v>0.62267414961881196</v>
      </c>
      <c r="X222" s="228" t="s">
        <v>956</v>
      </c>
      <c r="Y222" s="229" t="s">
        <v>957</v>
      </c>
      <c r="Z222" s="230" t="s">
        <v>961</v>
      </c>
      <c r="AA222" s="231">
        <v>0</v>
      </c>
      <c r="AB222" s="231">
        <v>109659</v>
      </c>
      <c r="AC222" s="232">
        <v>21647</v>
      </c>
      <c r="AD222" s="374">
        <v>131306</v>
      </c>
    </row>
    <row r="223" spans="1:31">
      <c r="A223" s="389" t="s">
        <v>87</v>
      </c>
      <c r="B223" s="221" t="s">
        <v>22</v>
      </c>
      <c r="C223" t="s">
        <v>608</v>
      </c>
      <c r="E223" s="382" t="s">
        <v>366</v>
      </c>
      <c r="F223"/>
      <c r="G223"/>
      <c r="H223"/>
      <c r="I223" t="s">
        <v>366</v>
      </c>
      <c r="J223" t="s">
        <v>366</v>
      </c>
      <c r="K223" s="392"/>
      <c r="L223" s="392"/>
      <c r="M223" s="281">
        <v>2006</v>
      </c>
      <c r="N223" s="390">
        <v>5</v>
      </c>
      <c r="O223" s="391">
        <v>262102</v>
      </c>
      <c r="P223" s="391">
        <v>88753</v>
      </c>
      <c r="Q223" s="391">
        <v>1114</v>
      </c>
      <c r="R223" s="391">
        <v>351969</v>
      </c>
      <c r="S223" s="233"/>
      <c r="T223" s="225">
        <v>262102</v>
      </c>
      <c r="U223" s="225">
        <v>88753</v>
      </c>
      <c r="V223" s="226">
        <v>0.49407590030069404</v>
      </c>
      <c r="W223" s="227">
        <v>0.74467353658987012</v>
      </c>
      <c r="X223" s="228" t="s">
        <v>956</v>
      </c>
      <c r="Y223" s="229" t="s">
        <v>957</v>
      </c>
      <c r="Z223" s="230" t="s">
        <v>962</v>
      </c>
      <c r="AA223" s="231">
        <v>0</v>
      </c>
      <c r="AB223" s="231">
        <v>88753</v>
      </c>
      <c r="AC223" s="232">
        <v>1114</v>
      </c>
      <c r="AD223" s="374">
        <v>89867</v>
      </c>
    </row>
    <row r="224" spans="1:31">
      <c r="A224" s="389" t="s">
        <v>87</v>
      </c>
      <c r="B224" s="221" t="s">
        <v>22</v>
      </c>
      <c r="C224" t="s">
        <v>609</v>
      </c>
      <c r="D224" s="382" t="s">
        <v>366</v>
      </c>
      <c r="F224"/>
      <c r="G224"/>
      <c r="H224"/>
      <c r="I224" t="s">
        <v>366</v>
      </c>
      <c r="J224" t="s">
        <v>366</v>
      </c>
      <c r="K224" s="389"/>
      <c r="L224" s="389"/>
      <c r="M224" s="281">
        <v>2006</v>
      </c>
      <c r="N224" s="390">
        <v>6</v>
      </c>
      <c r="O224" s="391">
        <v>174944</v>
      </c>
      <c r="P224" s="391">
        <v>179240</v>
      </c>
      <c r="Q224" s="391">
        <v>969</v>
      </c>
      <c r="R224" s="391">
        <v>355153</v>
      </c>
      <c r="S224" s="233"/>
      <c r="T224" s="225">
        <v>179240</v>
      </c>
      <c r="U224" s="225">
        <v>174944</v>
      </c>
      <c r="V224" s="226">
        <v>1.2129288731280916E-2</v>
      </c>
      <c r="W224" s="227">
        <v>0.50468389679940762</v>
      </c>
      <c r="X224" s="228" t="s">
        <v>956</v>
      </c>
      <c r="Y224" s="229" t="s">
        <v>959</v>
      </c>
      <c r="Z224" s="230" t="s">
        <v>963</v>
      </c>
      <c r="AA224" s="231">
        <v>174944</v>
      </c>
      <c r="AB224" s="231">
        <v>0</v>
      </c>
      <c r="AC224" s="232">
        <v>969</v>
      </c>
      <c r="AD224" s="374">
        <v>175913</v>
      </c>
    </row>
    <row r="225" spans="1:31">
      <c r="A225" s="389" t="s">
        <v>87</v>
      </c>
      <c r="B225" s="221" t="s">
        <v>22</v>
      </c>
      <c r="C225" t="s">
        <v>610</v>
      </c>
      <c r="E225"/>
      <c r="F225"/>
      <c r="G225"/>
      <c r="H225"/>
      <c r="I225" t="s">
        <v>366</v>
      </c>
      <c r="J225" t="s">
        <v>366</v>
      </c>
      <c r="K225" s="392"/>
      <c r="L225" s="392"/>
      <c r="M225" s="281">
        <v>1990</v>
      </c>
      <c r="N225" s="390">
        <v>7</v>
      </c>
      <c r="O225" s="391">
        <v>197791</v>
      </c>
      <c r="P225" s="391">
        <v>114151</v>
      </c>
      <c r="Q225" s="391">
        <v>15634</v>
      </c>
      <c r="R225" s="391">
        <v>327576</v>
      </c>
      <c r="S225" s="233"/>
      <c r="T225" s="225">
        <v>197791</v>
      </c>
      <c r="U225" s="225">
        <v>114151</v>
      </c>
      <c r="V225" s="226">
        <v>0.26812676715543277</v>
      </c>
      <c r="W225" s="227">
        <v>0.60380186582655626</v>
      </c>
      <c r="X225" s="228" t="s">
        <v>956</v>
      </c>
      <c r="Y225" s="229" t="s">
        <v>957</v>
      </c>
      <c r="Z225" s="230" t="s">
        <v>961</v>
      </c>
      <c r="AA225" s="231">
        <v>0</v>
      </c>
      <c r="AB225" s="231">
        <v>114151</v>
      </c>
      <c r="AC225" s="232">
        <v>15634</v>
      </c>
      <c r="AD225" s="374">
        <v>129785</v>
      </c>
    </row>
    <row r="226" spans="1:31">
      <c r="A226" s="389" t="s">
        <v>87</v>
      </c>
      <c r="B226" s="221" t="s">
        <v>22</v>
      </c>
      <c r="C226" t="s">
        <v>611</v>
      </c>
      <c r="D226"/>
      <c r="E226"/>
      <c r="F226"/>
      <c r="G226"/>
      <c r="H226"/>
      <c r="I226" t="s">
        <v>366</v>
      </c>
      <c r="J226" t="s">
        <v>956</v>
      </c>
      <c r="K226" s="392">
        <v>1</v>
      </c>
      <c r="L226" s="392">
        <v>1</v>
      </c>
      <c r="M226" s="281">
        <v>2012</v>
      </c>
      <c r="N226" s="390">
        <v>8</v>
      </c>
      <c r="O226" s="391">
        <v>191976</v>
      </c>
      <c r="P226" s="391">
        <v>160520</v>
      </c>
      <c r="Q226" s="391">
        <v>1167</v>
      </c>
      <c r="R226" s="391">
        <v>353663</v>
      </c>
      <c r="S226" s="233"/>
      <c r="T226" s="225">
        <v>191976</v>
      </c>
      <c r="U226" s="225">
        <v>160520</v>
      </c>
      <c r="V226" s="226">
        <v>8.9237892061186513E-2</v>
      </c>
      <c r="W226" s="227">
        <v>0.54282183886920599</v>
      </c>
      <c r="X226" s="228" t="s">
        <v>956</v>
      </c>
      <c r="Y226" s="229" t="s">
        <v>957</v>
      </c>
      <c r="Z226" s="230" t="s">
        <v>960</v>
      </c>
      <c r="AA226" s="231">
        <v>0</v>
      </c>
      <c r="AB226" s="231">
        <v>160520</v>
      </c>
      <c r="AC226" s="232">
        <v>1167</v>
      </c>
      <c r="AD226" s="374">
        <v>161687</v>
      </c>
    </row>
    <row r="227" spans="1:31">
      <c r="A227" s="389" t="s">
        <v>88</v>
      </c>
      <c r="B227" s="221" t="s">
        <v>23</v>
      </c>
      <c r="C227" t="s">
        <v>612</v>
      </c>
      <c r="D227"/>
      <c r="E227"/>
      <c r="F227"/>
      <c r="G227"/>
      <c r="H227"/>
      <c r="I227" t="s">
        <v>367</v>
      </c>
      <c r="J227" t="s">
        <v>367</v>
      </c>
      <c r="K227" s="389"/>
      <c r="L227" s="389"/>
      <c r="M227" s="281">
        <v>2010</v>
      </c>
      <c r="N227" s="390">
        <v>1</v>
      </c>
      <c r="O227" s="391">
        <v>114076</v>
      </c>
      <c r="P227" s="391">
        <v>186760</v>
      </c>
      <c r="Q227" s="391">
        <v>8341</v>
      </c>
      <c r="R227" s="391">
        <v>309177</v>
      </c>
      <c r="S227" s="233"/>
      <c r="T227" s="225">
        <v>186760</v>
      </c>
      <c r="U227" s="225">
        <v>114076</v>
      </c>
      <c r="V227" s="226">
        <v>0.24160672259968888</v>
      </c>
      <c r="W227" s="227">
        <v>0.60405528224932648</v>
      </c>
      <c r="X227" s="228" t="s">
        <v>964</v>
      </c>
      <c r="Y227" s="229" t="s">
        <v>965</v>
      </c>
      <c r="Z227" s="230" t="s">
        <v>966</v>
      </c>
      <c r="AA227" s="231">
        <v>114076</v>
      </c>
      <c r="AB227" s="231">
        <v>0</v>
      </c>
      <c r="AC227" s="232">
        <v>8341</v>
      </c>
      <c r="AD227" s="374">
        <v>122417</v>
      </c>
      <c r="AE227" s="374">
        <v>1136204</v>
      </c>
    </row>
    <row r="228" spans="1:31">
      <c r="A228" s="389" t="s">
        <v>88</v>
      </c>
      <c r="B228" s="221" t="s">
        <v>23</v>
      </c>
      <c r="C228" t="s">
        <v>613</v>
      </c>
      <c r="D228"/>
      <c r="E228" s="382" t="s">
        <v>367</v>
      </c>
      <c r="F228"/>
      <c r="G228"/>
      <c r="H228"/>
      <c r="I228" t="s">
        <v>367</v>
      </c>
      <c r="J228" t="s">
        <v>367</v>
      </c>
      <c r="K228" s="392"/>
      <c r="L228" s="392"/>
      <c r="M228" s="281">
        <v>1993</v>
      </c>
      <c r="N228" s="390">
        <v>2</v>
      </c>
      <c r="O228" s="391">
        <v>214978</v>
      </c>
      <c r="P228" s="391">
        <v>99160</v>
      </c>
      <c r="Q228" s="391">
        <v>6106</v>
      </c>
      <c r="R228" s="391">
        <v>320244</v>
      </c>
      <c r="S228" s="233"/>
      <c r="T228" s="225">
        <v>214978</v>
      </c>
      <c r="U228" s="225">
        <v>99160</v>
      </c>
      <c r="V228" s="226">
        <v>0.36868510017890227</v>
      </c>
      <c r="W228" s="227">
        <v>0.67129438802912778</v>
      </c>
      <c r="X228" s="228" t="s">
        <v>964</v>
      </c>
      <c r="Y228" s="229" t="s">
        <v>967</v>
      </c>
      <c r="Z228" s="230" t="s">
        <v>966</v>
      </c>
      <c r="AA228" s="231">
        <v>0</v>
      </c>
      <c r="AB228" s="231">
        <v>99160</v>
      </c>
      <c r="AC228" s="232">
        <v>6106</v>
      </c>
      <c r="AD228" s="374">
        <v>105266</v>
      </c>
    </row>
    <row r="229" spans="1:31">
      <c r="A229" s="389" t="s">
        <v>88</v>
      </c>
      <c r="B229" s="221" t="s">
        <v>23</v>
      </c>
      <c r="C229" t="s">
        <v>614</v>
      </c>
      <c r="D229"/>
      <c r="F229"/>
      <c r="G229"/>
      <c r="H229"/>
      <c r="I229" t="s">
        <v>367</v>
      </c>
      <c r="J229" t="s">
        <v>367</v>
      </c>
      <c r="K229" s="389"/>
      <c r="L229" s="389"/>
      <c r="M229" s="281">
        <v>2008</v>
      </c>
      <c r="N229" s="390">
        <v>3</v>
      </c>
      <c r="O229" s="391">
        <v>0</v>
      </c>
      <c r="P229" s="391">
        <v>234717</v>
      </c>
      <c r="Q229" s="391">
        <v>58605</v>
      </c>
      <c r="R229" s="391">
        <v>293322</v>
      </c>
      <c r="S229" s="233"/>
      <c r="T229" s="225">
        <v>234717</v>
      </c>
      <c r="U229" s="225">
        <v>58605</v>
      </c>
      <c r="V229" s="226">
        <v>1</v>
      </c>
      <c r="W229" s="227">
        <v>0.80020250782416591</v>
      </c>
      <c r="X229" s="228" t="s">
        <v>367</v>
      </c>
      <c r="Y229" s="229" t="s">
        <v>965</v>
      </c>
      <c r="Z229" s="230" t="s">
        <v>968</v>
      </c>
      <c r="AA229" s="231">
        <v>0</v>
      </c>
      <c r="AB229" s="231">
        <v>0</v>
      </c>
      <c r="AC229" s="232">
        <v>58605</v>
      </c>
      <c r="AD229" s="374">
        <v>58605</v>
      </c>
    </row>
    <row r="230" spans="1:31">
      <c r="A230" s="389" t="s">
        <v>88</v>
      </c>
      <c r="B230" s="221" t="s">
        <v>23</v>
      </c>
      <c r="C230" t="s">
        <v>615</v>
      </c>
      <c r="D230"/>
      <c r="E230"/>
      <c r="F230"/>
      <c r="G230"/>
      <c r="H230"/>
      <c r="I230" t="s">
        <v>367</v>
      </c>
      <c r="J230" t="s">
        <v>367</v>
      </c>
      <c r="K230" s="389"/>
      <c r="L230" s="389"/>
      <c r="M230" s="281">
        <v>2010</v>
      </c>
      <c r="N230" s="390">
        <v>4</v>
      </c>
      <c r="O230" s="391">
        <v>82344</v>
      </c>
      <c r="P230" s="391">
        <v>182998</v>
      </c>
      <c r="Q230" s="391">
        <v>20090</v>
      </c>
      <c r="R230" s="391">
        <v>285432</v>
      </c>
      <c r="S230" s="233"/>
      <c r="T230" s="225">
        <v>182998</v>
      </c>
      <c r="U230" s="225">
        <v>82344</v>
      </c>
      <c r="V230" s="226">
        <v>0.37933685583134219</v>
      </c>
      <c r="W230" s="227">
        <v>0.64112643291572069</v>
      </c>
      <c r="X230" s="228" t="s">
        <v>964</v>
      </c>
      <c r="Y230" s="229" t="s">
        <v>965</v>
      </c>
      <c r="Z230" s="230" t="s">
        <v>966</v>
      </c>
      <c r="AA230" s="231">
        <v>82344</v>
      </c>
      <c r="AB230" s="231">
        <v>0</v>
      </c>
      <c r="AC230" s="232">
        <v>20090</v>
      </c>
      <c r="AD230" s="374">
        <v>102434</v>
      </c>
    </row>
    <row r="231" spans="1:31">
      <c r="A231" s="389" t="s">
        <v>89</v>
      </c>
      <c r="B231" s="221" t="s">
        <v>24</v>
      </c>
      <c r="C231" t="s">
        <v>616</v>
      </c>
      <c r="D231"/>
      <c r="E231" s="382" t="s">
        <v>368</v>
      </c>
      <c r="F231"/>
      <c r="G231"/>
      <c r="H231"/>
      <c r="I231" t="s">
        <v>368</v>
      </c>
      <c r="J231" t="s">
        <v>368</v>
      </c>
      <c r="K231" s="392"/>
      <c r="L231" s="392"/>
      <c r="M231" s="281">
        <v>2000</v>
      </c>
      <c r="N231" s="390">
        <v>1</v>
      </c>
      <c r="O231" s="391">
        <v>267927</v>
      </c>
      <c r="P231" s="391">
        <v>60832</v>
      </c>
      <c r="Q231" s="391">
        <v>11824</v>
      </c>
      <c r="R231" s="391">
        <v>340583</v>
      </c>
      <c r="S231" s="233"/>
      <c r="T231" s="225">
        <v>267927</v>
      </c>
      <c r="U231" s="225">
        <v>60832</v>
      </c>
      <c r="V231" s="226">
        <v>0.62992952284196024</v>
      </c>
      <c r="W231" s="227">
        <v>0.78667167768209223</v>
      </c>
      <c r="X231" s="228" t="s">
        <v>969</v>
      </c>
      <c r="Y231" s="229" t="s">
        <v>970</v>
      </c>
      <c r="Z231" s="230" t="s">
        <v>971</v>
      </c>
      <c r="AA231" s="231">
        <v>0</v>
      </c>
      <c r="AB231" s="231">
        <v>60832</v>
      </c>
      <c r="AC231" s="232">
        <v>11824</v>
      </c>
      <c r="AD231" s="374">
        <v>72656</v>
      </c>
      <c r="AE231" s="374">
        <v>338961</v>
      </c>
    </row>
    <row r="232" spans="1:31">
      <c r="A232" s="389" t="s">
        <v>89</v>
      </c>
      <c r="B232" s="221" t="s">
        <v>24</v>
      </c>
      <c r="C232" t="s">
        <v>617</v>
      </c>
      <c r="D232" s="382" t="s">
        <v>368</v>
      </c>
      <c r="F232"/>
      <c r="G232"/>
      <c r="H232"/>
      <c r="I232" t="s">
        <v>368</v>
      </c>
      <c r="J232" t="s">
        <v>368</v>
      </c>
      <c r="K232" s="389"/>
      <c r="L232" s="389"/>
      <c r="M232" s="281">
        <v>2012</v>
      </c>
      <c r="N232" s="390">
        <v>2</v>
      </c>
      <c r="O232" s="391">
        <v>146272</v>
      </c>
      <c r="P232" s="391">
        <v>236971</v>
      </c>
      <c r="Q232" s="391">
        <v>11205</v>
      </c>
      <c r="R232" s="391">
        <v>394448</v>
      </c>
      <c r="S232" s="233"/>
      <c r="T232" s="225">
        <v>236971</v>
      </c>
      <c r="U232" s="225">
        <v>146272</v>
      </c>
      <c r="V232" s="226">
        <v>0.2366618568375678</v>
      </c>
      <c r="W232" s="227">
        <v>0.6007661339390743</v>
      </c>
      <c r="X232" s="228" t="s">
        <v>969</v>
      </c>
      <c r="Y232" s="229" t="s">
        <v>972</v>
      </c>
      <c r="Z232" s="230" t="s">
        <v>973</v>
      </c>
      <c r="AA232" s="231">
        <v>146272</v>
      </c>
      <c r="AB232" s="231">
        <v>0</v>
      </c>
      <c r="AC232" s="232">
        <v>11205</v>
      </c>
      <c r="AD232" s="374">
        <v>157477</v>
      </c>
    </row>
    <row r="233" spans="1:31">
      <c r="A233" s="389" t="s">
        <v>89</v>
      </c>
      <c r="B233" s="221" t="s">
        <v>24</v>
      </c>
      <c r="C233" t="s">
        <v>618</v>
      </c>
      <c r="D233"/>
      <c r="E233"/>
      <c r="F233"/>
      <c r="G233"/>
      <c r="H233"/>
      <c r="I233" t="s">
        <v>368</v>
      </c>
      <c r="J233" t="s">
        <v>368</v>
      </c>
      <c r="K233" s="389"/>
      <c r="L233" s="389"/>
      <c r="M233" s="281">
        <v>2008</v>
      </c>
      <c r="N233" s="390">
        <v>3</v>
      </c>
      <c r="O233" s="391">
        <v>111189</v>
      </c>
      <c r="P233" s="391">
        <v>214843</v>
      </c>
      <c r="Q233" s="391">
        <v>12353</v>
      </c>
      <c r="R233" s="391">
        <v>338385</v>
      </c>
      <c r="S233" s="233"/>
      <c r="T233" s="225">
        <v>214843</v>
      </c>
      <c r="U233" s="225">
        <v>111189</v>
      </c>
      <c r="V233" s="226">
        <v>0.31792584776954408</v>
      </c>
      <c r="W233" s="227">
        <v>0.6349069846476646</v>
      </c>
      <c r="X233" s="228" t="s">
        <v>969</v>
      </c>
      <c r="Y233" s="229" t="s">
        <v>972</v>
      </c>
      <c r="Z233" s="230" t="s">
        <v>973</v>
      </c>
      <c r="AA233" s="231">
        <v>111189</v>
      </c>
      <c r="AB233" s="231">
        <v>0</v>
      </c>
      <c r="AC233" s="232">
        <v>12353</v>
      </c>
      <c r="AD233" s="374">
        <v>123542</v>
      </c>
    </row>
    <row r="234" spans="1:31">
      <c r="A234" s="389" t="s">
        <v>89</v>
      </c>
      <c r="B234" s="221" t="s">
        <v>24</v>
      </c>
      <c r="C234" t="s">
        <v>619</v>
      </c>
      <c r="D234" s="382" t="s">
        <v>368</v>
      </c>
      <c r="E234"/>
      <c r="F234"/>
      <c r="G234"/>
      <c r="H234"/>
      <c r="I234" t="s">
        <v>368</v>
      </c>
      <c r="J234" t="s">
        <v>368</v>
      </c>
      <c r="K234" s="389"/>
      <c r="L234" s="389"/>
      <c r="M234" s="281">
        <v>2010</v>
      </c>
      <c r="N234" s="390">
        <v>4</v>
      </c>
      <c r="O234" s="391">
        <v>113120</v>
      </c>
      <c r="P234" s="391">
        <v>192237</v>
      </c>
      <c r="Q234" s="391">
        <v>13366</v>
      </c>
      <c r="R234" s="391">
        <v>318723</v>
      </c>
      <c r="S234" s="233"/>
      <c r="T234" s="225">
        <v>192237</v>
      </c>
      <c r="U234" s="225">
        <v>113120</v>
      </c>
      <c r="V234" s="226">
        <v>0.25909672940197864</v>
      </c>
      <c r="W234" s="227">
        <v>0.60314756073455633</v>
      </c>
      <c r="X234" s="228" t="s">
        <v>969</v>
      </c>
      <c r="Y234" s="229" t="s">
        <v>972</v>
      </c>
      <c r="Z234" s="230" t="s">
        <v>973</v>
      </c>
      <c r="AA234" s="231">
        <v>113120</v>
      </c>
      <c r="AB234" s="231">
        <v>0</v>
      </c>
      <c r="AC234" s="232">
        <v>13366</v>
      </c>
      <c r="AD234" s="374">
        <v>126486</v>
      </c>
    </row>
    <row r="235" spans="1:31">
      <c r="A235" s="389" t="s">
        <v>89</v>
      </c>
      <c r="B235" s="221" t="s">
        <v>24</v>
      </c>
      <c r="C235" t="s">
        <v>620</v>
      </c>
      <c r="E235" s="382" t="s">
        <v>368</v>
      </c>
      <c r="F235"/>
      <c r="G235"/>
      <c r="H235"/>
      <c r="I235" t="s">
        <v>368</v>
      </c>
      <c r="J235" t="s">
        <v>368</v>
      </c>
      <c r="K235" s="392"/>
      <c r="L235" s="392"/>
      <c r="M235" s="281">
        <v>2004</v>
      </c>
      <c r="N235" s="390">
        <v>5</v>
      </c>
      <c r="O235" s="391">
        <v>200290</v>
      </c>
      <c r="P235" s="391">
        <v>122149</v>
      </c>
      <c r="Q235" s="391">
        <v>8503</v>
      </c>
      <c r="R235" s="391">
        <v>330942</v>
      </c>
      <c r="S235" s="233"/>
      <c r="T235" s="225">
        <v>200290</v>
      </c>
      <c r="U235" s="225">
        <v>122149</v>
      </c>
      <c r="V235" s="226">
        <v>0.24234351303657437</v>
      </c>
      <c r="W235" s="227">
        <v>0.60521178937699049</v>
      </c>
      <c r="X235" s="228" t="s">
        <v>969</v>
      </c>
      <c r="Y235" s="229" t="s">
        <v>970</v>
      </c>
      <c r="Z235" s="230" t="s">
        <v>973</v>
      </c>
      <c r="AA235" s="231">
        <v>0</v>
      </c>
      <c r="AB235" s="231">
        <v>122149</v>
      </c>
      <c r="AC235" s="232">
        <v>8503</v>
      </c>
      <c r="AD235" s="374">
        <v>130652</v>
      </c>
    </row>
    <row r="236" spans="1:31">
      <c r="A236" s="389" t="s">
        <v>89</v>
      </c>
      <c r="B236" s="221" t="s">
        <v>24</v>
      </c>
      <c r="C236" t="s">
        <v>621</v>
      </c>
      <c r="D236"/>
      <c r="F236"/>
      <c r="G236"/>
      <c r="H236"/>
      <c r="I236" t="s">
        <v>368</v>
      </c>
      <c r="J236" t="s">
        <v>368</v>
      </c>
      <c r="K236" s="389"/>
      <c r="L236" s="389"/>
      <c r="M236" s="281">
        <v>2000</v>
      </c>
      <c r="N236" s="390">
        <v>6</v>
      </c>
      <c r="O236" s="391">
        <v>108503</v>
      </c>
      <c r="P236" s="391">
        <v>216906</v>
      </c>
      <c r="Q236" s="391">
        <v>8279</v>
      </c>
      <c r="R236" s="391">
        <v>333688</v>
      </c>
      <c r="S236" s="233"/>
      <c r="T236" s="225">
        <v>216906</v>
      </c>
      <c r="U236" s="225">
        <v>108503</v>
      </c>
      <c r="V236" s="226">
        <v>0.33312846294970327</v>
      </c>
      <c r="W236" s="227">
        <v>0.65002637194025559</v>
      </c>
      <c r="X236" s="228" t="s">
        <v>969</v>
      </c>
      <c r="Y236" s="229" t="s">
        <v>972</v>
      </c>
      <c r="Z236" s="230" t="s">
        <v>973</v>
      </c>
      <c r="AA236" s="231">
        <v>108503</v>
      </c>
      <c r="AB236" s="231">
        <v>0</v>
      </c>
      <c r="AC236" s="232">
        <v>8279</v>
      </c>
      <c r="AD236" s="374">
        <v>116782</v>
      </c>
    </row>
    <row r="237" spans="1:31">
      <c r="A237" s="389" t="s">
        <v>89</v>
      </c>
      <c r="B237" s="221" t="s">
        <v>24</v>
      </c>
      <c r="C237" t="s">
        <v>622</v>
      </c>
      <c r="D237"/>
      <c r="E237"/>
      <c r="F237"/>
      <c r="G237"/>
      <c r="H237"/>
      <c r="I237" t="s">
        <v>368</v>
      </c>
      <c r="J237" t="s">
        <v>368</v>
      </c>
      <c r="K237" s="389"/>
      <c r="L237" s="389"/>
      <c r="M237" s="281">
        <v>2010</v>
      </c>
      <c r="N237" s="390">
        <v>7</v>
      </c>
      <c r="O237" s="391">
        <v>98498</v>
      </c>
      <c r="P237" s="391">
        <v>203565</v>
      </c>
      <c r="Q237" s="391">
        <v>16677</v>
      </c>
      <c r="R237" s="391">
        <v>318740</v>
      </c>
      <c r="S237" s="233"/>
      <c r="T237" s="225">
        <v>203565</v>
      </c>
      <c r="U237" s="225">
        <v>98498</v>
      </c>
      <c r="V237" s="226">
        <v>0.34783141265232748</v>
      </c>
      <c r="W237" s="227">
        <v>0.63865533036330546</v>
      </c>
      <c r="X237" s="228" t="s">
        <v>969</v>
      </c>
      <c r="Y237" s="229" t="s">
        <v>972</v>
      </c>
      <c r="Z237" s="230" t="s">
        <v>973</v>
      </c>
      <c r="AA237" s="231">
        <v>98498</v>
      </c>
      <c r="AB237" s="231">
        <v>0</v>
      </c>
      <c r="AC237" s="232">
        <v>16677</v>
      </c>
      <c r="AD237" s="374">
        <v>115175</v>
      </c>
    </row>
    <row r="238" spans="1:31">
      <c r="A238" s="389" t="s">
        <v>89</v>
      </c>
      <c r="B238" s="221" t="s">
        <v>24</v>
      </c>
      <c r="C238" t="s">
        <v>623</v>
      </c>
      <c r="D238"/>
      <c r="E238"/>
      <c r="F238"/>
      <c r="G238"/>
      <c r="H238"/>
      <c r="I238" t="s">
        <v>368</v>
      </c>
      <c r="J238" t="s">
        <v>368</v>
      </c>
      <c r="K238" s="389"/>
      <c r="L238" s="389"/>
      <c r="M238" s="281">
        <v>1996</v>
      </c>
      <c r="N238" s="390">
        <v>8</v>
      </c>
      <c r="O238" s="391">
        <v>73755</v>
      </c>
      <c r="P238" s="391">
        <v>216083</v>
      </c>
      <c r="Q238" s="391">
        <v>10553</v>
      </c>
      <c r="R238" s="391">
        <v>300391</v>
      </c>
      <c r="S238" s="233"/>
      <c r="T238" s="225">
        <v>216083</v>
      </c>
      <c r="U238" s="225">
        <v>73755</v>
      </c>
      <c r="V238" s="226">
        <v>0.49106052346483209</v>
      </c>
      <c r="W238" s="227">
        <v>0.71933912800316924</v>
      </c>
      <c r="X238" s="228" t="s">
        <v>969</v>
      </c>
      <c r="Y238" s="229" t="s">
        <v>972</v>
      </c>
      <c r="Z238" s="230" t="s">
        <v>971</v>
      </c>
      <c r="AA238" s="231">
        <v>73755</v>
      </c>
      <c r="AB238" s="231">
        <v>0</v>
      </c>
      <c r="AC238" s="232">
        <v>10553</v>
      </c>
      <c r="AD238" s="374">
        <v>84308</v>
      </c>
    </row>
    <row r="239" spans="1:31">
      <c r="A239" s="389" t="s">
        <v>90</v>
      </c>
      <c r="B239" s="221" t="s">
        <v>25</v>
      </c>
      <c r="C239" t="s">
        <v>624</v>
      </c>
      <c r="E239"/>
      <c r="F239"/>
      <c r="G239"/>
      <c r="H239"/>
      <c r="I239" t="s">
        <v>974</v>
      </c>
      <c r="J239" t="s">
        <v>974</v>
      </c>
      <c r="K239" s="389"/>
      <c r="L239" s="389"/>
      <c r="M239" s="281">
        <v>2012</v>
      </c>
      <c r="N239" s="390" t="s">
        <v>0</v>
      </c>
      <c r="O239" s="391">
        <v>204939</v>
      </c>
      <c r="P239" s="391">
        <v>255468</v>
      </c>
      <c r="Q239" s="391">
        <v>19333</v>
      </c>
      <c r="R239" s="391">
        <v>479740</v>
      </c>
      <c r="S239" s="233"/>
      <c r="T239" s="225">
        <v>255468</v>
      </c>
      <c r="U239" s="225">
        <v>204939</v>
      </c>
      <c r="V239" s="226">
        <v>0.10974854856681154</v>
      </c>
      <c r="W239" s="227">
        <v>0.53251344478259055</v>
      </c>
      <c r="X239" s="228" t="s">
        <v>975</v>
      </c>
      <c r="Y239" s="229" t="s">
        <v>976</v>
      </c>
      <c r="Z239" s="230" t="s">
        <v>977</v>
      </c>
      <c r="AA239" s="231">
        <v>204939</v>
      </c>
      <c r="AB239" s="231">
        <v>0</v>
      </c>
      <c r="AC239" s="232">
        <v>19333</v>
      </c>
      <c r="AD239" s="374">
        <v>224272</v>
      </c>
    </row>
    <row r="240" spans="1:31">
      <c r="A240" s="389" t="s">
        <v>91</v>
      </c>
      <c r="B240" s="221" t="s">
        <v>26</v>
      </c>
      <c r="C240" t="s">
        <v>625</v>
      </c>
      <c r="D240"/>
      <c r="E240"/>
      <c r="F240"/>
      <c r="G240"/>
      <c r="H240"/>
      <c r="I240" t="s">
        <v>978</v>
      </c>
      <c r="J240" t="s">
        <v>978</v>
      </c>
      <c r="K240" s="389"/>
      <c r="L240" s="389"/>
      <c r="M240" s="281">
        <v>2004</v>
      </c>
      <c r="N240" s="390">
        <v>1</v>
      </c>
      <c r="O240" s="391">
        <v>81206</v>
      </c>
      <c r="P240" s="391">
        <v>174889</v>
      </c>
      <c r="Q240" s="391">
        <v>0</v>
      </c>
      <c r="R240" s="391">
        <v>256095</v>
      </c>
      <c r="S240" s="233"/>
      <c r="T240" s="225">
        <v>174889</v>
      </c>
      <c r="U240" s="225">
        <v>81206</v>
      </c>
      <c r="V240" s="226">
        <v>0.3658134676584861</v>
      </c>
      <c r="W240" s="227">
        <v>0.68290673382924305</v>
      </c>
      <c r="X240" s="228" t="s">
        <v>979</v>
      </c>
      <c r="Y240" s="229" t="s">
        <v>980</v>
      </c>
      <c r="Z240" s="230" t="s">
        <v>981</v>
      </c>
      <c r="AA240" s="231">
        <v>81206</v>
      </c>
      <c r="AB240" s="231">
        <v>0</v>
      </c>
      <c r="AC240" s="232">
        <v>0</v>
      </c>
      <c r="AD240" s="374">
        <v>81206</v>
      </c>
      <c r="AE240" s="374">
        <v>1159900</v>
      </c>
    </row>
    <row r="241" spans="1:31">
      <c r="A241" s="389" t="s">
        <v>91</v>
      </c>
      <c r="B241" s="221" t="s">
        <v>26</v>
      </c>
      <c r="C241" t="s">
        <v>626</v>
      </c>
      <c r="D241"/>
      <c r="E241"/>
      <c r="F241"/>
      <c r="G241"/>
      <c r="H241"/>
      <c r="I241" t="s">
        <v>978</v>
      </c>
      <c r="J241" t="s">
        <v>978</v>
      </c>
      <c r="K241" s="389"/>
      <c r="L241" s="389"/>
      <c r="M241" s="281">
        <v>1998</v>
      </c>
      <c r="N241" s="390">
        <v>2</v>
      </c>
      <c r="O241" s="391">
        <v>129767</v>
      </c>
      <c r="P241" s="391">
        <v>133964</v>
      </c>
      <c r="Q241" s="391">
        <v>0</v>
      </c>
      <c r="R241" s="391">
        <v>263731</v>
      </c>
      <c r="S241" s="233"/>
      <c r="T241" s="225">
        <v>133964</v>
      </c>
      <c r="U241" s="225">
        <v>129767</v>
      </c>
      <c r="V241" s="226">
        <v>1.5913942615771372E-2</v>
      </c>
      <c r="W241" s="227">
        <v>0.50795697130788564</v>
      </c>
      <c r="X241" s="228" t="s">
        <v>979</v>
      </c>
      <c r="Y241" s="229" t="s">
        <v>980</v>
      </c>
      <c r="Z241" s="230" t="s">
        <v>982</v>
      </c>
      <c r="AA241" s="231">
        <v>129767</v>
      </c>
      <c r="AB241" s="231">
        <v>0</v>
      </c>
      <c r="AC241" s="232">
        <v>0</v>
      </c>
      <c r="AD241" s="374">
        <v>129767</v>
      </c>
      <c r="AE241" s="374">
        <v>129767</v>
      </c>
    </row>
    <row r="242" spans="1:31">
      <c r="A242" s="389" t="s">
        <v>91</v>
      </c>
      <c r="B242" s="221" t="s">
        <v>26</v>
      </c>
      <c r="C242" t="s">
        <v>627</v>
      </c>
      <c r="D242"/>
      <c r="E242"/>
      <c r="F242"/>
      <c r="G242"/>
      <c r="H242"/>
      <c r="I242" t="s">
        <v>978</v>
      </c>
      <c r="J242" t="s">
        <v>978</v>
      </c>
      <c r="K242" s="389"/>
      <c r="L242" s="389"/>
      <c r="M242" s="281">
        <v>2006</v>
      </c>
      <c r="N242" s="390">
        <v>3</v>
      </c>
      <c r="O242" s="391">
        <v>65266</v>
      </c>
      <c r="P242" s="391">
        <v>187423</v>
      </c>
      <c r="Q242" s="391">
        <v>0</v>
      </c>
      <c r="R242" s="391">
        <v>252689</v>
      </c>
      <c r="S242" s="233"/>
      <c r="T242" s="225">
        <v>187423</v>
      </c>
      <c r="U242" s="225">
        <v>65266</v>
      </c>
      <c r="V242" s="226">
        <v>0.48342824578830101</v>
      </c>
      <c r="W242" s="227">
        <v>0.74171412289415051</v>
      </c>
      <c r="X242" s="228" t="s">
        <v>979</v>
      </c>
      <c r="Y242" s="229" t="s">
        <v>980</v>
      </c>
      <c r="Z242" s="230" t="s">
        <v>983</v>
      </c>
      <c r="AA242" s="231">
        <v>65266</v>
      </c>
      <c r="AB242" s="231">
        <v>0</v>
      </c>
      <c r="AC242" s="232">
        <v>0</v>
      </c>
      <c r="AD242" s="374">
        <v>65266</v>
      </c>
    </row>
    <row r="243" spans="1:31">
      <c r="A243" s="389" t="s">
        <v>92</v>
      </c>
      <c r="B243" s="221" t="s">
        <v>27</v>
      </c>
      <c r="C243" t="s">
        <v>628</v>
      </c>
      <c r="D243" s="382" t="s">
        <v>369</v>
      </c>
      <c r="E243"/>
      <c r="F243"/>
      <c r="G243"/>
      <c r="H243"/>
      <c r="I243" t="s">
        <v>369</v>
      </c>
      <c r="J243" t="s">
        <v>369</v>
      </c>
      <c r="K243" s="392"/>
      <c r="L243" s="392"/>
      <c r="M243" s="281">
        <v>2012</v>
      </c>
      <c r="N243" s="390">
        <v>1</v>
      </c>
      <c r="O243" s="391">
        <v>113967</v>
      </c>
      <c r="P243" s="391">
        <v>56521</v>
      </c>
      <c r="Q243" s="391">
        <v>8790</v>
      </c>
      <c r="R243" s="391">
        <v>179278</v>
      </c>
      <c r="S243" s="233"/>
      <c r="T243" s="225">
        <v>113967</v>
      </c>
      <c r="U243" s="225">
        <v>56521</v>
      </c>
      <c r="V243" s="226">
        <v>0.33695040120125758</v>
      </c>
      <c r="W243" s="227">
        <v>0.63569986278294044</v>
      </c>
      <c r="X243" s="228" t="s">
        <v>984</v>
      </c>
      <c r="Y243" s="229" t="s">
        <v>985</v>
      </c>
      <c r="Z243" s="230" t="s">
        <v>986</v>
      </c>
      <c r="AA243" s="231">
        <v>0</v>
      </c>
      <c r="AB243" s="231">
        <v>56521</v>
      </c>
      <c r="AC243" s="232">
        <v>8790</v>
      </c>
      <c r="AD243" s="374">
        <v>65311</v>
      </c>
    </row>
    <row r="244" spans="1:31">
      <c r="A244" s="389" t="s">
        <v>92</v>
      </c>
      <c r="B244" s="221" t="s">
        <v>27</v>
      </c>
      <c r="C244" t="s">
        <v>629</v>
      </c>
      <c r="D244"/>
      <c r="E244"/>
      <c r="F244"/>
      <c r="G244"/>
      <c r="H244"/>
      <c r="I244" t="s">
        <v>369</v>
      </c>
      <c r="J244" t="s">
        <v>369</v>
      </c>
      <c r="K244" s="389"/>
      <c r="L244" s="389"/>
      <c r="M244" s="281">
        <v>2011</v>
      </c>
      <c r="N244" s="390">
        <v>2</v>
      </c>
      <c r="O244" s="391">
        <v>102019</v>
      </c>
      <c r="P244" s="391">
        <v>162213</v>
      </c>
      <c r="Q244" s="391">
        <v>17217</v>
      </c>
      <c r="R244" s="391">
        <v>281449</v>
      </c>
      <c r="S244" s="233"/>
      <c r="T244" s="225">
        <v>162213</v>
      </c>
      <c r="U244" s="225">
        <v>102019</v>
      </c>
      <c r="V244" s="226">
        <v>0.22780738139210996</v>
      </c>
      <c r="W244" s="227">
        <v>0.57634953401859657</v>
      </c>
      <c r="X244" s="228" t="s">
        <v>984</v>
      </c>
      <c r="Y244" s="229" t="s">
        <v>987</v>
      </c>
      <c r="Z244" s="230" t="s">
        <v>986</v>
      </c>
      <c r="AA244" s="231">
        <v>102019</v>
      </c>
      <c r="AB244" s="231">
        <v>0</v>
      </c>
      <c r="AC244" s="232">
        <v>17217</v>
      </c>
      <c r="AD244" s="374">
        <v>119236</v>
      </c>
      <c r="AE244" s="374">
        <v>249813</v>
      </c>
    </row>
    <row r="245" spans="1:31">
      <c r="A245" s="389" t="s">
        <v>92</v>
      </c>
      <c r="B245" s="221" t="s">
        <v>27</v>
      </c>
      <c r="C245" t="s">
        <v>630</v>
      </c>
      <c r="E245"/>
      <c r="F245"/>
      <c r="G245"/>
      <c r="H245"/>
      <c r="I245" t="s">
        <v>369</v>
      </c>
      <c r="J245" t="s">
        <v>369</v>
      </c>
      <c r="K245" s="389"/>
      <c r="L245" s="389"/>
      <c r="M245" s="281">
        <v>2010</v>
      </c>
      <c r="N245" s="390">
        <v>3</v>
      </c>
      <c r="O245" s="391">
        <v>116823</v>
      </c>
      <c r="P245" s="391">
        <v>137244</v>
      </c>
      <c r="Q245" s="391">
        <v>18456</v>
      </c>
      <c r="R245" s="391">
        <v>272523</v>
      </c>
      <c r="S245" s="233"/>
      <c r="T245" s="225">
        <v>137244</v>
      </c>
      <c r="U245" s="225">
        <v>116823</v>
      </c>
      <c r="V245" s="226">
        <v>8.0376436136924509E-2</v>
      </c>
      <c r="W245" s="227">
        <v>0.50360520029502098</v>
      </c>
      <c r="X245" s="228" t="s">
        <v>984</v>
      </c>
      <c r="Y245" s="229" t="s">
        <v>987</v>
      </c>
      <c r="Z245" s="230" t="s">
        <v>988</v>
      </c>
      <c r="AA245" s="231">
        <v>116823</v>
      </c>
      <c r="AB245" s="231">
        <v>0</v>
      </c>
      <c r="AC245" s="232">
        <v>18456</v>
      </c>
      <c r="AD245" s="374">
        <v>135279</v>
      </c>
    </row>
    <row r="246" spans="1:31">
      <c r="A246" s="389" t="s">
        <v>92</v>
      </c>
      <c r="B246" s="221" t="s">
        <v>27</v>
      </c>
      <c r="C246" t="s">
        <v>631</v>
      </c>
      <c r="E246" s="382" t="s">
        <v>369</v>
      </c>
      <c r="F246"/>
      <c r="G246"/>
      <c r="H246"/>
      <c r="I246" t="s">
        <v>369</v>
      </c>
      <c r="J246" t="s">
        <v>369</v>
      </c>
      <c r="K246" s="392"/>
      <c r="L246" s="392"/>
      <c r="M246" s="281">
        <v>2012</v>
      </c>
      <c r="N246" s="390">
        <v>4</v>
      </c>
      <c r="O246" s="391">
        <v>120501</v>
      </c>
      <c r="P246" s="391">
        <v>101261</v>
      </c>
      <c r="Q246" s="391">
        <v>18730</v>
      </c>
      <c r="R246" s="391">
        <v>240492</v>
      </c>
      <c r="S246" s="233"/>
      <c r="T246" s="225">
        <v>120501</v>
      </c>
      <c r="U246" s="225">
        <v>101261</v>
      </c>
      <c r="V246" s="226">
        <v>8.6759679295821651E-2</v>
      </c>
      <c r="W246" s="227">
        <v>0.50106032633102138</v>
      </c>
      <c r="X246" s="228" t="s">
        <v>984</v>
      </c>
      <c r="Y246" s="229" t="s">
        <v>985</v>
      </c>
      <c r="Z246" s="230" t="s">
        <v>988</v>
      </c>
      <c r="AA246" s="231">
        <v>0</v>
      </c>
      <c r="AB246" s="231">
        <v>101261</v>
      </c>
      <c r="AC246" s="232">
        <v>18730</v>
      </c>
      <c r="AD246" s="374">
        <v>119991</v>
      </c>
    </row>
    <row r="247" spans="1:31">
      <c r="A247" s="389" t="s">
        <v>93</v>
      </c>
      <c r="B247" s="221" t="s">
        <v>28</v>
      </c>
      <c r="C247" t="s">
        <v>632</v>
      </c>
      <c r="D247" t="s">
        <v>829</v>
      </c>
      <c r="E247"/>
      <c r="F247"/>
      <c r="G247"/>
      <c r="H247"/>
      <c r="I247" t="s">
        <v>829</v>
      </c>
      <c r="J247" t="s">
        <v>989</v>
      </c>
      <c r="K247" s="392">
        <v>1</v>
      </c>
      <c r="L247" s="392">
        <v>1</v>
      </c>
      <c r="M247" s="281">
        <v>2012</v>
      </c>
      <c r="N247" s="390">
        <v>1</v>
      </c>
      <c r="O247" s="391">
        <v>171650</v>
      </c>
      <c r="P247" s="391">
        <v>158659</v>
      </c>
      <c r="Q247" s="391">
        <v>14713</v>
      </c>
      <c r="R247" s="391">
        <v>345022</v>
      </c>
      <c r="S247" s="233"/>
      <c r="T247" s="225">
        <v>171650</v>
      </c>
      <c r="U247" s="225">
        <v>158659</v>
      </c>
      <c r="V247" s="226">
        <v>3.9329839635008433E-2</v>
      </c>
      <c r="W247" s="227">
        <v>0.49750450695897652</v>
      </c>
      <c r="X247" s="228" t="s">
        <v>989</v>
      </c>
      <c r="Y247" s="229" t="s">
        <v>990</v>
      </c>
      <c r="Z247" s="230" t="s">
        <v>991</v>
      </c>
      <c r="AA247" s="231">
        <v>0</v>
      </c>
      <c r="AB247" s="231">
        <v>158659</v>
      </c>
      <c r="AC247" s="232">
        <v>14713</v>
      </c>
      <c r="AD247" s="374">
        <v>173372</v>
      </c>
      <c r="AE247" s="374">
        <v>428642</v>
      </c>
    </row>
    <row r="248" spans="1:31">
      <c r="A248" s="389" t="s">
        <v>93</v>
      </c>
      <c r="B248" s="221" t="s">
        <v>28</v>
      </c>
      <c r="C248" t="s">
        <v>633</v>
      </c>
      <c r="D248" t="s">
        <v>829</v>
      </c>
      <c r="E248"/>
      <c r="F248"/>
      <c r="G248"/>
      <c r="H248"/>
      <c r="I248" t="s">
        <v>829</v>
      </c>
      <c r="J248" t="s">
        <v>989</v>
      </c>
      <c r="K248" s="392">
        <v>1</v>
      </c>
      <c r="L248" s="392">
        <v>1</v>
      </c>
      <c r="M248" s="281">
        <v>2012</v>
      </c>
      <c r="N248" s="390">
        <v>2</v>
      </c>
      <c r="O248" s="391">
        <v>169275</v>
      </c>
      <c r="P248" s="391">
        <v>152977</v>
      </c>
      <c r="Q248" s="391">
        <v>15142</v>
      </c>
      <c r="R248" s="391">
        <v>337394</v>
      </c>
      <c r="S248" s="233"/>
      <c r="T248" s="225">
        <v>169275</v>
      </c>
      <c r="U248" s="225">
        <v>152977</v>
      </c>
      <c r="V248" s="226">
        <v>5.0575326142273745E-2</v>
      </c>
      <c r="W248" s="227">
        <v>0.50171313064251288</v>
      </c>
      <c r="X248" s="228" t="s">
        <v>989</v>
      </c>
      <c r="Y248" s="229" t="s">
        <v>990</v>
      </c>
      <c r="Z248" s="230" t="s">
        <v>992</v>
      </c>
      <c r="AA248" s="231">
        <v>0</v>
      </c>
      <c r="AB248" s="231">
        <v>152977</v>
      </c>
      <c r="AC248" s="232">
        <v>15142</v>
      </c>
      <c r="AD248" s="374">
        <v>168119</v>
      </c>
    </row>
    <row r="249" spans="1:31">
      <c r="A249" s="389" t="s">
        <v>94</v>
      </c>
      <c r="B249" s="221" t="s">
        <v>29</v>
      </c>
      <c r="C249" t="s">
        <v>634</v>
      </c>
      <c r="D249"/>
      <c r="E249"/>
      <c r="F249"/>
      <c r="G249"/>
      <c r="H249"/>
      <c r="I249" t="s">
        <v>370</v>
      </c>
      <c r="J249" t="s">
        <v>370</v>
      </c>
      <c r="K249" s="392"/>
      <c r="L249" s="392"/>
      <c r="M249" s="281">
        <v>1990</v>
      </c>
      <c r="N249" s="390">
        <v>1</v>
      </c>
      <c r="O249" s="391">
        <v>210470</v>
      </c>
      <c r="P249" s="391">
        <v>92459</v>
      </c>
      <c r="Q249" s="391">
        <v>5590</v>
      </c>
      <c r="R249" s="391">
        <v>308519</v>
      </c>
      <c r="S249" s="233"/>
      <c r="T249" s="225">
        <v>210470</v>
      </c>
      <c r="U249" s="225">
        <v>92459</v>
      </c>
      <c r="V249" s="226">
        <v>0.38956653209167824</v>
      </c>
      <c r="W249" s="227">
        <v>0.68219461362185152</v>
      </c>
      <c r="X249" s="228" t="s">
        <v>993</v>
      </c>
      <c r="Y249" s="229" t="s">
        <v>994</v>
      </c>
      <c r="Z249" s="230" t="s">
        <v>995</v>
      </c>
      <c r="AA249" s="231">
        <v>0</v>
      </c>
      <c r="AB249" s="231">
        <v>92459</v>
      </c>
      <c r="AC249" s="232">
        <v>5590</v>
      </c>
      <c r="AD249" s="374">
        <v>98049</v>
      </c>
      <c r="AE249" s="374">
        <v>266168</v>
      </c>
    </row>
    <row r="250" spans="1:31">
      <c r="A250" s="389" t="s">
        <v>94</v>
      </c>
      <c r="B250" s="221" t="s">
        <v>29</v>
      </c>
      <c r="C250" t="s">
        <v>635</v>
      </c>
      <c r="D250"/>
      <c r="E250"/>
      <c r="F250"/>
      <c r="G250"/>
      <c r="H250"/>
      <c r="I250" t="s">
        <v>370</v>
      </c>
      <c r="J250" t="s">
        <v>370</v>
      </c>
      <c r="K250" s="389"/>
      <c r="L250" s="389"/>
      <c r="M250" s="281">
        <v>1994</v>
      </c>
      <c r="N250" s="390">
        <v>2</v>
      </c>
      <c r="O250" s="391">
        <v>116462</v>
      </c>
      <c r="P250" s="391">
        <v>166677</v>
      </c>
      <c r="Q250" s="391">
        <v>5930</v>
      </c>
      <c r="R250" s="391">
        <v>289069</v>
      </c>
      <c r="S250" s="233"/>
      <c r="T250" s="225">
        <v>166677</v>
      </c>
      <c r="U250" s="225">
        <v>116462</v>
      </c>
      <c r="V250" s="226">
        <v>0.17735105372272983</v>
      </c>
      <c r="W250" s="227">
        <v>0.57659935863063838</v>
      </c>
      <c r="X250" s="228" t="s">
        <v>993</v>
      </c>
      <c r="Y250" s="229" t="s">
        <v>996</v>
      </c>
      <c r="Z250" s="230" t="s">
        <v>997</v>
      </c>
      <c r="AA250" s="231">
        <v>116462</v>
      </c>
      <c r="AB250" s="231">
        <v>0</v>
      </c>
      <c r="AC250" s="232">
        <v>5930</v>
      </c>
      <c r="AD250" s="374">
        <v>122392</v>
      </c>
    </row>
    <row r="251" spans="1:31">
      <c r="A251" s="389" t="s">
        <v>94</v>
      </c>
      <c r="B251" s="221" t="s">
        <v>29</v>
      </c>
      <c r="C251" t="s">
        <v>636</v>
      </c>
      <c r="D251"/>
      <c r="E251"/>
      <c r="F251"/>
      <c r="G251"/>
      <c r="H251"/>
      <c r="I251" t="s">
        <v>370</v>
      </c>
      <c r="J251" t="s">
        <v>370</v>
      </c>
      <c r="K251" s="389"/>
      <c r="L251" s="389"/>
      <c r="M251" s="281">
        <v>2010</v>
      </c>
      <c r="N251" s="390">
        <v>3</v>
      </c>
      <c r="O251" s="391">
        <v>145506</v>
      </c>
      <c r="P251" s="391">
        <v>174253</v>
      </c>
      <c r="Q251" s="391">
        <v>4640</v>
      </c>
      <c r="R251" s="391">
        <v>324399</v>
      </c>
      <c r="S251" s="233"/>
      <c r="T251" s="225">
        <v>174253</v>
      </c>
      <c r="U251" s="225">
        <v>145506</v>
      </c>
      <c r="V251" s="226">
        <v>8.9902082505887243E-2</v>
      </c>
      <c r="W251" s="227">
        <v>0.53715640307152612</v>
      </c>
      <c r="X251" s="228" t="s">
        <v>993</v>
      </c>
      <c r="Y251" s="229" t="s">
        <v>996</v>
      </c>
      <c r="Z251" s="230" t="s">
        <v>998</v>
      </c>
      <c r="AA251" s="231">
        <v>145506</v>
      </c>
      <c r="AB251" s="231">
        <v>0</v>
      </c>
      <c r="AC251" s="232">
        <v>4640</v>
      </c>
      <c r="AD251" s="374">
        <v>150146</v>
      </c>
    </row>
    <row r="252" spans="1:31">
      <c r="A252" s="389" t="s">
        <v>94</v>
      </c>
      <c r="B252" s="221" t="s">
        <v>29</v>
      </c>
      <c r="C252" t="s">
        <v>637</v>
      </c>
      <c r="D252"/>
      <c r="E252"/>
      <c r="F252"/>
      <c r="G252"/>
      <c r="H252"/>
      <c r="I252" t="s">
        <v>370</v>
      </c>
      <c r="J252" t="s">
        <v>370</v>
      </c>
      <c r="K252" s="389"/>
      <c r="L252" s="389"/>
      <c r="M252" s="281">
        <v>1980</v>
      </c>
      <c r="N252" s="390">
        <v>4</v>
      </c>
      <c r="O252" s="391">
        <v>107991</v>
      </c>
      <c r="P252" s="391">
        <v>195145</v>
      </c>
      <c r="Q252" s="391">
        <v>3111</v>
      </c>
      <c r="R252" s="391">
        <v>306247</v>
      </c>
      <c r="S252" s="233"/>
      <c r="T252" s="225">
        <v>195145</v>
      </c>
      <c r="U252" s="225">
        <v>107991</v>
      </c>
      <c r="V252" s="226">
        <v>0.28750791723846725</v>
      </c>
      <c r="W252" s="227">
        <v>0.63721440536560359</v>
      </c>
      <c r="X252" s="228" t="s">
        <v>993</v>
      </c>
      <c r="Y252" s="229" t="s">
        <v>996</v>
      </c>
      <c r="Z252" s="230" t="s">
        <v>995</v>
      </c>
      <c r="AA252" s="231">
        <v>107991</v>
      </c>
      <c r="AB252" s="231">
        <v>0</v>
      </c>
      <c r="AC252" s="232">
        <v>3111</v>
      </c>
      <c r="AD252" s="374">
        <v>111102</v>
      </c>
    </row>
    <row r="253" spans="1:31">
      <c r="A253" s="389" t="s">
        <v>94</v>
      </c>
      <c r="B253" s="221" t="s">
        <v>29</v>
      </c>
      <c r="C253" t="s">
        <v>638</v>
      </c>
      <c r="D253"/>
      <c r="E253"/>
      <c r="F253"/>
      <c r="G253"/>
      <c r="H253"/>
      <c r="I253" t="s">
        <v>370</v>
      </c>
      <c r="J253" t="s">
        <v>370</v>
      </c>
      <c r="K253" s="389"/>
      <c r="L253" s="389"/>
      <c r="M253" s="281">
        <v>2002</v>
      </c>
      <c r="N253" s="390">
        <v>5</v>
      </c>
      <c r="O253" s="391">
        <v>130100</v>
      </c>
      <c r="P253" s="391">
        <v>167501</v>
      </c>
      <c r="Q253" s="391">
        <v>6770</v>
      </c>
      <c r="R253" s="391">
        <v>304371</v>
      </c>
      <c r="S253" s="233"/>
      <c r="T253" s="225">
        <v>167501</v>
      </c>
      <c r="U253" s="225">
        <v>130100</v>
      </c>
      <c r="V253" s="226">
        <v>0.12567498093084364</v>
      </c>
      <c r="W253" s="227">
        <v>0.55031852574653961</v>
      </c>
      <c r="X253" s="228" t="s">
        <v>993</v>
      </c>
      <c r="Y253" s="229" t="s">
        <v>996</v>
      </c>
      <c r="Z253" s="230" t="s">
        <v>997</v>
      </c>
      <c r="AA253" s="231">
        <v>130100</v>
      </c>
      <c r="AB253" s="231">
        <v>0</v>
      </c>
      <c r="AC253" s="232">
        <v>6770</v>
      </c>
      <c r="AD253" s="374">
        <v>136870</v>
      </c>
    </row>
    <row r="254" spans="1:31">
      <c r="A254" s="389" t="s">
        <v>94</v>
      </c>
      <c r="B254" s="221" t="s">
        <v>29</v>
      </c>
      <c r="C254" t="s">
        <v>639</v>
      </c>
      <c r="D254"/>
      <c r="E254"/>
      <c r="F254"/>
      <c r="G254"/>
      <c r="H254"/>
      <c r="I254" t="s">
        <v>370</v>
      </c>
      <c r="J254" t="s">
        <v>370</v>
      </c>
      <c r="K254" s="392"/>
      <c r="L254" s="392"/>
      <c r="M254" s="281">
        <v>1988</v>
      </c>
      <c r="N254" s="390">
        <v>6</v>
      </c>
      <c r="O254" s="391">
        <v>151782</v>
      </c>
      <c r="P254" s="391">
        <v>84360</v>
      </c>
      <c r="Q254" s="391">
        <v>3496</v>
      </c>
      <c r="R254" s="391">
        <v>239638</v>
      </c>
      <c r="S254" s="233"/>
      <c r="T254" s="225">
        <v>151782</v>
      </c>
      <c r="U254" s="225">
        <v>84360</v>
      </c>
      <c r="V254" s="226">
        <v>0.2855146479660543</v>
      </c>
      <c r="W254" s="227">
        <v>0.63338034869261139</v>
      </c>
      <c r="X254" s="228" t="s">
        <v>993</v>
      </c>
      <c r="Y254" s="229" t="s">
        <v>994</v>
      </c>
      <c r="Z254" s="230" t="s">
        <v>995</v>
      </c>
      <c r="AA254" s="231">
        <v>0</v>
      </c>
      <c r="AB254" s="231">
        <v>84360</v>
      </c>
      <c r="AC254" s="232">
        <v>3496</v>
      </c>
      <c r="AD254" s="374">
        <v>87856</v>
      </c>
    </row>
    <row r="255" spans="1:31">
      <c r="A255" s="389" t="s">
        <v>94</v>
      </c>
      <c r="B255" s="221" t="s">
        <v>29</v>
      </c>
      <c r="C255" t="s">
        <v>640</v>
      </c>
      <c r="D255"/>
      <c r="E255"/>
      <c r="F255"/>
      <c r="G255"/>
      <c r="H255"/>
      <c r="I255" t="s">
        <v>370</v>
      </c>
      <c r="J255" t="s">
        <v>370</v>
      </c>
      <c r="K255" s="389"/>
      <c r="L255" s="389"/>
      <c r="M255" s="281">
        <v>2008</v>
      </c>
      <c r="N255" s="390">
        <v>7</v>
      </c>
      <c r="O255" s="391">
        <v>123057</v>
      </c>
      <c r="P255" s="391">
        <v>175662</v>
      </c>
      <c r="Q255" s="391">
        <v>8596</v>
      </c>
      <c r="R255" s="391">
        <v>307315</v>
      </c>
      <c r="S255" s="233"/>
      <c r="T255" s="225">
        <v>175662</v>
      </c>
      <c r="U255" s="225">
        <v>123057</v>
      </c>
      <c r="V255" s="226">
        <v>0.1761019553493417</v>
      </c>
      <c r="W255" s="227">
        <v>0.57160242747669332</v>
      </c>
      <c r="X255" s="228" t="s">
        <v>993</v>
      </c>
      <c r="Y255" s="229" t="s">
        <v>996</v>
      </c>
      <c r="Z255" s="230" t="s">
        <v>997</v>
      </c>
      <c r="AA255" s="231">
        <v>123057</v>
      </c>
      <c r="AB255" s="231">
        <v>0</v>
      </c>
      <c r="AC255" s="232">
        <v>8596</v>
      </c>
      <c r="AD255" s="374">
        <v>131653</v>
      </c>
    </row>
    <row r="256" spans="1:31">
      <c r="A256" s="389" t="s">
        <v>94</v>
      </c>
      <c r="B256" s="221" t="s">
        <v>29</v>
      </c>
      <c r="C256" t="s">
        <v>641</v>
      </c>
      <c r="D256"/>
      <c r="E256"/>
      <c r="F256" s="382" t="s">
        <v>370</v>
      </c>
      <c r="G256"/>
      <c r="H256"/>
      <c r="I256" t="s">
        <v>370</v>
      </c>
      <c r="J256" t="s">
        <v>370</v>
      </c>
      <c r="K256" s="392"/>
      <c r="L256" s="392"/>
      <c r="M256" s="281">
        <v>2006</v>
      </c>
      <c r="N256" s="390">
        <v>8</v>
      </c>
      <c r="O256" s="391">
        <v>130853</v>
      </c>
      <c r="P256" s="391">
        <v>31763</v>
      </c>
      <c r="Q256" s="391">
        <v>5274</v>
      </c>
      <c r="R256" s="391">
        <v>167890</v>
      </c>
      <c r="S256" s="233"/>
      <c r="T256" s="225">
        <v>130853</v>
      </c>
      <c r="U256" s="225">
        <v>31763</v>
      </c>
      <c r="V256" s="226">
        <v>0.60934963349239923</v>
      </c>
      <c r="W256" s="227">
        <v>0.77939722437310144</v>
      </c>
      <c r="X256" s="228" t="s">
        <v>993</v>
      </c>
      <c r="Y256" s="229" t="s">
        <v>994</v>
      </c>
      <c r="Z256" s="230" t="s">
        <v>999</v>
      </c>
      <c r="AA256" s="231">
        <v>0</v>
      </c>
      <c r="AB256" s="231">
        <v>31763</v>
      </c>
      <c r="AC256" s="232">
        <v>5274</v>
      </c>
      <c r="AD256" s="374">
        <v>37037</v>
      </c>
    </row>
    <row r="257" spans="1:31">
      <c r="A257" s="389" t="s">
        <v>94</v>
      </c>
      <c r="B257" s="221" t="s">
        <v>29</v>
      </c>
      <c r="C257" t="s">
        <v>642</v>
      </c>
      <c r="D257"/>
      <c r="E257"/>
      <c r="F257"/>
      <c r="G257"/>
      <c r="H257"/>
      <c r="I257" t="s">
        <v>370</v>
      </c>
      <c r="J257" t="s">
        <v>370</v>
      </c>
      <c r="K257" s="392"/>
      <c r="L257" s="392"/>
      <c r="M257" s="281">
        <v>1996</v>
      </c>
      <c r="N257" s="390">
        <v>9</v>
      </c>
      <c r="O257" s="391">
        <v>162822</v>
      </c>
      <c r="P257" s="391">
        <v>55091</v>
      </c>
      <c r="Q257" s="391">
        <v>2220</v>
      </c>
      <c r="R257" s="391">
        <v>220133</v>
      </c>
      <c r="S257" s="233"/>
      <c r="T257" s="225">
        <v>162822</v>
      </c>
      <c r="U257" s="225">
        <v>55091</v>
      </c>
      <c r="V257" s="226">
        <v>0.49437619600482763</v>
      </c>
      <c r="W257" s="227">
        <v>0.73965284623386773</v>
      </c>
      <c r="X257" s="228" t="s">
        <v>993</v>
      </c>
      <c r="Y257" s="229" t="s">
        <v>994</v>
      </c>
      <c r="Z257" s="230" t="s">
        <v>999</v>
      </c>
      <c r="AA257" s="231">
        <v>0</v>
      </c>
      <c r="AB257" s="231">
        <v>55091</v>
      </c>
      <c r="AC257" s="232">
        <v>2220</v>
      </c>
      <c r="AD257" s="374">
        <v>57311</v>
      </c>
    </row>
    <row r="258" spans="1:31">
      <c r="A258" s="389" t="s">
        <v>94</v>
      </c>
      <c r="B258" s="221" t="s">
        <v>29</v>
      </c>
      <c r="C258" t="s">
        <v>643</v>
      </c>
      <c r="D258"/>
      <c r="E258" s="382" t="s">
        <v>370</v>
      </c>
      <c r="F258"/>
      <c r="G258"/>
      <c r="H258"/>
      <c r="I258" t="s">
        <v>370</v>
      </c>
      <c r="J258" t="s">
        <v>370</v>
      </c>
      <c r="K258" s="392"/>
      <c r="L258" s="392"/>
      <c r="M258" s="281">
        <v>2012</v>
      </c>
      <c r="N258" s="390">
        <v>10</v>
      </c>
      <c r="O258" s="391">
        <v>201435</v>
      </c>
      <c r="P258" s="391">
        <v>24271</v>
      </c>
      <c r="Q258" s="391">
        <v>4354</v>
      </c>
      <c r="R258" s="391">
        <v>230060</v>
      </c>
      <c r="S258" s="233"/>
      <c r="T258" s="225">
        <v>201435</v>
      </c>
      <c r="U258" s="225">
        <v>24271</v>
      </c>
      <c r="V258" s="226">
        <v>0.78493261145029369</v>
      </c>
      <c r="W258" s="227">
        <v>0.87557593671216205</v>
      </c>
      <c r="X258" s="228" t="s">
        <v>993</v>
      </c>
      <c r="Y258" s="229" t="s">
        <v>994</v>
      </c>
      <c r="Z258" s="230" t="s">
        <v>999</v>
      </c>
      <c r="AA258" s="231">
        <v>0</v>
      </c>
      <c r="AB258" s="231">
        <v>24271</v>
      </c>
      <c r="AC258" s="232">
        <v>4354</v>
      </c>
      <c r="AD258" s="374">
        <v>28625</v>
      </c>
    </row>
    <row r="259" spans="1:31">
      <c r="A259" s="389" t="s">
        <v>94</v>
      </c>
      <c r="B259" s="221" t="s">
        <v>29</v>
      </c>
      <c r="C259" t="s">
        <v>644</v>
      </c>
      <c r="D259"/>
      <c r="F259"/>
      <c r="G259"/>
      <c r="H259"/>
      <c r="I259" t="s">
        <v>370</v>
      </c>
      <c r="J259" t="s">
        <v>370</v>
      </c>
      <c r="K259" s="389"/>
      <c r="L259" s="389"/>
      <c r="M259" s="281">
        <v>1994</v>
      </c>
      <c r="N259" s="390">
        <v>11</v>
      </c>
      <c r="O259" s="391">
        <v>123897</v>
      </c>
      <c r="P259" s="391">
        <v>182237</v>
      </c>
      <c r="Q259" s="391">
        <v>3725</v>
      </c>
      <c r="R259" s="391">
        <v>309859</v>
      </c>
      <c r="S259" s="233"/>
      <c r="T259" s="225">
        <v>182237</v>
      </c>
      <c r="U259" s="225">
        <v>123897</v>
      </c>
      <c r="V259" s="226">
        <v>0.19057014248662352</v>
      </c>
      <c r="W259" s="227">
        <v>0.588128794064397</v>
      </c>
      <c r="X259" s="228" t="s">
        <v>993</v>
      </c>
      <c r="Y259" s="229" t="s">
        <v>996</v>
      </c>
      <c r="Z259" s="230" t="s">
        <v>997</v>
      </c>
      <c r="AA259" s="231">
        <v>123897</v>
      </c>
      <c r="AB259" s="231">
        <v>0</v>
      </c>
      <c r="AC259" s="232">
        <v>3725</v>
      </c>
      <c r="AD259" s="374">
        <v>127622</v>
      </c>
    </row>
    <row r="260" spans="1:31">
      <c r="A260" s="389" t="s">
        <v>94</v>
      </c>
      <c r="B260" s="221" t="s">
        <v>29</v>
      </c>
      <c r="C260" t="s">
        <v>645</v>
      </c>
      <c r="D260"/>
      <c r="E260"/>
      <c r="F260"/>
      <c r="G260"/>
      <c r="H260"/>
      <c r="I260" t="s">
        <v>370</v>
      </c>
      <c r="J260" t="s">
        <v>370</v>
      </c>
      <c r="K260" s="392"/>
      <c r="L260" s="392"/>
      <c r="M260" s="281">
        <v>1998</v>
      </c>
      <c r="N260" s="390">
        <v>12</v>
      </c>
      <c r="O260" s="391">
        <v>189926</v>
      </c>
      <c r="P260" s="391">
        <v>80906</v>
      </c>
      <c r="Q260" s="391">
        <v>3566</v>
      </c>
      <c r="R260" s="391">
        <v>274398</v>
      </c>
      <c r="S260" s="233"/>
      <c r="T260" s="225">
        <v>189926</v>
      </c>
      <c r="U260" s="225">
        <v>80906</v>
      </c>
      <c r="V260" s="226">
        <v>0.40253736633780351</v>
      </c>
      <c r="W260" s="227">
        <v>0.69215519063550024</v>
      </c>
      <c r="X260" s="228" t="s">
        <v>993</v>
      </c>
      <c r="Y260" s="229" t="s">
        <v>994</v>
      </c>
      <c r="Z260" s="230" t="s">
        <v>999</v>
      </c>
      <c r="AA260" s="231">
        <v>0</v>
      </c>
      <c r="AB260" s="231">
        <v>80906</v>
      </c>
      <c r="AC260" s="232">
        <v>3566</v>
      </c>
      <c r="AD260" s="374">
        <v>84472</v>
      </c>
    </row>
    <row r="261" spans="1:31">
      <c r="A261" s="389" t="s">
        <v>95</v>
      </c>
      <c r="B261" s="221" t="s">
        <v>30</v>
      </c>
      <c r="C261" t="s">
        <v>646</v>
      </c>
      <c r="D261" t="s">
        <v>371</v>
      </c>
      <c r="E261"/>
      <c r="F261" s="382" t="s">
        <v>371</v>
      </c>
      <c r="G261"/>
      <c r="H261"/>
      <c r="I261" t="s">
        <v>371</v>
      </c>
      <c r="J261" t="s">
        <v>371</v>
      </c>
      <c r="K261" s="392"/>
      <c r="L261" s="392"/>
      <c r="M261" s="281">
        <v>2012</v>
      </c>
      <c r="N261" s="390">
        <v>1</v>
      </c>
      <c r="O261" s="391">
        <v>162924</v>
      </c>
      <c r="P261" s="391">
        <v>112473</v>
      </c>
      <c r="Q261" s="391">
        <v>459</v>
      </c>
      <c r="R261" s="391">
        <v>275856</v>
      </c>
      <c r="S261" s="233"/>
      <c r="T261" s="225">
        <v>162924</v>
      </c>
      <c r="U261" s="225">
        <v>112473</v>
      </c>
      <c r="V261" s="226">
        <v>0.18319371670715368</v>
      </c>
      <c r="W261" s="227">
        <v>0.59061249347485645</v>
      </c>
      <c r="X261" s="228" t="s">
        <v>1000</v>
      </c>
      <c r="Y261" s="229" t="s">
        <v>1001</v>
      </c>
      <c r="Z261" s="230" t="s">
        <v>1002</v>
      </c>
      <c r="AA261" s="231">
        <v>0</v>
      </c>
      <c r="AB261" s="231">
        <v>112473</v>
      </c>
      <c r="AC261" s="232">
        <v>459</v>
      </c>
      <c r="AD261" s="374">
        <v>112932</v>
      </c>
    </row>
    <row r="262" spans="1:31">
      <c r="A262" s="389" t="s">
        <v>95</v>
      </c>
      <c r="B262" s="221" t="s">
        <v>30</v>
      </c>
      <c r="C262" t="s">
        <v>647</v>
      </c>
      <c r="D262"/>
      <c r="E262"/>
      <c r="G262"/>
      <c r="H262"/>
      <c r="I262" t="s">
        <v>371</v>
      </c>
      <c r="J262" t="s">
        <v>371</v>
      </c>
      <c r="K262" s="389"/>
      <c r="L262" s="389"/>
      <c r="M262" s="281">
        <v>2010</v>
      </c>
      <c r="N262" s="390">
        <v>2</v>
      </c>
      <c r="O262" s="391">
        <v>92162</v>
      </c>
      <c r="P262" s="391">
        <v>133180</v>
      </c>
      <c r="Q262" s="391">
        <v>173</v>
      </c>
      <c r="R262" s="391">
        <v>225515</v>
      </c>
      <c r="S262" s="233"/>
      <c r="T262" s="225">
        <v>133180</v>
      </c>
      <c r="U262" s="225">
        <v>92162</v>
      </c>
      <c r="V262" s="226">
        <v>0.1820255433962599</v>
      </c>
      <c r="W262" s="227">
        <v>0.59055938629359461</v>
      </c>
      <c r="X262" s="228" t="s">
        <v>1000</v>
      </c>
      <c r="Y262" s="229" t="s">
        <v>1003</v>
      </c>
      <c r="Z262" s="230" t="s">
        <v>1002</v>
      </c>
      <c r="AA262" s="231">
        <v>92162</v>
      </c>
      <c r="AB262" s="231">
        <v>0</v>
      </c>
      <c r="AC262" s="232">
        <v>173</v>
      </c>
      <c r="AD262" s="374">
        <v>92335</v>
      </c>
      <c r="AE262" s="374">
        <v>1280353</v>
      </c>
    </row>
    <row r="263" spans="1:31">
      <c r="A263" s="389" t="s">
        <v>95</v>
      </c>
      <c r="B263" s="221" t="s">
        <v>30</v>
      </c>
      <c r="C263" t="s">
        <v>648</v>
      </c>
      <c r="D263"/>
      <c r="E263"/>
      <c r="F263" s="382" t="s">
        <v>371</v>
      </c>
      <c r="G263"/>
      <c r="H263"/>
      <c r="I263" t="s">
        <v>371</v>
      </c>
      <c r="J263" t="s">
        <v>371</v>
      </c>
      <c r="K263" s="392"/>
      <c r="L263" s="392"/>
      <c r="M263" s="281">
        <v>2008</v>
      </c>
      <c r="N263" s="390">
        <v>3</v>
      </c>
      <c r="O263" s="391">
        <v>167103</v>
      </c>
      <c r="P263" s="391">
        <v>97616</v>
      </c>
      <c r="Q263" s="391">
        <v>0</v>
      </c>
      <c r="R263" s="391">
        <v>264719</v>
      </c>
      <c r="S263" s="233"/>
      <c r="T263" s="225">
        <v>167103</v>
      </c>
      <c r="U263" s="225">
        <v>97616</v>
      </c>
      <c r="V263" s="226">
        <v>0.26249343643637213</v>
      </c>
      <c r="W263" s="227">
        <v>0.63124671821818612</v>
      </c>
      <c r="X263" s="228" t="s">
        <v>1000</v>
      </c>
      <c r="Y263" s="229" t="s">
        <v>1001</v>
      </c>
      <c r="Z263" s="230" t="s">
        <v>1004</v>
      </c>
      <c r="AA263" s="231">
        <v>0</v>
      </c>
      <c r="AB263" s="231">
        <v>97616</v>
      </c>
      <c r="AC263" s="232">
        <v>0</v>
      </c>
      <c r="AD263" s="374">
        <v>97616</v>
      </c>
    </row>
    <row r="264" spans="1:31">
      <c r="A264" s="389" t="s">
        <v>96</v>
      </c>
      <c r="B264" s="221" t="s">
        <v>31</v>
      </c>
      <c r="C264" t="s">
        <v>649</v>
      </c>
      <c r="D264"/>
      <c r="E264"/>
      <c r="F264"/>
      <c r="G264"/>
      <c r="H264"/>
      <c r="I264" t="s">
        <v>372</v>
      </c>
      <c r="J264" t="s">
        <v>372</v>
      </c>
      <c r="K264" s="392"/>
      <c r="L264" s="392"/>
      <c r="M264" s="281">
        <v>2002</v>
      </c>
      <c r="N264" s="390">
        <v>1</v>
      </c>
      <c r="O264" s="391">
        <v>145198</v>
      </c>
      <c r="P264" s="391">
        <v>131650</v>
      </c>
      <c r="Q264" s="391">
        <v>176</v>
      </c>
      <c r="R264" s="391">
        <v>277024</v>
      </c>
      <c r="S264" s="233"/>
      <c r="T264" s="225">
        <v>145198</v>
      </c>
      <c r="U264" s="225">
        <v>131650</v>
      </c>
      <c r="V264" s="226">
        <v>4.8936600589493152E-2</v>
      </c>
      <c r="W264" s="227">
        <v>0.52413509298833316</v>
      </c>
      <c r="X264" s="228" t="s">
        <v>1005</v>
      </c>
      <c r="Y264" s="229" t="s">
        <v>1006</v>
      </c>
      <c r="Z264" s="230" t="s">
        <v>1007</v>
      </c>
      <c r="AA264" s="231">
        <v>0</v>
      </c>
      <c r="AB264" s="231">
        <v>131650</v>
      </c>
      <c r="AC264" s="232">
        <v>176</v>
      </c>
      <c r="AD264" s="374">
        <v>131826</v>
      </c>
    </row>
    <row r="265" spans="1:31">
      <c r="A265" s="389" t="s">
        <v>96</v>
      </c>
      <c r="B265" s="221" t="s">
        <v>31</v>
      </c>
      <c r="C265" t="s">
        <v>650</v>
      </c>
      <c r="D265"/>
      <c r="E265"/>
      <c r="G265"/>
      <c r="H265"/>
      <c r="I265" t="s">
        <v>372</v>
      </c>
      <c r="J265" t="s">
        <v>372</v>
      </c>
      <c r="K265" s="389"/>
      <c r="L265" s="389"/>
      <c r="M265" s="281">
        <v>1992</v>
      </c>
      <c r="N265" s="390">
        <v>2</v>
      </c>
      <c r="O265" s="391">
        <v>99955</v>
      </c>
      <c r="P265" s="391">
        <v>141950</v>
      </c>
      <c r="Q265" s="391">
        <v>79</v>
      </c>
      <c r="R265" s="391">
        <v>241984</v>
      </c>
      <c r="S265" s="233"/>
      <c r="T265" s="225">
        <v>141950</v>
      </c>
      <c r="U265" s="225">
        <v>99955</v>
      </c>
      <c r="V265" s="226">
        <v>0.17360120708542609</v>
      </c>
      <c r="W265" s="227">
        <v>0.58660903200211589</v>
      </c>
      <c r="X265" s="228" t="s">
        <v>1005</v>
      </c>
      <c r="Y265" s="229" t="s">
        <v>1008</v>
      </c>
      <c r="Z265" s="230" t="s">
        <v>1009</v>
      </c>
      <c r="AA265" s="231">
        <v>99955</v>
      </c>
      <c r="AB265" s="231">
        <v>0</v>
      </c>
      <c r="AC265" s="232">
        <v>79</v>
      </c>
      <c r="AD265" s="374">
        <v>100034</v>
      </c>
      <c r="AE265" s="374">
        <v>329476</v>
      </c>
    </row>
    <row r="266" spans="1:31">
      <c r="A266" s="389" t="s">
        <v>96</v>
      </c>
      <c r="B266" s="221" t="s">
        <v>31</v>
      </c>
      <c r="C266" t="s">
        <v>651</v>
      </c>
      <c r="D266"/>
      <c r="E266"/>
      <c r="F266"/>
      <c r="G266"/>
      <c r="H266"/>
      <c r="I266" t="s">
        <v>372</v>
      </c>
      <c r="J266" t="s">
        <v>372</v>
      </c>
      <c r="K266" s="392"/>
      <c r="L266" s="392"/>
      <c r="M266" s="281">
        <v>2000</v>
      </c>
      <c r="N266" s="390">
        <v>3</v>
      </c>
      <c r="O266" s="391">
        <v>157602</v>
      </c>
      <c r="P266" s="391">
        <v>113021</v>
      </c>
      <c r="Q266" s="391">
        <v>2084</v>
      </c>
      <c r="R266" s="391">
        <v>272707</v>
      </c>
      <c r="S266" s="233"/>
      <c r="T266" s="225">
        <v>157602</v>
      </c>
      <c r="U266" s="225">
        <v>113021</v>
      </c>
      <c r="V266" s="226">
        <v>0.16473470473684795</v>
      </c>
      <c r="W266" s="227">
        <v>0.57791695849391467</v>
      </c>
      <c r="X266" s="228" t="s">
        <v>1005</v>
      </c>
      <c r="Y266" s="229" t="s">
        <v>1006</v>
      </c>
      <c r="Z266" s="230" t="s">
        <v>1009</v>
      </c>
      <c r="AA266" s="231">
        <v>0</v>
      </c>
      <c r="AB266" s="231">
        <v>113021</v>
      </c>
      <c r="AC266" s="232">
        <v>2084</v>
      </c>
      <c r="AD266" s="374">
        <v>115105</v>
      </c>
    </row>
    <row r="267" spans="1:31">
      <c r="A267" s="389" t="s">
        <v>96</v>
      </c>
      <c r="B267" s="221" t="s">
        <v>31</v>
      </c>
      <c r="C267" t="s">
        <v>652</v>
      </c>
      <c r="D267" s="382" t="s">
        <v>372</v>
      </c>
      <c r="E267"/>
      <c r="F267"/>
      <c r="G267"/>
      <c r="H267"/>
      <c r="I267" t="s">
        <v>372</v>
      </c>
      <c r="J267" t="s">
        <v>372</v>
      </c>
      <c r="K267" s="392"/>
      <c r="L267" s="392"/>
      <c r="M267" s="281">
        <v>1996</v>
      </c>
      <c r="N267" s="390">
        <v>4</v>
      </c>
      <c r="O267" s="391">
        <v>163955</v>
      </c>
      <c r="P267" s="391">
        <v>85693</v>
      </c>
      <c r="Q267" s="391">
        <v>15652</v>
      </c>
      <c r="R267" s="391">
        <v>265300</v>
      </c>
      <c r="S267" s="233"/>
      <c r="T267" s="225">
        <v>163955</v>
      </c>
      <c r="U267" s="225">
        <v>85693</v>
      </c>
      <c r="V267" s="226">
        <v>0.31348939306543616</v>
      </c>
      <c r="W267" s="227">
        <v>0.6179984922728986</v>
      </c>
      <c r="X267" s="228" t="s">
        <v>1005</v>
      </c>
      <c r="Y267" s="229" t="s">
        <v>1006</v>
      </c>
      <c r="Z267" s="230" t="s">
        <v>1010</v>
      </c>
      <c r="AA267" s="231">
        <v>0</v>
      </c>
      <c r="AB267" s="231">
        <v>85693</v>
      </c>
      <c r="AC267" s="232">
        <v>15652</v>
      </c>
      <c r="AD267" s="374">
        <v>101345</v>
      </c>
    </row>
    <row r="268" spans="1:31">
      <c r="A268" s="389" t="s">
        <v>96</v>
      </c>
      <c r="B268" s="221" t="s">
        <v>31</v>
      </c>
      <c r="C268" t="s">
        <v>653</v>
      </c>
      <c r="D268"/>
      <c r="E268" s="382" t="s">
        <v>372</v>
      </c>
      <c r="F268"/>
      <c r="G268"/>
      <c r="H268"/>
      <c r="I268" t="s">
        <v>372</v>
      </c>
      <c r="J268" t="s">
        <v>372</v>
      </c>
      <c r="K268" s="392"/>
      <c r="L268" s="392"/>
      <c r="M268" s="281">
        <v>1998</v>
      </c>
      <c r="N268" s="390">
        <v>5</v>
      </c>
      <c r="O268" s="391">
        <v>167835</v>
      </c>
      <c r="P268" s="391">
        <v>17875</v>
      </c>
      <c r="Q268" s="391">
        <v>1430</v>
      </c>
      <c r="R268" s="391">
        <v>187140</v>
      </c>
      <c r="S268" s="233"/>
      <c r="T268" s="225">
        <v>167835</v>
      </c>
      <c r="U268" s="225">
        <v>17875</v>
      </c>
      <c r="V268" s="226">
        <v>0.80749555758979052</v>
      </c>
      <c r="W268" s="227">
        <v>0.89684193651811484</v>
      </c>
      <c r="X268" s="228" t="s">
        <v>1005</v>
      </c>
      <c r="Y268" s="229" t="s">
        <v>1006</v>
      </c>
      <c r="Z268" s="230" t="s">
        <v>1011</v>
      </c>
      <c r="AA268" s="231">
        <v>0</v>
      </c>
      <c r="AB268" s="231">
        <v>17875</v>
      </c>
      <c r="AC268" s="232">
        <v>1430</v>
      </c>
      <c r="AD268" s="374">
        <v>19305</v>
      </c>
    </row>
    <row r="269" spans="1:31">
      <c r="A269" s="389" t="s">
        <v>96</v>
      </c>
      <c r="B269" s="221" t="s">
        <v>31</v>
      </c>
      <c r="C269" t="s">
        <v>654</v>
      </c>
      <c r="D269" s="382" t="s">
        <v>372</v>
      </c>
      <c r="E269"/>
      <c r="F269"/>
      <c r="G269" s="382" t="s">
        <v>372</v>
      </c>
      <c r="H269"/>
      <c r="I269" t="s">
        <v>372</v>
      </c>
      <c r="J269" t="s">
        <v>372</v>
      </c>
      <c r="K269" s="392"/>
      <c r="L269" s="392"/>
      <c r="M269" s="281">
        <v>2012</v>
      </c>
      <c r="N269" s="390">
        <v>6</v>
      </c>
      <c r="O269" s="391">
        <v>111499</v>
      </c>
      <c r="P269" s="391">
        <v>50845</v>
      </c>
      <c r="Q269" s="391">
        <v>2027</v>
      </c>
      <c r="R269" s="391">
        <v>164371</v>
      </c>
      <c r="S269" s="233"/>
      <c r="T269" s="225">
        <v>111499</v>
      </c>
      <c r="U269" s="225">
        <v>50845</v>
      </c>
      <c r="V269" s="226">
        <v>0.37361405410732768</v>
      </c>
      <c r="W269" s="227">
        <v>0.6783374196178158</v>
      </c>
      <c r="X269" s="228" t="s">
        <v>1005</v>
      </c>
      <c r="Y269" s="229" t="s">
        <v>1006</v>
      </c>
      <c r="Z269" s="230" t="s">
        <v>1010</v>
      </c>
      <c r="AA269" s="231">
        <v>0</v>
      </c>
      <c r="AB269" s="231">
        <v>50845</v>
      </c>
      <c r="AC269" s="232">
        <v>2027</v>
      </c>
      <c r="AD269" s="374">
        <v>52872</v>
      </c>
    </row>
    <row r="270" spans="1:31">
      <c r="A270" s="389" t="s">
        <v>96</v>
      </c>
      <c r="B270" s="221" t="s">
        <v>31</v>
      </c>
      <c r="C270" t="s">
        <v>655</v>
      </c>
      <c r="D270" s="382" t="s">
        <v>372</v>
      </c>
      <c r="E270"/>
      <c r="F270" s="382" t="s">
        <v>372</v>
      </c>
      <c r="G270"/>
      <c r="H270"/>
      <c r="I270" t="s">
        <v>372</v>
      </c>
      <c r="J270" t="s">
        <v>372</v>
      </c>
      <c r="K270" s="392"/>
      <c r="L270" s="392"/>
      <c r="M270" s="281">
        <v>1992</v>
      </c>
      <c r="N270" s="390">
        <v>7</v>
      </c>
      <c r="O270" s="391">
        <v>141322</v>
      </c>
      <c r="P270" s="391">
        <v>0</v>
      </c>
      <c r="Q270" s="391">
        <v>8017</v>
      </c>
      <c r="R270" s="391">
        <v>149339</v>
      </c>
      <c r="S270" s="233"/>
      <c r="T270" s="225">
        <v>141322</v>
      </c>
      <c r="U270" s="225">
        <v>8017</v>
      </c>
      <c r="V270" s="226">
        <v>1</v>
      </c>
      <c r="W270" s="227">
        <v>0.94631676922973906</v>
      </c>
      <c r="X270" s="228" t="s">
        <v>372</v>
      </c>
      <c r="Y270" s="229" t="s">
        <v>1006</v>
      </c>
      <c r="Z270" s="230" t="s">
        <v>1011</v>
      </c>
      <c r="AA270" s="231">
        <v>0</v>
      </c>
      <c r="AB270" s="231">
        <v>0</v>
      </c>
      <c r="AC270" s="232">
        <v>8017</v>
      </c>
      <c r="AD270" s="374">
        <v>8017</v>
      </c>
    </row>
    <row r="271" spans="1:31">
      <c r="A271" s="389" t="s">
        <v>96</v>
      </c>
      <c r="B271" s="221" t="s">
        <v>31</v>
      </c>
      <c r="C271" t="s">
        <v>656</v>
      </c>
      <c r="D271"/>
      <c r="E271" s="382" t="s">
        <v>372</v>
      </c>
      <c r="F271"/>
      <c r="G271"/>
      <c r="H271"/>
      <c r="I271" t="s">
        <v>372</v>
      </c>
      <c r="J271" t="s">
        <v>372</v>
      </c>
      <c r="K271" s="392"/>
      <c r="L271" s="392"/>
      <c r="M271" s="281">
        <v>1982</v>
      </c>
      <c r="N271" s="390">
        <v>8</v>
      </c>
      <c r="O271" s="391">
        <v>184038</v>
      </c>
      <c r="P271" s="391">
        <v>17650</v>
      </c>
      <c r="Q271" s="391">
        <v>2518</v>
      </c>
      <c r="R271" s="391">
        <v>204206</v>
      </c>
      <c r="S271" s="233"/>
      <c r="T271" s="225">
        <v>184038</v>
      </c>
      <c r="U271" s="225">
        <v>17650</v>
      </c>
      <c r="V271" s="226">
        <v>0.8249771924953393</v>
      </c>
      <c r="W271" s="227">
        <v>0.90123698618062154</v>
      </c>
      <c r="X271" s="228" t="s">
        <v>1005</v>
      </c>
      <c r="Y271" s="229" t="s">
        <v>1006</v>
      </c>
      <c r="Z271" s="230" t="s">
        <v>1011</v>
      </c>
      <c r="AA271" s="231">
        <v>0</v>
      </c>
      <c r="AB271" s="231">
        <v>17650</v>
      </c>
      <c r="AC271" s="232">
        <v>2518</v>
      </c>
      <c r="AD271" s="374">
        <v>20168</v>
      </c>
    </row>
    <row r="272" spans="1:31">
      <c r="A272" s="389" t="s">
        <v>96</v>
      </c>
      <c r="B272" s="221" t="s">
        <v>31</v>
      </c>
      <c r="C272" t="s">
        <v>657</v>
      </c>
      <c r="D272" s="382" t="s">
        <v>372</v>
      </c>
      <c r="E272" s="382" t="s">
        <v>372</v>
      </c>
      <c r="F272"/>
      <c r="G272"/>
      <c r="H272"/>
      <c r="I272" t="s">
        <v>372</v>
      </c>
      <c r="J272" t="s">
        <v>372</v>
      </c>
      <c r="K272" s="392"/>
      <c r="L272" s="392"/>
      <c r="M272" s="281">
        <v>2006</v>
      </c>
      <c r="N272" s="390">
        <v>9</v>
      </c>
      <c r="O272" s="391">
        <v>186141</v>
      </c>
      <c r="P272" s="391">
        <v>24164</v>
      </c>
      <c r="Q272" s="391">
        <v>3126</v>
      </c>
      <c r="R272" s="391">
        <v>213431</v>
      </c>
      <c r="S272" s="233"/>
      <c r="T272" s="225">
        <v>186141</v>
      </c>
      <c r="U272" s="225">
        <v>24164</v>
      </c>
      <c r="V272" s="226">
        <v>0.77020042319488358</v>
      </c>
      <c r="W272" s="227">
        <v>0.87213666243422938</v>
      </c>
      <c r="X272" s="228" t="s">
        <v>1005</v>
      </c>
      <c r="Y272" s="229" t="s">
        <v>1006</v>
      </c>
      <c r="Z272" s="230" t="s">
        <v>1011</v>
      </c>
      <c r="AA272" s="231">
        <v>0</v>
      </c>
      <c r="AB272" s="231">
        <v>24164</v>
      </c>
      <c r="AC272" s="232">
        <v>3126</v>
      </c>
      <c r="AD272" s="374">
        <v>27290</v>
      </c>
    </row>
    <row r="273" spans="1:30">
      <c r="A273" s="389" t="s">
        <v>96</v>
      </c>
      <c r="B273" s="221" t="s">
        <v>31</v>
      </c>
      <c r="C273" t="s">
        <v>658</v>
      </c>
      <c r="D273"/>
      <c r="E273"/>
      <c r="F273"/>
      <c r="G273"/>
      <c r="H273"/>
      <c r="I273" t="s">
        <v>372</v>
      </c>
      <c r="J273" t="s">
        <v>372</v>
      </c>
      <c r="K273" s="392"/>
      <c r="L273" s="392"/>
      <c r="M273" s="281">
        <v>1992</v>
      </c>
      <c r="N273" s="390">
        <v>10</v>
      </c>
      <c r="O273" s="391">
        <v>165000</v>
      </c>
      <c r="P273" s="391">
        <v>39311</v>
      </c>
      <c r="Q273" s="391">
        <v>134</v>
      </c>
      <c r="R273" s="391">
        <v>204445</v>
      </c>
      <c r="S273" s="233"/>
      <c r="T273" s="225">
        <v>165000</v>
      </c>
      <c r="U273" s="225">
        <v>39311</v>
      </c>
      <c r="V273" s="226">
        <v>0.61518469392250053</v>
      </c>
      <c r="W273" s="227">
        <v>0.80706302428526011</v>
      </c>
      <c r="X273" s="228" t="s">
        <v>1005</v>
      </c>
      <c r="Y273" s="229" t="s">
        <v>1006</v>
      </c>
      <c r="Z273" s="230" t="s">
        <v>1011</v>
      </c>
      <c r="AA273" s="231">
        <v>0</v>
      </c>
      <c r="AB273" s="231">
        <v>39311</v>
      </c>
      <c r="AC273" s="232">
        <v>134</v>
      </c>
      <c r="AD273" s="374">
        <v>39445</v>
      </c>
    </row>
    <row r="274" spans="1:30">
      <c r="A274" s="389" t="s">
        <v>96</v>
      </c>
      <c r="B274" s="221" t="s">
        <v>31</v>
      </c>
      <c r="C274" t="s">
        <v>659</v>
      </c>
      <c r="D274"/>
      <c r="E274"/>
      <c r="F274"/>
      <c r="G274"/>
      <c r="H274"/>
      <c r="I274" t="s">
        <v>372</v>
      </c>
      <c r="J274" t="s">
        <v>372</v>
      </c>
      <c r="K274" s="389"/>
      <c r="L274" s="389"/>
      <c r="M274" s="281">
        <v>2010</v>
      </c>
      <c r="N274" s="390">
        <v>11</v>
      </c>
      <c r="O274" s="391">
        <v>92428</v>
      </c>
      <c r="P274" s="391">
        <v>103118</v>
      </c>
      <c r="Q274" s="391">
        <v>2087</v>
      </c>
      <c r="R274" s="391">
        <v>197633</v>
      </c>
      <c r="S274" s="233"/>
      <c r="T274" s="225">
        <v>103118</v>
      </c>
      <c r="U274" s="225">
        <v>92428</v>
      </c>
      <c r="V274" s="226">
        <v>5.4667443977376169E-2</v>
      </c>
      <c r="W274" s="227">
        <v>0.52176508983823555</v>
      </c>
      <c r="X274" s="228" t="s">
        <v>1005</v>
      </c>
      <c r="Y274" s="229" t="s">
        <v>1008</v>
      </c>
      <c r="Z274" s="230" t="s">
        <v>1012</v>
      </c>
      <c r="AA274" s="231">
        <v>92428</v>
      </c>
      <c r="AB274" s="231">
        <v>0</v>
      </c>
      <c r="AC274" s="232">
        <v>2087</v>
      </c>
      <c r="AD274" s="374">
        <v>94515</v>
      </c>
    </row>
    <row r="275" spans="1:30">
      <c r="A275" s="389" t="s">
        <v>96</v>
      </c>
      <c r="B275" s="221" t="s">
        <v>31</v>
      </c>
      <c r="C275" t="s">
        <v>660</v>
      </c>
      <c r="D275" s="382" t="s">
        <v>372</v>
      </c>
      <c r="F275"/>
      <c r="G275"/>
      <c r="H275"/>
      <c r="I275" t="s">
        <v>372</v>
      </c>
      <c r="J275" t="s">
        <v>372</v>
      </c>
      <c r="K275" s="392"/>
      <c r="L275" s="392"/>
      <c r="M275" s="281">
        <v>1992</v>
      </c>
      <c r="N275" s="390">
        <v>12</v>
      </c>
      <c r="O275" s="391">
        <v>193455</v>
      </c>
      <c r="P275" s="391">
        <v>46692</v>
      </c>
      <c r="Q275" s="391">
        <v>157</v>
      </c>
      <c r="R275" s="391">
        <v>240304</v>
      </c>
      <c r="S275" s="233"/>
      <c r="T275" s="225">
        <v>193455</v>
      </c>
      <c r="U275" s="225">
        <v>46692</v>
      </c>
      <c r="V275" s="226">
        <v>0.61113817786605706</v>
      </c>
      <c r="W275" s="227">
        <v>0.80504277914641453</v>
      </c>
      <c r="X275" s="228" t="s">
        <v>1005</v>
      </c>
      <c r="Y275" s="229" t="s">
        <v>1006</v>
      </c>
      <c r="Z275" s="230" t="s">
        <v>1011</v>
      </c>
      <c r="AA275" s="231">
        <v>0</v>
      </c>
      <c r="AB275" s="231">
        <v>46692</v>
      </c>
      <c r="AC275" s="232">
        <v>157</v>
      </c>
      <c r="AD275" s="374">
        <v>46849</v>
      </c>
    </row>
    <row r="276" spans="1:30">
      <c r="A276" s="389" t="s">
        <v>96</v>
      </c>
      <c r="B276" s="221" t="s">
        <v>31</v>
      </c>
      <c r="C276" t="s">
        <v>661</v>
      </c>
      <c r="D276" s="382"/>
      <c r="E276" s="382" t="s">
        <v>372</v>
      </c>
      <c r="F276"/>
      <c r="G276"/>
      <c r="H276"/>
      <c r="I276" t="s">
        <v>372</v>
      </c>
      <c r="J276" t="s">
        <v>372</v>
      </c>
      <c r="K276" s="392"/>
      <c r="L276" s="392"/>
      <c r="M276" s="281">
        <v>1970</v>
      </c>
      <c r="N276" s="390">
        <v>13</v>
      </c>
      <c r="O276" s="391">
        <v>174789</v>
      </c>
      <c r="P276" s="391">
        <v>12132</v>
      </c>
      <c r="Q276" s="391">
        <v>5699</v>
      </c>
      <c r="R276" s="391">
        <v>192620</v>
      </c>
      <c r="S276" s="233"/>
      <c r="T276" s="225">
        <v>174789</v>
      </c>
      <c r="U276" s="225">
        <v>12132</v>
      </c>
      <c r="V276" s="226">
        <v>0.87019115027204008</v>
      </c>
      <c r="W276" s="227">
        <v>0.90742913508462253</v>
      </c>
      <c r="X276" s="228" t="s">
        <v>1005</v>
      </c>
      <c r="Y276" s="229" t="s">
        <v>1006</v>
      </c>
      <c r="Z276" s="230" t="s">
        <v>1011</v>
      </c>
      <c r="AA276" s="231">
        <v>0</v>
      </c>
      <c r="AB276" s="231">
        <v>12132</v>
      </c>
      <c r="AC276" s="232">
        <v>5699</v>
      </c>
      <c r="AD276" s="374">
        <v>17831</v>
      </c>
    </row>
    <row r="277" spans="1:30">
      <c r="A277" s="389" t="s">
        <v>96</v>
      </c>
      <c r="B277" s="221" t="s">
        <v>31</v>
      </c>
      <c r="C277" t="s">
        <v>662</v>
      </c>
      <c r="D277" s="382"/>
      <c r="E277"/>
      <c r="G277"/>
      <c r="H277"/>
      <c r="I277" t="s">
        <v>372</v>
      </c>
      <c r="J277" t="s">
        <v>372</v>
      </c>
      <c r="K277" s="392"/>
      <c r="L277" s="392"/>
      <c r="M277" s="281">
        <v>1998</v>
      </c>
      <c r="N277" s="390">
        <v>14</v>
      </c>
      <c r="O277" s="391">
        <v>120761</v>
      </c>
      <c r="P277" s="391">
        <v>21755</v>
      </c>
      <c r="Q277" s="391">
        <v>2674</v>
      </c>
      <c r="R277" s="391">
        <v>145190</v>
      </c>
      <c r="S277" s="233"/>
      <c r="T277" s="225">
        <v>120761</v>
      </c>
      <c r="U277" s="225">
        <v>21755</v>
      </c>
      <c r="V277" s="226">
        <v>0.69470094585871056</v>
      </c>
      <c r="W277" s="227">
        <v>0.83174461051036574</v>
      </c>
      <c r="X277" s="228" t="s">
        <v>1005</v>
      </c>
      <c r="Y277" s="229" t="s">
        <v>1006</v>
      </c>
      <c r="Z277" s="230" t="s">
        <v>1011</v>
      </c>
      <c r="AA277" s="231">
        <v>0</v>
      </c>
      <c r="AB277" s="231">
        <v>21755</v>
      </c>
      <c r="AC277" s="232">
        <v>2674</v>
      </c>
      <c r="AD277" s="374">
        <v>24429</v>
      </c>
    </row>
    <row r="278" spans="1:30">
      <c r="A278" s="389" t="s">
        <v>96</v>
      </c>
      <c r="B278" s="221" t="s">
        <v>31</v>
      </c>
      <c r="C278" t="s">
        <v>663</v>
      </c>
      <c r="D278"/>
      <c r="E278"/>
      <c r="F278" s="382" t="s">
        <v>372</v>
      </c>
      <c r="G278"/>
      <c r="H278"/>
      <c r="I278" t="s">
        <v>372</v>
      </c>
      <c r="J278" t="s">
        <v>372</v>
      </c>
      <c r="K278" s="392"/>
      <c r="L278" s="392"/>
      <c r="M278" s="281">
        <v>1990</v>
      </c>
      <c r="N278" s="390">
        <v>15</v>
      </c>
      <c r="O278" s="391">
        <v>152661</v>
      </c>
      <c r="P278" s="391">
        <v>4427</v>
      </c>
      <c r="Q278" s="391">
        <v>27</v>
      </c>
      <c r="R278" s="391">
        <v>157115</v>
      </c>
      <c r="S278" s="233"/>
      <c r="T278" s="225">
        <v>152661</v>
      </c>
      <c r="U278" s="225">
        <v>4427</v>
      </c>
      <c r="V278" s="226">
        <v>0.94363668771643916</v>
      </c>
      <c r="W278" s="227">
        <v>0.97165133819177041</v>
      </c>
      <c r="X278" s="228" t="s">
        <v>1005</v>
      </c>
      <c r="Y278" s="229" t="s">
        <v>1006</v>
      </c>
      <c r="Z278" s="230" t="s">
        <v>1011</v>
      </c>
      <c r="AA278" s="231">
        <v>0</v>
      </c>
      <c r="AB278" s="231">
        <v>4427</v>
      </c>
      <c r="AC278" s="232">
        <v>27</v>
      </c>
      <c r="AD278" s="374">
        <v>4454</v>
      </c>
    </row>
    <row r="279" spans="1:30">
      <c r="A279" s="389" t="s">
        <v>96</v>
      </c>
      <c r="B279" s="221" t="s">
        <v>31</v>
      </c>
      <c r="C279" t="s">
        <v>664</v>
      </c>
      <c r="E279"/>
      <c r="F279"/>
      <c r="G279"/>
      <c r="H279"/>
      <c r="I279" t="s">
        <v>372</v>
      </c>
      <c r="J279" t="s">
        <v>372</v>
      </c>
      <c r="K279" s="392"/>
      <c r="L279" s="392"/>
      <c r="M279" s="281">
        <v>1988</v>
      </c>
      <c r="N279" s="390">
        <v>16</v>
      </c>
      <c r="O279" s="391">
        <v>179561</v>
      </c>
      <c r="P279" s="391">
        <v>53935</v>
      </c>
      <c r="Q279" s="391">
        <v>3056</v>
      </c>
      <c r="R279" s="391">
        <v>236552</v>
      </c>
      <c r="S279" s="233"/>
      <c r="T279" s="225">
        <v>179561</v>
      </c>
      <c r="U279" s="225">
        <v>53935</v>
      </c>
      <c r="V279" s="226">
        <v>0.53802206461780933</v>
      </c>
      <c r="W279" s="227">
        <v>0.75907622848253242</v>
      </c>
      <c r="X279" s="228" t="s">
        <v>1005</v>
      </c>
      <c r="Y279" s="229" t="s">
        <v>1006</v>
      </c>
      <c r="Z279" s="230" t="s">
        <v>1011</v>
      </c>
      <c r="AA279" s="231">
        <v>0</v>
      </c>
      <c r="AB279" s="231">
        <v>53935</v>
      </c>
      <c r="AC279" s="232">
        <v>3056</v>
      </c>
      <c r="AD279" s="374">
        <v>56991</v>
      </c>
    </row>
    <row r="280" spans="1:30">
      <c r="A280" s="389" t="s">
        <v>96</v>
      </c>
      <c r="B280" s="221" t="s">
        <v>31</v>
      </c>
      <c r="C280" t="s">
        <v>665</v>
      </c>
      <c r="D280" s="382" t="s">
        <v>372</v>
      </c>
      <c r="E280" s="382"/>
      <c r="F280"/>
      <c r="G280"/>
      <c r="H280"/>
      <c r="I280" t="s">
        <v>372</v>
      </c>
      <c r="J280" t="s">
        <v>372</v>
      </c>
      <c r="K280" s="392"/>
      <c r="L280" s="392"/>
      <c r="M280" s="281">
        <v>1988</v>
      </c>
      <c r="N280" s="390">
        <v>17</v>
      </c>
      <c r="O280" s="391">
        <v>171417</v>
      </c>
      <c r="P280" s="391">
        <v>91899</v>
      </c>
      <c r="Q280" s="391">
        <v>2889</v>
      </c>
      <c r="R280" s="391">
        <v>266205</v>
      </c>
      <c r="S280" s="233"/>
      <c r="T280" s="225">
        <v>171417</v>
      </c>
      <c r="U280" s="225">
        <v>91899</v>
      </c>
      <c r="V280" s="226">
        <v>0.3019869662306886</v>
      </c>
      <c r="W280" s="227">
        <v>0.64392855130444582</v>
      </c>
      <c r="X280" s="228" t="s">
        <v>1005</v>
      </c>
      <c r="Y280" s="229" t="s">
        <v>1006</v>
      </c>
      <c r="Z280" s="230" t="s">
        <v>1010</v>
      </c>
      <c r="AA280" s="231">
        <v>0</v>
      </c>
      <c r="AB280" s="231">
        <v>91899</v>
      </c>
      <c r="AC280" s="232">
        <v>2889</v>
      </c>
      <c r="AD280" s="374">
        <v>94788</v>
      </c>
    </row>
    <row r="281" spans="1:30">
      <c r="A281" s="389" t="s">
        <v>96</v>
      </c>
      <c r="B281" s="221" t="s">
        <v>31</v>
      </c>
      <c r="C281" t="s">
        <v>666</v>
      </c>
      <c r="D281"/>
      <c r="E281"/>
      <c r="G281"/>
      <c r="H281"/>
      <c r="I281" t="s">
        <v>372</v>
      </c>
      <c r="J281" t="s">
        <v>1005</v>
      </c>
      <c r="K281" s="392">
        <v>1</v>
      </c>
      <c r="L281" s="392">
        <v>1</v>
      </c>
      <c r="M281" s="281">
        <v>2012</v>
      </c>
      <c r="N281" s="390">
        <v>18</v>
      </c>
      <c r="O281" s="391">
        <v>143845</v>
      </c>
      <c r="P281" s="391">
        <v>133049</v>
      </c>
      <c r="Q281" s="391">
        <v>169</v>
      </c>
      <c r="R281" s="391">
        <v>277063</v>
      </c>
      <c r="S281" s="233"/>
      <c r="T281" s="225">
        <v>143845</v>
      </c>
      <c r="U281" s="225">
        <v>133049</v>
      </c>
      <c r="V281" s="226">
        <v>3.8989649468749776E-2</v>
      </c>
      <c r="W281" s="227">
        <v>0.5191779486975886</v>
      </c>
      <c r="X281" s="228" t="s">
        <v>1005</v>
      </c>
      <c r="Y281" s="229" t="s">
        <v>1006</v>
      </c>
      <c r="Z281" s="230" t="s">
        <v>1007</v>
      </c>
      <c r="AA281" s="231">
        <v>0</v>
      </c>
      <c r="AB281" s="231">
        <v>133049</v>
      </c>
      <c r="AC281" s="232">
        <v>169</v>
      </c>
      <c r="AD281" s="374">
        <v>133218</v>
      </c>
    </row>
    <row r="282" spans="1:30">
      <c r="A282" s="389" t="s">
        <v>96</v>
      </c>
      <c r="B282" s="221" t="s">
        <v>31</v>
      </c>
      <c r="C282" t="s">
        <v>667</v>
      </c>
      <c r="D282"/>
      <c r="E282"/>
      <c r="F282"/>
      <c r="G282"/>
      <c r="H282"/>
      <c r="I282" t="s">
        <v>372</v>
      </c>
      <c r="J282" t="s">
        <v>372</v>
      </c>
      <c r="K282" s="389"/>
      <c r="L282" s="389"/>
      <c r="M282" s="281">
        <v>2010</v>
      </c>
      <c r="N282" s="390">
        <v>19</v>
      </c>
      <c r="O282" s="391">
        <v>133567</v>
      </c>
      <c r="P282" s="391">
        <v>149736</v>
      </c>
      <c r="Q282" s="391">
        <v>139</v>
      </c>
      <c r="R282" s="391">
        <v>283442</v>
      </c>
      <c r="S282" s="233"/>
      <c r="T282" s="225">
        <v>149736</v>
      </c>
      <c r="U282" s="225">
        <v>133567</v>
      </c>
      <c r="V282" s="226">
        <v>5.7073169009858704E-2</v>
      </c>
      <c r="W282" s="227">
        <v>0.52827739008333274</v>
      </c>
      <c r="X282" s="228" t="s">
        <v>1005</v>
      </c>
      <c r="Y282" s="229" t="s">
        <v>1008</v>
      </c>
      <c r="Z282" s="230" t="s">
        <v>1012</v>
      </c>
      <c r="AA282" s="231">
        <v>133567</v>
      </c>
      <c r="AB282" s="231">
        <v>0</v>
      </c>
      <c r="AC282" s="232">
        <v>139</v>
      </c>
      <c r="AD282" s="374">
        <v>133706</v>
      </c>
    </row>
    <row r="283" spans="1:30">
      <c r="A283" s="389" t="s">
        <v>96</v>
      </c>
      <c r="B283" s="221" t="s">
        <v>31</v>
      </c>
      <c r="C283" t="s">
        <v>668</v>
      </c>
      <c r="D283" s="382"/>
      <c r="E283"/>
      <c r="F283"/>
      <c r="G283"/>
      <c r="H283"/>
      <c r="I283" t="s">
        <v>372</v>
      </c>
      <c r="J283" t="s">
        <v>372</v>
      </c>
      <c r="K283" s="392"/>
      <c r="L283" s="392"/>
      <c r="M283" s="281">
        <v>2008</v>
      </c>
      <c r="N283" s="390">
        <v>20</v>
      </c>
      <c r="O283" s="391">
        <v>203400</v>
      </c>
      <c r="P283" s="391">
        <v>93778</v>
      </c>
      <c r="Q283" s="391">
        <v>135</v>
      </c>
      <c r="R283" s="391">
        <v>297313</v>
      </c>
      <c r="S283" s="233"/>
      <c r="T283" s="225">
        <v>203400</v>
      </c>
      <c r="U283" s="225">
        <v>93778</v>
      </c>
      <c r="V283" s="226">
        <v>0.36887656556003473</v>
      </c>
      <c r="W283" s="227">
        <v>0.68412750199284933</v>
      </c>
      <c r="X283" s="228" t="s">
        <v>1005</v>
      </c>
      <c r="Y283" s="229" t="s">
        <v>1006</v>
      </c>
      <c r="Z283" s="230" t="s">
        <v>1010</v>
      </c>
      <c r="AA283" s="231">
        <v>0</v>
      </c>
      <c r="AB283" s="231">
        <v>93778</v>
      </c>
      <c r="AC283" s="232">
        <v>135</v>
      </c>
      <c r="AD283" s="374">
        <v>93913</v>
      </c>
    </row>
    <row r="284" spans="1:30">
      <c r="A284" s="389" t="s">
        <v>96</v>
      </c>
      <c r="B284" s="221" t="s">
        <v>31</v>
      </c>
      <c r="C284" t="s">
        <v>669</v>
      </c>
      <c r="D284" s="382"/>
      <c r="E284"/>
      <c r="F284"/>
      <c r="G284"/>
      <c r="H284"/>
      <c r="I284" t="s">
        <v>372</v>
      </c>
      <c r="J284" t="s">
        <v>372</v>
      </c>
      <c r="K284" s="392"/>
      <c r="L284" s="392"/>
      <c r="M284" s="281">
        <v>2008</v>
      </c>
      <c r="N284" s="390">
        <v>21</v>
      </c>
      <c r="O284" s="391">
        <v>126631</v>
      </c>
      <c r="P284" s="391">
        <v>121646</v>
      </c>
      <c r="Q284" s="391">
        <v>4280</v>
      </c>
      <c r="R284" s="391">
        <v>252557</v>
      </c>
      <c r="S284" s="233"/>
      <c r="T284" s="225">
        <v>126631</v>
      </c>
      <c r="U284" s="225">
        <v>121646</v>
      </c>
      <c r="V284" s="226">
        <v>2.007838019631299E-2</v>
      </c>
      <c r="W284" s="227">
        <v>0.5013957245295122</v>
      </c>
      <c r="X284" s="228" t="s">
        <v>1005</v>
      </c>
      <c r="Y284" s="229" t="s">
        <v>1006</v>
      </c>
      <c r="Z284" s="230" t="s">
        <v>1007</v>
      </c>
      <c r="AA284" s="231">
        <v>0</v>
      </c>
      <c r="AB284" s="231">
        <v>121646</v>
      </c>
      <c r="AC284" s="232">
        <v>4280</v>
      </c>
      <c r="AD284" s="374">
        <v>125926</v>
      </c>
    </row>
    <row r="285" spans="1:30">
      <c r="A285" s="389" t="s">
        <v>96</v>
      </c>
      <c r="B285" s="221" t="s">
        <v>31</v>
      </c>
      <c r="C285" t="s">
        <v>670</v>
      </c>
      <c r="D285"/>
      <c r="E285"/>
      <c r="F285"/>
      <c r="G285"/>
      <c r="H285"/>
      <c r="I285" t="s">
        <v>372</v>
      </c>
      <c r="J285" t="s">
        <v>372</v>
      </c>
      <c r="K285" s="389"/>
      <c r="L285" s="389"/>
      <c r="M285" s="281">
        <v>2010</v>
      </c>
      <c r="N285" s="390">
        <v>22</v>
      </c>
      <c r="O285" s="391">
        <v>102080</v>
      </c>
      <c r="P285" s="391">
        <v>157941</v>
      </c>
      <c r="Q285" s="391">
        <v>842</v>
      </c>
      <c r="R285" s="391">
        <v>260863</v>
      </c>
      <c r="S285" s="233"/>
      <c r="T285" s="225">
        <v>157941</v>
      </c>
      <c r="U285" s="225">
        <v>102080</v>
      </c>
      <c r="V285" s="226">
        <v>0.21483264813226624</v>
      </c>
      <c r="W285" s="227">
        <v>0.60545573730272206</v>
      </c>
      <c r="X285" s="228" t="s">
        <v>1005</v>
      </c>
      <c r="Y285" s="229" t="s">
        <v>1008</v>
      </c>
      <c r="Z285" s="230" t="s">
        <v>1010</v>
      </c>
      <c r="AA285" s="231">
        <v>102080</v>
      </c>
      <c r="AB285" s="231">
        <v>0</v>
      </c>
      <c r="AC285" s="232">
        <v>842</v>
      </c>
      <c r="AD285" s="374">
        <v>102922</v>
      </c>
    </row>
    <row r="286" spans="1:30">
      <c r="A286" s="389" t="s">
        <v>96</v>
      </c>
      <c r="B286" s="221" t="s">
        <v>31</v>
      </c>
      <c r="C286" t="s">
        <v>671</v>
      </c>
      <c r="D286"/>
      <c r="E286"/>
      <c r="F286"/>
      <c r="G286"/>
      <c r="H286"/>
      <c r="I286" t="s">
        <v>372</v>
      </c>
      <c r="J286" t="s">
        <v>372</v>
      </c>
      <c r="K286" s="389"/>
      <c r="L286" s="389"/>
      <c r="M286" s="281">
        <v>2010</v>
      </c>
      <c r="N286" s="390">
        <v>23</v>
      </c>
      <c r="O286" s="391">
        <v>127535</v>
      </c>
      <c r="P286" s="391">
        <v>137669</v>
      </c>
      <c r="Q286" s="391">
        <v>78</v>
      </c>
      <c r="R286" s="391">
        <v>265282</v>
      </c>
      <c r="S286" s="233"/>
      <c r="T286" s="225">
        <v>137669</v>
      </c>
      <c r="U286" s="225">
        <v>127535</v>
      </c>
      <c r="V286" s="226">
        <v>3.8212093331925615E-2</v>
      </c>
      <c r="W286" s="227">
        <v>0.51895341561055786</v>
      </c>
      <c r="X286" s="228" t="s">
        <v>1005</v>
      </c>
      <c r="Y286" s="229" t="s">
        <v>1008</v>
      </c>
      <c r="Z286" s="230" t="s">
        <v>1007</v>
      </c>
      <c r="AA286" s="231">
        <v>127535</v>
      </c>
      <c r="AB286" s="231">
        <v>0</v>
      </c>
      <c r="AC286" s="232">
        <v>78</v>
      </c>
      <c r="AD286" s="374">
        <v>127613</v>
      </c>
    </row>
    <row r="287" spans="1:30">
      <c r="A287" s="389" t="s">
        <v>96</v>
      </c>
      <c r="B287" s="221" t="s">
        <v>31</v>
      </c>
      <c r="C287" t="s">
        <v>672</v>
      </c>
      <c r="D287"/>
      <c r="E287"/>
      <c r="F287"/>
      <c r="G287"/>
      <c r="H287"/>
      <c r="I287" t="s">
        <v>372</v>
      </c>
      <c r="J287" t="s">
        <v>1005</v>
      </c>
      <c r="K287" s="392">
        <v>1</v>
      </c>
      <c r="L287" s="392">
        <v>1</v>
      </c>
      <c r="M287" s="281">
        <v>2012</v>
      </c>
      <c r="N287" s="390">
        <v>24</v>
      </c>
      <c r="O287" s="391">
        <v>143044</v>
      </c>
      <c r="P287" s="391">
        <v>127054</v>
      </c>
      <c r="Q287" s="391">
        <v>22890</v>
      </c>
      <c r="R287" s="391">
        <v>292988</v>
      </c>
      <c r="S287" s="233"/>
      <c r="T287" s="225">
        <v>143044</v>
      </c>
      <c r="U287" s="225">
        <v>127054</v>
      </c>
      <c r="V287" s="226">
        <v>5.9200734548201024E-2</v>
      </c>
      <c r="W287" s="227">
        <v>0.4882247737108687</v>
      </c>
      <c r="X287" s="228" t="s">
        <v>1005</v>
      </c>
      <c r="Y287" s="229" t="s">
        <v>1006</v>
      </c>
      <c r="Z287" s="230" t="s">
        <v>1012</v>
      </c>
      <c r="AA287" s="231">
        <v>0</v>
      </c>
      <c r="AB287" s="231">
        <v>127054</v>
      </c>
      <c r="AC287" s="232">
        <v>22890</v>
      </c>
      <c r="AD287" s="374">
        <v>149944</v>
      </c>
    </row>
    <row r="288" spans="1:30">
      <c r="A288" s="389" t="s">
        <v>96</v>
      </c>
      <c r="B288" s="221" t="s">
        <v>31</v>
      </c>
      <c r="C288" t="s">
        <v>673</v>
      </c>
      <c r="D288" s="382" t="s">
        <v>372</v>
      </c>
      <c r="E288"/>
      <c r="F288"/>
      <c r="G288"/>
      <c r="H288"/>
      <c r="I288" t="s">
        <v>372</v>
      </c>
      <c r="J288" t="s">
        <v>372</v>
      </c>
      <c r="K288" s="392"/>
      <c r="L288" s="392"/>
      <c r="M288" s="281">
        <v>1986</v>
      </c>
      <c r="N288" s="390">
        <v>25</v>
      </c>
      <c r="O288" s="391">
        <v>179810</v>
      </c>
      <c r="P288" s="391">
        <v>133389</v>
      </c>
      <c r="Q288" s="391">
        <v>253</v>
      </c>
      <c r="R288" s="391">
        <v>313452</v>
      </c>
      <c r="S288" s="233"/>
      <c r="T288" s="225">
        <v>179810</v>
      </c>
      <c r="U288" s="225">
        <v>133389</v>
      </c>
      <c r="V288" s="226">
        <v>0.1482156711866896</v>
      </c>
      <c r="W288" s="227">
        <v>0.57364444954889426</v>
      </c>
      <c r="X288" s="228" t="s">
        <v>1005</v>
      </c>
      <c r="Y288" s="229" t="s">
        <v>1006</v>
      </c>
      <c r="Z288" s="230" t="s">
        <v>1009</v>
      </c>
      <c r="AA288" s="231">
        <v>0</v>
      </c>
      <c r="AB288" s="231">
        <v>133389</v>
      </c>
      <c r="AC288" s="232">
        <v>253</v>
      </c>
      <c r="AD288" s="374">
        <v>133642</v>
      </c>
    </row>
    <row r="289" spans="1:31">
      <c r="A289" s="389" t="s">
        <v>96</v>
      </c>
      <c r="B289" s="221" t="s">
        <v>31</v>
      </c>
      <c r="C289" t="s">
        <v>674</v>
      </c>
      <c r="D289"/>
      <c r="E289"/>
      <c r="F289"/>
      <c r="G289"/>
      <c r="H289"/>
      <c r="I289" t="s">
        <v>372</v>
      </c>
      <c r="J289" t="s">
        <v>372</v>
      </c>
      <c r="K289" s="392"/>
      <c r="L289" s="392"/>
      <c r="M289" s="281">
        <v>2004</v>
      </c>
      <c r="N289" s="390">
        <v>26</v>
      </c>
      <c r="O289" s="391">
        <v>212588</v>
      </c>
      <c r="P289" s="391">
        <v>71666</v>
      </c>
      <c r="Q289" s="391">
        <v>17</v>
      </c>
      <c r="R289" s="391">
        <v>284271</v>
      </c>
      <c r="S289" s="233"/>
      <c r="T289" s="225">
        <v>212588</v>
      </c>
      <c r="U289" s="225">
        <v>71666</v>
      </c>
      <c r="V289" s="226">
        <v>0.49576083362063506</v>
      </c>
      <c r="W289" s="227">
        <v>0.74783569199812849</v>
      </c>
      <c r="X289" s="228" t="s">
        <v>1005</v>
      </c>
      <c r="Y289" s="229" t="s">
        <v>1006</v>
      </c>
      <c r="Z289" s="230" t="s">
        <v>1011</v>
      </c>
      <c r="AA289" s="231">
        <v>0</v>
      </c>
      <c r="AB289" s="231">
        <v>71666</v>
      </c>
      <c r="AC289" s="232">
        <v>17</v>
      </c>
      <c r="AD289" s="374">
        <v>71683</v>
      </c>
    </row>
    <row r="290" spans="1:31">
      <c r="A290" s="389" t="s">
        <v>96</v>
      </c>
      <c r="B290" s="221" t="s">
        <v>31</v>
      </c>
      <c r="C290" t="s">
        <v>675</v>
      </c>
      <c r="D290" s="382"/>
      <c r="E290"/>
      <c r="F290"/>
      <c r="G290"/>
      <c r="H290"/>
      <c r="I290" t="s">
        <v>372</v>
      </c>
      <c r="J290" t="s">
        <v>1005</v>
      </c>
      <c r="K290" s="389">
        <v>1</v>
      </c>
      <c r="L290" s="389">
        <v>1</v>
      </c>
      <c r="M290" s="281">
        <v>2012</v>
      </c>
      <c r="N290" s="390">
        <v>27</v>
      </c>
      <c r="O290" s="391">
        <v>156219</v>
      </c>
      <c r="P290" s="391">
        <v>161220</v>
      </c>
      <c r="Q290" s="391">
        <v>95</v>
      </c>
      <c r="R290" s="391">
        <v>317534</v>
      </c>
      <c r="S290" s="233"/>
      <c r="T290" s="225">
        <v>161220</v>
      </c>
      <c r="U290" s="225">
        <v>156219</v>
      </c>
      <c r="V290" s="226">
        <v>1.5754207895060154E-2</v>
      </c>
      <c r="W290" s="227">
        <v>0.50772515699106235</v>
      </c>
      <c r="X290" s="228" t="s">
        <v>1005</v>
      </c>
      <c r="Y290" s="229" t="s">
        <v>1008</v>
      </c>
      <c r="Z290" s="230" t="s">
        <v>1007</v>
      </c>
      <c r="AA290" s="231">
        <v>156219</v>
      </c>
      <c r="AB290" s="231">
        <v>0</v>
      </c>
      <c r="AC290" s="232">
        <v>95</v>
      </c>
      <c r="AD290" s="374">
        <v>156314</v>
      </c>
    </row>
    <row r="291" spans="1:31">
      <c r="A291" s="389" t="s">
        <v>97</v>
      </c>
      <c r="B291" s="221" t="s">
        <v>32</v>
      </c>
      <c r="C291" t="s">
        <v>676</v>
      </c>
      <c r="D291"/>
      <c r="E291" s="382" t="s">
        <v>373</v>
      </c>
      <c r="F291"/>
      <c r="G291"/>
      <c r="H291"/>
      <c r="I291" t="s">
        <v>373</v>
      </c>
      <c r="J291" t="s">
        <v>373</v>
      </c>
      <c r="K291" s="392"/>
      <c r="L291" s="392"/>
      <c r="M291" s="281">
        <v>2004</v>
      </c>
      <c r="N291" s="390">
        <v>1</v>
      </c>
      <c r="O291" s="391">
        <v>254644</v>
      </c>
      <c r="P291" s="391">
        <v>77288</v>
      </c>
      <c r="Q291" s="391">
        <v>6134</v>
      </c>
      <c r="R291" s="391">
        <v>338066</v>
      </c>
      <c r="S291" s="233"/>
      <c r="T291" s="225">
        <v>254644</v>
      </c>
      <c r="U291" s="225">
        <v>77288</v>
      </c>
      <c r="V291" s="226">
        <v>0.53431425713700398</v>
      </c>
      <c r="W291" s="227">
        <v>0.75323753349937583</v>
      </c>
      <c r="X291" s="228" t="s">
        <v>1013</v>
      </c>
      <c r="Y291" s="229" t="s">
        <v>1014</v>
      </c>
      <c r="Z291" s="230" t="s">
        <v>1015</v>
      </c>
      <c r="AA291" s="231">
        <v>0</v>
      </c>
      <c r="AB291" s="231">
        <v>77288</v>
      </c>
      <c r="AC291" s="232">
        <v>6134</v>
      </c>
      <c r="AD291" s="374">
        <v>83422</v>
      </c>
    </row>
    <row r="292" spans="1:31">
      <c r="A292" s="389" t="s">
        <v>97</v>
      </c>
      <c r="B292" s="221" t="s">
        <v>32</v>
      </c>
      <c r="C292" t="s">
        <v>677</v>
      </c>
      <c r="D292" s="382" t="s">
        <v>373</v>
      </c>
      <c r="E292"/>
      <c r="F292"/>
      <c r="G292"/>
      <c r="H292"/>
      <c r="I292" t="s">
        <v>373</v>
      </c>
      <c r="J292" t="s">
        <v>373</v>
      </c>
      <c r="K292" s="389"/>
      <c r="L292" s="389"/>
      <c r="M292" s="281">
        <v>2010</v>
      </c>
      <c r="N292" s="390">
        <v>2</v>
      </c>
      <c r="O292" s="391">
        <v>128973</v>
      </c>
      <c r="P292" s="391">
        <v>174066</v>
      </c>
      <c r="Q292" s="391">
        <v>8358</v>
      </c>
      <c r="R292" s="391">
        <v>311397</v>
      </c>
      <c r="S292" s="233"/>
      <c r="T292" s="225">
        <v>174066</v>
      </c>
      <c r="U292" s="225">
        <v>128973</v>
      </c>
      <c r="V292" s="226">
        <v>0.14880262936453723</v>
      </c>
      <c r="W292" s="227">
        <v>0.55898419059913873</v>
      </c>
      <c r="X292" s="228" t="s">
        <v>1013</v>
      </c>
      <c r="Y292" s="229" t="s">
        <v>1016</v>
      </c>
      <c r="Z292" s="230" t="s">
        <v>1017</v>
      </c>
      <c r="AA292" s="231">
        <v>128973</v>
      </c>
      <c r="AB292" s="231">
        <v>0</v>
      </c>
      <c r="AC292" s="232">
        <v>8358</v>
      </c>
      <c r="AD292" s="374">
        <v>137331</v>
      </c>
    </row>
    <row r="293" spans="1:31">
      <c r="A293" s="389" t="s">
        <v>97</v>
      </c>
      <c r="B293" s="221" t="s">
        <v>32</v>
      </c>
      <c r="C293" t="s">
        <v>678</v>
      </c>
      <c r="D293" s="382"/>
      <c r="E293"/>
      <c r="F293"/>
      <c r="G293"/>
      <c r="H293"/>
      <c r="I293" t="s">
        <v>373</v>
      </c>
      <c r="J293" t="s">
        <v>373</v>
      </c>
      <c r="K293" s="389"/>
      <c r="L293" s="389"/>
      <c r="M293" s="281">
        <v>1994</v>
      </c>
      <c r="N293" s="390">
        <v>3</v>
      </c>
      <c r="O293" s="391">
        <v>114314</v>
      </c>
      <c r="P293" s="391">
        <v>195571</v>
      </c>
      <c r="Q293" s="391">
        <v>0</v>
      </c>
      <c r="R293" s="391">
        <v>309885</v>
      </c>
      <c r="S293" s="233"/>
      <c r="T293" s="225">
        <v>195571</v>
      </c>
      <c r="U293" s="225">
        <v>114314</v>
      </c>
      <c r="V293" s="226">
        <v>0.26221662874937479</v>
      </c>
      <c r="W293" s="227">
        <v>0.6311083143746874</v>
      </c>
      <c r="X293" s="228" t="s">
        <v>1013</v>
      </c>
      <c r="Y293" s="229" t="s">
        <v>1016</v>
      </c>
      <c r="Z293" s="230" t="s">
        <v>1018</v>
      </c>
      <c r="AA293" s="231">
        <v>114314</v>
      </c>
      <c r="AB293" s="231">
        <v>0</v>
      </c>
      <c r="AC293" s="232">
        <v>0</v>
      </c>
      <c r="AD293" s="374">
        <v>114314</v>
      </c>
    </row>
    <row r="294" spans="1:31">
      <c r="A294" s="389" t="s">
        <v>97</v>
      </c>
      <c r="B294" s="221" t="s">
        <v>32</v>
      </c>
      <c r="C294" t="s">
        <v>679</v>
      </c>
      <c r="D294"/>
      <c r="E294"/>
      <c r="F294"/>
      <c r="G294"/>
      <c r="H294"/>
      <c r="I294" t="s">
        <v>373</v>
      </c>
      <c r="J294" t="s">
        <v>373</v>
      </c>
      <c r="K294" s="392"/>
      <c r="L294" s="392"/>
      <c r="M294" s="281">
        <v>1996</v>
      </c>
      <c r="N294" s="390">
        <v>4</v>
      </c>
      <c r="O294" s="391">
        <v>259534</v>
      </c>
      <c r="P294" s="391">
        <v>88951</v>
      </c>
      <c r="Q294" s="391">
        <v>0</v>
      </c>
      <c r="R294" s="391">
        <v>348485</v>
      </c>
      <c r="S294" s="233"/>
      <c r="T294" s="225">
        <v>259534</v>
      </c>
      <c r="U294" s="225">
        <v>88951</v>
      </c>
      <c r="V294" s="226">
        <v>0.48949883065268235</v>
      </c>
      <c r="W294" s="227">
        <v>0.7447494153263412</v>
      </c>
      <c r="X294" s="228" t="s">
        <v>1013</v>
      </c>
      <c r="Y294" s="229" t="s">
        <v>1014</v>
      </c>
      <c r="Z294" s="230" t="s">
        <v>1015</v>
      </c>
      <c r="AA294" s="231">
        <v>0</v>
      </c>
      <c r="AB294" s="231">
        <v>88951</v>
      </c>
      <c r="AC294" s="232">
        <v>0</v>
      </c>
      <c r="AD294" s="374">
        <v>88951</v>
      </c>
      <c r="AE294" s="374">
        <v>2376303</v>
      </c>
    </row>
    <row r="295" spans="1:31">
      <c r="A295" s="389" t="s">
        <v>97</v>
      </c>
      <c r="B295" s="221" t="s">
        <v>32</v>
      </c>
      <c r="C295" t="s">
        <v>680</v>
      </c>
      <c r="D295" s="382" t="s">
        <v>373</v>
      </c>
      <c r="F295"/>
      <c r="G295"/>
      <c r="H295"/>
      <c r="I295" t="s">
        <v>373</v>
      </c>
      <c r="J295" t="s">
        <v>373</v>
      </c>
      <c r="K295" s="389"/>
      <c r="L295" s="389"/>
      <c r="M295" s="281">
        <v>2004</v>
      </c>
      <c r="N295" s="390">
        <v>5</v>
      </c>
      <c r="O295" s="391">
        <v>148252</v>
      </c>
      <c r="P295" s="391">
        <v>200945</v>
      </c>
      <c r="Q295" s="391">
        <v>0</v>
      </c>
      <c r="R295" s="391">
        <v>349197</v>
      </c>
      <c r="S295" s="233"/>
      <c r="T295" s="225">
        <v>200945</v>
      </c>
      <c r="U295" s="225">
        <v>148252</v>
      </c>
      <c r="V295" s="226">
        <v>0.15089763085020777</v>
      </c>
      <c r="W295" s="227">
        <v>0.57544881542510384</v>
      </c>
      <c r="X295" s="228" t="s">
        <v>1013</v>
      </c>
      <c r="Y295" s="229" t="s">
        <v>1016</v>
      </c>
      <c r="Z295" s="230" t="s">
        <v>1017</v>
      </c>
      <c r="AA295" s="231">
        <v>148252</v>
      </c>
      <c r="AB295" s="231">
        <v>0</v>
      </c>
      <c r="AC295" s="232">
        <v>0</v>
      </c>
      <c r="AD295" s="374">
        <v>148252</v>
      </c>
    </row>
    <row r="296" spans="1:31">
      <c r="A296" s="389" t="s">
        <v>97</v>
      </c>
      <c r="B296" s="221" t="s">
        <v>32</v>
      </c>
      <c r="C296" t="s">
        <v>681</v>
      </c>
      <c r="D296" s="382"/>
      <c r="E296"/>
      <c r="F296"/>
      <c r="G296"/>
      <c r="H296"/>
      <c r="I296" t="s">
        <v>373</v>
      </c>
      <c r="J296" t="s">
        <v>373</v>
      </c>
      <c r="K296" s="389"/>
      <c r="L296" s="389"/>
      <c r="M296" s="281">
        <v>1984</v>
      </c>
      <c r="N296" s="390">
        <v>6</v>
      </c>
      <c r="O296" s="391">
        <v>142467</v>
      </c>
      <c r="P296" s="391">
        <v>222116</v>
      </c>
      <c r="Q296" s="391">
        <v>0</v>
      </c>
      <c r="R296" s="391">
        <v>364583</v>
      </c>
      <c r="S296" s="233"/>
      <c r="T296" s="225">
        <v>222116</v>
      </c>
      <c r="U296" s="225">
        <v>142467</v>
      </c>
      <c r="V296" s="226">
        <v>0.21846602831179732</v>
      </c>
      <c r="W296" s="227">
        <v>0.6092330141558987</v>
      </c>
      <c r="X296" s="228" t="s">
        <v>1013</v>
      </c>
      <c r="Y296" s="229" t="s">
        <v>1016</v>
      </c>
      <c r="Z296" s="230" t="s">
        <v>1018</v>
      </c>
      <c r="AA296" s="231">
        <v>142467</v>
      </c>
      <c r="AB296" s="231">
        <v>0</v>
      </c>
      <c r="AC296" s="232">
        <v>0</v>
      </c>
      <c r="AD296" s="374">
        <v>142467</v>
      </c>
    </row>
    <row r="297" spans="1:31">
      <c r="A297" s="389" t="s">
        <v>97</v>
      </c>
      <c r="B297" s="221" t="s">
        <v>32</v>
      </c>
      <c r="C297" t="s">
        <v>682</v>
      </c>
      <c r="D297"/>
      <c r="E297"/>
      <c r="F297"/>
      <c r="G297"/>
      <c r="H297"/>
      <c r="I297" t="s">
        <v>373</v>
      </c>
      <c r="J297" t="s">
        <v>373</v>
      </c>
      <c r="K297" s="389"/>
      <c r="L297" s="389"/>
      <c r="M297" s="281">
        <v>1996</v>
      </c>
      <c r="N297" s="390">
        <v>7</v>
      </c>
      <c r="O297" s="391">
        <v>168695</v>
      </c>
      <c r="P297" s="391">
        <v>168041</v>
      </c>
      <c r="Q297" s="391">
        <v>0</v>
      </c>
      <c r="R297" s="391">
        <v>336736</v>
      </c>
      <c r="S297" s="233"/>
      <c r="T297" s="225">
        <v>168695</v>
      </c>
      <c r="U297" s="225">
        <v>168041</v>
      </c>
      <c r="V297" s="226">
        <v>1.9421742848997434E-3</v>
      </c>
      <c r="W297" s="227">
        <v>0.50097108714244987</v>
      </c>
      <c r="X297" s="228" t="s">
        <v>1013</v>
      </c>
      <c r="Y297" s="229" t="s">
        <v>1014</v>
      </c>
      <c r="Z297" s="230" t="s">
        <v>1019</v>
      </c>
      <c r="AA297" s="231">
        <v>0</v>
      </c>
      <c r="AB297" s="231">
        <v>168041</v>
      </c>
      <c r="AC297" s="232">
        <v>0</v>
      </c>
      <c r="AD297" s="374">
        <v>168041</v>
      </c>
    </row>
    <row r="298" spans="1:31">
      <c r="A298" s="389" t="s">
        <v>97</v>
      </c>
      <c r="B298" s="221" t="s">
        <v>32</v>
      </c>
      <c r="C298" t="s">
        <v>683</v>
      </c>
      <c r="D298"/>
      <c r="E298"/>
      <c r="F298"/>
      <c r="G298"/>
      <c r="H298"/>
      <c r="I298" t="s">
        <v>373</v>
      </c>
      <c r="J298" t="s">
        <v>1013</v>
      </c>
      <c r="K298" s="389">
        <v>1</v>
      </c>
      <c r="L298" s="389">
        <v>1</v>
      </c>
      <c r="M298" s="281">
        <v>2012</v>
      </c>
      <c r="N298" s="390">
        <v>8</v>
      </c>
      <c r="O298" s="391">
        <v>137139</v>
      </c>
      <c r="P298" s="391">
        <v>160695</v>
      </c>
      <c r="Q298" s="391">
        <v>4446</v>
      </c>
      <c r="R298" s="391">
        <v>302280</v>
      </c>
      <c r="S298" s="233"/>
      <c r="T298" s="225">
        <v>160695</v>
      </c>
      <c r="U298" s="225">
        <v>137139</v>
      </c>
      <c r="V298" s="226">
        <v>7.9091037289228228E-2</v>
      </c>
      <c r="W298" s="227">
        <v>0.53160976578007146</v>
      </c>
      <c r="X298" s="228" t="s">
        <v>1013</v>
      </c>
      <c r="Y298" s="229" t="s">
        <v>1016</v>
      </c>
      <c r="Z298" s="230" t="s">
        <v>1020</v>
      </c>
      <c r="AA298" s="231">
        <v>137139</v>
      </c>
      <c r="AB298" s="231">
        <v>0</v>
      </c>
      <c r="AC298" s="232">
        <v>4446</v>
      </c>
      <c r="AD298" s="374">
        <v>141585</v>
      </c>
    </row>
    <row r="299" spans="1:31">
      <c r="A299" s="389" t="s">
        <v>97</v>
      </c>
      <c r="B299" s="221" t="s">
        <v>32</v>
      </c>
      <c r="C299" t="s">
        <v>684</v>
      </c>
      <c r="E299"/>
      <c r="F299"/>
      <c r="G299"/>
      <c r="H299"/>
      <c r="I299" t="s">
        <v>373</v>
      </c>
      <c r="J299" t="s">
        <v>373</v>
      </c>
      <c r="K299" s="389"/>
      <c r="L299" s="389"/>
      <c r="M299" s="281">
        <v>1994</v>
      </c>
      <c r="N299" s="390">
        <v>9</v>
      </c>
      <c r="O299" s="391">
        <v>171503</v>
      </c>
      <c r="P299" s="391">
        <v>194537</v>
      </c>
      <c r="Q299" s="391">
        <v>9650</v>
      </c>
      <c r="R299" s="391">
        <v>375690</v>
      </c>
      <c r="S299" s="233"/>
      <c r="T299" s="225">
        <v>194537</v>
      </c>
      <c r="U299" s="225">
        <v>171503</v>
      </c>
      <c r="V299" s="226">
        <v>6.2927548901759375E-2</v>
      </c>
      <c r="W299" s="227">
        <v>0.51781255822619709</v>
      </c>
      <c r="X299" s="228" t="s">
        <v>1013</v>
      </c>
      <c r="Y299" s="229" t="s">
        <v>1016</v>
      </c>
      <c r="Z299" s="230" t="s">
        <v>1020</v>
      </c>
      <c r="AA299" s="231">
        <v>171503</v>
      </c>
      <c r="AB299" s="231">
        <v>0</v>
      </c>
      <c r="AC299" s="232">
        <v>9650</v>
      </c>
      <c r="AD299" s="374">
        <v>181153</v>
      </c>
    </row>
    <row r="300" spans="1:31">
      <c r="A300" s="389" t="s">
        <v>97</v>
      </c>
      <c r="B300" s="221" t="s">
        <v>32</v>
      </c>
      <c r="C300" t="s">
        <v>685</v>
      </c>
      <c r="D300"/>
      <c r="E300"/>
      <c r="F300"/>
      <c r="G300"/>
      <c r="H300"/>
      <c r="I300" t="s">
        <v>373</v>
      </c>
      <c r="J300" t="s">
        <v>373</v>
      </c>
      <c r="K300" s="389"/>
      <c r="L300" s="389"/>
      <c r="M300" s="281">
        <v>2004</v>
      </c>
      <c r="N300" s="390">
        <v>10</v>
      </c>
      <c r="O300" s="391">
        <v>144023</v>
      </c>
      <c r="P300" s="391">
        <v>190826</v>
      </c>
      <c r="Q300" s="391">
        <v>0</v>
      </c>
      <c r="R300" s="391">
        <v>334849</v>
      </c>
      <c r="S300" s="233"/>
      <c r="T300" s="225">
        <v>190826</v>
      </c>
      <c r="U300" s="225">
        <v>144023</v>
      </c>
      <c r="V300" s="226">
        <v>0.13977345012229392</v>
      </c>
      <c r="W300" s="227">
        <v>0.56988672506114701</v>
      </c>
      <c r="X300" s="228" t="s">
        <v>1013</v>
      </c>
      <c r="Y300" s="229" t="s">
        <v>1016</v>
      </c>
      <c r="Z300" s="230" t="s">
        <v>1017</v>
      </c>
      <c r="AA300" s="231">
        <v>144023</v>
      </c>
      <c r="AB300" s="231">
        <v>0</v>
      </c>
      <c r="AC300" s="232">
        <v>0</v>
      </c>
      <c r="AD300" s="374">
        <v>144023</v>
      </c>
    </row>
    <row r="301" spans="1:31">
      <c r="A301" s="389" t="s">
        <v>97</v>
      </c>
      <c r="B301" s="221" t="s">
        <v>32</v>
      </c>
      <c r="C301" t="s">
        <v>686</v>
      </c>
      <c r="D301"/>
      <c r="E301"/>
      <c r="F301"/>
      <c r="G301"/>
      <c r="H301"/>
      <c r="I301" t="s">
        <v>373</v>
      </c>
      <c r="J301" t="s">
        <v>1013</v>
      </c>
      <c r="K301" s="389"/>
      <c r="L301" s="389">
        <v>1</v>
      </c>
      <c r="M301" s="281">
        <v>2012</v>
      </c>
      <c r="N301" s="390">
        <v>11</v>
      </c>
      <c r="O301" s="391">
        <v>141107</v>
      </c>
      <c r="P301" s="391">
        <v>190319</v>
      </c>
      <c r="Q301" s="391">
        <v>0</v>
      </c>
      <c r="R301" s="391">
        <v>331426</v>
      </c>
      <c r="S301" s="233"/>
      <c r="T301" s="225">
        <v>190319</v>
      </c>
      <c r="U301" s="225">
        <v>141107</v>
      </c>
      <c r="V301" s="226">
        <v>0.14848563480233898</v>
      </c>
      <c r="W301" s="227">
        <v>0.57424281740116945</v>
      </c>
      <c r="X301" s="228" t="s">
        <v>1013</v>
      </c>
      <c r="Y301" s="229" t="s">
        <v>1016</v>
      </c>
      <c r="Z301" s="230" t="s">
        <v>1017</v>
      </c>
      <c r="AA301" s="231">
        <v>141107</v>
      </c>
      <c r="AB301" s="231">
        <v>0</v>
      </c>
      <c r="AC301" s="232">
        <v>0</v>
      </c>
      <c r="AD301" s="374">
        <v>141107</v>
      </c>
    </row>
    <row r="302" spans="1:31">
      <c r="A302" s="389" t="s">
        <v>97</v>
      </c>
      <c r="B302" s="221" t="s">
        <v>32</v>
      </c>
      <c r="C302" t="s">
        <v>687</v>
      </c>
      <c r="D302"/>
      <c r="E302" s="382" t="s">
        <v>373</v>
      </c>
      <c r="F302"/>
      <c r="G302"/>
      <c r="H302"/>
      <c r="I302" t="s">
        <v>373</v>
      </c>
      <c r="J302" t="s">
        <v>373</v>
      </c>
      <c r="K302" s="392"/>
      <c r="L302" s="392"/>
      <c r="M302" s="281">
        <v>1992</v>
      </c>
      <c r="N302" s="390">
        <v>12</v>
      </c>
      <c r="O302" s="391">
        <v>247591</v>
      </c>
      <c r="P302" s="391">
        <v>63317</v>
      </c>
      <c r="Q302" s="391">
        <v>0</v>
      </c>
      <c r="R302" s="391">
        <v>310908</v>
      </c>
      <c r="S302" s="233"/>
      <c r="T302" s="225">
        <v>247591</v>
      </c>
      <c r="U302" s="225">
        <v>63317</v>
      </c>
      <c r="V302" s="226">
        <v>0.59269623168268426</v>
      </c>
      <c r="W302" s="227">
        <v>0.79634811584134213</v>
      </c>
      <c r="X302" s="228" t="s">
        <v>1013</v>
      </c>
      <c r="Y302" s="229" t="s">
        <v>1014</v>
      </c>
      <c r="Z302" s="230" t="s">
        <v>1015</v>
      </c>
      <c r="AA302" s="231">
        <v>0</v>
      </c>
      <c r="AB302" s="231">
        <v>63317</v>
      </c>
      <c r="AC302" s="232">
        <v>0</v>
      </c>
      <c r="AD302" s="374">
        <v>63317</v>
      </c>
    </row>
    <row r="303" spans="1:31">
      <c r="A303" s="389" t="s">
        <v>97</v>
      </c>
      <c r="B303" s="221" t="s">
        <v>32</v>
      </c>
      <c r="C303" t="s">
        <v>688</v>
      </c>
      <c r="E303"/>
      <c r="F303"/>
      <c r="G303"/>
      <c r="H303"/>
      <c r="I303" t="s">
        <v>373</v>
      </c>
      <c r="J303" t="s">
        <v>1013</v>
      </c>
      <c r="K303" s="389"/>
      <c r="L303" s="389">
        <v>1</v>
      </c>
      <c r="M303" s="281">
        <v>2012</v>
      </c>
      <c r="N303" s="390">
        <v>13</v>
      </c>
      <c r="O303" s="391">
        <v>160115</v>
      </c>
      <c r="P303" s="391">
        <v>210495</v>
      </c>
      <c r="Q303" s="391">
        <v>0</v>
      </c>
      <c r="R303" s="391">
        <v>370610</v>
      </c>
      <c r="S303" s="233"/>
      <c r="T303" s="225">
        <v>210495</v>
      </c>
      <c r="U303" s="225">
        <v>160115</v>
      </c>
      <c r="V303" s="226">
        <v>0.13593804808289037</v>
      </c>
      <c r="W303" s="227">
        <v>0.56796902404144523</v>
      </c>
      <c r="X303" s="228" t="s">
        <v>1013</v>
      </c>
      <c r="Y303" s="229" t="s">
        <v>1016</v>
      </c>
      <c r="Z303" s="230" t="s">
        <v>1017</v>
      </c>
      <c r="AA303" s="231">
        <v>160115</v>
      </c>
      <c r="AB303" s="231">
        <v>0</v>
      </c>
      <c r="AC303" s="232">
        <v>0</v>
      </c>
      <c r="AD303" s="374">
        <v>160115</v>
      </c>
    </row>
    <row r="304" spans="1:31">
      <c r="A304" s="389" t="s">
        <v>98</v>
      </c>
      <c r="B304" s="221" t="s">
        <v>33</v>
      </c>
      <c r="C304" t="s">
        <v>689</v>
      </c>
      <c r="D304"/>
      <c r="E304"/>
      <c r="F304"/>
      <c r="G304"/>
      <c r="H304"/>
      <c r="I304" t="s">
        <v>1021</v>
      </c>
      <c r="J304" t="s">
        <v>1021</v>
      </c>
      <c r="K304" s="389"/>
      <c r="L304" s="389"/>
      <c r="M304" s="281">
        <v>2012</v>
      </c>
      <c r="N304" s="390" t="s">
        <v>0</v>
      </c>
      <c r="O304" s="391">
        <v>131870</v>
      </c>
      <c r="P304" s="391">
        <v>173585</v>
      </c>
      <c r="Q304" s="391">
        <v>10769</v>
      </c>
      <c r="R304" s="391">
        <v>316224</v>
      </c>
      <c r="S304" s="233"/>
      <c r="T304" s="225">
        <v>173585</v>
      </c>
      <c r="U304" s="225">
        <v>131870</v>
      </c>
      <c r="V304" s="226">
        <v>0.13656676106136748</v>
      </c>
      <c r="W304" s="227">
        <v>0.54893050495851037</v>
      </c>
      <c r="X304" s="228" t="s">
        <v>1022</v>
      </c>
      <c r="Y304" s="229" t="s">
        <v>1023</v>
      </c>
      <c r="Z304" s="230" t="s">
        <v>1024</v>
      </c>
      <c r="AA304" s="231">
        <v>131870</v>
      </c>
      <c r="AB304" s="231">
        <v>0</v>
      </c>
      <c r="AC304" s="232">
        <v>10769</v>
      </c>
      <c r="AD304" s="374">
        <v>142639</v>
      </c>
    </row>
    <row r="305" spans="1:31">
      <c r="A305" s="389" t="s">
        <v>99</v>
      </c>
      <c r="B305" s="221" t="s">
        <v>34</v>
      </c>
      <c r="C305" t="s">
        <v>690</v>
      </c>
      <c r="D305"/>
      <c r="E305"/>
      <c r="F305"/>
      <c r="G305"/>
      <c r="H305"/>
      <c r="I305" t="s">
        <v>374</v>
      </c>
      <c r="J305" t="s">
        <v>374</v>
      </c>
      <c r="K305" s="389"/>
      <c r="L305" s="389"/>
      <c r="M305" s="281">
        <v>2010</v>
      </c>
      <c r="N305" s="390">
        <v>1</v>
      </c>
      <c r="O305" s="391">
        <v>131490</v>
      </c>
      <c r="P305" s="391">
        <v>201907</v>
      </c>
      <c r="Q305" s="391">
        <v>16319</v>
      </c>
      <c r="R305" s="391">
        <v>349716</v>
      </c>
      <c r="S305" s="233"/>
      <c r="T305" s="225">
        <v>201907</v>
      </c>
      <c r="U305" s="225">
        <v>131490</v>
      </c>
      <c r="V305" s="226">
        <v>0.21121065876417605</v>
      </c>
      <c r="W305" s="227">
        <v>0.57734561758684189</v>
      </c>
      <c r="X305" s="228" t="s">
        <v>1025</v>
      </c>
      <c r="Y305" s="229" t="s">
        <v>1026</v>
      </c>
      <c r="Z305" s="230" t="s">
        <v>1027</v>
      </c>
      <c r="AA305" s="231">
        <v>131490</v>
      </c>
      <c r="AB305" s="231">
        <v>0</v>
      </c>
      <c r="AC305" s="232">
        <v>16319</v>
      </c>
      <c r="AD305" s="374">
        <v>147809</v>
      </c>
    </row>
    <row r="306" spans="1:31">
      <c r="A306" s="389" t="s">
        <v>99</v>
      </c>
      <c r="B306" s="221" t="s">
        <v>34</v>
      </c>
      <c r="C306" t="s">
        <v>691</v>
      </c>
      <c r="D306"/>
      <c r="E306" s="382"/>
      <c r="F306"/>
      <c r="G306"/>
      <c r="H306"/>
      <c r="I306" t="s">
        <v>374</v>
      </c>
      <c r="J306" t="s">
        <v>374</v>
      </c>
      <c r="K306" s="389"/>
      <c r="L306" s="389"/>
      <c r="M306" s="281">
        <v>2012</v>
      </c>
      <c r="N306" s="390">
        <v>2</v>
      </c>
      <c r="O306" s="391">
        <v>137077</v>
      </c>
      <c r="P306" s="391">
        <v>194296</v>
      </c>
      <c r="Q306" s="391">
        <v>0</v>
      </c>
      <c r="R306" s="391">
        <v>331373</v>
      </c>
      <c r="S306" s="233"/>
      <c r="T306" s="225">
        <v>194296</v>
      </c>
      <c r="U306" s="225">
        <v>137077</v>
      </c>
      <c r="V306" s="226">
        <v>0.17267248689543205</v>
      </c>
      <c r="W306" s="227">
        <v>0.58633624344771607</v>
      </c>
      <c r="X306" s="228" t="s">
        <v>1025</v>
      </c>
      <c r="Y306" s="229" t="s">
        <v>1026</v>
      </c>
      <c r="Z306" s="230" t="s">
        <v>1028</v>
      </c>
      <c r="AA306" s="231">
        <v>137077</v>
      </c>
      <c r="AB306" s="231">
        <v>0</v>
      </c>
      <c r="AC306" s="232">
        <v>0</v>
      </c>
      <c r="AD306" s="374">
        <v>137077</v>
      </c>
    </row>
    <row r="307" spans="1:31">
      <c r="A307" s="389" t="s">
        <v>99</v>
      </c>
      <c r="B307" s="221" t="s">
        <v>34</v>
      </c>
      <c r="C307" t="s">
        <v>692</v>
      </c>
      <c r="D307" s="382" t="s">
        <v>374</v>
      </c>
      <c r="E307" s="382" t="s">
        <v>374</v>
      </c>
      <c r="F307"/>
      <c r="G307"/>
      <c r="H307"/>
      <c r="I307" t="s">
        <v>374</v>
      </c>
      <c r="J307" t="s">
        <v>1025</v>
      </c>
      <c r="K307" s="392"/>
      <c r="L307" s="392">
        <v>1</v>
      </c>
      <c r="M307" s="281">
        <v>2012</v>
      </c>
      <c r="N307" s="390">
        <v>3</v>
      </c>
      <c r="O307" s="391">
        <v>201897</v>
      </c>
      <c r="P307" s="391">
        <v>77901</v>
      </c>
      <c r="Q307" s="391">
        <v>15854</v>
      </c>
      <c r="R307" s="391">
        <v>295652</v>
      </c>
      <c r="S307" s="233"/>
      <c r="T307" s="225">
        <v>201897</v>
      </c>
      <c r="U307" s="225">
        <v>77901</v>
      </c>
      <c r="V307" s="226">
        <v>0.44316256728068104</v>
      </c>
      <c r="W307" s="227">
        <v>0.68288731346312559</v>
      </c>
      <c r="X307" s="228" t="s">
        <v>1025</v>
      </c>
      <c r="Y307" s="229" t="s">
        <v>1029</v>
      </c>
      <c r="Z307" s="230" t="s">
        <v>1030</v>
      </c>
      <c r="AA307" s="231">
        <v>0</v>
      </c>
      <c r="AB307" s="231">
        <v>77901</v>
      </c>
      <c r="AC307" s="232">
        <v>15854</v>
      </c>
      <c r="AD307" s="374">
        <v>93755</v>
      </c>
      <c r="AE307" s="374">
        <v>1811340</v>
      </c>
    </row>
    <row r="308" spans="1:31">
      <c r="A308" s="389" t="s">
        <v>99</v>
      </c>
      <c r="B308" s="221" t="s">
        <v>34</v>
      </c>
      <c r="C308" t="s">
        <v>693</v>
      </c>
      <c r="D308"/>
      <c r="E308"/>
      <c r="F308"/>
      <c r="G308"/>
      <c r="H308"/>
      <c r="I308" t="s">
        <v>374</v>
      </c>
      <c r="J308" t="s">
        <v>374</v>
      </c>
      <c r="K308" s="389"/>
      <c r="L308" s="389"/>
      <c r="M308" s="281">
        <v>2006</v>
      </c>
      <c r="N308" s="390">
        <v>4</v>
      </c>
      <c r="O308" s="391">
        <v>114214</v>
      </c>
      <c r="P308" s="391">
        <v>182643</v>
      </c>
      <c r="Q308" s="391">
        <v>16141</v>
      </c>
      <c r="R308" s="391">
        <v>312998</v>
      </c>
      <c r="S308" s="233"/>
      <c r="T308" s="225">
        <v>182643</v>
      </c>
      <c r="U308" s="225">
        <v>114214</v>
      </c>
      <c r="V308" s="226">
        <v>0.23051166049646798</v>
      </c>
      <c r="W308" s="227">
        <v>0.58352769027278129</v>
      </c>
      <c r="X308" s="228" t="s">
        <v>1025</v>
      </c>
      <c r="Y308" s="229" t="s">
        <v>1026</v>
      </c>
      <c r="Z308" s="230" t="s">
        <v>1027</v>
      </c>
      <c r="AA308" s="231">
        <v>114214</v>
      </c>
      <c r="AB308" s="231">
        <v>0</v>
      </c>
      <c r="AC308" s="232">
        <v>16141</v>
      </c>
      <c r="AD308" s="374">
        <v>130355</v>
      </c>
      <c r="AE308" s="374">
        <v>130355</v>
      </c>
    </row>
    <row r="309" spans="1:31">
      <c r="A309" s="389" t="s">
        <v>99</v>
      </c>
      <c r="B309" s="221" t="s">
        <v>34</v>
      </c>
      <c r="C309" t="s">
        <v>694</v>
      </c>
      <c r="D309"/>
      <c r="E309"/>
      <c r="F309"/>
      <c r="G309"/>
      <c r="H309"/>
      <c r="I309" t="s">
        <v>374</v>
      </c>
      <c r="J309" t="s">
        <v>374</v>
      </c>
      <c r="K309" s="389"/>
      <c r="L309" s="389"/>
      <c r="M309" s="281">
        <v>2007</v>
      </c>
      <c r="N309" s="390">
        <v>5</v>
      </c>
      <c r="O309" s="391">
        <v>137806</v>
      </c>
      <c r="P309" s="391">
        <v>201514</v>
      </c>
      <c r="Q309" s="391">
        <v>12558</v>
      </c>
      <c r="R309" s="391">
        <v>351878</v>
      </c>
      <c r="S309" s="233"/>
      <c r="T309" s="225">
        <v>201514</v>
      </c>
      <c r="U309" s="225">
        <v>137806</v>
      </c>
      <c r="V309" s="226">
        <v>0.18775197453730991</v>
      </c>
      <c r="W309" s="227">
        <v>0.57268144072661542</v>
      </c>
      <c r="X309" s="228" t="s">
        <v>1025</v>
      </c>
      <c r="Y309" s="229" t="s">
        <v>1026</v>
      </c>
      <c r="Z309" s="230" t="s">
        <v>1028</v>
      </c>
      <c r="AA309" s="231">
        <v>137806</v>
      </c>
      <c r="AB309" s="231">
        <v>0</v>
      </c>
      <c r="AC309" s="232">
        <v>12558</v>
      </c>
      <c r="AD309" s="374">
        <v>150364</v>
      </c>
    </row>
    <row r="310" spans="1:31">
      <c r="A310" s="389" t="s">
        <v>99</v>
      </c>
      <c r="B310" s="221" t="s">
        <v>34</v>
      </c>
      <c r="C310" t="s">
        <v>695</v>
      </c>
      <c r="E310"/>
      <c r="F310"/>
      <c r="G310"/>
      <c r="H310"/>
      <c r="I310" t="s">
        <v>374</v>
      </c>
      <c r="J310" t="s">
        <v>374</v>
      </c>
      <c r="K310" s="389"/>
      <c r="L310" s="389"/>
      <c r="M310" s="281">
        <v>2010</v>
      </c>
      <c r="N310" s="390">
        <v>6</v>
      </c>
      <c r="O310" s="391">
        <v>144444</v>
      </c>
      <c r="P310" s="391">
        <v>164536</v>
      </c>
      <c r="Q310" s="391">
        <v>0</v>
      </c>
      <c r="R310" s="391">
        <v>308980</v>
      </c>
      <c r="S310" s="233"/>
      <c r="T310" s="225">
        <v>164536</v>
      </c>
      <c r="U310" s="225">
        <v>144444</v>
      </c>
      <c r="V310" s="226">
        <v>6.5026862580102276E-2</v>
      </c>
      <c r="W310" s="227">
        <v>0.53251343129005113</v>
      </c>
      <c r="X310" s="228" t="s">
        <v>1025</v>
      </c>
      <c r="Y310" s="229" t="s">
        <v>1026</v>
      </c>
      <c r="Z310" s="230" t="s">
        <v>1031</v>
      </c>
      <c r="AA310" s="231">
        <v>144444</v>
      </c>
      <c r="AB310" s="231">
        <v>0</v>
      </c>
      <c r="AC310" s="232">
        <v>0</v>
      </c>
      <c r="AD310" s="374">
        <v>144444</v>
      </c>
    </row>
    <row r="311" spans="1:31">
      <c r="A311" s="389" t="s">
        <v>99</v>
      </c>
      <c r="B311" s="221" t="s">
        <v>34</v>
      </c>
      <c r="C311" t="s">
        <v>696</v>
      </c>
      <c r="D311"/>
      <c r="E311"/>
      <c r="F311"/>
      <c r="G311"/>
      <c r="H311"/>
      <c r="I311" t="s">
        <v>374</v>
      </c>
      <c r="J311" t="s">
        <v>374</v>
      </c>
      <c r="K311" s="389"/>
      <c r="L311" s="389"/>
      <c r="M311" s="281">
        <v>2010</v>
      </c>
      <c r="N311" s="390">
        <v>7</v>
      </c>
      <c r="O311" s="391">
        <v>137708</v>
      </c>
      <c r="P311" s="391">
        <v>178104</v>
      </c>
      <c r="Q311" s="391">
        <v>0</v>
      </c>
      <c r="R311" s="391">
        <v>315812</v>
      </c>
      <c r="S311" s="233"/>
      <c r="T311" s="225">
        <v>178104</v>
      </c>
      <c r="U311" s="225">
        <v>137708</v>
      </c>
      <c r="V311" s="226">
        <v>0.12791154230998189</v>
      </c>
      <c r="W311" s="227">
        <v>0.56395577115499096</v>
      </c>
      <c r="X311" s="228" t="s">
        <v>1025</v>
      </c>
      <c r="Y311" s="229" t="s">
        <v>1026</v>
      </c>
      <c r="Z311" s="230" t="s">
        <v>1028</v>
      </c>
      <c r="AA311" s="231">
        <v>137708</v>
      </c>
      <c r="AB311" s="231">
        <v>0</v>
      </c>
      <c r="AC311" s="232">
        <v>0</v>
      </c>
      <c r="AD311" s="374">
        <v>137708</v>
      </c>
    </row>
    <row r="312" spans="1:31">
      <c r="A312" s="389" t="s">
        <v>99</v>
      </c>
      <c r="B312" s="221" t="s">
        <v>34</v>
      </c>
      <c r="C312" t="s">
        <v>697</v>
      </c>
      <c r="D312"/>
      <c r="E312"/>
      <c r="F312"/>
      <c r="G312"/>
      <c r="H312"/>
      <c r="I312" t="s">
        <v>374</v>
      </c>
      <c r="J312" t="s">
        <v>374</v>
      </c>
      <c r="K312" s="389"/>
      <c r="L312" s="389"/>
      <c r="M312" s="281">
        <v>1990</v>
      </c>
      <c r="N312" s="390">
        <v>8</v>
      </c>
      <c r="O312" s="391">
        <v>0</v>
      </c>
      <c r="P312" s="391">
        <v>246378</v>
      </c>
      <c r="Q312" s="391">
        <v>1938</v>
      </c>
      <c r="R312" s="391">
        <v>248316</v>
      </c>
      <c r="S312" s="233"/>
      <c r="T312" s="225">
        <v>246378</v>
      </c>
      <c r="U312" s="225">
        <v>1938</v>
      </c>
      <c r="V312" s="226">
        <v>1</v>
      </c>
      <c r="W312" s="227">
        <v>0.99219542840574104</v>
      </c>
      <c r="X312" s="228" t="s">
        <v>374</v>
      </c>
      <c r="Y312" s="229" t="s">
        <v>1026</v>
      </c>
      <c r="Z312" s="230" t="s">
        <v>1030</v>
      </c>
      <c r="AA312" s="231">
        <v>0</v>
      </c>
      <c r="AB312" s="231">
        <v>0</v>
      </c>
      <c r="AC312" s="232">
        <v>1938</v>
      </c>
      <c r="AD312" s="374">
        <v>1938</v>
      </c>
    </row>
    <row r="313" spans="1:31">
      <c r="A313" s="389" t="s">
        <v>99</v>
      </c>
      <c r="B313" s="221" t="s">
        <v>34</v>
      </c>
      <c r="C313" t="s">
        <v>698</v>
      </c>
      <c r="D313" s="382" t="s">
        <v>374</v>
      </c>
      <c r="E313"/>
      <c r="F313"/>
      <c r="G313"/>
      <c r="H313"/>
      <c r="I313" t="s">
        <v>374</v>
      </c>
      <c r="J313" t="s">
        <v>374</v>
      </c>
      <c r="K313" s="392"/>
      <c r="L313" s="392"/>
      <c r="M313" s="281">
        <v>1982</v>
      </c>
      <c r="N313" s="390">
        <v>9</v>
      </c>
      <c r="O313" s="391">
        <v>217771</v>
      </c>
      <c r="P313" s="391">
        <v>68668</v>
      </c>
      <c r="Q313" s="391">
        <v>11725</v>
      </c>
      <c r="R313" s="391">
        <v>298164</v>
      </c>
      <c r="S313" s="233"/>
      <c r="T313" s="225">
        <v>217771</v>
      </c>
      <c r="U313" s="225">
        <v>68668</v>
      </c>
      <c r="V313" s="226">
        <v>0.52054014990975395</v>
      </c>
      <c r="W313" s="227">
        <v>0.73037321742396799</v>
      </c>
      <c r="X313" s="228" t="s">
        <v>1025</v>
      </c>
      <c r="Y313" s="229" t="s">
        <v>1029</v>
      </c>
      <c r="Z313" s="230" t="s">
        <v>1030</v>
      </c>
      <c r="AA313" s="231">
        <v>0</v>
      </c>
      <c r="AB313" s="231">
        <v>68668</v>
      </c>
      <c r="AC313" s="232">
        <v>11725</v>
      </c>
      <c r="AD313" s="374">
        <v>80393</v>
      </c>
    </row>
    <row r="314" spans="1:31" ht="15" customHeight="1">
      <c r="A314" s="389" t="s">
        <v>99</v>
      </c>
      <c r="B314" s="221" t="s">
        <v>34</v>
      </c>
      <c r="C314" t="s">
        <v>699</v>
      </c>
      <c r="D314"/>
      <c r="E314"/>
      <c r="F314"/>
      <c r="G314"/>
      <c r="H314"/>
      <c r="I314" t="s">
        <v>374</v>
      </c>
      <c r="J314" t="s">
        <v>374</v>
      </c>
      <c r="K314" s="389"/>
      <c r="L314" s="389"/>
      <c r="M314" s="281">
        <v>2002</v>
      </c>
      <c r="N314" s="390">
        <v>10</v>
      </c>
      <c r="O314" s="391">
        <v>131097</v>
      </c>
      <c r="P314" s="391">
        <v>208201</v>
      </c>
      <c r="Q314" s="391">
        <v>10373</v>
      </c>
      <c r="R314" s="391">
        <v>349671</v>
      </c>
      <c r="S314" s="233"/>
      <c r="T314" s="225">
        <v>208201</v>
      </c>
      <c r="U314" s="225">
        <v>131097</v>
      </c>
      <c r="V314" s="226">
        <v>0.2272456660516714</v>
      </c>
      <c r="W314" s="227">
        <v>0.59541969451284205</v>
      </c>
      <c r="X314" s="228" t="s">
        <v>1025</v>
      </c>
      <c r="Y314" s="229" t="s">
        <v>1026</v>
      </c>
      <c r="Z314" s="230" t="s">
        <v>1027</v>
      </c>
      <c r="AA314" s="231">
        <v>131097</v>
      </c>
      <c r="AB314" s="231">
        <v>0</v>
      </c>
      <c r="AC314" s="232">
        <v>10373</v>
      </c>
      <c r="AD314" s="374">
        <v>141470</v>
      </c>
    </row>
    <row r="315" spans="1:31">
      <c r="A315" s="389" t="s">
        <v>99</v>
      </c>
      <c r="B315" s="221" t="s">
        <v>34</v>
      </c>
      <c r="C315" t="s">
        <v>700</v>
      </c>
      <c r="D315" s="382" t="s">
        <v>374</v>
      </c>
      <c r="E315" s="382" t="s">
        <v>374</v>
      </c>
      <c r="F315"/>
      <c r="G315" s="382" t="s">
        <v>374</v>
      </c>
      <c r="H315"/>
      <c r="I315" t="s">
        <v>374</v>
      </c>
      <c r="J315" t="s">
        <v>374</v>
      </c>
      <c r="K315" s="392"/>
      <c r="L315" s="392"/>
      <c r="M315" s="281">
        <v>2008</v>
      </c>
      <c r="N315" s="390">
        <v>11</v>
      </c>
      <c r="O315" s="391">
        <v>258359</v>
      </c>
      <c r="P315" s="391">
        <v>0</v>
      </c>
      <c r="Q315" s="391">
        <v>0</v>
      </c>
      <c r="R315" s="391">
        <v>258359</v>
      </c>
      <c r="S315" s="233"/>
      <c r="T315" s="225">
        <v>258359</v>
      </c>
      <c r="U315" s="225">
        <v>0</v>
      </c>
      <c r="V315" s="226">
        <v>1</v>
      </c>
      <c r="W315" s="227">
        <v>1</v>
      </c>
      <c r="X315" s="228" t="s">
        <v>374</v>
      </c>
      <c r="Y315" s="229" t="s">
        <v>1029</v>
      </c>
      <c r="Z315" s="230" t="s">
        <v>1030</v>
      </c>
      <c r="AA315" s="231">
        <v>0</v>
      </c>
      <c r="AB315" s="231">
        <v>0</v>
      </c>
      <c r="AC315" s="232">
        <v>0</v>
      </c>
      <c r="AD315" s="374">
        <v>0</v>
      </c>
    </row>
    <row r="316" spans="1:31">
      <c r="A316" s="389" t="s">
        <v>99</v>
      </c>
      <c r="B316" s="221" t="s">
        <v>34</v>
      </c>
      <c r="C316" t="s">
        <v>701</v>
      </c>
      <c r="D316"/>
      <c r="E316"/>
      <c r="F316"/>
      <c r="G316"/>
      <c r="H316"/>
      <c r="I316" t="s">
        <v>374</v>
      </c>
      <c r="J316" t="s">
        <v>374</v>
      </c>
      <c r="K316" s="389"/>
      <c r="L316" s="389"/>
      <c r="M316" s="281">
        <v>2000</v>
      </c>
      <c r="N316" s="390">
        <v>12</v>
      </c>
      <c r="O316" s="391">
        <v>134605</v>
      </c>
      <c r="P316" s="391">
        <v>233869</v>
      </c>
      <c r="Q316" s="391">
        <v>0</v>
      </c>
      <c r="R316" s="391">
        <v>368474</v>
      </c>
      <c r="S316" s="233"/>
      <c r="T316" s="225">
        <v>233869</v>
      </c>
      <c r="U316" s="225">
        <v>134605</v>
      </c>
      <c r="V316" s="226">
        <v>0.26939214164364378</v>
      </c>
      <c r="W316" s="227">
        <v>0.63469607082182189</v>
      </c>
      <c r="X316" s="228" t="s">
        <v>1025</v>
      </c>
      <c r="Y316" s="229" t="s">
        <v>1026</v>
      </c>
      <c r="Z316" s="230" t="s">
        <v>1027</v>
      </c>
      <c r="AA316" s="231">
        <v>134605</v>
      </c>
      <c r="AB316" s="231">
        <v>0</v>
      </c>
      <c r="AC316" s="232">
        <v>0</v>
      </c>
      <c r="AD316" s="374">
        <v>134605</v>
      </c>
    </row>
    <row r="317" spans="1:31">
      <c r="A317" s="389" t="s">
        <v>99</v>
      </c>
      <c r="B317" s="221" t="s">
        <v>34</v>
      </c>
      <c r="C317" t="s">
        <v>702</v>
      </c>
      <c r="D317" s="382"/>
      <c r="E317"/>
      <c r="F317"/>
      <c r="G317"/>
      <c r="H317"/>
      <c r="I317" t="s">
        <v>374</v>
      </c>
      <c r="J317" t="s">
        <v>374</v>
      </c>
      <c r="K317" s="392"/>
      <c r="L317" s="392"/>
      <c r="M317" s="281">
        <v>2002</v>
      </c>
      <c r="N317" s="390">
        <v>13</v>
      </c>
      <c r="O317" s="391">
        <v>235492</v>
      </c>
      <c r="P317" s="391">
        <v>88120</v>
      </c>
      <c r="Q317" s="391">
        <v>0</v>
      </c>
      <c r="R317" s="391">
        <v>323612</v>
      </c>
      <c r="S317" s="233"/>
      <c r="T317" s="225">
        <v>235492</v>
      </c>
      <c r="U317" s="225">
        <v>88120</v>
      </c>
      <c r="V317" s="226">
        <v>0.45539720405918199</v>
      </c>
      <c r="W317" s="227">
        <v>0.72769860202959102</v>
      </c>
      <c r="X317" s="228" t="s">
        <v>1025</v>
      </c>
      <c r="Y317" s="229" t="s">
        <v>1029</v>
      </c>
      <c r="Z317" s="230" t="s">
        <v>1030</v>
      </c>
      <c r="AA317" s="231">
        <v>0</v>
      </c>
      <c r="AB317" s="231">
        <v>88120</v>
      </c>
      <c r="AC317" s="232">
        <v>0</v>
      </c>
      <c r="AD317" s="374">
        <v>88120</v>
      </c>
    </row>
    <row r="318" spans="1:31">
      <c r="A318" s="389" t="s">
        <v>99</v>
      </c>
      <c r="B318" s="221" t="s">
        <v>34</v>
      </c>
      <c r="C318" t="s">
        <v>703</v>
      </c>
      <c r="D318"/>
      <c r="E318"/>
      <c r="F318"/>
      <c r="G318"/>
      <c r="H318"/>
      <c r="I318" t="s">
        <v>374</v>
      </c>
      <c r="J318" t="s">
        <v>374</v>
      </c>
      <c r="K318" s="389"/>
      <c r="L318" s="389"/>
      <c r="M318" s="281">
        <v>1994</v>
      </c>
      <c r="N318" s="390">
        <v>14</v>
      </c>
      <c r="O318" s="391">
        <v>131637</v>
      </c>
      <c r="P318" s="391">
        <v>183657</v>
      </c>
      <c r="Q318" s="391">
        <v>24600</v>
      </c>
      <c r="R318" s="391">
        <v>339894</v>
      </c>
      <c r="S318" s="233"/>
      <c r="T318" s="225">
        <v>183657</v>
      </c>
      <c r="U318" s="225">
        <v>131637</v>
      </c>
      <c r="V318" s="226">
        <v>0.16498886753315953</v>
      </c>
      <c r="W318" s="227">
        <v>0.54033610478560967</v>
      </c>
      <c r="X318" s="228" t="s">
        <v>1025</v>
      </c>
      <c r="Y318" s="229" t="s">
        <v>1026</v>
      </c>
      <c r="Z318" s="230" t="s">
        <v>1028</v>
      </c>
      <c r="AA318" s="231">
        <v>131637</v>
      </c>
      <c r="AB318" s="231">
        <v>0</v>
      </c>
      <c r="AC318" s="232">
        <v>24600</v>
      </c>
      <c r="AD318" s="374">
        <v>156237</v>
      </c>
    </row>
    <row r="319" spans="1:31">
      <c r="A319" s="389" t="s">
        <v>99</v>
      </c>
      <c r="B319" s="221" t="s">
        <v>34</v>
      </c>
      <c r="C319" t="s">
        <v>704</v>
      </c>
      <c r="D319" s="382"/>
      <c r="E319" s="382"/>
      <c r="F319"/>
      <c r="G319"/>
      <c r="H319"/>
      <c r="I319" t="s">
        <v>374</v>
      </c>
      <c r="J319" t="s">
        <v>374</v>
      </c>
      <c r="K319" s="389"/>
      <c r="L319" s="389"/>
      <c r="M319" s="281">
        <v>2010</v>
      </c>
      <c r="N319" s="390">
        <v>15</v>
      </c>
      <c r="O319" s="391">
        <v>128188</v>
      </c>
      <c r="P319" s="391">
        <v>205274</v>
      </c>
      <c r="Q319" s="391">
        <v>0</v>
      </c>
      <c r="R319" s="391">
        <v>333462</v>
      </c>
      <c r="S319" s="233"/>
      <c r="T319" s="225">
        <v>205274</v>
      </c>
      <c r="U319" s="225">
        <v>128188</v>
      </c>
      <c r="V319" s="226">
        <v>0.23116876885522189</v>
      </c>
      <c r="W319" s="227">
        <v>0.61558438442761099</v>
      </c>
      <c r="X319" s="228" t="s">
        <v>1025</v>
      </c>
      <c r="Y319" s="229" t="s">
        <v>1026</v>
      </c>
      <c r="Z319" s="230" t="s">
        <v>1027</v>
      </c>
      <c r="AA319" s="231">
        <v>128188</v>
      </c>
      <c r="AB319" s="231">
        <v>0</v>
      </c>
      <c r="AC319" s="232">
        <v>0</v>
      </c>
      <c r="AD319" s="374">
        <v>128188</v>
      </c>
    </row>
    <row r="320" spans="1:31">
      <c r="A320" s="389" t="s">
        <v>99</v>
      </c>
      <c r="B320" s="221" t="s">
        <v>34</v>
      </c>
      <c r="C320" t="s">
        <v>705</v>
      </c>
      <c r="D320"/>
      <c r="E320"/>
      <c r="F320"/>
      <c r="G320"/>
      <c r="H320"/>
      <c r="I320" t="s">
        <v>374</v>
      </c>
      <c r="J320" t="s">
        <v>374</v>
      </c>
      <c r="K320" s="389"/>
      <c r="L320" s="389"/>
      <c r="M320" s="281">
        <v>2010</v>
      </c>
      <c r="N320" s="390">
        <v>16</v>
      </c>
      <c r="O320" s="391">
        <v>170600</v>
      </c>
      <c r="P320" s="391">
        <v>185165</v>
      </c>
      <c r="Q320" s="391">
        <v>0</v>
      </c>
      <c r="R320" s="391">
        <v>355765</v>
      </c>
      <c r="S320" s="233"/>
      <c r="T320" s="225">
        <v>185165</v>
      </c>
      <c r="U320" s="225">
        <v>170600</v>
      </c>
      <c r="V320" s="226">
        <v>4.0939946312875071E-2</v>
      </c>
      <c r="W320" s="227">
        <v>0.5204699731564375</v>
      </c>
      <c r="X320" s="228" t="s">
        <v>1025</v>
      </c>
      <c r="Y320" s="229" t="s">
        <v>1026</v>
      </c>
      <c r="Z320" s="230" t="s">
        <v>1032</v>
      </c>
      <c r="AA320" s="231">
        <v>170600</v>
      </c>
      <c r="AB320" s="231">
        <v>0</v>
      </c>
      <c r="AC320" s="232">
        <v>0</v>
      </c>
      <c r="AD320" s="374">
        <v>170600</v>
      </c>
    </row>
    <row r="321" spans="1:31">
      <c r="A321" s="389" t="s">
        <v>100</v>
      </c>
      <c r="B321" s="221" t="s">
        <v>35</v>
      </c>
      <c r="C321" t="s">
        <v>706</v>
      </c>
      <c r="D321" s="382"/>
      <c r="E321"/>
      <c r="F321"/>
      <c r="G321"/>
      <c r="H321"/>
      <c r="I321" t="s">
        <v>375</v>
      </c>
      <c r="J321" t="s">
        <v>375</v>
      </c>
      <c r="K321" s="389"/>
      <c r="L321" s="389"/>
      <c r="M321" s="281">
        <v>2012</v>
      </c>
      <c r="N321" s="390">
        <v>1</v>
      </c>
      <c r="O321" s="391">
        <v>91421</v>
      </c>
      <c r="P321" s="391">
        <v>181084</v>
      </c>
      <c r="Q321" s="391">
        <v>12807</v>
      </c>
      <c r="R321" s="391">
        <v>285312</v>
      </c>
      <c r="S321" s="233"/>
      <c r="T321" s="225">
        <v>181084</v>
      </c>
      <c r="U321" s="225">
        <v>91421</v>
      </c>
      <c r="V321" s="226">
        <v>0.32903249481660884</v>
      </c>
      <c r="W321" s="227">
        <v>0.63468764019739798</v>
      </c>
      <c r="X321" s="228" t="s">
        <v>1033</v>
      </c>
      <c r="Y321" s="229" t="s">
        <v>1034</v>
      </c>
      <c r="Z321" s="230" t="s">
        <v>1035</v>
      </c>
      <c r="AA321" s="231">
        <v>91421</v>
      </c>
      <c r="AB321" s="231">
        <v>0</v>
      </c>
      <c r="AC321" s="232">
        <v>12807</v>
      </c>
      <c r="AD321" s="374">
        <v>104228</v>
      </c>
    </row>
    <row r="322" spans="1:31">
      <c r="A322" s="389" t="s">
        <v>100</v>
      </c>
      <c r="B322" s="221" t="s">
        <v>35</v>
      </c>
      <c r="C322" t="s">
        <v>707</v>
      </c>
      <c r="D322"/>
      <c r="E322"/>
      <c r="F322"/>
      <c r="G322"/>
      <c r="H322"/>
      <c r="I322" t="s">
        <v>375</v>
      </c>
      <c r="J322" t="s">
        <v>1033</v>
      </c>
      <c r="K322" s="389"/>
      <c r="L322" s="389">
        <v>1</v>
      </c>
      <c r="M322" s="281">
        <v>2012</v>
      </c>
      <c r="N322" s="390">
        <v>2</v>
      </c>
      <c r="O322" s="391">
        <v>96081</v>
      </c>
      <c r="P322" s="391">
        <v>143701</v>
      </c>
      <c r="Q322" s="391">
        <v>10830</v>
      </c>
      <c r="R322" s="391">
        <v>250612</v>
      </c>
      <c r="S322" s="233"/>
      <c r="T322" s="225">
        <v>143701</v>
      </c>
      <c r="U322" s="225">
        <v>96081</v>
      </c>
      <c r="V322" s="226">
        <v>0.19859705899525401</v>
      </c>
      <c r="W322" s="227">
        <v>0.57340031602636743</v>
      </c>
      <c r="X322" s="228" t="s">
        <v>1033</v>
      </c>
      <c r="Y322" s="229" t="s">
        <v>1034</v>
      </c>
      <c r="Z322" s="230" t="s">
        <v>1036</v>
      </c>
      <c r="AA322" s="231">
        <v>96081</v>
      </c>
      <c r="AB322" s="231">
        <v>0</v>
      </c>
      <c r="AC322" s="232">
        <v>10830</v>
      </c>
      <c r="AD322" s="374">
        <v>106911</v>
      </c>
    </row>
    <row r="323" spans="1:31">
      <c r="A323" s="389" t="s">
        <v>100</v>
      </c>
      <c r="B323" s="221" t="s">
        <v>35</v>
      </c>
      <c r="C323" t="s">
        <v>708</v>
      </c>
      <c r="D323"/>
      <c r="E323"/>
      <c r="F323"/>
      <c r="G323"/>
      <c r="H323"/>
      <c r="I323" t="s">
        <v>375</v>
      </c>
      <c r="J323" t="s">
        <v>375</v>
      </c>
      <c r="K323" s="389"/>
      <c r="L323" s="389"/>
      <c r="M323" s="281">
        <v>1994</v>
      </c>
      <c r="N323" s="390">
        <v>3</v>
      </c>
      <c r="O323" s="391">
        <v>53472</v>
      </c>
      <c r="P323" s="391">
        <v>201744</v>
      </c>
      <c r="Q323" s="391">
        <v>12787</v>
      </c>
      <c r="R323" s="391">
        <v>268003</v>
      </c>
      <c r="S323" s="233"/>
      <c r="T323" s="225">
        <v>201744</v>
      </c>
      <c r="U323" s="225">
        <v>53472</v>
      </c>
      <c r="V323" s="226">
        <v>0.58096671055106264</v>
      </c>
      <c r="W323" s="227">
        <v>0.75276769289896006</v>
      </c>
      <c r="X323" s="228" t="s">
        <v>1033</v>
      </c>
      <c r="Y323" s="229" t="s">
        <v>1034</v>
      </c>
      <c r="Z323" s="230" t="s">
        <v>1037</v>
      </c>
      <c r="AA323" s="231">
        <v>53472</v>
      </c>
      <c r="AB323" s="231">
        <v>0</v>
      </c>
      <c r="AC323" s="232">
        <v>12787</v>
      </c>
      <c r="AD323" s="374">
        <v>66259</v>
      </c>
    </row>
    <row r="324" spans="1:31">
      <c r="A324" s="389" t="s">
        <v>100</v>
      </c>
      <c r="B324" s="221" t="s">
        <v>35</v>
      </c>
      <c r="C324" t="s">
        <v>709</v>
      </c>
      <c r="D324"/>
      <c r="E324"/>
      <c r="F324"/>
      <c r="G324"/>
      <c r="H324" s="382" t="s">
        <v>375</v>
      </c>
      <c r="I324" t="s">
        <v>375</v>
      </c>
      <c r="J324" t="s">
        <v>375</v>
      </c>
      <c r="K324" s="389"/>
      <c r="L324" s="389"/>
      <c r="M324" s="281">
        <v>2002</v>
      </c>
      <c r="N324" s="390">
        <v>4</v>
      </c>
      <c r="O324" s="391">
        <v>71846</v>
      </c>
      <c r="P324" s="391">
        <v>176740</v>
      </c>
      <c r="Q324" s="391">
        <v>11745</v>
      </c>
      <c r="R324" s="391">
        <v>260331</v>
      </c>
      <c r="S324" s="233"/>
      <c r="T324" s="225">
        <v>176740</v>
      </c>
      <c r="U324" s="225">
        <v>71846</v>
      </c>
      <c r="V324" s="226">
        <v>0.42196262058201184</v>
      </c>
      <c r="W324" s="227">
        <v>0.6789049325666171</v>
      </c>
      <c r="X324" s="228" t="s">
        <v>1033</v>
      </c>
      <c r="Y324" s="229" t="s">
        <v>1034</v>
      </c>
      <c r="Z324" s="230" t="s">
        <v>1037</v>
      </c>
      <c r="AA324" s="231">
        <v>71846</v>
      </c>
      <c r="AB324" s="231">
        <v>0</v>
      </c>
      <c r="AC324" s="232">
        <v>11745</v>
      </c>
      <c r="AD324" s="374">
        <v>83591</v>
      </c>
    </row>
    <row r="325" spans="1:31">
      <c r="A325" s="389" t="s">
        <v>100</v>
      </c>
      <c r="B325" s="221" t="s">
        <v>35</v>
      </c>
      <c r="C325" t="s">
        <v>710</v>
      </c>
      <c r="D325"/>
      <c r="E325"/>
      <c r="F325"/>
      <c r="G325"/>
      <c r="H325"/>
      <c r="I325" t="s">
        <v>375</v>
      </c>
      <c r="J325" t="s">
        <v>375</v>
      </c>
      <c r="K325" s="389"/>
      <c r="L325" s="389"/>
      <c r="M325" s="281">
        <v>2010</v>
      </c>
      <c r="N325" s="390">
        <v>5</v>
      </c>
      <c r="O325" s="391">
        <v>97504</v>
      </c>
      <c r="P325" s="391">
        <v>153603</v>
      </c>
      <c r="Q325" s="391">
        <v>10570</v>
      </c>
      <c r="R325" s="391">
        <v>261677</v>
      </c>
      <c r="S325" s="233"/>
      <c r="T325" s="225">
        <v>153603</v>
      </c>
      <c r="U325" s="225">
        <v>97504</v>
      </c>
      <c r="V325" s="226">
        <v>0.22340675488934997</v>
      </c>
      <c r="W325" s="227">
        <v>0.58699465371431192</v>
      </c>
      <c r="X325" s="228" t="s">
        <v>1033</v>
      </c>
      <c r="Y325" s="229" t="s">
        <v>1034</v>
      </c>
      <c r="Z325" s="230" t="s">
        <v>1035</v>
      </c>
      <c r="AA325" s="231">
        <v>97504</v>
      </c>
      <c r="AB325" s="231">
        <v>0</v>
      </c>
      <c r="AC325" s="232">
        <v>10570</v>
      </c>
      <c r="AD325" s="374">
        <v>108074</v>
      </c>
    </row>
    <row r="326" spans="1:31">
      <c r="A326" s="389" t="s">
        <v>101</v>
      </c>
      <c r="B326" s="221" t="s">
        <v>36</v>
      </c>
      <c r="C326" t="s">
        <v>711</v>
      </c>
      <c r="D326" s="382" t="s">
        <v>376</v>
      </c>
      <c r="E326"/>
      <c r="F326"/>
      <c r="G326"/>
      <c r="H326"/>
      <c r="I326" t="s">
        <v>376</v>
      </c>
      <c r="J326" t="s">
        <v>376</v>
      </c>
      <c r="K326" s="392"/>
      <c r="L326" s="392"/>
      <c r="M326" s="281">
        <v>2012</v>
      </c>
      <c r="N326" s="390">
        <v>1</v>
      </c>
      <c r="O326" s="391">
        <v>197845</v>
      </c>
      <c r="P326" s="391">
        <v>109699</v>
      </c>
      <c r="Q326" s="391">
        <v>24436</v>
      </c>
      <c r="R326" s="391">
        <v>331980</v>
      </c>
      <c r="S326" s="233"/>
      <c r="T326" s="225">
        <v>197845</v>
      </c>
      <c r="U326" s="225">
        <v>109699</v>
      </c>
      <c r="V326" s="226">
        <v>0.28661264729599667</v>
      </c>
      <c r="W326" s="227">
        <v>0.59595457557684195</v>
      </c>
      <c r="X326" s="228" t="s">
        <v>1038</v>
      </c>
      <c r="Y326" s="229" t="s">
        <v>1039</v>
      </c>
      <c r="Z326" s="230" t="s">
        <v>1040</v>
      </c>
      <c r="AA326" s="231">
        <v>0</v>
      </c>
      <c r="AB326" s="231">
        <v>109699</v>
      </c>
      <c r="AC326" s="232">
        <v>24436</v>
      </c>
      <c r="AD326" s="374">
        <v>134135</v>
      </c>
      <c r="AE326" s="374">
        <v>1937265</v>
      </c>
    </row>
    <row r="327" spans="1:31">
      <c r="A327" s="389" t="s">
        <v>101</v>
      </c>
      <c r="B327" s="221" t="s">
        <v>36</v>
      </c>
      <c r="C327" t="s">
        <v>712</v>
      </c>
      <c r="D327"/>
      <c r="E327"/>
      <c r="F327"/>
      <c r="G327"/>
      <c r="H327"/>
      <c r="I327" t="s">
        <v>376</v>
      </c>
      <c r="J327" t="s">
        <v>376</v>
      </c>
      <c r="K327" s="389"/>
      <c r="L327" s="389"/>
      <c r="M327" s="281">
        <v>1998</v>
      </c>
      <c r="N327" s="390">
        <v>2</v>
      </c>
      <c r="O327" s="391">
        <v>96741</v>
      </c>
      <c r="P327" s="391">
        <v>228043</v>
      </c>
      <c r="Q327" s="391">
        <v>7471</v>
      </c>
      <c r="R327" s="391">
        <v>332255</v>
      </c>
      <c r="S327" s="233"/>
      <c r="T327" s="225">
        <v>228043</v>
      </c>
      <c r="U327" s="225">
        <v>96741</v>
      </c>
      <c r="V327" s="226">
        <v>0.40427484112517859</v>
      </c>
      <c r="W327" s="227">
        <v>0.68634934011527293</v>
      </c>
      <c r="X327" s="228" t="s">
        <v>1038</v>
      </c>
      <c r="Y327" s="229" t="s">
        <v>1041</v>
      </c>
      <c r="Z327" s="230" t="s">
        <v>1042</v>
      </c>
      <c r="AA327" s="231">
        <v>96741</v>
      </c>
      <c r="AB327" s="231">
        <v>0</v>
      </c>
      <c r="AC327" s="232">
        <v>7471</v>
      </c>
      <c r="AD327" s="374">
        <v>104212</v>
      </c>
    </row>
    <row r="328" spans="1:31">
      <c r="A328" s="389" t="s">
        <v>101</v>
      </c>
      <c r="B328" s="221" t="s">
        <v>36</v>
      </c>
      <c r="C328" t="s">
        <v>713</v>
      </c>
      <c r="D328"/>
      <c r="E328"/>
      <c r="F328"/>
      <c r="G328"/>
      <c r="H328"/>
      <c r="I328" t="s">
        <v>376</v>
      </c>
      <c r="J328" t="s">
        <v>376</v>
      </c>
      <c r="K328" s="392"/>
      <c r="L328" s="392"/>
      <c r="M328" s="281">
        <v>1996</v>
      </c>
      <c r="N328" s="390">
        <v>3</v>
      </c>
      <c r="O328" s="391">
        <v>264979</v>
      </c>
      <c r="P328" s="391">
        <v>70325</v>
      </c>
      <c r="Q328" s="391">
        <v>20571</v>
      </c>
      <c r="R328" s="391">
        <v>355875</v>
      </c>
      <c r="S328" s="233"/>
      <c r="T328" s="225">
        <v>264979</v>
      </c>
      <c r="U328" s="225">
        <v>70325</v>
      </c>
      <c r="V328" s="226">
        <v>0.58052990718870046</v>
      </c>
      <c r="W328" s="227">
        <v>0.74458447488584478</v>
      </c>
      <c r="X328" s="228" t="s">
        <v>1038</v>
      </c>
      <c r="Y328" s="229" t="s">
        <v>1039</v>
      </c>
      <c r="Z328" s="230" t="s">
        <v>1042</v>
      </c>
      <c r="AA328" s="231">
        <v>0</v>
      </c>
      <c r="AB328" s="231">
        <v>70325</v>
      </c>
      <c r="AC328" s="232">
        <v>20571</v>
      </c>
      <c r="AD328" s="374">
        <v>90896</v>
      </c>
    </row>
    <row r="329" spans="1:31">
      <c r="A329" s="389" t="s">
        <v>101</v>
      </c>
      <c r="B329" s="221" t="s">
        <v>36</v>
      </c>
      <c r="C329" t="s">
        <v>714</v>
      </c>
      <c r="D329"/>
      <c r="E329"/>
      <c r="F329"/>
      <c r="G329"/>
      <c r="H329"/>
      <c r="I329" t="s">
        <v>376</v>
      </c>
      <c r="J329" t="s">
        <v>376</v>
      </c>
      <c r="K329" s="392"/>
      <c r="L329" s="392"/>
      <c r="M329" s="281">
        <v>1986</v>
      </c>
      <c r="N329" s="390">
        <v>4</v>
      </c>
      <c r="O329" s="391">
        <v>212866</v>
      </c>
      <c r="P329" s="391">
        <v>140549</v>
      </c>
      <c r="Q329" s="391">
        <v>6673</v>
      </c>
      <c r="R329" s="391">
        <v>360088</v>
      </c>
      <c r="S329" s="233"/>
      <c r="T329" s="225">
        <v>212866</v>
      </c>
      <c r="U329" s="225">
        <v>140549</v>
      </c>
      <c r="V329" s="226">
        <v>0.20462345967205692</v>
      </c>
      <c r="W329" s="227">
        <v>0.59114994112550268</v>
      </c>
      <c r="X329" s="228" t="s">
        <v>1038</v>
      </c>
      <c r="Y329" s="229" t="s">
        <v>1039</v>
      </c>
      <c r="Z329" s="230" t="s">
        <v>1040</v>
      </c>
      <c r="AA329" s="231">
        <v>0</v>
      </c>
      <c r="AB329" s="231">
        <v>140549</v>
      </c>
      <c r="AC329" s="232">
        <v>6673</v>
      </c>
      <c r="AD329" s="374">
        <v>147222</v>
      </c>
    </row>
    <row r="330" spans="1:31">
      <c r="A330" s="389" t="s">
        <v>101</v>
      </c>
      <c r="B330" s="221" t="s">
        <v>36</v>
      </c>
      <c r="C330" t="s">
        <v>715</v>
      </c>
      <c r="D330"/>
      <c r="E330"/>
      <c r="F330"/>
      <c r="G330"/>
      <c r="I330" t="s">
        <v>376</v>
      </c>
      <c r="J330" t="s">
        <v>376</v>
      </c>
      <c r="K330" s="392"/>
      <c r="L330" s="392"/>
      <c r="M330" s="281">
        <v>2008</v>
      </c>
      <c r="N330" s="390">
        <v>5</v>
      </c>
      <c r="O330" s="391">
        <v>177229</v>
      </c>
      <c r="P330" s="391">
        <v>139223</v>
      </c>
      <c r="Q330" s="391">
        <v>11518</v>
      </c>
      <c r="R330" s="391">
        <v>327970</v>
      </c>
      <c r="S330" s="233"/>
      <c r="T330" s="225">
        <v>177229</v>
      </c>
      <c r="U330" s="225">
        <v>139223</v>
      </c>
      <c r="V330" s="226">
        <v>0.12010036277223718</v>
      </c>
      <c r="W330" s="227">
        <v>0.54038174223252122</v>
      </c>
      <c r="X330" s="228" t="s">
        <v>1038</v>
      </c>
      <c r="Y330" s="229" t="s">
        <v>1039</v>
      </c>
      <c r="Z330" s="230" t="s">
        <v>1043</v>
      </c>
      <c r="AA330" s="231">
        <v>0</v>
      </c>
      <c r="AB330" s="231">
        <v>139223</v>
      </c>
      <c r="AC330" s="232">
        <v>11518</v>
      </c>
      <c r="AD330" s="374">
        <v>150741</v>
      </c>
    </row>
    <row r="331" spans="1:31">
      <c r="A331" s="389" t="s">
        <v>102</v>
      </c>
      <c r="B331" s="221" t="s">
        <v>37</v>
      </c>
      <c r="C331" t="s">
        <v>716</v>
      </c>
      <c r="D331"/>
      <c r="E331"/>
      <c r="F331"/>
      <c r="G331"/>
      <c r="H331"/>
      <c r="I331" t="s">
        <v>377</v>
      </c>
      <c r="J331" t="s">
        <v>377</v>
      </c>
      <c r="K331" s="392"/>
      <c r="L331" s="392"/>
      <c r="M331" s="281">
        <v>1998</v>
      </c>
      <c r="N331" s="390">
        <v>1</v>
      </c>
      <c r="O331" s="391">
        <v>235394</v>
      </c>
      <c r="P331" s="391">
        <v>41708</v>
      </c>
      <c r="Q331" s="391">
        <v>0</v>
      </c>
      <c r="R331" s="391">
        <v>277102</v>
      </c>
      <c r="S331" s="233"/>
      <c r="T331" s="225">
        <v>235394</v>
      </c>
      <c r="U331" s="225">
        <v>41708</v>
      </c>
      <c r="V331" s="226">
        <v>0.69897005434821835</v>
      </c>
      <c r="W331" s="227">
        <v>0.84948502717410912</v>
      </c>
      <c r="X331" s="228" t="s">
        <v>1044</v>
      </c>
      <c r="Y331" s="229" t="s">
        <v>1045</v>
      </c>
      <c r="Z331" s="230" t="s">
        <v>1046</v>
      </c>
      <c r="AA331" s="231">
        <v>0</v>
      </c>
      <c r="AB331" s="231">
        <v>41708</v>
      </c>
      <c r="AC331" s="232">
        <v>0</v>
      </c>
      <c r="AD331" s="374">
        <v>41708</v>
      </c>
      <c r="AE331" s="374">
        <v>534779</v>
      </c>
    </row>
    <row r="332" spans="1:31">
      <c r="A332" s="389" t="s">
        <v>102</v>
      </c>
      <c r="B332" s="221" t="s">
        <v>37</v>
      </c>
      <c r="C332" t="s">
        <v>717</v>
      </c>
      <c r="D332"/>
      <c r="E332" s="382" t="s">
        <v>377</v>
      </c>
      <c r="F332"/>
      <c r="G332" s="382"/>
      <c r="H332"/>
      <c r="I332" t="s">
        <v>377</v>
      </c>
      <c r="J332" t="s">
        <v>377</v>
      </c>
      <c r="K332" s="392"/>
      <c r="L332" s="392"/>
      <c r="M332" s="281">
        <v>1994</v>
      </c>
      <c r="N332" s="390">
        <v>2</v>
      </c>
      <c r="O332" s="391">
        <v>318176</v>
      </c>
      <c r="P332" s="391">
        <v>33381</v>
      </c>
      <c r="Q332" s="391">
        <v>4829</v>
      </c>
      <c r="R332" s="391">
        <v>356386</v>
      </c>
      <c r="S332" s="233"/>
      <c r="T332" s="225">
        <v>318176</v>
      </c>
      <c r="U332" s="225">
        <v>33381</v>
      </c>
      <c r="V332" s="226">
        <v>0.81009622906100576</v>
      </c>
      <c r="W332" s="227">
        <v>0.89278478952596341</v>
      </c>
      <c r="X332" s="228" t="s">
        <v>1044</v>
      </c>
      <c r="Y332" s="229" t="s">
        <v>1045</v>
      </c>
      <c r="Z332" s="230" t="s">
        <v>1046</v>
      </c>
      <c r="AA332" s="231">
        <v>0</v>
      </c>
      <c r="AB332" s="231">
        <v>33381</v>
      </c>
      <c r="AC332" s="232">
        <v>4829</v>
      </c>
      <c r="AD332" s="374">
        <v>38210</v>
      </c>
    </row>
    <row r="333" spans="1:31">
      <c r="A333" s="389" t="s">
        <v>102</v>
      </c>
      <c r="B333" s="221" t="s">
        <v>37</v>
      </c>
      <c r="C333" t="s">
        <v>718</v>
      </c>
      <c r="D333"/>
      <c r="E333"/>
      <c r="F333"/>
      <c r="G333"/>
      <c r="H333"/>
      <c r="I333" t="s">
        <v>377</v>
      </c>
      <c r="J333" t="s">
        <v>377</v>
      </c>
      <c r="K333" s="389"/>
      <c r="L333" s="389"/>
      <c r="M333" s="281">
        <v>2010</v>
      </c>
      <c r="N333" s="390">
        <v>3</v>
      </c>
      <c r="O333" s="391">
        <v>123933</v>
      </c>
      <c r="P333" s="391">
        <v>165826</v>
      </c>
      <c r="Q333" s="391">
        <v>12755</v>
      </c>
      <c r="R333" s="391">
        <v>302514</v>
      </c>
      <c r="S333" s="233"/>
      <c r="T333" s="225">
        <v>165826</v>
      </c>
      <c r="U333" s="225">
        <v>123933</v>
      </c>
      <c r="V333" s="226">
        <v>0.14457877063352648</v>
      </c>
      <c r="W333" s="227">
        <v>0.54815975458987021</v>
      </c>
      <c r="X333" s="228" t="s">
        <v>1044</v>
      </c>
      <c r="Y333" s="229" t="s">
        <v>1047</v>
      </c>
      <c r="Z333" s="230" t="s">
        <v>1048</v>
      </c>
      <c r="AA333" s="231">
        <v>123933</v>
      </c>
      <c r="AB333" s="231">
        <v>0</v>
      </c>
      <c r="AC333" s="232">
        <v>12755</v>
      </c>
      <c r="AD333" s="374">
        <v>136688</v>
      </c>
    </row>
    <row r="334" spans="1:31">
      <c r="A334" s="389" t="s">
        <v>102</v>
      </c>
      <c r="B334" s="221" t="s">
        <v>37</v>
      </c>
      <c r="C334" t="s">
        <v>719</v>
      </c>
      <c r="D334"/>
      <c r="E334"/>
      <c r="F334"/>
      <c r="G334"/>
      <c r="H334"/>
      <c r="I334" t="s">
        <v>377</v>
      </c>
      <c r="J334" t="s">
        <v>377</v>
      </c>
      <c r="K334" s="389"/>
      <c r="L334" s="389"/>
      <c r="M334" s="281">
        <v>2012</v>
      </c>
      <c r="N334" s="390">
        <v>4</v>
      </c>
      <c r="O334" s="391">
        <v>104643</v>
      </c>
      <c r="P334" s="391">
        <v>181603</v>
      </c>
      <c r="Q334" s="391">
        <v>17734</v>
      </c>
      <c r="R334" s="391">
        <v>303980</v>
      </c>
      <c r="S334" s="233"/>
      <c r="T334" s="225">
        <v>181603</v>
      </c>
      <c r="U334" s="225">
        <v>104643</v>
      </c>
      <c r="V334" s="226">
        <v>0.26885965218727947</v>
      </c>
      <c r="W334" s="227">
        <v>0.5974175932627146</v>
      </c>
      <c r="X334" s="228" t="s">
        <v>1044</v>
      </c>
      <c r="Y334" s="229" t="s">
        <v>1047</v>
      </c>
      <c r="Z334" s="230" t="s">
        <v>1049</v>
      </c>
      <c r="AA334" s="231">
        <v>104643</v>
      </c>
      <c r="AB334" s="231">
        <v>0</v>
      </c>
      <c r="AC334" s="232">
        <v>17734</v>
      </c>
      <c r="AD334" s="374">
        <v>122377</v>
      </c>
    </row>
    <row r="335" spans="1:31">
      <c r="A335" s="389" t="s">
        <v>102</v>
      </c>
      <c r="B335" s="221" t="s">
        <v>37</v>
      </c>
      <c r="C335" t="s">
        <v>720</v>
      </c>
      <c r="D335"/>
      <c r="E335"/>
      <c r="F335"/>
      <c r="G335"/>
      <c r="H335"/>
      <c r="I335" t="s">
        <v>377</v>
      </c>
      <c r="J335" t="s">
        <v>377</v>
      </c>
      <c r="K335" s="389"/>
      <c r="L335" s="389"/>
      <c r="M335" s="281">
        <v>2008</v>
      </c>
      <c r="N335" s="390">
        <v>5</v>
      </c>
      <c r="O335" s="391">
        <v>104725</v>
      </c>
      <c r="P335" s="391">
        <v>177740</v>
      </c>
      <c r="Q335" s="391">
        <v>0</v>
      </c>
      <c r="R335" s="391">
        <v>282465</v>
      </c>
      <c r="S335" s="233"/>
      <c r="T335" s="225">
        <v>177740</v>
      </c>
      <c r="U335" s="225">
        <v>104725</v>
      </c>
      <c r="V335" s="226">
        <v>0.2584922025737702</v>
      </c>
      <c r="W335" s="227">
        <v>0.62924610128688507</v>
      </c>
      <c r="X335" s="228" t="s">
        <v>1044</v>
      </c>
      <c r="Y335" s="229" t="s">
        <v>1047</v>
      </c>
      <c r="Z335" s="230" t="s">
        <v>1049</v>
      </c>
      <c r="AA335" s="231">
        <v>104725</v>
      </c>
      <c r="AB335" s="231">
        <v>0</v>
      </c>
      <c r="AC335" s="232">
        <v>0</v>
      </c>
      <c r="AD335" s="374">
        <v>104725</v>
      </c>
    </row>
    <row r="336" spans="1:31">
      <c r="A336" s="389" t="s">
        <v>102</v>
      </c>
      <c r="B336" s="221" t="s">
        <v>37</v>
      </c>
      <c r="C336" t="s">
        <v>721</v>
      </c>
      <c r="D336"/>
      <c r="E336"/>
      <c r="F336"/>
      <c r="G336"/>
      <c r="H336"/>
      <c r="I336" t="s">
        <v>377</v>
      </c>
      <c r="J336" t="s">
        <v>377</v>
      </c>
      <c r="K336" s="389"/>
      <c r="L336" s="389"/>
      <c r="M336" s="281">
        <v>2002</v>
      </c>
      <c r="N336" s="390">
        <v>6</v>
      </c>
      <c r="O336" s="391">
        <v>143803</v>
      </c>
      <c r="P336" s="391">
        <v>191725</v>
      </c>
      <c r="Q336" s="391">
        <v>0</v>
      </c>
      <c r="R336" s="391">
        <v>335528</v>
      </c>
      <c r="S336" s="233"/>
      <c r="T336" s="225">
        <v>191725</v>
      </c>
      <c r="U336" s="225">
        <v>143803</v>
      </c>
      <c r="V336" s="226">
        <v>0.14282563601249373</v>
      </c>
      <c r="W336" s="227">
        <v>0.57141281800624688</v>
      </c>
      <c r="X336" s="228" t="s">
        <v>1044</v>
      </c>
      <c r="Y336" s="229" t="s">
        <v>1047</v>
      </c>
      <c r="Z336" s="230" t="s">
        <v>1048</v>
      </c>
      <c r="AA336" s="231">
        <v>143803</v>
      </c>
      <c r="AB336" s="231">
        <v>0</v>
      </c>
      <c r="AC336" s="232">
        <v>0</v>
      </c>
      <c r="AD336" s="374">
        <v>143803</v>
      </c>
      <c r="AE336" s="374">
        <v>545803</v>
      </c>
    </row>
    <row r="337" spans="1:30">
      <c r="A337" s="389" t="s">
        <v>102</v>
      </c>
      <c r="B337" s="221" t="s">
        <v>37</v>
      </c>
      <c r="C337" t="s">
        <v>722</v>
      </c>
      <c r="D337"/>
      <c r="E337"/>
      <c r="F337"/>
      <c r="G337"/>
      <c r="H337"/>
      <c r="I337" t="s">
        <v>377</v>
      </c>
      <c r="J337" t="s">
        <v>377</v>
      </c>
      <c r="K337" s="389"/>
      <c r="L337" s="389"/>
      <c r="M337" s="281">
        <v>2010</v>
      </c>
      <c r="N337" s="390">
        <v>7</v>
      </c>
      <c r="O337" s="391">
        <v>143509</v>
      </c>
      <c r="P337" s="391">
        <v>209942</v>
      </c>
      <c r="Q337" s="391">
        <v>0</v>
      </c>
      <c r="R337" s="391">
        <v>353451</v>
      </c>
      <c r="S337" s="233"/>
      <c r="T337" s="225">
        <v>209942</v>
      </c>
      <c r="U337" s="225">
        <v>143509</v>
      </c>
      <c r="V337" s="226">
        <v>0.18795533185646668</v>
      </c>
      <c r="W337" s="227">
        <v>0.59397766592823331</v>
      </c>
      <c r="X337" s="228" t="s">
        <v>1044</v>
      </c>
      <c r="Y337" s="229" t="s">
        <v>1047</v>
      </c>
      <c r="Z337" s="230" t="s">
        <v>1048</v>
      </c>
      <c r="AA337" s="231">
        <v>143509</v>
      </c>
      <c r="AB337" s="231">
        <v>0</v>
      </c>
      <c r="AC337" s="232">
        <v>0</v>
      </c>
      <c r="AD337" s="374">
        <v>143509</v>
      </c>
    </row>
    <row r="338" spans="1:30">
      <c r="A338" s="389" t="s">
        <v>102</v>
      </c>
      <c r="B338" s="221" t="s">
        <v>37</v>
      </c>
      <c r="C338" t="s">
        <v>723</v>
      </c>
      <c r="D338"/>
      <c r="F338"/>
      <c r="G338"/>
      <c r="H338"/>
      <c r="I338" t="s">
        <v>377</v>
      </c>
      <c r="J338" t="s">
        <v>377</v>
      </c>
      <c r="K338" s="389"/>
      <c r="L338" s="389"/>
      <c r="M338" s="281">
        <v>2010</v>
      </c>
      <c r="N338" s="390">
        <v>8</v>
      </c>
      <c r="O338" s="391">
        <v>152859</v>
      </c>
      <c r="P338" s="391">
        <v>199379</v>
      </c>
      <c r="Q338" s="391">
        <v>0</v>
      </c>
      <c r="R338" s="391">
        <v>352238</v>
      </c>
      <c r="S338" s="233"/>
      <c r="T338" s="225">
        <v>199379</v>
      </c>
      <c r="U338" s="225">
        <v>152859</v>
      </c>
      <c r="V338" s="226">
        <v>0.13206979371901953</v>
      </c>
      <c r="W338" s="227">
        <v>0.56603489685950981</v>
      </c>
      <c r="X338" s="228" t="s">
        <v>1044</v>
      </c>
      <c r="Y338" s="229" t="s">
        <v>1047</v>
      </c>
      <c r="Z338" s="230" t="s">
        <v>1048</v>
      </c>
      <c r="AA338" s="231">
        <v>152859</v>
      </c>
      <c r="AB338" s="231">
        <v>0</v>
      </c>
      <c r="AC338" s="232">
        <v>0</v>
      </c>
      <c r="AD338" s="374">
        <v>152859</v>
      </c>
    </row>
    <row r="339" spans="1:30">
      <c r="A339" s="389" t="s">
        <v>102</v>
      </c>
      <c r="B339" s="221" t="s">
        <v>37</v>
      </c>
      <c r="C339" t="s">
        <v>724</v>
      </c>
      <c r="D339"/>
      <c r="E339"/>
      <c r="F339"/>
      <c r="G339"/>
      <c r="H339"/>
      <c r="I339" t="s">
        <v>377</v>
      </c>
      <c r="J339" t="s">
        <v>377</v>
      </c>
      <c r="K339" s="389"/>
      <c r="L339" s="389"/>
      <c r="M339" s="281">
        <v>2001</v>
      </c>
      <c r="N339" s="390">
        <v>9</v>
      </c>
      <c r="O339" s="391">
        <v>105128</v>
      </c>
      <c r="P339" s="391">
        <v>169177</v>
      </c>
      <c r="Q339" s="391">
        <v>0</v>
      </c>
      <c r="R339" s="391">
        <v>274305</v>
      </c>
      <c r="S339" s="233"/>
      <c r="T339" s="225">
        <v>169177</v>
      </c>
      <c r="U339" s="225">
        <v>105128</v>
      </c>
      <c r="V339" s="226">
        <v>0.23349556150999801</v>
      </c>
      <c r="W339" s="227">
        <v>0.61674778075499903</v>
      </c>
      <c r="X339" s="228" t="s">
        <v>1044</v>
      </c>
      <c r="Y339" s="229" t="s">
        <v>1047</v>
      </c>
      <c r="Z339" s="230" t="s">
        <v>1049</v>
      </c>
      <c r="AA339" s="231">
        <v>105128</v>
      </c>
      <c r="AB339" s="231">
        <v>0</v>
      </c>
      <c r="AC339" s="232">
        <v>0</v>
      </c>
      <c r="AD339" s="374">
        <v>105128</v>
      </c>
    </row>
    <row r="340" spans="1:30">
      <c r="A340" s="389" t="s">
        <v>102</v>
      </c>
      <c r="B340" s="221" t="s">
        <v>37</v>
      </c>
      <c r="C340" t="s">
        <v>725</v>
      </c>
      <c r="D340"/>
      <c r="E340"/>
      <c r="F340"/>
      <c r="G340"/>
      <c r="H340"/>
      <c r="I340" t="s">
        <v>377</v>
      </c>
      <c r="J340" t="s">
        <v>377</v>
      </c>
      <c r="K340" s="389"/>
      <c r="L340" s="389"/>
      <c r="M340" s="281">
        <v>2010</v>
      </c>
      <c r="N340" s="390">
        <v>10</v>
      </c>
      <c r="O340" s="391">
        <v>94227</v>
      </c>
      <c r="P340" s="391">
        <v>179563</v>
      </c>
      <c r="Q340" s="391">
        <v>0</v>
      </c>
      <c r="R340" s="391">
        <v>273790</v>
      </c>
      <c r="S340" s="233"/>
      <c r="T340" s="225">
        <v>179563</v>
      </c>
      <c r="U340" s="225">
        <v>94227</v>
      </c>
      <c r="V340" s="226">
        <v>0.31168413747762885</v>
      </c>
      <c r="W340" s="227">
        <v>0.65584206873881445</v>
      </c>
      <c r="X340" s="228" t="s">
        <v>1044</v>
      </c>
      <c r="Y340" s="229" t="s">
        <v>1047</v>
      </c>
      <c r="Z340" s="230" t="s">
        <v>1049</v>
      </c>
      <c r="AA340" s="231">
        <v>94227</v>
      </c>
      <c r="AB340" s="231">
        <v>0</v>
      </c>
      <c r="AC340" s="232">
        <v>0</v>
      </c>
      <c r="AD340" s="374">
        <v>94227</v>
      </c>
    </row>
    <row r="341" spans="1:30">
      <c r="A341" s="389" t="s">
        <v>102</v>
      </c>
      <c r="B341" s="221" t="s">
        <v>37</v>
      </c>
      <c r="C341" t="s">
        <v>726</v>
      </c>
      <c r="D341"/>
      <c r="E341"/>
      <c r="F341"/>
      <c r="G341"/>
      <c r="H341"/>
      <c r="I341" t="s">
        <v>377</v>
      </c>
      <c r="J341" t="s">
        <v>377</v>
      </c>
      <c r="K341" s="389"/>
      <c r="L341" s="389"/>
      <c r="M341" s="281">
        <v>2010</v>
      </c>
      <c r="N341" s="390">
        <v>11</v>
      </c>
      <c r="O341" s="391">
        <v>118231</v>
      </c>
      <c r="P341" s="391">
        <v>166967</v>
      </c>
      <c r="Q341" s="391">
        <v>0</v>
      </c>
      <c r="R341" s="391">
        <v>285198</v>
      </c>
      <c r="S341" s="233"/>
      <c r="T341" s="225">
        <v>166967</v>
      </c>
      <c r="U341" s="225">
        <v>118231</v>
      </c>
      <c r="V341" s="226">
        <v>0.17088478881338579</v>
      </c>
      <c r="W341" s="227">
        <v>0.58544239440669288</v>
      </c>
      <c r="X341" s="228" t="s">
        <v>1044</v>
      </c>
      <c r="Y341" s="229" t="s">
        <v>1047</v>
      </c>
      <c r="Z341" s="230" t="s">
        <v>1048</v>
      </c>
      <c r="AA341" s="231">
        <v>118231</v>
      </c>
      <c r="AB341" s="231">
        <v>0</v>
      </c>
      <c r="AC341" s="232">
        <v>0</v>
      </c>
      <c r="AD341" s="374">
        <v>118231</v>
      </c>
    </row>
    <row r="342" spans="1:30">
      <c r="A342" s="389" t="s">
        <v>102</v>
      </c>
      <c r="B342" s="221" t="s">
        <v>37</v>
      </c>
      <c r="C342" t="s">
        <v>727</v>
      </c>
      <c r="D342"/>
      <c r="E342"/>
      <c r="F342"/>
      <c r="G342"/>
      <c r="H342"/>
      <c r="I342" t="s">
        <v>377</v>
      </c>
      <c r="J342" t="s">
        <v>1044</v>
      </c>
      <c r="K342" s="389">
        <v>1</v>
      </c>
      <c r="L342" s="389">
        <v>1</v>
      </c>
      <c r="M342" s="281">
        <v>2012</v>
      </c>
      <c r="N342" s="390">
        <v>12</v>
      </c>
      <c r="O342" s="391">
        <v>163589</v>
      </c>
      <c r="P342" s="391">
        <v>175352</v>
      </c>
      <c r="Q342" s="391">
        <v>0</v>
      </c>
      <c r="R342" s="391">
        <v>338941</v>
      </c>
      <c r="S342" s="233"/>
      <c r="T342" s="225">
        <v>175352</v>
      </c>
      <c r="U342" s="225">
        <v>163589</v>
      </c>
      <c r="V342" s="226">
        <v>3.4705155174499396E-2</v>
      </c>
      <c r="W342" s="227">
        <v>0.51735257758724973</v>
      </c>
      <c r="X342" s="228" t="s">
        <v>1044</v>
      </c>
      <c r="Y342" s="229" t="s">
        <v>1047</v>
      </c>
      <c r="Z342" s="230" t="s">
        <v>1050</v>
      </c>
      <c r="AA342" s="231">
        <v>163589</v>
      </c>
      <c r="AB342" s="231">
        <v>0</v>
      </c>
      <c r="AC342" s="232">
        <v>0</v>
      </c>
      <c r="AD342" s="374">
        <v>163589</v>
      </c>
    </row>
    <row r="343" spans="1:30">
      <c r="A343" s="389" t="s">
        <v>102</v>
      </c>
      <c r="B343" s="221" t="s">
        <v>37</v>
      </c>
      <c r="C343" t="s">
        <v>728</v>
      </c>
      <c r="D343" s="382" t="s">
        <v>377</v>
      </c>
      <c r="E343"/>
      <c r="F343"/>
      <c r="G343"/>
      <c r="H343"/>
      <c r="I343" t="s">
        <v>377</v>
      </c>
      <c r="J343" t="s">
        <v>377</v>
      </c>
      <c r="K343" s="392"/>
      <c r="L343" s="392"/>
      <c r="M343" s="281">
        <v>2004</v>
      </c>
      <c r="N343" s="390">
        <v>13</v>
      </c>
      <c r="O343" s="391">
        <v>209901</v>
      </c>
      <c r="P343" s="391">
        <v>93918</v>
      </c>
      <c r="Q343" s="391">
        <v>0</v>
      </c>
      <c r="R343" s="391">
        <v>303819</v>
      </c>
      <c r="S343" s="233"/>
      <c r="T343" s="225">
        <v>209901</v>
      </c>
      <c r="U343" s="225">
        <v>93918</v>
      </c>
      <c r="V343" s="226">
        <v>0.38175031844618013</v>
      </c>
      <c r="W343" s="227">
        <v>0.69087515922309006</v>
      </c>
      <c r="X343" s="228" t="s">
        <v>1044</v>
      </c>
      <c r="Y343" s="229" t="s">
        <v>1045</v>
      </c>
      <c r="Z343" s="230" t="s">
        <v>1049</v>
      </c>
      <c r="AA343" s="231">
        <v>0</v>
      </c>
      <c r="AB343" s="231">
        <v>93918</v>
      </c>
      <c r="AC343" s="232">
        <v>0</v>
      </c>
      <c r="AD343" s="374">
        <v>93918</v>
      </c>
    </row>
    <row r="344" spans="1:30">
      <c r="A344" s="389" t="s">
        <v>102</v>
      </c>
      <c r="B344" s="221" t="s">
        <v>37</v>
      </c>
      <c r="C344" t="s">
        <v>729</v>
      </c>
      <c r="D344"/>
      <c r="E344"/>
      <c r="F344"/>
      <c r="G344"/>
      <c r="H344"/>
      <c r="I344" t="s">
        <v>377</v>
      </c>
      <c r="J344" t="s">
        <v>377</v>
      </c>
      <c r="K344" s="392"/>
      <c r="L344" s="392"/>
      <c r="M344" s="281">
        <v>1994</v>
      </c>
      <c r="N344" s="390">
        <v>14</v>
      </c>
      <c r="O344" s="391">
        <v>251932</v>
      </c>
      <c r="P344" s="391">
        <v>75702</v>
      </c>
      <c r="Q344" s="391">
        <v>0</v>
      </c>
      <c r="R344" s="391">
        <v>327634</v>
      </c>
      <c r="S344" s="233"/>
      <c r="T344" s="225">
        <v>251932</v>
      </c>
      <c r="U344" s="225">
        <v>75702</v>
      </c>
      <c r="V344" s="226">
        <v>0.53788678830646397</v>
      </c>
      <c r="W344" s="227">
        <v>0.76894339415323198</v>
      </c>
      <c r="X344" s="228" t="s">
        <v>1044</v>
      </c>
      <c r="Y344" s="229" t="s">
        <v>1045</v>
      </c>
      <c r="Z344" s="230" t="s">
        <v>1046</v>
      </c>
      <c r="AA344" s="231">
        <v>0</v>
      </c>
      <c r="AB344" s="231">
        <v>75702</v>
      </c>
      <c r="AC344" s="232">
        <v>0</v>
      </c>
      <c r="AD344" s="374">
        <v>75702</v>
      </c>
    </row>
    <row r="345" spans="1:30">
      <c r="A345" s="389" t="s">
        <v>102</v>
      </c>
      <c r="B345" s="221" t="s">
        <v>37</v>
      </c>
      <c r="C345" t="s">
        <v>730</v>
      </c>
      <c r="D345"/>
      <c r="E345"/>
      <c r="F345"/>
      <c r="G345"/>
      <c r="H345"/>
      <c r="I345" t="s">
        <v>377</v>
      </c>
      <c r="J345" t="s">
        <v>377</v>
      </c>
      <c r="K345" s="389"/>
      <c r="L345" s="389"/>
      <c r="M345" s="281">
        <v>2004</v>
      </c>
      <c r="N345" s="390">
        <v>15</v>
      </c>
      <c r="O345" s="391">
        <v>128764</v>
      </c>
      <c r="P345" s="391">
        <v>168960</v>
      </c>
      <c r="Q345" s="391">
        <v>0</v>
      </c>
      <c r="R345" s="391">
        <v>297724</v>
      </c>
      <c r="S345" s="233"/>
      <c r="T345" s="225">
        <v>168960</v>
      </c>
      <c r="U345" s="225">
        <v>128764</v>
      </c>
      <c r="V345" s="226">
        <v>0.13501094973868416</v>
      </c>
      <c r="W345" s="227">
        <v>0.56750547486934211</v>
      </c>
      <c r="X345" s="228" t="s">
        <v>1044</v>
      </c>
      <c r="Y345" s="229" t="s">
        <v>1047</v>
      </c>
      <c r="Z345" s="230" t="s">
        <v>1048</v>
      </c>
      <c r="AA345" s="231">
        <v>128764</v>
      </c>
      <c r="AB345" s="231">
        <v>0</v>
      </c>
      <c r="AC345" s="232">
        <v>0</v>
      </c>
      <c r="AD345" s="374">
        <v>128764</v>
      </c>
    </row>
    <row r="346" spans="1:30">
      <c r="A346" s="389" t="s">
        <v>102</v>
      </c>
      <c r="B346" s="221" t="s">
        <v>37</v>
      </c>
      <c r="C346" t="s">
        <v>731</v>
      </c>
      <c r="D346"/>
      <c r="E346"/>
      <c r="F346"/>
      <c r="G346"/>
      <c r="H346"/>
      <c r="I346" t="s">
        <v>377</v>
      </c>
      <c r="J346" t="s">
        <v>377</v>
      </c>
      <c r="K346" s="389"/>
      <c r="L346" s="389"/>
      <c r="M346" s="281">
        <v>1996</v>
      </c>
      <c r="N346" s="390">
        <v>16</v>
      </c>
      <c r="O346" s="391">
        <v>111185</v>
      </c>
      <c r="P346" s="391">
        <v>156192</v>
      </c>
      <c r="Q346" s="391">
        <v>17404</v>
      </c>
      <c r="R346" s="391">
        <v>284781</v>
      </c>
      <c r="S346" s="233"/>
      <c r="T346" s="225">
        <v>156192</v>
      </c>
      <c r="U346" s="225">
        <v>111185</v>
      </c>
      <c r="V346" s="226">
        <v>0.16832786664522378</v>
      </c>
      <c r="W346" s="227">
        <v>0.54846355620634801</v>
      </c>
      <c r="X346" s="228" t="s">
        <v>1044</v>
      </c>
      <c r="Y346" s="229" t="s">
        <v>1047</v>
      </c>
      <c r="Z346" s="230" t="s">
        <v>1048</v>
      </c>
      <c r="AA346" s="231">
        <v>111185</v>
      </c>
      <c r="AB346" s="231">
        <v>0</v>
      </c>
      <c r="AC346" s="232">
        <v>17404</v>
      </c>
      <c r="AD346" s="374">
        <v>128589</v>
      </c>
    </row>
    <row r="347" spans="1:30">
      <c r="A347" s="389" t="s">
        <v>102</v>
      </c>
      <c r="B347" s="221" t="s">
        <v>37</v>
      </c>
      <c r="C347" t="s">
        <v>732</v>
      </c>
      <c r="D347"/>
      <c r="E347"/>
      <c r="F347"/>
      <c r="G347"/>
      <c r="H347"/>
      <c r="I347" t="s">
        <v>377</v>
      </c>
      <c r="J347" t="s">
        <v>377</v>
      </c>
      <c r="K347" s="392"/>
      <c r="L347" s="392"/>
      <c r="M347" s="281">
        <v>2012</v>
      </c>
      <c r="N347" s="390">
        <v>17</v>
      </c>
      <c r="O347" s="391">
        <v>161393</v>
      </c>
      <c r="P347" s="391">
        <v>106208</v>
      </c>
      <c r="Q347" s="391">
        <v>0</v>
      </c>
      <c r="R347" s="391">
        <v>267601</v>
      </c>
      <c r="S347" s="233"/>
      <c r="T347" s="225">
        <v>161393</v>
      </c>
      <c r="U347" s="225">
        <v>106208</v>
      </c>
      <c r="V347" s="226">
        <v>0.2062212024618742</v>
      </c>
      <c r="W347" s="227">
        <v>0.60311060123093707</v>
      </c>
      <c r="X347" s="228" t="s">
        <v>1044</v>
      </c>
      <c r="Y347" s="229" t="s">
        <v>1045</v>
      </c>
      <c r="Z347" s="230" t="s">
        <v>1049</v>
      </c>
      <c r="AA347" s="231">
        <v>0</v>
      </c>
      <c r="AB347" s="231">
        <v>106208</v>
      </c>
      <c r="AC347" s="232">
        <v>0</v>
      </c>
      <c r="AD347" s="374">
        <v>106208</v>
      </c>
    </row>
    <row r="348" spans="1:30">
      <c r="A348" s="389" t="s">
        <v>102</v>
      </c>
      <c r="B348" s="221" t="s">
        <v>37</v>
      </c>
      <c r="C348" t="s">
        <v>733</v>
      </c>
      <c r="D348"/>
      <c r="E348"/>
      <c r="F348"/>
      <c r="G348"/>
      <c r="H348"/>
      <c r="I348" t="s">
        <v>377</v>
      </c>
      <c r="J348" t="s">
        <v>377</v>
      </c>
      <c r="K348" s="389"/>
      <c r="L348" s="389"/>
      <c r="M348" s="281">
        <v>2002</v>
      </c>
      <c r="N348" s="390">
        <v>18</v>
      </c>
      <c r="O348" s="391">
        <v>122146</v>
      </c>
      <c r="P348" s="391">
        <v>216727</v>
      </c>
      <c r="Q348" s="391">
        <v>0</v>
      </c>
      <c r="R348" s="391">
        <v>338873</v>
      </c>
      <c r="S348" s="233"/>
      <c r="T348" s="225">
        <v>216727</v>
      </c>
      <c r="U348" s="225">
        <v>122146</v>
      </c>
      <c r="V348" s="226">
        <v>0.27910456129582467</v>
      </c>
      <c r="W348" s="227">
        <v>0.63955228064791236</v>
      </c>
      <c r="X348" s="228" t="s">
        <v>1044</v>
      </c>
      <c r="Y348" s="229" t="s">
        <v>1047</v>
      </c>
      <c r="Z348" s="230" t="s">
        <v>1049</v>
      </c>
      <c r="AA348" s="231">
        <v>122146</v>
      </c>
      <c r="AB348" s="231">
        <v>0</v>
      </c>
      <c r="AC348" s="232">
        <v>0</v>
      </c>
      <c r="AD348" s="374">
        <v>122146</v>
      </c>
    </row>
    <row r="349" spans="1:30">
      <c r="A349" s="389" t="s">
        <v>103</v>
      </c>
      <c r="B349" s="221" t="s">
        <v>38</v>
      </c>
      <c r="C349" t="s">
        <v>734</v>
      </c>
      <c r="D349" s="382"/>
      <c r="E349"/>
      <c r="F349"/>
      <c r="G349"/>
      <c r="H349"/>
      <c r="I349" t="s">
        <v>1051</v>
      </c>
      <c r="J349" t="s">
        <v>1051</v>
      </c>
      <c r="K349" s="392"/>
      <c r="L349" s="392"/>
      <c r="M349" s="281">
        <v>2010</v>
      </c>
      <c r="N349" s="390">
        <v>1</v>
      </c>
      <c r="O349" s="391">
        <v>108612</v>
      </c>
      <c r="P349" s="391">
        <v>83737</v>
      </c>
      <c r="Q349" s="391">
        <v>12766</v>
      </c>
      <c r="R349" s="391">
        <v>205115</v>
      </c>
      <c r="S349" s="233"/>
      <c r="T349" s="225">
        <v>108612</v>
      </c>
      <c r="U349" s="225">
        <v>83737</v>
      </c>
      <c r="V349" s="226">
        <v>0.12932222158680315</v>
      </c>
      <c r="W349" s="227">
        <v>0.5295175876947078</v>
      </c>
      <c r="X349" s="228" t="s">
        <v>1052</v>
      </c>
      <c r="Y349" s="229" t="s">
        <v>1053</v>
      </c>
      <c r="Z349" s="230" t="s">
        <v>1054</v>
      </c>
      <c r="AA349" s="231">
        <v>0</v>
      </c>
      <c r="AB349" s="231">
        <v>83737</v>
      </c>
      <c r="AC349" s="232">
        <v>12766</v>
      </c>
      <c r="AD349" s="374">
        <v>96503</v>
      </c>
    </row>
    <row r="350" spans="1:30">
      <c r="A350" s="389" t="s">
        <v>103</v>
      </c>
      <c r="B350" s="221" t="s">
        <v>38</v>
      </c>
      <c r="C350" t="s">
        <v>735</v>
      </c>
      <c r="D350"/>
      <c r="E350"/>
      <c r="F350"/>
      <c r="G350"/>
      <c r="H350"/>
      <c r="I350" t="s">
        <v>1051</v>
      </c>
      <c r="J350" t="s">
        <v>1051</v>
      </c>
      <c r="K350" s="392"/>
      <c r="L350" s="392"/>
      <c r="M350" s="281">
        <v>2000</v>
      </c>
      <c r="N350" s="390">
        <v>2</v>
      </c>
      <c r="O350" s="391">
        <v>124067</v>
      </c>
      <c r="P350" s="391">
        <v>78189</v>
      </c>
      <c r="Q350" s="391">
        <v>20404</v>
      </c>
      <c r="R350" s="391">
        <v>222660</v>
      </c>
      <c r="S350" s="233"/>
      <c r="T350" s="225">
        <v>124067</v>
      </c>
      <c r="U350" s="225">
        <v>78189</v>
      </c>
      <c r="V350" s="226">
        <v>0.22683134245708408</v>
      </c>
      <c r="W350" s="227">
        <v>0.55720380849726037</v>
      </c>
      <c r="X350" s="228" t="s">
        <v>1052</v>
      </c>
      <c r="Y350" s="229" t="s">
        <v>1053</v>
      </c>
      <c r="Z350" s="230" t="s">
        <v>1055</v>
      </c>
      <c r="AA350" s="231">
        <v>0</v>
      </c>
      <c r="AB350" s="231">
        <v>78189</v>
      </c>
      <c r="AC350" s="232">
        <v>20404</v>
      </c>
      <c r="AD350" s="374">
        <v>98593</v>
      </c>
    </row>
    <row r="351" spans="1:30">
      <c r="A351" s="389" t="s">
        <v>104</v>
      </c>
      <c r="B351" s="221" t="s">
        <v>39</v>
      </c>
      <c r="C351" t="s">
        <v>736</v>
      </c>
      <c r="D351"/>
      <c r="E351"/>
      <c r="F351"/>
      <c r="G351"/>
      <c r="H351"/>
      <c r="I351" t="s">
        <v>378</v>
      </c>
      <c r="J351" t="s">
        <v>378</v>
      </c>
      <c r="K351" s="389"/>
      <c r="L351" s="389"/>
      <c r="M351" s="281">
        <v>2010</v>
      </c>
      <c r="N351" s="390">
        <v>1</v>
      </c>
      <c r="O351" s="391">
        <v>103557</v>
      </c>
      <c r="P351" s="391">
        <v>179908</v>
      </c>
      <c r="Q351" s="391">
        <v>6548</v>
      </c>
      <c r="R351" s="391">
        <v>290013</v>
      </c>
      <c r="S351" s="233"/>
      <c r="T351" s="225">
        <v>179908</v>
      </c>
      <c r="U351" s="225">
        <v>103557</v>
      </c>
      <c r="V351" s="226">
        <v>0.26934894960577144</v>
      </c>
      <c r="W351" s="227">
        <v>0.62034460524183399</v>
      </c>
      <c r="X351" s="228" t="s">
        <v>1056</v>
      </c>
      <c r="Y351" s="229" t="s">
        <v>1057</v>
      </c>
      <c r="Z351" s="230" t="s">
        <v>1058</v>
      </c>
      <c r="AA351" s="231">
        <v>103557</v>
      </c>
      <c r="AB351" s="231">
        <v>0</v>
      </c>
      <c r="AC351" s="232">
        <v>6548</v>
      </c>
      <c r="AD351" s="374">
        <v>110105</v>
      </c>
    </row>
    <row r="352" spans="1:30">
      <c r="A352" s="389" t="s">
        <v>104</v>
      </c>
      <c r="B352" s="221" t="s">
        <v>39</v>
      </c>
      <c r="C352" t="s">
        <v>737</v>
      </c>
      <c r="D352"/>
      <c r="E352"/>
      <c r="F352"/>
      <c r="G352"/>
      <c r="H352"/>
      <c r="I352" t="s">
        <v>378</v>
      </c>
      <c r="J352" t="s">
        <v>378</v>
      </c>
      <c r="K352" s="389"/>
      <c r="L352" s="389"/>
      <c r="M352" s="281">
        <v>2001</v>
      </c>
      <c r="N352" s="390">
        <v>2</v>
      </c>
      <c r="O352" s="391">
        <v>0</v>
      </c>
      <c r="P352" s="391">
        <v>196116</v>
      </c>
      <c r="Q352" s="391">
        <v>7602</v>
      </c>
      <c r="R352" s="391">
        <v>203718</v>
      </c>
      <c r="S352" s="233"/>
      <c r="T352" s="225">
        <v>196116</v>
      </c>
      <c r="U352" s="225">
        <v>7602</v>
      </c>
      <c r="V352" s="226">
        <v>1</v>
      </c>
      <c r="W352" s="227">
        <v>0.9626837098341825</v>
      </c>
      <c r="X352" s="228" t="s">
        <v>378</v>
      </c>
      <c r="Y352" s="229" t="s">
        <v>1057</v>
      </c>
      <c r="Z352" s="230" t="s">
        <v>1059</v>
      </c>
      <c r="AA352" s="231">
        <v>0</v>
      </c>
      <c r="AB352" s="231">
        <v>0</v>
      </c>
      <c r="AC352" s="232">
        <v>7602</v>
      </c>
      <c r="AD352" s="374">
        <v>7602</v>
      </c>
    </row>
    <row r="353" spans="1:31">
      <c r="A353" s="389" t="s">
        <v>104</v>
      </c>
      <c r="B353" s="221" t="s">
        <v>39</v>
      </c>
      <c r="C353" t="s">
        <v>738</v>
      </c>
      <c r="D353"/>
      <c r="E353"/>
      <c r="F353"/>
      <c r="G353"/>
      <c r="H353"/>
      <c r="I353" t="s">
        <v>378</v>
      </c>
      <c r="J353" t="s">
        <v>378</v>
      </c>
      <c r="K353" s="389"/>
      <c r="L353" s="389"/>
      <c r="M353" s="281">
        <v>2010</v>
      </c>
      <c r="N353" s="390">
        <v>3</v>
      </c>
      <c r="O353" s="391">
        <v>84735</v>
      </c>
      <c r="P353" s="391">
        <v>169512</v>
      </c>
      <c r="Q353" s="391">
        <v>516</v>
      </c>
      <c r="R353" s="391">
        <v>254763</v>
      </c>
      <c r="S353" s="233"/>
      <c r="T353" s="225">
        <v>169512</v>
      </c>
      <c r="U353" s="225">
        <v>84735</v>
      </c>
      <c r="V353" s="226">
        <v>0.33344346245973405</v>
      </c>
      <c r="W353" s="227">
        <v>0.66537134513253493</v>
      </c>
      <c r="X353" s="228" t="s">
        <v>1056</v>
      </c>
      <c r="Y353" s="229" t="s">
        <v>1057</v>
      </c>
      <c r="Z353" s="230" t="s">
        <v>1058</v>
      </c>
      <c r="AA353" s="231">
        <v>84735</v>
      </c>
      <c r="AB353" s="231">
        <v>0</v>
      </c>
      <c r="AC353" s="232">
        <v>516</v>
      </c>
      <c r="AD353" s="374">
        <v>85251</v>
      </c>
    </row>
    <row r="354" spans="1:31">
      <c r="A354" s="389" t="s">
        <v>104</v>
      </c>
      <c r="B354" s="221" t="s">
        <v>39</v>
      </c>
      <c r="C354" t="s">
        <v>739</v>
      </c>
      <c r="D354"/>
      <c r="E354"/>
      <c r="F354"/>
      <c r="G354"/>
      <c r="H354"/>
      <c r="I354" t="s">
        <v>378</v>
      </c>
      <c r="J354" t="s">
        <v>378</v>
      </c>
      <c r="K354" s="389"/>
      <c r="L354" s="389"/>
      <c r="M354" s="281">
        <v>2010</v>
      </c>
      <c r="N354" s="390">
        <v>4</v>
      </c>
      <c r="O354" s="391">
        <v>89964</v>
      </c>
      <c r="P354" s="391">
        <v>173201</v>
      </c>
      <c r="Q354" s="391">
        <v>3719</v>
      </c>
      <c r="R354" s="391">
        <v>266884</v>
      </c>
      <c r="S354" s="233"/>
      <c r="T354" s="225">
        <v>173201</v>
      </c>
      <c r="U354" s="225">
        <v>89964</v>
      </c>
      <c r="V354" s="226">
        <v>0.31629206011437694</v>
      </c>
      <c r="W354" s="227">
        <v>0.6489748355090601</v>
      </c>
      <c r="X354" s="228" t="s">
        <v>1056</v>
      </c>
      <c r="Y354" s="229" t="s">
        <v>1057</v>
      </c>
      <c r="Z354" s="230" t="s">
        <v>1058</v>
      </c>
      <c r="AA354" s="231">
        <v>89964</v>
      </c>
      <c r="AB354" s="231">
        <v>0</v>
      </c>
      <c r="AC354" s="232">
        <v>3719</v>
      </c>
      <c r="AD354" s="374">
        <v>93683</v>
      </c>
    </row>
    <row r="355" spans="1:31">
      <c r="A355" s="389" t="s">
        <v>104</v>
      </c>
      <c r="B355" s="221" t="s">
        <v>39</v>
      </c>
      <c r="C355" t="s">
        <v>740</v>
      </c>
      <c r="D355"/>
      <c r="E355"/>
      <c r="F355"/>
      <c r="G355"/>
      <c r="H355"/>
      <c r="I355" t="s">
        <v>378</v>
      </c>
      <c r="J355" t="s">
        <v>378</v>
      </c>
      <c r="K355" s="389"/>
      <c r="L355" s="389"/>
      <c r="M355" s="281">
        <v>2010</v>
      </c>
      <c r="N355" s="390">
        <v>5</v>
      </c>
      <c r="O355" s="391">
        <v>123443</v>
      </c>
      <c r="P355" s="391">
        <v>154324</v>
      </c>
      <c r="Q355" s="391">
        <v>236</v>
      </c>
      <c r="R355" s="391">
        <v>278003</v>
      </c>
      <c r="S355" s="233"/>
      <c r="T355" s="225">
        <v>154324</v>
      </c>
      <c r="U355" s="225">
        <v>123443</v>
      </c>
      <c r="V355" s="226">
        <v>0.11117591362544867</v>
      </c>
      <c r="W355" s="227">
        <v>0.55511631169447817</v>
      </c>
      <c r="X355" s="228" t="s">
        <v>1056</v>
      </c>
      <c r="Y355" s="229" t="s">
        <v>1057</v>
      </c>
      <c r="Z355" s="230" t="s">
        <v>1060</v>
      </c>
      <c r="AA355" s="231">
        <v>123443</v>
      </c>
      <c r="AB355" s="231">
        <v>0</v>
      </c>
      <c r="AC355" s="232">
        <v>236</v>
      </c>
      <c r="AD355" s="374">
        <v>123679</v>
      </c>
      <c r="AE355" s="374">
        <v>2048286</v>
      </c>
    </row>
    <row r="356" spans="1:31">
      <c r="A356" s="389" t="s">
        <v>104</v>
      </c>
      <c r="B356" s="221" t="s">
        <v>39</v>
      </c>
      <c r="C356" t="s">
        <v>741</v>
      </c>
      <c r="D356"/>
      <c r="E356" s="382" t="s">
        <v>378</v>
      </c>
      <c r="F356"/>
      <c r="G356"/>
      <c r="H356"/>
      <c r="I356" t="s">
        <v>378</v>
      </c>
      <c r="J356" t="s">
        <v>378</v>
      </c>
      <c r="K356" s="392"/>
      <c r="L356" s="392"/>
      <c r="M356" s="281">
        <v>1992</v>
      </c>
      <c r="N356" s="390">
        <v>6</v>
      </c>
      <c r="O356" s="391">
        <v>218717</v>
      </c>
      <c r="P356" s="391">
        <v>0</v>
      </c>
      <c r="Q356" s="391">
        <v>14898</v>
      </c>
      <c r="R356" s="391">
        <v>233615</v>
      </c>
      <c r="S356" s="233"/>
      <c r="T356" s="225">
        <v>218717</v>
      </c>
      <c r="U356" s="225">
        <v>14898</v>
      </c>
      <c r="V356" s="226">
        <v>1</v>
      </c>
      <c r="W356" s="227">
        <v>0.93622840999079682</v>
      </c>
      <c r="X356" s="228" t="s">
        <v>378</v>
      </c>
      <c r="Y356" s="229" t="s">
        <v>1061</v>
      </c>
      <c r="Z356" s="230" t="s">
        <v>1059</v>
      </c>
      <c r="AA356" s="231">
        <v>0</v>
      </c>
      <c r="AB356" s="231">
        <v>0</v>
      </c>
      <c r="AC356" s="232">
        <v>14898</v>
      </c>
      <c r="AD356" s="374">
        <v>14898</v>
      </c>
    </row>
    <row r="357" spans="1:31">
      <c r="A357" s="389" t="s">
        <v>104</v>
      </c>
      <c r="B357" s="221" t="s">
        <v>39</v>
      </c>
      <c r="C357" t="s">
        <v>742</v>
      </c>
      <c r="D357"/>
      <c r="E357"/>
      <c r="F357"/>
      <c r="G357"/>
      <c r="H357"/>
      <c r="I357" t="s">
        <v>378</v>
      </c>
      <c r="J357" t="s">
        <v>378</v>
      </c>
      <c r="K357" s="389"/>
      <c r="L357" s="389"/>
      <c r="M357" s="281">
        <v>2012</v>
      </c>
      <c r="N357" s="390">
        <v>7</v>
      </c>
      <c r="O357" s="391">
        <v>122389</v>
      </c>
      <c r="P357" s="391">
        <v>153068</v>
      </c>
      <c r="Q357" s="391">
        <v>281</v>
      </c>
      <c r="R357" s="391">
        <v>275738</v>
      </c>
      <c r="S357" s="233"/>
      <c r="T357" s="225">
        <v>153068</v>
      </c>
      <c r="U357" s="225">
        <v>122389</v>
      </c>
      <c r="V357" s="226">
        <v>0.1113749151410202</v>
      </c>
      <c r="W357" s="227">
        <v>0.55512116574429349</v>
      </c>
      <c r="X357" s="228" t="s">
        <v>1056</v>
      </c>
      <c r="Y357" s="229" t="s">
        <v>1057</v>
      </c>
      <c r="Z357" s="230" t="s">
        <v>1060</v>
      </c>
      <c r="AA357" s="231">
        <v>122389</v>
      </c>
      <c r="AB357" s="231">
        <v>0</v>
      </c>
      <c r="AC357" s="232">
        <v>281</v>
      </c>
      <c r="AD357" s="374">
        <v>122670</v>
      </c>
      <c r="AE357" s="374">
        <v>137568</v>
      </c>
    </row>
    <row r="358" spans="1:31">
      <c r="A358" s="389" t="s">
        <v>105</v>
      </c>
      <c r="B358" s="221" t="s">
        <v>40</v>
      </c>
      <c r="C358" t="s">
        <v>743</v>
      </c>
      <c r="D358" s="382" t="s">
        <v>379</v>
      </c>
      <c r="F358"/>
      <c r="G358"/>
      <c r="H358"/>
      <c r="I358" t="s">
        <v>379</v>
      </c>
      <c r="J358" t="s">
        <v>379</v>
      </c>
      <c r="K358" s="389"/>
      <c r="L358" s="389"/>
      <c r="M358" s="281">
        <v>2010</v>
      </c>
      <c r="N358" s="390" t="s">
        <v>0</v>
      </c>
      <c r="O358" s="391">
        <v>153789</v>
      </c>
      <c r="P358" s="391">
        <v>207640</v>
      </c>
      <c r="Q358" s="391">
        <v>0</v>
      </c>
      <c r="R358" s="391">
        <v>361429</v>
      </c>
      <c r="S358" s="233"/>
      <c r="T358" s="225">
        <v>207640</v>
      </c>
      <c r="U358" s="225">
        <v>153789</v>
      </c>
      <c r="V358" s="226">
        <v>0.14899468498653953</v>
      </c>
      <c r="W358" s="227">
        <v>0.57449734249326978</v>
      </c>
      <c r="X358" s="228" t="s">
        <v>1062</v>
      </c>
      <c r="Y358" s="229" t="s">
        <v>1063</v>
      </c>
      <c r="Z358" s="230" t="s">
        <v>1064</v>
      </c>
      <c r="AA358" s="231">
        <v>153789</v>
      </c>
      <c r="AB358" s="231">
        <v>0</v>
      </c>
      <c r="AC358" s="232">
        <v>0</v>
      </c>
      <c r="AD358" s="374">
        <v>153789</v>
      </c>
    </row>
    <row r="359" spans="1:31">
      <c r="A359" s="389" t="s">
        <v>106</v>
      </c>
      <c r="B359" s="221" t="s">
        <v>41</v>
      </c>
      <c r="C359" t="s">
        <v>744</v>
      </c>
      <c r="D359"/>
      <c r="E359"/>
      <c r="F359"/>
      <c r="G359"/>
      <c r="H359"/>
      <c r="I359" t="s">
        <v>380</v>
      </c>
      <c r="J359" t="s">
        <v>380</v>
      </c>
      <c r="K359" s="389"/>
      <c r="L359" s="389"/>
      <c r="M359" s="281">
        <v>2008</v>
      </c>
      <c r="N359" s="390">
        <v>1</v>
      </c>
      <c r="O359" s="391">
        <v>47663</v>
      </c>
      <c r="P359" s="391">
        <v>182252</v>
      </c>
      <c r="Q359" s="391">
        <v>9757</v>
      </c>
      <c r="R359" s="391">
        <v>239672</v>
      </c>
      <c r="S359" s="233"/>
      <c r="T359" s="225">
        <v>182252</v>
      </c>
      <c r="U359" s="225">
        <v>47663</v>
      </c>
      <c r="V359" s="226">
        <v>0.58538590348607089</v>
      </c>
      <c r="W359" s="227">
        <v>0.76042257752261422</v>
      </c>
      <c r="X359" s="228" t="s">
        <v>1065</v>
      </c>
      <c r="Y359" s="229" t="s">
        <v>1066</v>
      </c>
      <c r="Z359" s="230" t="s">
        <v>1067</v>
      </c>
      <c r="AA359" s="231">
        <v>47663</v>
      </c>
      <c r="AB359" s="231">
        <v>0</v>
      </c>
      <c r="AC359" s="232">
        <v>9757</v>
      </c>
      <c r="AD359" s="374">
        <v>57420</v>
      </c>
    </row>
    <row r="360" spans="1:31">
      <c r="A360" s="389" t="s">
        <v>106</v>
      </c>
      <c r="B360" s="221" t="s">
        <v>41</v>
      </c>
      <c r="C360" t="s">
        <v>745</v>
      </c>
      <c r="D360"/>
      <c r="E360"/>
      <c r="F360"/>
      <c r="G360"/>
      <c r="H360"/>
      <c r="I360" t="s">
        <v>380</v>
      </c>
      <c r="J360" t="s">
        <v>380</v>
      </c>
      <c r="K360" s="389"/>
      <c r="L360" s="389"/>
      <c r="M360" s="281">
        <v>1988</v>
      </c>
      <c r="N360" s="390">
        <v>2</v>
      </c>
      <c r="O360" s="391">
        <v>54522</v>
      </c>
      <c r="P360" s="391">
        <v>196894</v>
      </c>
      <c r="Q360" s="391">
        <v>13089</v>
      </c>
      <c r="R360" s="391">
        <v>264505</v>
      </c>
      <c r="S360" s="233"/>
      <c r="T360" s="225">
        <v>196894</v>
      </c>
      <c r="U360" s="225">
        <v>54522</v>
      </c>
      <c r="V360" s="226">
        <v>0.56628058675661053</v>
      </c>
      <c r="W360" s="227">
        <v>0.74438668456172852</v>
      </c>
      <c r="X360" s="228" t="s">
        <v>1065</v>
      </c>
      <c r="Y360" s="229" t="s">
        <v>1066</v>
      </c>
      <c r="Z360" s="230" t="s">
        <v>1067</v>
      </c>
      <c r="AA360" s="231">
        <v>54522</v>
      </c>
      <c r="AB360" s="231">
        <v>0</v>
      </c>
      <c r="AC360" s="232">
        <v>13089</v>
      </c>
      <c r="AD360" s="374">
        <v>67611</v>
      </c>
    </row>
    <row r="361" spans="1:31">
      <c r="A361" s="389" t="s">
        <v>106</v>
      </c>
      <c r="B361" s="221" t="s">
        <v>41</v>
      </c>
      <c r="C361" t="s">
        <v>746</v>
      </c>
      <c r="D361"/>
      <c r="E361"/>
      <c r="F361"/>
      <c r="G361"/>
      <c r="H361"/>
      <c r="I361" t="s">
        <v>380</v>
      </c>
      <c r="J361" t="s">
        <v>380</v>
      </c>
      <c r="K361" s="389"/>
      <c r="L361" s="389"/>
      <c r="M361" s="281">
        <v>2010</v>
      </c>
      <c r="N361" s="390">
        <v>3</v>
      </c>
      <c r="O361" s="391">
        <v>91094</v>
      </c>
      <c r="P361" s="391">
        <v>157830</v>
      </c>
      <c r="Q361" s="391">
        <v>7985</v>
      </c>
      <c r="R361" s="391">
        <v>256909</v>
      </c>
      <c r="S361" s="233"/>
      <c r="T361" s="225">
        <v>157830</v>
      </c>
      <c r="U361" s="225">
        <v>91094</v>
      </c>
      <c r="V361" s="226">
        <v>0.26809789333290485</v>
      </c>
      <c r="W361" s="227">
        <v>0.61434204329159348</v>
      </c>
      <c r="X361" s="228" t="s">
        <v>1065</v>
      </c>
      <c r="Y361" s="229" t="s">
        <v>1066</v>
      </c>
      <c r="Z361" s="230" t="s">
        <v>1068</v>
      </c>
      <c r="AA361" s="231">
        <v>91094</v>
      </c>
      <c r="AB361" s="231">
        <v>0</v>
      </c>
      <c r="AC361" s="232">
        <v>7985</v>
      </c>
      <c r="AD361" s="374">
        <v>99079</v>
      </c>
    </row>
    <row r="362" spans="1:31">
      <c r="A362" s="389" t="s">
        <v>106</v>
      </c>
      <c r="B362" s="221" t="s">
        <v>41</v>
      </c>
      <c r="C362" t="s">
        <v>747</v>
      </c>
      <c r="D362"/>
      <c r="E362"/>
      <c r="F362"/>
      <c r="G362"/>
      <c r="H362"/>
      <c r="I362" t="s">
        <v>380</v>
      </c>
      <c r="J362" t="s">
        <v>380</v>
      </c>
      <c r="K362" s="389"/>
      <c r="L362" s="389"/>
      <c r="M362" s="281">
        <v>2010</v>
      </c>
      <c r="N362" s="390">
        <v>4</v>
      </c>
      <c r="O362" s="391">
        <v>102022</v>
      </c>
      <c r="P362" s="391">
        <v>128568</v>
      </c>
      <c r="Q362" s="391">
        <v>0</v>
      </c>
      <c r="R362" s="391">
        <v>230590</v>
      </c>
      <c r="S362" s="233"/>
      <c r="T362" s="225">
        <v>128568</v>
      </c>
      <c r="U362" s="225">
        <v>102022</v>
      </c>
      <c r="V362" s="226">
        <v>0.11512207814736111</v>
      </c>
      <c r="W362" s="227">
        <v>0.5575610390736806</v>
      </c>
      <c r="X362" s="228" t="s">
        <v>1065</v>
      </c>
      <c r="Y362" s="229" t="s">
        <v>1066</v>
      </c>
      <c r="Z362" s="230" t="s">
        <v>1069</v>
      </c>
      <c r="AA362" s="231">
        <v>102022</v>
      </c>
      <c r="AB362" s="231">
        <v>0</v>
      </c>
      <c r="AC362" s="232">
        <v>0</v>
      </c>
      <c r="AD362" s="374">
        <v>102022</v>
      </c>
    </row>
    <row r="363" spans="1:31">
      <c r="A363" s="389" t="s">
        <v>106</v>
      </c>
      <c r="B363" s="221" t="s">
        <v>41</v>
      </c>
      <c r="C363" t="s">
        <v>748</v>
      </c>
      <c r="D363"/>
      <c r="E363" s="382"/>
      <c r="F363"/>
      <c r="G363"/>
      <c r="H363"/>
      <c r="I363" t="s">
        <v>380</v>
      </c>
      <c r="J363" t="s">
        <v>380</v>
      </c>
      <c r="K363" s="392"/>
      <c r="L363" s="392"/>
      <c r="M363" s="281">
        <v>2002</v>
      </c>
      <c r="N363" s="390">
        <v>5</v>
      </c>
      <c r="O363" s="391">
        <v>171621</v>
      </c>
      <c r="P363" s="391">
        <v>86240</v>
      </c>
      <c r="Q363" s="391">
        <v>5234</v>
      </c>
      <c r="R363" s="391">
        <v>263095</v>
      </c>
      <c r="S363" s="233"/>
      <c r="T363" s="225">
        <v>171621</v>
      </c>
      <c r="U363" s="225">
        <v>86240</v>
      </c>
      <c r="V363" s="226">
        <v>0.33111249859420383</v>
      </c>
      <c r="W363" s="227">
        <v>0.65231570345312528</v>
      </c>
      <c r="X363" s="228" t="s">
        <v>1065</v>
      </c>
      <c r="Y363" s="229" t="s">
        <v>1070</v>
      </c>
      <c r="Z363" s="230" t="s">
        <v>1068</v>
      </c>
      <c r="AA363" s="231">
        <v>0</v>
      </c>
      <c r="AB363" s="231">
        <v>86240</v>
      </c>
      <c r="AC363" s="232">
        <v>5234</v>
      </c>
      <c r="AD363" s="374">
        <v>91474</v>
      </c>
      <c r="AE363" s="374">
        <v>571395</v>
      </c>
    </row>
    <row r="364" spans="1:31">
      <c r="A364" s="389" t="s">
        <v>106</v>
      </c>
      <c r="B364" s="221" t="s">
        <v>41</v>
      </c>
      <c r="C364" t="s">
        <v>749</v>
      </c>
      <c r="D364" s="382" t="s">
        <v>380</v>
      </c>
      <c r="E364"/>
      <c r="F364"/>
      <c r="G364"/>
      <c r="H364"/>
      <c r="I364" t="s">
        <v>380</v>
      </c>
      <c r="J364" t="s">
        <v>380</v>
      </c>
      <c r="K364" s="389"/>
      <c r="L364" s="389"/>
      <c r="M364" s="281">
        <v>2010</v>
      </c>
      <c r="N364" s="390">
        <v>6</v>
      </c>
      <c r="O364" s="391">
        <v>0</v>
      </c>
      <c r="P364" s="391">
        <v>184383</v>
      </c>
      <c r="Q364" s="391">
        <v>56858</v>
      </c>
      <c r="R364" s="391">
        <v>241241</v>
      </c>
      <c r="S364" s="233"/>
      <c r="T364" s="225">
        <v>184383</v>
      </c>
      <c r="U364" s="225">
        <v>56858</v>
      </c>
      <c r="V364" s="226">
        <v>1</v>
      </c>
      <c r="W364" s="227">
        <v>0.76431037841826222</v>
      </c>
      <c r="X364" s="228" t="s">
        <v>380</v>
      </c>
      <c r="Y364" s="229" t="s">
        <v>1066</v>
      </c>
      <c r="Z364" s="230" t="s">
        <v>1067</v>
      </c>
      <c r="AA364" s="231">
        <v>0</v>
      </c>
      <c r="AB364" s="231">
        <v>0</v>
      </c>
      <c r="AC364" s="232">
        <v>56858</v>
      </c>
      <c r="AD364" s="374">
        <v>56858</v>
      </c>
      <c r="AE364" s="374">
        <v>56858</v>
      </c>
    </row>
    <row r="365" spans="1:31">
      <c r="A365" s="389" t="s">
        <v>106</v>
      </c>
      <c r="B365" s="221" t="s">
        <v>41</v>
      </c>
      <c r="C365" t="s">
        <v>750</v>
      </c>
      <c r="D365" s="382" t="s">
        <v>380</v>
      </c>
      <c r="E365"/>
      <c r="F365"/>
      <c r="G365"/>
      <c r="H365"/>
      <c r="I365" t="s">
        <v>380</v>
      </c>
      <c r="J365" t="s">
        <v>380</v>
      </c>
      <c r="K365" s="389"/>
      <c r="L365" s="389"/>
      <c r="M365" s="281">
        <v>2002</v>
      </c>
      <c r="N365" s="390">
        <v>7</v>
      </c>
      <c r="O365" s="391">
        <v>61679</v>
      </c>
      <c r="P365" s="391">
        <v>182730</v>
      </c>
      <c r="Q365" s="391">
        <v>12897</v>
      </c>
      <c r="R365" s="391">
        <v>257306</v>
      </c>
      <c r="S365" s="233"/>
      <c r="T365" s="225">
        <v>182730</v>
      </c>
      <c r="U365" s="225">
        <v>61679</v>
      </c>
      <c r="V365" s="226">
        <v>0.49528045202918058</v>
      </c>
      <c r="W365" s="227">
        <v>0.71016610572625594</v>
      </c>
      <c r="X365" s="228" t="s">
        <v>1065</v>
      </c>
      <c r="Y365" s="229" t="s">
        <v>1066</v>
      </c>
      <c r="Z365" s="230" t="s">
        <v>1067</v>
      </c>
      <c r="AA365" s="231">
        <v>61679</v>
      </c>
      <c r="AB365" s="231">
        <v>0</v>
      </c>
      <c r="AC365" s="232">
        <v>12897</v>
      </c>
      <c r="AD365" s="374">
        <v>74576</v>
      </c>
    </row>
    <row r="366" spans="1:31">
      <c r="A366" s="389" t="s">
        <v>106</v>
      </c>
      <c r="B366" s="221" t="s">
        <v>41</v>
      </c>
      <c r="C366" t="s">
        <v>751</v>
      </c>
      <c r="D366"/>
      <c r="E366"/>
      <c r="F366"/>
      <c r="G366"/>
      <c r="H366"/>
      <c r="I366" t="s">
        <v>380</v>
      </c>
      <c r="J366" t="s">
        <v>380</v>
      </c>
      <c r="K366" s="389"/>
      <c r="L366" s="389"/>
      <c r="M366" s="281">
        <v>2010</v>
      </c>
      <c r="N366" s="390">
        <v>8</v>
      </c>
      <c r="O366" s="391">
        <v>79490</v>
      </c>
      <c r="P366" s="391">
        <v>190923</v>
      </c>
      <c r="Q366" s="391">
        <v>9009</v>
      </c>
      <c r="R366" s="391">
        <v>279422</v>
      </c>
      <c r="S366" s="233"/>
      <c r="T366" s="225">
        <v>190923</v>
      </c>
      <c r="U366" s="225">
        <v>79490</v>
      </c>
      <c r="V366" s="226">
        <v>0.41208447818706939</v>
      </c>
      <c r="W366" s="227">
        <v>0.6832783388566398</v>
      </c>
      <c r="X366" s="228" t="s">
        <v>1065</v>
      </c>
      <c r="Y366" s="229" t="s">
        <v>1066</v>
      </c>
      <c r="Z366" s="230" t="s">
        <v>1067</v>
      </c>
      <c r="AA366" s="231">
        <v>79490</v>
      </c>
      <c r="AB366" s="231">
        <v>0</v>
      </c>
      <c r="AC366" s="232">
        <v>9009</v>
      </c>
      <c r="AD366" s="374">
        <v>88499</v>
      </c>
    </row>
    <row r="367" spans="1:31">
      <c r="A367" s="389" t="s">
        <v>106</v>
      </c>
      <c r="B367" s="221" t="s">
        <v>41</v>
      </c>
      <c r="C367" t="s">
        <v>752</v>
      </c>
      <c r="D367"/>
      <c r="E367"/>
      <c r="F367"/>
      <c r="G367"/>
      <c r="H367"/>
      <c r="I367" t="s">
        <v>380</v>
      </c>
      <c r="J367" t="s">
        <v>380</v>
      </c>
      <c r="K367" s="392"/>
      <c r="L367" s="392"/>
      <c r="M367" s="281">
        <v>2006</v>
      </c>
      <c r="N367" s="390">
        <v>9</v>
      </c>
      <c r="O367" s="391">
        <v>188422</v>
      </c>
      <c r="P367" s="391">
        <v>59742</v>
      </c>
      <c r="Q367" s="391">
        <v>2823</v>
      </c>
      <c r="R367" s="391">
        <v>250987</v>
      </c>
      <c r="S367" s="233"/>
      <c r="T367" s="225">
        <v>188422</v>
      </c>
      <c r="U367" s="225">
        <v>59742</v>
      </c>
      <c r="V367" s="226">
        <v>0.51852807014716074</v>
      </c>
      <c r="W367" s="227">
        <v>0.75072414109097285</v>
      </c>
      <c r="X367" s="228" t="s">
        <v>1065</v>
      </c>
      <c r="Y367" s="229" t="s">
        <v>1070</v>
      </c>
      <c r="Z367" s="230" t="s">
        <v>1067</v>
      </c>
      <c r="AA367" s="231">
        <v>0</v>
      </c>
      <c r="AB367" s="231">
        <v>59742</v>
      </c>
      <c r="AC367" s="232">
        <v>2823</v>
      </c>
      <c r="AD367" s="374">
        <v>62565</v>
      </c>
    </row>
    <row r="368" spans="1:31">
      <c r="A368" s="389" t="s">
        <v>107</v>
      </c>
      <c r="B368" s="221" t="s">
        <v>42</v>
      </c>
      <c r="C368" t="s">
        <v>753</v>
      </c>
      <c r="D368"/>
      <c r="E368"/>
      <c r="F368"/>
      <c r="G368"/>
      <c r="H368"/>
      <c r="I368" t="s">
        <v>381</v>
      </c>
      <c r="J368" t="s">
        <v>381</v>
      </c>
      <c r="K368" s="389"/>
      <c r="L368" s="389"/>
      <c r="M368" s="281">
        <v>2004</v>
      </c>
      <c r="N368" s="390">
        <v>1</v>
      </c>
      <c r="O368" s="391">
        <v>67222</v>
      </c>
      <c r="P368" s="391">
        <v>178322</v>
      </c>
      <c r="Q368" s="391">
        <v>4114</v>
      </c>
      <c r="R368" s="391">
        <v>249658</v>
      </c>
      <c r="S368" s="233"/>
      <c r="T368" s="225">
        <v>178322</v>
      </c>
      <c r="U368" s="225">
        <v>67222</v>
      </c>
      <c r="V368" s="226">
        <v>0.45246473137197407</v>
      </c>
      <c r="W368" s="227">
        <v>0.71426511467687792</v>
      </c>
      <c r="X368" s="228" t="s">
        <v>1071</v>
      </c>
      <c r="Y368" s="229" t="s">
        <v>1072</v>
      </c>
      <c r="Z368" s="230" t="s">
        <v>1073</v>
      </c>
      <c r="AA368" s="231">
        <v>67222</v>
      </c>
      <c r="AB368" s="231">
        <v>0</v>
      </c>
      <c r="AC368" s="232">
        <v>4114</v>
      </c>
      <c r="AD368" s="374">
        <v>71336</v>
      </c>
    </row>
    <row r="369" spans="1:31">
      <c r="A369" s="389" t="s">
        <v>107</v>
      </c>
      <c r="B369" s="221" t="s">
        <v>42</v>
      </c>
      <c r="C369" t="s">
        <v>754</v>
      </c>
      <c r="D369"/>
      <c r="E369"/>
      <c r="F369"/>
      <c r="G369"/>
      <c r="H369"/>
      <c r="I369" t="s">
        <v>381</v>
      </c>
      <c r="J369" t="s">
        <v>381</v>
      </c>
      <c r="K369" s="389"/>
      <c r="L369" s="389"/>
      <c r="M369" s="281">
        <v>2004</v>
      </c>
      <c r="N369" s="390">
        <v>2</v>
      </c>
      <c r="O369" s="391">
        <v>80512</v>
      </c>
      <c r="P369" s="391">
        <v>159664</v>
      </c>
      <c r="Q369" s="391">
        <v>6152</v>
      </c>
      <c r="R369" s="391">
        <v>246328</v>
      </c>
      <c r="S369" s="233"/>
      <c r="T369" s="225">
        <v>159664</v>
      </c>
      <c r="U369" s="225">
        <v>80512</v>
      </c>
      <c r="V369" s="226">
        <v>0.32955832389580975</v>
      </c>
      <c r="W369" s="227">
        <v>0.64817641518625568</v>
      </c>
      <c r="X369" s="228" t="s">
        <v>1071</v>
      </c>
      <c r="Y369" s="229" t="s">
        <v>1072</v>
      </c>
      <c r="Z369" s="230" t="s">
        <v>1074</v>
      </c>
      <c r="AA369" s="231">
        <v>80512</v>
      </c>
      <c r="AB369" s="231">
        <v>0</v>
      </c>
      <c r="AC369" s="232">
        <v>6152</v>
      </c>
      <c r="AD369" s="374">
        <v>86664</v>
      </c>
    </row>
    <row r="370" spans="1:31">
      <c r="A370" s="389" t="s">
        <v>107</v>
      </c>
      <c r="B370" s="221" t="s">
        <v>42</v>
      </c>
      <c r="C370" t="s">
        <v>755</v>
      </c>
      <c r="D370" s="382"/>
      <c r="E370"/>
      <c r="F370"/>
      <c r="G370"/>
      <c r="H370"/>
      <c r="I370" t="s">
        <v>381</v>
      </c>
      <c r="J370" t="s">
        <v>381</v>
      </c>
      <c r="K370" s="389"/>
      <c r="L370" s="389"/>
      <c r="M370" s="281">
        <v>1991</v>
      </c>
      <c r="N370" s="390">
        <v>3</v>
      </c>
      <c r="O370" s="391">
        <v>0</v>
      </c>
      <c r="P370" s="391">
        <v>187180</v>
      </c>
      <c r="Q370" s="391">
        <v>0</v>
      </c>
      <c r="R370" s="391">
        <v>187180</v>
      </c>
      <c r="S370" s="233"/>
      <c r="T370" s="225">
        <v>187180</v>
      </c>
      <c r="U370" s="225">
        <v>0</v>
      </c>
      <c r="V370" s="226">
        <v>1</v>
      </c>
      <c r="W370" s="227">
        <v>1</v>
      </c>
      <c r="X370" s="228" t="s">
        <v>381</v>
      </c>
      <c r="Y370" s="229" t="s">
        <v>1072</v>
      </c>
      <c r="Z370" s="230" t="s">
        <v>1073</v>
      </c>
      <c r="AA370" s="231">
        <v>0</v>
      </c>
      <c r="AB370" s="231">
        <v>0</v>
      </c>
      <c r="AC370" s="232">
        <v>0</v>
      </c>
      <c r="AD370" s="374">
        <v>0</v>
      </c>
    </row>
    <row r="371" spans="1:31">
      <c r="A371" s="389" t="s">
        <v>107</v>
      </c>
      <c r="B371" s="221" t="s">
        <v>42</v>
      </c>
      <c r="C371" t="s">
        <v>756</v>
      </c>
      <c r="D371" s="382"/>
      <c r="E371"/>
      <c r="F371"/>
      <c r="G371"/>
      <c r="H371"/>
      <c r="I371" t="s">
        <v>381</v>
      </c>
      <c r="J371" t="s">
        <v>381</v>
      </c>
      <c r="K371" s="389"/>
      <c r="L371" s="389"/>
      <c r="M371" s="281">
        <v>1980</v>
      </c>
      <c r="N371" s="390">
        <v>4</v>
      </c>
      <c r="O371" s="391">
        <v>60214</v>
      </c>
      <c r="P371" s="391">
        <v>182679</v>
      </c>
      <c r="Q371" s="391">
        <v>7450</v>
      </c>
      <c r="R371" s="391">
        <v>250343</v>
      </c>
      <c r="S371" s="233"/>
      <c r="T371" s="225">
        <v>182679</v>
      </c>
      <c r="U371" s="225">
        <v>60214</v>
      </c>
      <c r="V371" s="226">
        <v>0.50419320441511284</v>
      </c>
      <c r="W371" s="227">
        <v>0.72971483125152292</v>
      </c>
      <c r="X371" s="228" t="s">
        <v>1071</v>
      </c>
      <c r="Y371" s="229" t="s">
        <v>1072</v>
      </c>
      <c r="Z371" s="230" t="s">
        <v>1073</v>
      </c>
      <c r="AA371" s="231">
        <v>60214</v>
      </c>
      <c r="AB371" s="231">
        <v>0</v>
      </c>
      <c r="AC371" s="232">
        <v>7450</v>
      </c>
      <c r="AD371" s="374">
        <v>67664</v>
      </c>
    </row>
    <row r="372" spans="1:31">
      <c r="A372" s="389" t="s">
        <v>107</v>
      </c>
      <c r="B372" s="221" t="s">
        <v>42</v>
      </c>
      <c r="C372" t="s">
        <v>757</v>
      </c>
      <c r="D372"/>
      <c r="E372"/>
      <c r="F372"/>
      <c r="G372"/>
      <c r="H372"/>
      <c r="I372" t="s">
        <v>381</v>
      </c>
      <c r="J372" t="s">
        <v>381</v>
      </c>
      <c r="K372" s="389"/>
      <c r="L372" s="389"/>
      <c r="M372" s="281">
        <v>2002</v>
      </c>
      <c r="N372" s="390">
        <v>5</v>
      </c>
      <c r="O372" s="391">
        <v>69178</v>
      </c>
      <c r="P372" s="391">
        <v>134091</v>
      </c>
      <c r="Q372" s="391">
        <v>4961</v>
      </c>
      <c r="R372" s="391">
        <v>208230</v>
      </c>
      <c r="S372" s="233"/>
      <c r="T372" s="225">
        <v>134091</v>
      </c>
      <c r="U372" s="225">
        <v>69178</v>
      </c>
      <c r="V372" s="226">
        <v>0.319345301054268</v>
      </c>
      <c r="W372" s="227">
        <v>0.6439562022763291</v>
      </c>
      <c r="X372" s="228" t="s">
        <v>1071</v>
      </c>
      <c r="Y372" s="229" t="s">
        <v>1072</v>
      </c>
      <c r="Z372" s="230" t="s">
        <v>1074</v>
      </c>
      <c r="AA372" s="231">
        <v>69178</v>
      </c>
      <c r="AB372" s="231">
        <v>0</v>
      </c>
      <c r="AC372" s="232">
        <v>4961</v>
      </c>
      <c r="AD372" s="374">
        <v>74139</v>
      </c>
    </row>
    <row r="373" spans="1:31">
      <c r="A373" s="389" t="s">
        <v>107</v>
      </c>
      <c r="B373" s="221" t="s">
        <v>42</v>
      </c>
      <c r="C373" t="s">
        <v>758</v>
      </c>
      <c r="D373"/>
      <c r="E373"/>
      <c r="F373"/>
      <c r="G373"/>
      <c r="H373"/>
      <c r="I373" t="s">
        <v>381</v>
      </c>
      <c r="J373" t="s">
        <v>381</v>
      </c>
      <c r="K373" s="389"/>
      <c r="L373" s="389"/>
      <c r="M373" s="281">
        <v>1984</v>
      </c>
      <c r="N373" s="390">
        <v>6</v>
      </c>
      <c r="O373" s="391">
        <v>98053</v>
      </c>
      <c r="P373" s="391">
        <v>145019</v>
      </c>
      <c r="Q373" s="391">
        <v>6864</v>
      </c>
      <c r="R373" s="391">
        <v>249936</v>
      </c>
      <c r="S373" s="233"/>
      <c r="T373" s="225">
        <v>145019</v>
      </c>
      <c r="U373" s="225">
        <v>98053</v>
      </c>
      <c r="V373" s="226">
        <v>0.19321847024749869</v>
      </c>
      <c r="W373" s="227">
        <v>0.5802245374815953</v>
      </c>
      <c r="X373" s="228" t="s">
        <v>1071</v>
      </c>
      <c r="Y373" s="229" t="s">
        <v>1072</v>
      </c>
      <c r="Z373" s="230" t="s">
        <v>1075</v>
      </c>
      <c r="AA373" s="231">
        <v>98053</v>
      </c>
      <c r="AB373" s="231">
        <v>0</v>
      </c>
      <c r="AC373" s="232">
        <v>6864</v>
      </c>
      <c r="AD373" s="374">
        <v>104917</v>
      </c>
      <c r="AE373" s="374">
        <v>630360</v>
      </c>
    </row>
    <row r="374" spans="1:31">
      <c r="A374" s="389" t="s">
        <v>107</v>
      </c>
      <c r="B374" s="221" t="s">
        <v>42</v>
      </c>
      <c r="C374" t="s">
        <v>759</v>
      </c>
      <c r="D374"/>
      <c r="E374"/>
      <c r="F374"/>
      <c r="G374"/>
      <c r="H374"/>
      <c r="I374" t="s">
        <v>381</v>
      </c>
      <c r="J374" t="s">
        <v>381</v>
      </c>
      <c r="K374" s="389"/>
      <c r="L374" s="389"/>
      <c r="M374" s="281">
        <v>2000</v>
      </c>
      <c r="N374" s="390">
        <v>7</v>
      </c>
      <c r="O374" s="391">
        <v>85553</v>
      </c>
      <c r="P374" s="391">
        <v>142793</v>
      </c>
      <c r="Q374" s="391">
        <v>6491</v>
      </c>
      <c r="R374" s="391">
        <v>234837</v>
      </c>
      <c r="S374" s="233"/>
      <c r="T374" s="225">
        <v>142793</v>
      </c>
      <c r="U374" s="225">
        <v>85553</v>
      </c>
      <c r="V374" s="226">
        <v>0.25067222548238199</v>
      </c>
      <c r="W374" s="227">
        <v>0.60805154213347978</v>
      </c>
      <c r="X374" s="228" t="s">
        <v>1071</v>
      </c>
      <c r="Y374" s="229" t="s">
        <v>1072</v>
      </c>
      <c r="Z374" s="230" t="s">
        <v>1074</v>
      </c>
      <c r="AA374" s="231">
        <v>85553</v>
      </c>
      <c r="AB374" s="231">
        <v>0</v>
      </c>
      <c r="AC374" s="232">
        <v>6491</v>
      </c>
      <c r="AD374" s="374">
        <v>92044</v>
      </c>
    </row>
    <row r="375" spans="1:31">
      <c r="A375" s="389" t="s">
        <v>107</v>
      </c>
      <c r="B375" s="221" t="s">
        <v>42</v>
      </c>
      <c r="C375" t="s">
        <v>760</v>
      </c>
      <c r="D375"/>
      <c r="E375"/>
      <c r="F375"/>
      <c r="G375"/>
      <c r="H375"/>
      <c r="I375" t="s">
        <v>381</v>
      </c>
      <c r="J375" t="s">
        <v>381</v>
      </c>
      <c r="K375" s="389"/>
      <c r="L375" s="389"/>
      <c r="M375" s="281">
        <v>1996</v>
      </c>
      <c r="N375" s="390">
        <v>8</v>
      </c>
      <c r="O375" s="391">
        <v>51051</v>
      </c>
      <c r="P375" s="391">
        <v>194043</v>
      </c>
      <c r="Q375" s="391">
        <v>5958</v>
      </c>
      <c r="R375" s="391">
        <v>251052</v>
      </c>
      <c r="S375" s="233"/>
      <c r="T375" s="225">
        <v>194043</v>
      </c>
      <c r="U375" s="225">
        <v>51051</v>
      </c>
      <c r="V375" s="226">
        <v>0.58341697471174325</v>
      </c>
      <c r="W375" s="227">
        <v>0.77291955451460259</v>
      </c>
      <c r="X375" s="228" t="s">
        <v>1071</v>
      </c>
      <c r="Y375" s="229" t="s">
        <v>1072</v>
      </c>
      <c r="Z375" s="230" t="s">
        <v>1073</v>
      </c>
      <c r="AA375" s="231">
        <v>51051</v>
      </c>
      <c r="AB375" s="231">
        <v>0</v>
      </c>
      <c r="AC375" s="232">
        <v>5958</v>
      </c>
      <c r="AD375" s="374">
        <v>57009</v>
      </c>
    </row>
    <row r="376" spans="1:31">
      <c r="A376" s="389" t="s">
        <v>107</v>
      </c>
      <c r="B376" s="221" t="s">
        <v>42</v>
      </c>
      <c r="C376" t="s">
        <v>761</v>
      </c>
      <c r="D376"/>
      <c r="E376" s="382" t="s">
        <v>381</v>
      </c>
      <c r="F376"/>
      <c r="G376"/>
      <c r="H376"/>
      <c r="I376" t="s">
        <v>381</v>
      </c>
      <c r="J376" t="s">
        <v>381</v>
      </c>
      <c r="K376" s="392"/>
      <c r="L376" s="392"/>
      <c r="M376" s="281">
        <v>2004</v>
      </c>
      <c r="N376" s="390">
        <v>9</v>
      </c>
      <c r="O376" s="391">
        <v>144075</v>
      </c>
      <c r="P376" s="391">
        <v>36139</v>
      </c>
      <c r="Q376" s="391">
        <v>3352</v>
      </c>
      <c r="R376" s="391">
        <v>183566</v>
      </c>
      <c r="S376" s="233"/>
      <c r="T376" s="225">
        <v>144075</v>
      </c>
      <c r="U376" s="225">
        <v>36139</v>
      </c>
      <c r="V376" s="226">
        <v>0.59893238039220043</v>
      </c>
      <c r="W376" s="227">
        <v>0.78486756806816083</v>
      </c>
      <c r="X376" s="228" t="s">
        <v>1071</v>
      </c>
      <c r="Y376" s="229" t="s">
        <v>1076</v>
      </c>
      <c r="Z376" s="230" t="s">
        <v>1073</v>
      </c>
      <c r="AA376" s="231">
        <v>0</v>
      </c>
      <c r="AB376" s="231">
        <v>36139</v>
      </c>
      <c r="AC376" s="232">
        <v>3352</v>
      </c>
      <c r="AD376" s="374">
        <v>39491</v>
      </c>
    </row>
    <row r="377" spans="1:31">
      <c r="A377" s="389" t="s">
        <v>107</v>
      </c>
      <c r="B377" s="221" t="s">
        <v>42</v>
      </c>
      <c r="C377" t="s">
        <v>762</v>
      </c>
      <c r="D377"/>
      <c r="E377"/>
      <c r="F377"/>
      <c r="G377"/>
      <c r="H377"/>
      <c r="I377" t="s">
        <v>381</v>
      </c>
      <c r="J377" t="s">
        <v>381</v>
      </c>
      <c r="K377" s="389"/>
      <c r="L377" s="389"/>
      <c r="M377" s="281">
        <v>2004</v>
      </c>
      <c r="N377" s="390">
        <v>10</v>
      </c>
      <c r="O377" s="391">
        <v>95710</v>
      </c>
      <c r="P377" s="391">
        <v>159783</v>
      </c>
      <c r="Q377" s="391">
        <v>8526</v>
      </c>
      <c r="R377" s="391">
        <v>264019</v>
      </c>
      <c r="S377" s="233"/>
      <c r="T377" s="225">
        <v>159783</v>
      </c>
      <c r="U377" s="225">
        <v>95710</v>
      </c>
      <c r="V377" s="226">
        <v>0.2507818218111651</v>
      </c>
      <c r="W377" s="227">
        <v>0.60519508065707395</v>
      </c>
      <c r="X377" s="228" t="s">
        <v>1071</v>
      </c>
      <c r="Y377" s="229" t="s">
        <v>1072</v>
      </c>
      <c r="Z377" s="230" t="s">
        <v>1074</v>
      </c>
      <c r="AA377" s="231">
        <v>95710</v>
      </c>
      <c r="AB377" s="231">
        <v>0</v>
      </c>
      <c r="AC377" s="232">
        <v>8526</v>
      </c>
      <c r="AD377" s="374">
        <v>104236</v>
      </c>
    </row>
    <row r="378" spans="1:31">
      <c r="A378" s="389" t="s">
        <v>107</v>
      </c>
      <c r="B378" s="221" t="s">
        <v>42</v>
      </c>
      <c r="C378" t="s">
        <v>763</v>
      </c>
      <c r="D378"/>
      <c r="E378"/>
      <c r="F378"/>
      <c r="G378"/>
      <c r="H378"/>
      <c r="I378" t="s">
        <v>381</v>
      </c>
      <c r="J378" t="s">
        <v>381</v>
      </c>
      <c r="K378" s="389"/>
      <c r="L378" s="389"/>
      <c r="M378" s="281">
        <v>2004</v>
      </c>
      <c r="N378" s="390">
        <v>11</v>
      </c>
      <c r="O378" s="391">
        <v>41970</v>
      </c>
      <c r="P378" s="391">
        <v>177742</v>
      </c>
      <c r="Q378" s="391">
        <v>6311</v>
      </c>
      <c r="R378" s="391">
        <v>226023</v>
      </c>
      <c r="S378" s="233"/>
      <c r="T378" s="225">
        <v>177742</v>
      </c>
      <c r="U378" s="225">
        <v>41970</v>
      </c>
      <c r="V378" s="226">
        <v>0.61795441304981069</v>
      </c>
      <c r="W378" s="227">
        <v>0.78638899581016086</v>
      </c>
      <c r="X378" s="228" t="s">
        <v>1071</v>
      </c>
      <c r="Y378" s="229" t="s">
        <v>1072</v>
      </c>
      <c r="Z378" s="230" t="s">
        <v>1073</v>
      </c>
      <c r="AA378" s="231">
        <v>41970</v>
      </c>
      <c r="AB378" s="231">
        <v>0</v>
      </c>
      <c r="AC378" s="232">
        <v>6311</v>
      </c>
      <c r="AD378" s="374">
        <v>48281</v>
      </c>
    </row>
    <row r="379" spans="1:31">
      <c r="A379" s="389" t="s">
        <v>107</v>
      </c>
      <c r="B379" s="221" t="s">
        <v>42</v>
      </c>
      <c r="C379" t="s">
        <v>764</v>
      </c>
      <c r="D379" s="382" t="s">
        <v>381</v>
      </c>
      <c r="E379"/>
      <c r="F379"/>
      <c r="G379"/>
      <c r="H379"/>
      <c r="I379" t="s">
        <v>381</v>
      </c>
      <c r="J379" t="s">
        <v>381</v>
      </c>
      <c r="K379" s="389"/>
      <c r="L379" s="389"/>
      <c r="M379" s="281">
        <v>1996</v>
      </c>
      <c r="N379" s="390">
        <v>12</v>
      </c>
      <c r="O379" s="391">
        <v>66080</v>
      </c>
      <c r="P379" s="391">
        <v>175649</v>
      </c>
      <c r="Q379" s="391">
        <v>5983</v>
      </c>
      <c r="R379" s="391">
        <v>247712</v>
      </c>
      <c r="S379" s="233"/>
      <c r="T379" s="225">
        <v>175649</v>
      </c>
      <c r="U379" s="225">
        <v>66080</v>
      </c>
      <c r="V379" s="226">
        <v>0.45327205258781528</v>
      </c>
      <c r="W379" s="227">
        <v>0.709085550962408</v>
      </c>
      <c r="X379" s="228" t="s">
        <v>1071</v>
      </c>
      <c r="Y379" s="229" t="s">
        <v>1072</v>
      </c>
      <c r="Z379" s="230" t="s">
        <v>1073</v>
      </c>
      <c r="AA379" s="231">
        <v>66080</v>
      </c>
      <c r="AB379" s="231">
        <v>0</v>
      </c>
      <c r="AC379" s="232">
        <v>5983</v>
      </c>
      <c r="AD379" s="374">
        <v>72063</v>
      </c>
    </row>
    <row r="380" spans="1:31">
      <c r="A380" s="389" t="s">
        <v>107</v>
      </c>
      <c r="B380" s="221" t="s">
        <v>42</v>
      </c>
      <c r="C380" t="s">
        <v>765</v>
      </c>
      <c r="D380"/>
      <c r="E380"/>
      <c r="F380"/>
      <c r="G380"/>
      <c r="H380"/>
      <c r="I380" t="s">
        <v>381</v>
      </c>
      <c r="J380" t="s">
        <v>381</v>
      </c>
      <c r="K380" s="389"/>
      <c r="L380" s="389"/>
      <c r="M380" s="281">
        <v>1994</v>
      </c>
      <c r="N380" s="390">
        <v>13</v>
      </c>
      <c r="O380" s="391">
        <v>0</v>
      </c>
      <c r="P380" s="391">
        <v>187775</v>
      </c>
      <c r="Q380" s="391">
        <v>18613</v>
      </c>
      <c r="R380" s="391">
        <v>206388</v>
      </c>
      <c r="S380" s="233"/>
      <c r="T380" s="225">
        <v>187775</v>
      </c>
      <c r="U380" s="225">
        <v>18613</v>
      </c>
      <c r="V380" s="226">
        <v>1</v>
      </c>
      <c r="W380" s="227">
        <v>0.90981549314882648</v>
      </c>
      <c r="X380" s="228" t="s">
        <v>381</v>
      </c>
      <c r="Y380" s="229" t="s">
        <v>1072</v>
      </c>
      <c r="Z380" s="230" t="s">
        <v>1073</v>
      </c>
      <c r="AA380" s="231">
        <v>0</v>
      </c>
      <c r="AB380" s="231">
        <v>0</v>
      </c>
      <c r="AC380" s="232">
        <v>18613</v>
      </c>
      <c r="AD380" s="374">
        <v>18613</v>
      </c>
    </row>
    <row r="381" spans="1:31">
      <c r="A381" s="389" t="s">
        <v>107</v>
      </c>
      <c r="B381" s="221" t="s">
        <v>42</v>
      </c>
      <c r="C381" t="s">
        <v>766</v>
      </c>
      <c r="D381"/>
      <c r="E381"/>
      <c r="F381"/>
      <c r="G381"/>
      <c r="H381"/>
      <c r="I381" t="s">
        <v>381</v>
      </c>
      <c r="J381" t="s">
        <v>381</v>
      </c>
      <c r="K381" s="389"/>
      <c r="L381" s="389"/>
      <c r="M381" s="281">
        <v>2012</v>
      </c>
      <c r="N381" s="390">
        <v>14</v>
      </c>
      <c r="O381" s="391">
        <v>109697</v>
      </c>
      <c r="P381" s="391">
        <v>131460</v>
      </c>
      <c r="Q381" s="391">
        <v>4682</v>
      </c>
      <c r="R381" s="391">
        <v>245839</v>
      </c>
      <c r="S381" s="233"/>
      <c r="T381" s="225">
        <v>131460</v>
      </c>
      <c r="U381" s="225">
        <v>109697</v>
      </c>
      <c r="V381" s="226">
        <v>9.0244114829758207E-2</v>
      </c>
      <c r="W381" s="227">
        <v>0.53474021615772926</v>
      </c>
      <c r="X381" s="228" t="s">
        <v>1071</v>
      </c>
      <c r="Y381" s="229" t="s">
        <v>1072</v>
      </c>
      <c r="Z381" s="230" t="s">
        <v>1077</v>
      </c>
      <c r="AA381" s="231">
        <v>109697</v>
      </c>
      <c r="AB381" s="231">
        <v>0</v>
      </c>
      <c r="AC381" s="232">
        <v>4682</v>
      </c>
      <c r="AD381" s="374">
        <v>114379</v>
      </c>
    </row>
    <row r="382" spans="1:31">
      <c r="A382" s="389" t="s">
        <v>107</v>
      </c>
      <c r="B382" s="221" t="s">
        <v>42</v>
      </c>
      <c r="C382" t="s">
        <v>767</v>
      </c>
      <c r="D382"/>
      <c r="F382" s="382" t="s">
        <v>381</v>
      </c>
      <c r="G382"/>
      <c r="H382"/>
      <c r="I382" t="s">
        <v>381</v>
      </c>
      <c r="J382" t="s">
        <v>381</v>
      </c>
      <c r="K382" s="392"/>
      <c r="L382" s="392"/>
      <c r="M382" s="281">
        <v>1996</v>
      </c>
      <c r="N382" s="390">
        <v>15</v>
      </c>
      <c r="O382" s="391">
        <v>89296</v>
      </c>
      <c r="P382" s="391">
        <v>54056</v>
      </c>
      <c r="Q382" s="391">
        <v>3309</v>
      </c>
      <c r="R382" s="391">
        <v>146661</v>
      </c>
      <c r="S382" s="233"/>
      <c r="T382" s="225">
        <v>89296</v>
      </c>
      <c r="U382" s="225">
        <v>54056</v>
      </c>
      <c r="V382" s="226">
        <v>0.24582845024833974</v>
      </c>
      <c r="W382" s="227">
        <v>0.60885988776839106</v>
      </c>
      <c r="X382" s="228" t="s">
        <v>1071</v>
      </c>
      <c r="Y382" s="229" t="s">
        <v>1076</v>
      </c>
      <c r="Z382" s="230" t="s">
        <v>1074</v>
      </c>
      <c r="AA382" s="231">
        <v>0</v>
      </c>
      <c r="AB382" s="231">
        <v>54056</v>
      </c>
      <c r="AC382" s="232">
        <v>3309</v>
      </c>
      <c r="AD382" s="374">
        <v>57365</v>
      </c>
    </row>
    <row r="383" spans="1:31">
      <c r="A383" s="389" t="s">
        <v>107</v>
      </c>
      <c r="B383" s="221" t="s">
        <v>42</v>
      </c>
      <c r="C383" t="s">
        <v>768</v>
      </c>
      <c r="D383"/>
      <c r="E383"/>
      <c r="F383"/>
      <c r="G383"/>
      <c r="H383"/>
      <c r="I383" t="s">
        <v>381</v>
      </c>
      <c r="J383" t="s">
        <v>381</v>
      </c>
      <c r="K383" s="392"/>
      <c r="L383" s="392"/>
      <c r="M383" s="281">
        <v>2012</v>
      </c>
      <c r="N383" s="390">
        <v>16</v>
      </c>
      <c r="O383" s="391">
        <v>101403</v>
      </c>
      <c r="P383" s="391">
        <v>51043</v>
      </c>
      <c r="Q383" s="391">
        <v>2559</v>
      </c>
      <c r="R383" s="391">
        <v>155005</v>
      </c>
      <c r="S383" s="233"/>
      <c r="T383" s="225">
        <v>101403</v>
      </c>
      <c r="U383" s="225">
        <v>51043</v>
      </c>
      <c r="V383" s="226">
        <v>0.33034648334492211</v>
      </c>
      <c r="W383" s="227">
        <v>0.65419180026450763</v>
      </c>
      <c r="X383" s="228" t="s">
        <v>1071</v>
      </c>
      <c r="Y383" s="229" t="s">
        <v>1076</v>
      </c>
      <c r="Z383" s="230" t="s">
        <v>1074</v>
      </c>
      <c r="AA383" s="231">
        <v>0</v>
      </c>
      <c r="AB383" s="231">
        <v>51043</v>
      </c>
      <c r="AC383" s="232">
        <v>2559</v>
      </c>
      <c r="AD383" s="374">
        <v>53602</v>
      </c>
    </row>
    <row r="384" spans="1:31">
      <c r="A384" s="389" t="s">
        <v>107</v>
      </c>
      <c r="B384" s="221" t="s">
        <v>42</v>
      </c>
      <c r="C384" t="s">
        <v>769</v>
      </c>
      <c r="D384"/>
      <c r="E384"/>
      <c r="F384" s="382" t="s">
        <v>381</v>
      </c>
      <c r="G384"/>
      <c r="H384"/>
      <c r="I384" t="s">
        <v>381</v>
      </c>
      <c r="J384" t="s">
        <v>381</v>
      </c>
      <c r="K384" s="389"/>
      <c r="L384" s="389"/>
      <c r="M384" s="281">
        <v>2010</v>
      </c>
      <c r="N384" s="390">
        <v>17</v>
      </c>
      <c r="O384" s="391">
        <v>0</v>
      </c>
      <c r="P384" s="391">
        <v>143284</v>
      </c>
      <c r="Q384" s="391">
        <v>35978</v>
      </c>
      <c r="R384" s="391">
        <v>179262</v>
      </c>
      <c r="S384" s="233"/>
      <c r="T384" s="225">
        <v>143284</v>
      </c>
      <c r="U384" s="225">
        <v>35978</v>
      </c>
      <c r="V384" s="226">
        <v>1</v>
      </c>
      <c r="W384" s="227">
        <v>0.79929934955539939</v>
      </c>
      <c r="X384" s="228" t="s">
        <v>381</v>
      </c>
      <c r="Y384" s="229" t="s">
        <v>1072</v>
      </c>
      <c r="Z384" s="230" t="s">
        <v>1073</v>
      </c>
      <c r="AA384" s="231">
        <v>0</v>
      </c>
      <c r="AB384" s="231">
        <v>0</v>
      </c>
      <c r="AC384" s="232">
        <v>35978</v>
      </c>
      <c r="AD384" s="374">
        <v>35978</v>
      </c>
    </row>
    <row r="385" spans="1:30">
      <c r="A385" s="389" t="s">
        <v>107</v>
      </c>
      <c r="B385" s="221" t="s">
        <v>42</v>
      </c>
      <c r="C385" t="s">
        <v>770</v>
      </c>
      <c r="D385" s="382" t="s">
        <v>381</v>
      </c>
      <c r="E385" s="382" t="s">
        <v>381</v>
      </c>
      <c r="F385"/>
      <c r="G385"/>
      <c r="H385"/>
      <c r="I385" t="s">
        <v>381</v>
      </c>
      <c r="J385" t="s">
        <v>381</v>
      </c>
      <c r="K385" s="392"/>
      <c r="L385" s="392"/>
      <c r="M385" s="281">
        <v>1994</v>
      </c>
      <c r="N385" s="390">
        <v>18</v>
      </c>
      <c r="O385" s="391">
        <v>146223</v>
      </c>
      <c r="P385" s="391">
        <v>44015</v>
      </c>
      <c r="Q385" s="391">
        <v>4694</v>
      </c>
      <c r="R385" s="391">
        <v>194932</v>
      </c>
      <c r="S385" s="233"/>
      <c r="T385" s="225">
        <v>146223</v>
      </c>
      <c r="U385" s="225">
        <v>44015</v>
      </c>
      <c r="V385" s="226">
        <v>0.53726384844247732</v>
      </c>
      <c r="W385" s="227">
        <v>0.75012311985718094</v>
      </c>
      <c r="X385" s="228" t="s">
        <v>1071</v>
      </c>
      <c r="Y385" s="229" t="s">
        <v>1076</v>
      </c>
      <c r="Z385" s="230" t="s">
        <v>1073</v>
      </c>
      <c r="AA385" s="231">
        <v>0</v>
      </c>
      <c r="AB385" s="231">
        <v>44015</v>
      </c>
      <c r="AC385" s="232">
        <v>4694</v>
      </c>
      <c r="AD385" s="374">
        <v>48709</v>
      </c>
    </row>
    <row r="386" spans="1:30">
      <c r="A386" s="389" t="s">
        <v>107</v>
      </c>
      <c r="B386" s="221" t="s">
        <v>42</v>
      </c>
      <c r="C386" t="s">
        <v>771</v>
      </c>
      <c r="D386"/>
      <c r="E386"/>
      <c r="F386"/>
      <c r="G386"/>
      <c r="H386"/>
      <c r="I386" t="s">
        <v>381</v>
      </c>
      <c r="J386" t="s">
        <v>381</v>
      </c>
      <c r="K386" s="389"/>
      <c r="L386" s="389"/>
      <c r="M386" s="281">
        <v>2003</v>
      </c>
      <c r="N386" s="390">
        <v>19</v>
      </c>
      <c r="O386" s="391">
        <v>0</v>
      </c>
      <c r="P386" s="391">
        <v>163239</v>
      </c>
      <c r="Q386" s="391">
        <v>28824</v>
      </c>
      <c r="R386" s="391">
        <v>192063</v>
      </c>
      <c r="S386" s="233"/>
      <c r="T386" s="225">
        <v>163239</v>
      </c>
      <c r="U386" s="225">
        <v>28824</v>
      </c>
      <c r="V386" s="226">
        <v>1</v>
      </c>
      <c r="W386" s="227">
        <v>0.84992424360756624</v>
      </c>
      <c r="X386" s="228" t="s">
        <v>381</v>
      </c>
      <c r="Y386" s="229" t="s">
        <v>1072</v>
      </c>
      <c r="Z386" s="230" t="s">
        <v>1073</v>
      </c>
      <c r="AA386" s="231">
        <v>0</v>
      </c>
      <c r="AB386" s="231">
        <v>0</v>
      </c>
      <c r="AC386" s="232">
        <v>28824</v>
      </c>
      <c r="AD386" s="374">
        <v>28824</v>
      </c>
    </row>
    <row r="387" spans="1:30">
      <c r="A387" s="389" t="s">
        <v>107</v>
      </c>
      <c r="B387" s="221" t="s">
        <v>42</v>
      </c>
      <c r="C387" t="s">
        <v>772</v>
      </c>
      <c r="D387"/>
      <c r="E387"/>
      <c r="F387" s="382" t="s">
        <v>381</v>
      </c>
      <c r="G387"/>
      <c r="H387"/>
      <c r="I387" t="s">
        <v>381</v>
      </c>
      <c r="J387" t="s">
        <v>381</v>
      </c>
      <c r="K387" s="392"/>
      <c r="L387" s="392"/>
      <c r="M387" s="281">
        <v>2012</v>
      </c>
      <c r="N387" s="390">
        <v>20</v>
      </c>
      <c r="O387" s="391">
        <v>119032</v>
      </c>
      <c r="P387" s="391">
        <v>62376</v>
      </c>
      <c r="Q387" s="391">
        <v>4769</v>
      </c>
      <c r="R387" s="391">
        <v>186177</v>
      </c>
      <c r="S387" s="233"/>
      <c r="T387" s="225">
        <v>119032</v>
      </c>
      <c r="U387" s="225">
        <v>62376</v>
      </c>
      <c r="V387" s="226">
        <v>0.31231257717410477</v>
      </c>
      <c r="W387" s="227">
        <v>0.6393485768918824</v>
      </c>
      <c r="X387" s="228" t="s">
        <v>1071</v>
      </c>
      <c r="Y387" s="229" t="s">
        <v>1076</v>
      </c>
      <c r="Z387" s="230" t="s">
        <v>1074</v>
      </c>
      <c r="AA387" s="231">
        <v>0</v>
      </c>
      <c r="AB387" s="231">
        <v>62376</v>
      </c>
      <c r="AC387" s="232">
        <v>4769</v>
      </c>
      <c r="AD387" s="374">
        <v>67145</v>
      </c>
    </row>
    <row r="388" spans="1:30">
      <c r="A388" s="389" t="s">
        <v>107</v>
      </c>
      <c r="B388" s="221" t="s">
        <v>42</v>
      </c>
      <c r="C388" t="s">
        <v>773</v>
      </c>
      <c r="D388"/>
      <c r="E388"/>
      <c r="G388"/>
      <c r="H388"/>
      <c r="I388" t="s">
        <v>381</v>
      </c>
      <c r="J388" t="s">
        <v>381</v>
      </c>
      <c r="K388" s="389"/>
      <c r="L388" s="389"/>
      <c r="M388" s="281">
        <v>1986</v>
      </c>
      <c r="N388" s="390">
        <v>21</v>
      </c>
      <c r="O388" s="391">
        <v>109326</v>
      </c>
      <c r="P388" s="391">
        <v>187015</v>
      </c>
      <c r="Q388" s="391">
        <v>12524</v>
      </c>
      <c r="R388" s="391">
        <v>308865</v>
      </c>
      <c r="S388" s="233"/>
      <c r="T388" s="225">
        <v>187015</v>
      </c>
      <c r="U388" s="225">
        <v>109326</v>
      </c>
      <c r="V388" s="226">
        <v>0.26216082148605829</v>
      </c>
      <c r="W388" s="227">
        <v>0.60549107215126352</v>
      </c>
      <c r="X388" s="228" t="s">
        <v>1071</v>
      </c>
      <c r="Y388" s="229" t="s">
        <v>1072</v>
      </c>
      <c r="Z388" s="230" t="s">
        <v>1074</v>
      </c>
      <c r="AA388" s="231">
        <v>109326</v>
      </c>
      <c r="AB388" s="231">
        <v>0</v>
      </c>
      <c r="AC388" s="232">
        <v>12524</v>
      </c>
      <c r="AD388" s="374">
        <v>121850</v>
      </c>
    </row>
    <row r="389" spans="1:30">
      <c r="A389" s="389" t="s">
        <v>107</v>
      </c>
      <c r="B389" s="221" t="s">
        <v>42</v>
      </c>
      <c r="C389" t="s">
        <v>774</v>
      </c>
      <c r="D389"/>
      <c r="E389"/>
      <c r="G389"/>
      <c r="H389"/>
      <c r="I389" t="s">
        <v>381</v>
      </c>
      <c r="J389" t="s">
        <v>381</v>
      </c>
      <c r="K389" s="389"/>
      <c r="L389" s="389"/>
      <c r="M389" s="281">
        <v>2008</v>
      </c>
      <c r="N389" s="390">
        <v>22</v>
      </c>
      <c r="O389" s="391">
        <v>80203</v>
      </c>
      <c r="P389" s="391">
        <v>160668</v>
      </c>
      <c r="Q389" s="391">
        <v>10040</v>
      </c>
      <c r="R389" s="391">
        <v>250911</v>
      </c>
      <c r="S389" s="233"/>
      <c r="T389" s="225">
        <v>160668</v>
      </c>
      <c r="U389" s="225">
        <v>80203</v>
      </c>
      <c r="V389" s="226">
        <v>0.33405847943505029</v>
      </c>
      <c r="W389" s="237">
        <v>0.64033860611930127</v>
      </c>
      <c r="X389" s="238" t="s">
        <v>1071</v>
      </c>
      <c r="Y389" s="229" t="s">
        <v>1072</v>
      </c>
      <c r="Z389" s="230" t="s">
        <v>1074</v>
      </c>
      <c r="AA389" s="231">
        <v>80203</v>
      </c>
      <c r="AB389" s="231">
        <v>0</v>
      </c>
      <c r="AC389" s="232">
        <v>10040</v>
      </c>
      <c r="AD389" s="374">
        <v>90243</v>
      </c>
    </row>
    <row r="390" spans="1:30">
      <c r="A390" s="389" t="s">
        <v>107</v>
      </c>
      <c r="B390" s="221" t="s">
        <v>42</v>
      </c>
      <c r="C390" t="s">
        <v>775</v>
      </c>
      <c r="D390"/>
      <c r="E390"/>
      <c r="F390" s="382" t="s">
        <v>381</v>
      </c>
      <c r="G390"/>
      <c r="H390"/>
      <c r="I390" t="s">
        <v>381</v>
      </c>
      <c r="J390" t="s">
        <v>1071</v>
      </c>
      <c r="K390" s="392">
        <v>1</v>
      </c>
      <c r="L390" s="392">
        <v>1</v>
      </c>
      <c r="M390" s="281">
        <v>2012</v>
      </c>
      <c r="N390" s="390">
        <v>23</v>
      </c>
      <c r="O390" s="391">
        <v>96676</v>
      </c>
      <c r="P390" s="391">
        <v>87547</v>
      </c>
      <c r="Q390" s="391">
        <v>7946</v>
      </c>
      <c r="R390" s="391">
        <v>192169</v>
      </c>
      <c r="S390" s="233"/>
      <c r="T390" s="225">
        <v>96676</v>
      </c>
      <c r="U390" s="225">
        <v>87547</v>
      </c>
      <c r="V390" s="226">
        <v>4.9554073052767572E-2</v>
      </c>
      <c r="W390" s="227">
        <v>0.50307801986792877</v>
      </c>
      <c r="X390" s="228" t="s">
        <v>1071</v>
      </c>
      <c r="Y390" s="229" t="s">
        <v>1076</v>
      </c>
      <c r="Z390" s="230" t="s">
        <v>1078</v>
      </c>
      <c r="AA390" s="231">
        <v>0</v>
      </c>
      <c r="AB390" s="231">
        <v>87547</v>
      </c>
      <c r="AC390" s="232">
        <v>7946</v>
      </c>
      <c r="AD390" s="374">
        <v>95493</v>
      </c>
    </row>
    <row r="391" spans="1:30">
      <c r="A391" s="389" t="s">
        <v>107</v>
      </c>
      <c r="B391" s="221" t="s">
        <v>42</v>
      </c>
      <c r="C391" t="s">
        <v>776</v>
      </c>
      <c r="D391" s="382"/>
      <c r="F391"/>
      <c r="G391"/>
      <c r="H391"/>
      <c r="I391" t="s">
        <v>381</v>
      </c>
      <c r="J391" t="s">
        <v>381</v>
      </c>
      <c r="K391" s="389"/>
      <c r="L391" s="389"/>
      <c r="M391" s="281">
        <v>2004</v>
      </c>
      <c r="N391" s="390">
        <v>24</v>
      </c>
      <c r="O391" s="391">
        <v>87645</v>
      </c>
      <c r="P391" s="391">
        <v>148586</v>
      </c>
      <c r="Q391" s="391">
        <v>7258</v>
      </c>
      <c r="R391" s="391">
        <v>243489</v>
      </c>
      <c r="S391" s="233"/>
      <c r="T391" s="225">
        <v>148586</v>
      </c>
      <c r="U391" s="225">
        <v>87645</v>
      </c>
      <c r="V391" s="226">
        <v>0.25797206971142655</v>
      </c>
      <c r="W391" s="227">
        <v>0.61023701276033004</v>
      </c>
      <c r="X391" s="228" t="s">
        <v>1071</v>
      </c>
      <c r="Y391" s="229" t="s">
        <v>1072</v>
      </c>
      <c r="Z391" s="230" t="s">
        <v>1074</v>
      </c>
      <c r="AA391" s="231">
        <v>87645</v>
      </c>
      <c r="AB391" s="231">
        <v>0</v>
      </c>
      <c r="AC391" s="232">
        <v>7258</v>
      </c>
      <c r="AD391" s="374">
        <v>94903</v>
      </c>
    </row>
    <row r="392" spans="1:30">
      <c r="A392" s="389" t="s">
        <v>107</v>
      </c>
      <c r="B392" s="221" t="s">
        <v>42</v>
      </c>
      <c r="C392" t="s">
        <v>777</v>
      </c>
      <c r="D392"/>
      <c r="E392"/>
      <c r="F392"/>
      <c r="G392"/>
      <c r="H392"/>
      <c r="I392" t="s">
        <v>381</v>
      </c>
      <c r="J392" t="s">
        <v>381</v>
      </c>
      <c r="K392" s="389"/>
      <c r="L392" s="389"/>
      <c r="M392" s="281">
        <v>2012</v>
      </c>
      <c r="N392" s="390">
        <v>25</v>
      </c>
      <c r="O392" s="391">
        <v>98827</v>
      </c>
      <c r="P392" s="391">
        <v>154245</v>
      </c>
      <c r="Q392" s="391">
        <v>10860</v>
      </c>
      <c r="R392" s="391">
        <v>263932</v>
      </c>
      <c r="S392" s="233"/>
      <c r="T392" s="225">
        <v>154245</v>
      </c>
      <c r="U392" s="225">
        <v>98827</v>
      </c>
      <c r="V392" s="226">
        <v>0.21898115951191754</v>
      </c>
      <c r="W392" s="227">
        <v>0.58441189397268989</v>
      </c>
      <c r="X392" s="228" t="s">
        <v>1071</v>
      </c>
      <c r="Y392" s="229" t="s">
        <v>1072</v>
      </c>
      <c r="Z392" s="230" t="s">
        <v>1074</v>
      </c>
      <c r="AA392" s="231">
        <v>98827</v>
      </c>
      <c r="AB392" s="231">
        <v>0</v>
      </c>
      <c r="AC392" s="232">
        <v>10860</v>
      </c>
      <c r="AD392" s="374">
        <v>109687</v>
      </c>
    </row>
    <row r="393" spans="1:30">
      <c r="A393" s="389" t="s">
        <v>107</v>
      </c>
      <c r="B393" s="221" t="s">
        <v>42</v>
      </c>
      <c r="C393" t="s">
        <v>778</v>
      </c>
      <c r="D393"/>
      <c r="E393"/>
      <c r="F393" s="382"/>
      <c r="G393"/>
      <c r="H393"/>
      <c r="I393" t="s">
        <v>381</v>
      </c>
      <c r="J393" t="s">
        <v>381</v>
      </c>
      <c r="K393" s="389"/>
      <c r="L393" s="389"/>
      <c r="M393" s="281">
        <v>2002</v>
      </c>
      <c r="N393" s="390">
        <v>26</v>
      </c>
      <c r="O393" s="391">
        <v>74237</v>
      </c>
      <c r="P393" s="391">
        <v>176642</v>
      </c>
      <c r="Q393" s="391">
        <v>7844</v>
      </c>
      <c r="R393" s="391">
        <v>258723</v>
      </c>
      <c r="S393" s="233"/>
      <c r="T393" s="225">
        <v>176642</v>
      </c>
      <c r="U393" s="225">
        <v>74237</v>
      </c>
      <c r="V393" s="226">
        <v>0.40818482216526691</v>
      </c>
      <c r="W393" s="237">
        <v>0.68274563915848219</v>
      </c>
      <c r="X393" s="238" t="s">
        <v>1071</v>
      </c>
      <c r="Y393" s="229" t="s">
        <v>1072</v>
      </c>
      <c r="Z393" s="230" t="s">
        <v>1073</v>
      </c>
      <c r="AA393" s="231">
        <v>74237</v>
      </c>
      <c r="AB393" s="231">
        <v>0</v>
      </c>
      <c r="AC393" s="232">
        <v>7844</v>
      </c>
      <c r="AD393" s="374">
        <v>82081</v>
      </c>
    </row>
    <row r="394" spans="1:30">
      <c r="A394" s="389" t="s">
        <v>107</v>
      </c>
      <c r="B394" s="221" t="s">
        <v>42</v>
      </c>
      <c r="C394" t="s">
        <v>779</v>
      </c>
      <c r="D394"/>
      <c r="E394"/>
      <c r="F394"/>
      <c r="G394"/>
      <c r="H394"/>
      <c r="I394" t="s">
        <v>381</v>
      </c>
      <c r="J394" t="s">
        <v>381</v>
      </c>
      <c r="K394" s="389"/>
      <c r="L394" s="389"/>
      <c r="M394" s="281">
        <v>2010</v>
      </c>
      <c r="N394" s="390">
        <v>27</v>
      </c>
      <c r="O394" s="391">
        <v>83395</v>
      </c>
      <c r="P394" s="391">
        <v>120684</v>
      </c>
      <c r="Q394" s="391">
        <v>8572</v>
      </c>
      <c r="R394" s="391">
        <v>212651</v>
      </c>
      <c r="S394" s="233"/>
      <c r="T394" s="225">
        <v>120684</v>
      </c>
      <c r="U394" s="225">
        <v>83395</v>
      </c>
      <c r="V394" s="226">
        <v>0.18271845706809617</v>
      </c>
      <c r="W394" s="227">
        <v>0.56752143182961756</v>
      </c>
      <c r="X394" s="228" t="s">
        <v>1071</v>
      </c>
      <c r="Y394" s="229" t="s">
        <v>1072</v>
      </c>
      <c r="Z394" s="230" t="s">
        <v>1075</v>
      </c>
      <c r="AA394" s="231">
        <v>83395</v>
      </c>
      <c r="AB394" s="231">
        <v>0</v>
      </c>
      <c r="AC394" s="232">
        <v>8572</v>
      </c>
      <c r="AD394" s="374">
        <v>91967</v>
      </c>
    </row>
    <row r="395" spans="1:30">
      <c r="A395" s="389" t="s">
        <v>107</v>
      </c>
      <c r="B395" s="221" t="s">
        <v>42</v>
      </c>
      <c r="C395" t="s">
        <v>780</v>
      </c>
      <c r="D395"/>
      <c r="E395"/>
      <c r="F395" s="382" t="s">
        <v>381</v>
      </c>
      <c r="G395"/>
      <c r="H395"/>
      <c r="I395" t="s">
        <v>381</v>
      </c>
      <c r="J395" t="s">
        <v>381</v>
      </c>
      <c r="K395" s="392"/>
      <c r="L395" s="392"/>
      <c r="M395" s="281">
        <v>2004</v>
      </c>
      <c r="N395" s="390">
        <v>28</v>
      </c>
      <c r="O395" s="391">
        <v>112456</v>
      </c>
      <c r="P395" s="391">
        <v>49309</v>
      </c>
      <c r="Q395" s="391">
        <v>3880</v>
      </c>
      <c r="R395" s="391">
        <v>165645</v>
      </c>
      <c r="S395" s="233"/>
      <c r="T395" s="225">
        <v>112456</v>
      </c>
      <c r="U395" s="225">
        <v>49309</v>
      </c>
      <c r="V395" s="226">
        <v>0.39036256297715821</v>
      </c>
      <c r="W395" s="227">
        <v>0.67889764254882434</v>
      </c>
      <c r="X395" s="228" t="s">
        <v>1071</v>
      </c>
      <c r="Y395" s="229" t="s">
        <v>1076</v>
      </c>
      <c r="Z395" s="230" t="s">
        <v>1074</v>
      </c>
      <c r="AA395" s="231">
        <v>0</v>
      </c>
      <c r="AB395" s="231">
        <v>49309</v>
      </c>
      <c r="AC395" s="232">
        <v>3880</v>
      </c>
      <c r="AD395" s="374">
        <v>53189</v>
      </c>
    </row>
    <row r="396" spans="1:30">
      <c r="A396" s="389" t="s">
        <v>107</v>
      </c>
      <c r="B396" s="221" t="s">
        <v>42</v>
      </c>
      <c r="C396" t="s">
        <v>781</v>
      </c>
      <c r="D396"/>
      <c r="E396"/>
      <c r="F396" s="382"/>
      <c r="G396"/>
      <c r="H396"/>
      <c r="I396" t="s">
        <v>381</v>
      </c>
      <c r="J396" t="s">
        <v>381</v>
      </c>
      <c r="K396" s="392"/>
      <c r="L396" s="392"/>
      <c r="M396" s="281">
        <v>1992</v>
      </c>
      <c r="N396" s="390">
        <v>29</v>
      </c>
      <c r="O396" s="391">
        <v>86053</v>
      </c>
      <c r="P396" s="391">
        <v>0</v>
      </c>
      <c r="Q396" s="391">
        <v>9558</v>
      </c>
      <c r="R396" s="391">
        <v>95611</v>
      </c>
      <c r="S396" s="233"/>
      <c r="T396" s="225">
        <v>86053</v>
      </c>
      <c r="U396" s="225">
        <v>9558</v>
      </c>
      <c r="V396" s="226">
        <v>1</v>
      </c>
      <c r="W396" s="227">
        <v>0.90003242304755726</v>
      </c>
      <c r="X396" s="228" t="s">
        <v>381</v>
      </c>
      <c r="Y396" s="229" t="s">
        <v>1076</v>
      </c>
      <c r="Z396" s="230" t="s">
        <v>1073</v>
      </c>
      <c r="AA396" s="231">
        <v>0</v>
      </c>
      <c r="AB396" s="231">
        <v>0</v>
      </c>
      <c r="AC396" s="232">
        <v>9558</v>
      </c>
      <c r="AD396" s="374">
        <v>9558</v>
      </c>
    </row>
    <row r="397" spans="1:30">
      <c r="A397" s="389" t="s">
        <v>107</v>
      </c>
      <c r="B397" s="221" t="s">
        <v>42</v>
      </c>
      <c r="C397" t="s">
        <v>782</v>
      </c>
      <c r="D397" s="382" t="s">
        <v>381</v>
      </c>
      <c r="E397" s="382" t="s">
        <v>381</v>
      </c>
      <c r="F397"/>
      <c r="G397"/>
      <c r="H397"/>
      <c r="I397" t="s">
        <v>381</v>
      </c>
      <c r="J397" t="s">
        <v>381</v>
      </c>
      <c r="K397" s="392"/>
      <c r="L397" s="392"/>
      <c r="M397" s="281">
        <v>1992</v>
      </c>
      <c r="N397" s="390">
        <v>30</v>
      </c>
      <c r="O397" s="391">
        <v>171059</v>
      </c>
      <c r="P397" s="391">
        <v>41222</v>
      </c>
      <c r="Q397" s="391">
        <v>4733</v>
      </c>
      <c r="R397" s="391">
        <v>217014</v>
      </c>
      <c r="S397" s="233"/>
      <c r="T397" s="225">
        <v>171059</v>
      </c>
      <c r="U397" s="225">
        <v>41222</v>
      </c>
      <c r="V397" s="226">
        <v>0.6116279836631634</v>
      </c>
      <c r="W397" s="227">
        <v>0.78823946842139214</v>
      </c>
      <c r="X397" s="228" t="s">
        <v>1071</v>
      </c>
      <c r="Y397" s="229" t="s">
        <v>1076</v>
      </c>
      <c r="Z397" s="230" t="s">
        <v>1073</v>
      </c>
      <c r="AA397" s="231">
        <v>0</v>
      </c>
      <c r="AB397" s="231">
        <v>41222</v>
      </c>
      <c r="AC397" s="232">
        <v>4733</v>
      </c>
      <c r="AD397" s="374">
        <v>45955</v>
      </c>
    </row>
    <row r="398" spans="1:30">
      <c r="A398" s="389" t="s">
        <v>107</v>
      </c>
      <c r="B398" s="221" t="s">
        <v>42</v>
      </c>
      <c r="C398" t="s">
        <v>783</v>
      </c>
      <c r="D398"/>
      <c r="E398"/>
      <c r="F398"/>
      <c r="G398"/>
      <c r="H398"/>
      <c r="I398" t="s">
        <v>381</v>
      </c>
      <c r="J398" t="s">
        <v>381</v>
      </c>
      <c r="K398" s="389"/>
      <c r="L398" s="389"/>
      <c r="M398" s="281">
        <v>2002</v>
      </c>
      <c r="N398" s="390">
        <v>31</v>
      </c>
      <c r="O398" s="391">
        <v>82977</v>
      </c>
      <c r="P398" s="391">
        <v>145348</v>
      </c>
      <c r="Q398" s="391">
        <v>8862</v>
      </c>
      <c r="R398" s="391">
        <v>237187</v>
      </c>
      <c r="S398" s="233"/>
      <c r="T398" s="225">
        <v>145348</v>
      </c>
      <c r="U398" s="225">
        <v>82977</v>
      </c>
      <c r="V398" s="226">
        <v>0.27316763385525017</v>
      </c>
      <c r="W398" s="227">
        <v>0.61279918376639531</v>
      </c>
      <c r="X398" s="228" t="s">
        <v>1071</v>
      </c>
      <c r="Y398" s="229" t="s">
        <v>1072</v>
      </c>
      <c r="Z398" s="230" t="s">
        <v>1074</v>
      </c>
      <c r="AA398" s="231">
        <v>82977</v>
      </c>
      <c r="AB398" s="231">
        <v>0</v>
      </c>
      <c r="AC398" s="232">
        <v>8862</v>
      </c>
      <c r="AD398" s="374">
        <v>91839</v>
      </c>
    </row>
    <row r="399" spans="1:30">
      <c r="A399" s="389" t="s">
        <v>107</v>
      </c>
      <c r="B399" s="221" t="s">
        <v>42</v>
      </c>
      <c r="C399" t="s">
        <v>784</v>
      </c>
      <c r="D399"/>
      <c r="E399"/>
      <c r="F399"/>
      <c r="G399"/>
      <c r="H399"/>
      <c r="I399" t="s">
        <v>381</v>
      </c>
      <c r="J399" t="s">
        <v>381</v>
      </c>
      <c r="K399" s="389"/>
      <c r="L399" s="389"/>
      <c r="M399" s="281">
        <v>1996</v>
      </c>
      <c r="N399" s="390">
        <v>32</v>
      </c>
      <c r="O399" s="391">
        <v>99288</v>
      </c>
      <c r="P399" s="391">
        <v>146653</v>
      </c>
      <c r="Q399" s="391">
        <v>5695</v>
      </c>
      <c r="R399" s="391">
        <v>251636</v>
      </c>
      <c r="S399" s="233"/>
      <c r="T399" s="225">
        <v>146653</v>
      </c>
      <c r="U399" s="225">
        <v>99288</v>
      </c>
      <c r="V399" s="226">
        <v>0.1925868399331547</v>
      </c>
      <c r="W399" s="227">
        <v>0.5827981687834809</v>
      </c>
      <c r="X399" s="228" t="s">
        <v>1071</v>
      </c>
      <c r="Y399" s="229" t="s">
        <v>1072</v>
      </c>
      <c r="Z399" s="230" t="s">
        <v>1075</v>
      </c>
      <c r="AA399" s="231">
        <v>99288</v>
      </c>
      <c r="AB399" s="231">
        <v>0</v>
      </c>
      <c r="AC399" s="232">
        <v>5695</v>
      </c>
      <c r="AD399" s="374">
        <v>104983</v>
      </c>
    </row>
    <row r="400" spans="1:30">
      <c r="A400" s="389" t="s">
        <v>107</v>
      </c>
      <c r="B400" s="221" t="s">
        <v>42</v>
      </c>
      <c r="C400" t="s">
        <v>785</v>
      </c>
      <c r="D400"/>
      <c r="E400" s="382" t="s">
        <v>381</v>
      </c>
      <c r="F400"/>
      <c r="G400"/>
      <c r="H400"/>
      <c r="I400" t="s">
        <v>381</v>
      </c>
      <c r="J400" t="s">
        <v>381</v>
      </c>
      <c r="K400" s="392"/>
      <c r="L400" s="392"/>
      <c r="M400" s="281">
        <v>2012</v>
      </c>
      <c r="N400" s="390">
        <v>33</v>
      </c>
      <c r="O400" s="391">
        <v>85114</v>
      </c>
      <c r="P400" s="391">
        <v>30252</v>
      </c>
      <c r="Q400" s="391">
        <v>2009</v>
      </c>
      <c r="R400" s="391">
        <v>117375</v>
      </c>
      <c r="S400" s="233"/>
      <c r="T400" s="225">
        <v>85114</v>
      </c>
      <c r="U400" s="225">
        <v>30252</v>
      </c>
      <c r="V400" s="226">
        <v>0.47554738831198101</v>
      </c>
      <c r="W400" s="227">
        <v>0.72514589989350375</v>
      </c>
      <c r="X400" s="228" t="s">
        <v>1071</v>
      </c>
      <c r="Y400" s="229" t="s">
        <v>1076</v>
      </c>
      <c r="Z400" s="230" t="s">
        <v>1073</v>
      </c>
      <c r="AA400" s="231">
        <v>0</v>
      </c>
      <c r="AB400" s="231">
        <v>30252</v>
      </c>
      <c r="AC400" s="232">
        <v>2009</v>
      </c>
      <c r="AD400" s="374">
        <v>32261</v>
      </c>
    </row>
    <row r="401" spans="1:31">
      <c r="A401" s="389" t="s">
        <v>107</v>
      </c>
      <c r="B401" s="221" t="s">
        <v>42</v>
      </c>
      <c r="C401" t="s">
        <v>786</v>
      </c>
      <c r="D401"/>
      <c r="E401"/>
      <c r="F401" s="382" t="s">
        <v>381</v>
      </c>
      <c r="G401"/>
      <c r="H401"/>
      <c r="I401" t="s">
        <v>381</v>
      </c>
      <c r="J401" t="s">
        <v>381</v>
      </c>
      <c r="K401" s="392"/>
      <c r="L401" s="392"/>
      <c r="M401" s="281">
        <v>2012</v>
      </c>
      <c r="N401" s="390">
        <v>34</v>
      </c>
      <c r="O401" s="391">
        <v>89606</v>
      </c>
      <c r="P401" s="391">
        <v>52448</v>
      </c>
      <c r="Q401" s="391">
        <v>2724</v>
      </c>
      <c r="R401" s="391">
        <v>144778</v>
      </c>
      <c r="S401" s="233"/>
      <c r="T401" s="225">
        <v>89606</v>
      </c>
      <c r="U401" s="225">
        <v>52448</v>
      </c>
      <c r="V401" s="226">
        <v>0.26157658355273344</v>
      </c>
      <c r="W401" s="227">
        <v>0.61892000165771044</v>
      </c>
      <c r="X401" s="228" t="s">
        <v>1071</v>
      </c>
      <c r="Y401" s="229" t="s">
        <v>1076</v>
      </c>
      <c r="Z401" s="230" t="s">
        <v>1074</v>
      </c>
      <c r="AA401" s="231">
        <v>0</v>
      </c>
      <c r="AB401" s="231">
        <v>52448</v>
      </c>
      <c r="AC401" s="232">
        <v>2724</v>
      </c>
      <c r="AD401" s="374">
        <v>55172</v>
      </c>
    </row>
    <row r="402" spans="1:31">
      <c r="A402" s="389" t="s">
        <v>107</v>
      </c>
      <c r="B402" s="221" t="s">
        <v>42</v>
      </c>
      <c r="C402" t="s">
        <v>787</v>
      </c>
      <c r="D402"/>
      <c r="E402"/>
      <c r="F402"/>
      <c r="G402"/>
      <c r="H402"/>
      <c r="I402" t="s">
        <v>381</v>
      </c>
      <c r="J402" t="s">
        <v>381</v>
      </c>
      <c r="K402" s="392"/>
      <c r="L402" s="392"/>
      <c r="M402" s="281">
        <v>1994</v>
      </c>
      <c r="N402" s="390">
        <v>35</v>
      </c>
      <c r="O402" s="391">
        <v>105626</v>
      </c>
      <c r="P402" s="391">
        <v>52894</v>
      </c>
      <c r="Q402" s="391">
        <v>6659</v>
      </c>
      <c r="R402" s="391">
        <v>165179</v>
      </c>
      <c r="S402" s="233"/>
      <c r="T402" s="225">
        <v>105626</v>
      </c>
      <c r="U402" s="225">
        <v>52894</v>
      </c>
      <c r="V402" s="226">
        <v>0.33265203128942722</v>
      </c>
      <c r="W402" s="227">
        <v>0.63946385436405351</v>
      </c>
      <c r="X402" s="228" t="s">
        <v>1071</v>
      </c>
      <c r="Y402" s="229" t="s">
        <v>1076</v>
      </c>
      <c r="Z402" s="230" t="s">
        <v>1074</v>
      </c>
      <c r="AA402" s="231">
        <v>0</v>
      </c>
      <c r="AB402" s="231">
        <v>52894</v>
      </c>
      <c r="AC402" s="232">
        <v>6659</v>
      </c>
      <c r="AD402" s="374">
        <v>59553</v>
      </c>
    </row>
    <row r="403" spans="1:31">
      <c r="A403" s="389" t="s">
        <v>107</v>
      </c>
      <c r="B403" s="221" t="s">
        <v>42</v>
      </c>
      <c r="C403" t="s">
        <v>788</v>
      </c>
      <c r="D403" s="382"/>
      <c r="E403" s="382"/>
      <c r="F403"/>
      <c r="G403"/>
      <c r="H403"/>
      <c r="I403" t="s">
        <v>381</v>
      </c>
      <c r="J403" t="s">
        <v>381</v>
      </c>
      <c r="K403" s="389"/>
      <c r="L403" s="389"/>
      <c r="M403" s="281">
        <v>2012</v>
      </c>
      <c r="N403" s="390">
        <v>36</v>
      </c>
      <c r="O403" s="391">
        <v>62143</v>
      </c>
      <c r="P403" s="391">
        <v>165405</v>
      </c>
      <c r="Q403" s="391">
        <v>6284</v>
      </c>
      <c r="R403" s="391">
        <v>233832</v>
      </c>
      <c r="S403" s="233"/>
      <c r="T403" s="225">
        <v>165405</v>
      </c>
      <c r="U403" s="225">
        <v>62143</v>
      </c>
      <c r="V403" s="226">
        <v>0.45380315362033508</v>
      </c>
      <c r="W403" s="227">
        <v>0.70736682746587298</v>
      </c>
      <c r="X403" s="228" t="s">
        <v>1071</v>
      </c>
      <c r="Y403" s="229" t="s">
        <v>1072</v>
      </c>
      <c r="Z403" s="230" t="s">
        <v>1073</v>
      </c>
      <c r="AA403" s="231">
        <v>62143</v>
      </c>
      <c r="AB403" s="231">
        <v>0</v>
      </c>
      <c r="AC403" s="232">
        <v>6284</v>
      </c>
      <c r="AD403" s="374">
        <v>68427</v>
      </c>
    </row>
    <row r="404" spans="1:31">
      <c r="A404" s="389" t="s">
        <v>108</v>
      </c>
      <c r="B404" s="221" t="s">
        <v>43</v>
      </c>
      <c r="C404" t="s">
        <v>789</v>
      </c>
      <c r="D404"/>
      <c r="E404"/>
      <c r="F404"/>
      <c r="G404"/>
      <c r="H404"/>
      <c r="I404" t="s">
        <v>1079</v>
      </c>
      <c r="J404" t="s">
        <v>1079</v>
      </c>
      <c r="K404" s="389"/>
      <c r="L404" s="389"/>
      <c r="M404" s="281">
        <v>2002</v>
      </c>
      <c r="N404" s="390">
        <v>1</v>
      </c>
      <c r="O404" s="391">
        <v>60611</v>
      </c>
      <c r="P404" s="391">
        <v>175487</v>
      </c>
      <c r="Q404" s="391">
        <v>9430</v>
      </c>
      <c r="R404" s="391">
        <v>245528</v>
      </c>
      <c r="S404" s="233"/>
      <c r="T404" s="225">
        <v>175487</v>
      </c>
      <c r="U404" s="225">
        <v>60611</v>
      </c>
      <c r="V404" s="226">
        <v>0.48656066548636584</v>
      </c>
      <c r="W404" s="227">
        <v>0.71473314652503994</v>
      </c>
      <c r="X404" s="228" t="s">
        <v>1080</v>
      </c>
      <c r="Y404" s="229" t="s">
        <v>1081</v>
      </c>
      <c r="Z404" s="230" t="s">
        <v>1082</v>
      </c>
      <c r="AA404" s="231">
        <v>60611</v>
      </c>
      <c r="AB404" s="231">
        <v>0</v>
      </c>
      <c r="AC404" s="232">
        <v>9430</v>
      </c>
      <c r="AD404" s="374">
        <v>70041</v>
      </c>
    </row>
    <row r="405" spans="1:31">
      <c r="A405" s="389" t="s">
        <v>108</v>
      </c>
      <c r="B405" s="221" t="s">
        <v>43</v>
      </c>
      <c r="C405" t="s">
        <v>790</v>
      </c>
      <c r="D405"/>
      <c r="E405"/>
      <c r="F405"/>
      <c r="G405"/>
      <c r="H405"/>
      <c r="I405" t="s">
        <v>1079</v>
      </c>
      <c r="J405" t="s">
        <v>1079</v>
      </c>
      <c r="K405" s="389"/>
      <c r="L405" s="389"/>
      <c r="M405" s="281">
        <v>2012</v>
      </c>
      <c r="N405" s="390">
        <v>2</v>
      </c>
      <c r="O405" s="391">
        <v>83176</v>
      </c>
      <c r="P405" s="391">
        <v>154523</v>
      </c>
      <c r="Q405" s="391">
        <v>10846</v>
      </c>
      <c r="R405" s="391">
        <v>248545</v>
      </c>
      <c r="S405" s="233"/>
      <c r="T405" s="225">
        <v>154523</v>
      </c>
      <c r="U405" s="225">
        <v>83176</v>
      </c>
      <c r="V405" s="226">
        <v>0.30015692114817477</v>
      </c>
      <c r="W405" s="227">
        <v>0.62171035426180365</v>
      </c>
      <c r="X405" s="228" t="s">
        <v>1080</v>
      </c>
      <c r="Y405" s="229" t="s">
        <v>1081</v>
      </c>
      <c r="Z405" s="230" t="s">
        <v>1083</v>
      </c>
      <c r="AA405" s="231">
        <v>83176</v>
      </c>
      <c r="AB405" s="231">
        <v>0</v>
      </c>
      <c r="AC405" s="232">
        <v>10846</v>
      </c>
      <c r="AD405" s="374">
        <v>94022</v>
      </c>
      <c r="AE405" s="374">
        <v>2208963</v>
      </c>
    </row>
    <row r="406" spans="1:31">
      <c r="A406" s="389" t="s">
        <v>108</v>
      </c>
      <c r="B406" s="221" t="s">
        <v>43</v>
      </c>
      <c r="C406" t="s">
        <v>791</v>
      </c>
      <c r="D406"/>
      <c r="E406"/>
      <c r="F406"/>
      <c r="G406"/>
      <c r="H406"/>
      <c r="I406" t="s">
        <v>1079</v>
      </c>
      <c r="J406" t="s">
        <v>1079</v>
      </c>
      <c r="K406" s="389"/>
      <c r="L406" s="389"/>
      <c r="M406" s="281">
        <v>2008</v>
      </c>
      <c r="N406" s="390">
        <v>3</v>
      </c>
      <c r="O406" s="391">
        <v>60719</v>
      </c>
      <c r="P406" s="391">
        <v>198828</v>
      </c>
      <c r="Q406" s="391">
        <v>0</v>
      </c>
      <c r="R406" s="391">
        <v>259547</v>
      </c>
      <c r="S406" s="233"/>
      <c r="T406" s="225">
        <v>198828</v>
      </c>
      <c r="U406" s="225">
        <v>60719</v>
      </c>
      <c r="V406" s="226">
        <v>0.53211557059029768</v>
      </c>
      <c r="W406" s="227">
        <v>0.7660577852951489</v>
      </c>
      <c r="X406" s="228" t="s">
        <v>1080</v>
      </c>
      <c r="Y406" s="229" t="s">
        <v>1081</v>
      </c>
      <c r="Z406" s="230" t="s">
        <v>1082</v>
      </c>
      <c r="AA406" s="231">
        <v>60719</v>
      </c>
      <c r="AB406" s="231">
        <v>0</v>
      </c>
      <c r="AC406" s="232">
        <v>0</v>
      </c>
      <c r="AD406" s="374">
        <v>60719</v>
      </c>
    </row>
    <row r="407" spans="1:31">
      <c r="A407" s="389" t="s">
        <v>108</v>
      </c>
      <c r="B407" s="221" t="s">
        <v>43</v>
      </c>
      <c r="C407" t="s">
        <v>792</v>
      </c>
      <c r="D407"/>
      <c r="E407"/>
      <c r="F407"/>
      <c r="G407"/>
      <c r="H407"/>
      <c r="I407" t="s">
        <v>1079</v>
      </c>
      <c r="J407" t="s">
        <v>1079</v>
      </c>
      <c r="K407" s="392"/>
      <c r="L407" s="392"/>
      <c r="M407" s="281">
        <v>2000</v>
      </c>
      <c r="N407" s="390">
        <v>4</v>
      </c>
      <c r="O407" s="391">
        <v>119803</v>
      </c>
      <c r="P407" s="391">
        <v>119035</v>
      </c>
      <c r="Q407" s="391">
        <v>6439</v>
      </c>
      <c r="R407" s="391">
        <v>245277</v>
      </c>
      <c r="S407" s="233"/>
      <c r="T407" s="225">
        <v>119803</v>
      </c>
      <c r="U407" s="225">
        <v>119035</v>
      </c>
      <c r="V407" s="226">
        <v>3.2155687118465234E-3</v>
      </c>
      <c r="W407" s="227">
        <v>0.48843960094097694</v>
      </c>
      <c r="X407" s="228" t="s">
        <v>1080</v>
      </c>
      <c r="Y407" s="229" t="s">
        <v>1084</v>
      </c>
      <c r="Z407" s="230" t="s">
        <v>1085</v>
      </c>
      <c r="AA407" s="231">
        <v>0</v>
      </c>
      <c r="AB407" s="231">
        <v>119035</v>
      </c>
      <c r="AC407" s="232">
        <v>6439</v>
      </c>
      <c r="AD407" s="374">
        <v>125474</v>
      </c>
    </row>
    <row r="408" spans="1:31">
      <c r="A408" s="389" t="s">
        <v>109</v>
      </c>
      <c r="B408" s="235" t="s">
        <v>44</v>
      </c>
      <c r="C408" t="s">
        <v>793</v>
      </c>
      <c r="D408"/>
      <c r="E408"/>
      <c r="F408"/>
      <c r="G408"/>
      <c r="H408"/>
      <c r="I408" t="s">
        <v>1086</v>
      </c>
      <c r="J408" t="s">
        <v>1086</v>
      </c>
      <c r="K408" s="392"/>
      <c r="L408" s="392"/>
      <c r="M408" s="281">
        <v>2006</v>
      </c>
      <c r="N408" s="390" t="s">
        <v>0</v>
      </c>
      <c r="O408" s="391">
        <v>209312</v>
      </c>
      <c r="P408" s="391">
        <v>67543</v>
      </c>
      <c r="Q408" s="391">
        <v>13788</v>
      </c>
      <c r="R408" s="391">
        <v>290643</v>
      </c>
      <c r="S408" s="233"/>
      <c r="T408" s="225">
        <v>209312</v>
      </c>
      <c r="U408" s="225">
        <v>67543</v>
      </c>
      <c r="V408" s="226">
        <v>0.51206949486193132</v>
      </c>
      <c r="W408" s="227">
        <v>0.72016872933461329</v>
      </c>
      <c r="X408" s="228" t="s">
        <v>1087</v>
      </c>
      <c r="Y408" s="229" t="s">
        <v>1088</v>
      </c>
      <c r="Z408" s="230" t="s">
        <v>1089</v>
      </c>
      <c r="AA408" s="231">
        <v>0</v>
      </c>
      <c r="AB408" s="231">
        <v>67543</v>
      </c>
      <c r="AC408" s="232">
        <v>13788</v>
      </c>
      <c r="AD408" s="374">
        <v>81331</v>
      </c>
      <c r="AE408" s="374">
        <v>267524</v>
      </c>
    </row>
    <row r="409" spans="1:31" s="76" customFormat="1">
      <c r="A409" s="389" t="s">
        <v>110</v>
      </c>
      <c r="B409" s="221" t="s">
        <v>45</v>
      </c>
      <c r="C409" t="s">
        <v>794</v>
      </c>
      <c r="D409"/>
      <c r="E409"/>
      <c r="F409"/>
      <c r="G409"/>
      <c r="H409"/>
      <c r="I409" t="s">
        <v>382</v>
      </c>
      <c r="J409" t="s">
        <v>382</v>
      </c>
      <c r="K409" s="389"/>
      <c r="L409" s="389"/>
      <c r="M409" s="281">
        <v>2007</v>
      </c>
      <c r="N409" s="390">
        <v>1</v>
      </c>
      <c r="O409" s="391">
        <v>147036</v>
      </c>
      <c r="P409" s="391">
        <v>200845</v>
      </c>
      <c r="Q409" s="391">
        <v>8925</v>
      </c>
      <c r="R409" s="391">
        <v>356806</v>
      </c>
      <c r="S409" s="233"/>
      <c r="T409" s="236">
        <v>200845</v>
      </c>
      <c r="U409" s="236">
        <v>147036</v>
      </c>
      <c r="V409" s="226">
        <v>0.1546764554545951</v>
      </c>
      <c r="W409" s="237">
        <v>0.56289692437907435</v>
      </c>
      <c r="X409" s="228" t="s">
        <v>1090</v>
      </c>
      <c r="Y409" s="239" t="s">
        <v>1091</v>
      </c>
      <c r="Z409" s="230" t="s">
        <v>1092</v>
      </c>
      <c r="AA409" s="240">
        <v>147036</v>
      </c>
      <c r="AB409" s="240">
        <v>0</v>
      </c>
      <c r="AC409" s="241">
        <v>3279</v>
      </c>
      <c r="AD409" s="374">
        <v>150315</v>
      </c>
      <c r="AE409" s="374">
        <v>150315</v>
      </c>
    </row>
    <row r="410" spans="1:31" s="76" customFormat="1">
      <c r="A410" s="389" t="s">
        <v>110</v>
      </c>
      <c r="B410" s="221" t="s">
        <v>45</v>
      </c>
      <c r="C410" t="s">
        <v>795</v>
      </c>
      <c r="D410"/>
      <c r="E410"/>
      <c r="F410"/>
      <c r="G410"/>
      <c r="H410"/>
      <c r="I410" t="s">
        <v>382</v>
      </c>
      <c r="J410" t="s">
        <v>382</v>
      </c>
      <c r="K410" s="389"/>
      <c r="L410" s="389"/>
      <c r="M410" s="281">
        <v>2010</v>
      </c>
      <c r="N410" s="390">
        <v>2</v>
      </c>
      <c r="O410" s="391">
        <v>142548</v>
      </c>
      <c r="P410" s="391">
        <v>166231</v>
      </c>
      <c r="Q410" s="391">
        <v>443</v>
      </c>
      <c r="R410" s="391">
        <v>309222</v>
      </c>
      <c r="S410" s="233"/>
      <c r="T410" s="225">
        <v>166231</v>
      </c>
      <c r="U410" s="225">
        <v>142548</v>
      </c>
      <c r="V410" s="226">
        <v>7.6698868770220779E-2</v>
      </c>
      <c r="W410" s="227">
        <v>0.53757818007774349</v>
      </c>
      <c r="X410" s="228" t="s">
        <v>1090</v>
      </c>
      <c r="Y410" s="229" t="s">
        <v>1091</v>
      </c>
      <c r="Z410" s="230" t="s">
        <v>1093</v>
      </c>
      <c r="AA410" s="231">
        <v>142548</v>
      </c>
      <c r="AB410" s="231">
        <v>0</v>
      </c>
      <c r="AC410" s="232">
        <v>443</v>
      </c>
      <c r="AD410" s="374">
        <v>142991</v>
      </c>
    </row>
    <row r="411" spans="1:31" s="76" customFormat="1">
      <c r="A411" s="389" t="s">
        <v>110</v>
      </c>
      <c r="B411" s="221" t="s">
        <v>45</v>
      </c>
      <c r="C411" t="s">
        <v>796</v>
      </c>
      <c r="D411"/>
      <c r="E411" s="382" t="s">
        <v>382</v>
      </c>
      <c r="F411"/>
      <c r="G411" s="382" t="s">
        <v>382</v>
      </c>
      <c r="H411"/>
      <c r="I411" t="s">
        <v>382</v>
      </c>
      <c r="J411" t="s">
        <v>382</v>
      </c>
      <c r="K411" s="392"/>
      <c r="L411" s="392"/>
      <c r="M411" s="281">
        <v>1992</v>
      </c>
      <c r="N411" s="390">
        <v>3</v>
      </c>
      <c r="O411" s="391">
        <v>259199</v>
      </c>
      <c r="P411" s="391">
        <v>58931</v>
      </c>
      <c r="Q411" s="391">
        <v>806</v>
      </c>
      <c r="R411" s="391">
        <v>318936</v>
      </c>
      <c r="S411" s="233"/>
      <c r="T411" s="225">
        <v>259199</v>
      </c>
      <c r="U411" s="225">
        <v>58931</v>
      </c>
      <c r="V411" s="226">
        <v>0.62951623550121016</v>
      </c>
      <c r="W411" s="227">
        <v>0.81269909950585695</v>
      </c>
      <c r="X411" s="228" t="s">
        <v>1090</v>
      </c>
      <c r="Y411" s="229" t="s">
        <v>1094</v>
      </c>
      <c r="Z411" s="230" t="s">
        <v>1095</v>
      </c>
      <c r="AA411" s="231">
        <v>0</v>
      </c>
      <c r="AB411" s="231">
        <v>58931</v>
      </c>
      <c r="AC411" s="232">
        <v>806</v>
      </c>
      <c r="AD411" s="374">
        <v>59737</v>
      </c>
    </row>
    <row r="412" spans="1:31" s="76" customFormat="1">
      <c r="A412" s="389" t="s">
        <v>110</v>
      </c>
      <c r="B412" s="221" t="s">
        <v>45</v>
      </c>
      <c r="C412" t="s">
        <v>797</v>
      </c>
      <c r="D412"/>
      <c r="F412"/>
      <c r="H412"/>
      <c r="I412" t="s">
        <v>382</v>
      </c>
      <c r="J412" t="s">
        <v>382</v>
      </c>
      <c r="K412" s="389"/>
      <c r="L412" s="389"/>
      <c r="M412" s="281">
        <v>2001</v>
      </c>
      <c r="N412" s="390">
        <v>4</v>
      </c>
      <c r="O412" s="391">
        <v>150190</v>
      </c>
      <c r="P412" s="391">
        <v>199292</v>
      </c>
      <c r="Q412" s="391">
        <v>564</v>
      </c>
      <c r="R412" s="391">
        <v>350046</v>
      </c>
      <c r="S412" s="233"/>
      <c r="T412" s="225">
        <v>199292</v>
      </c>
      <c r="U412" s="225">
        <v>150190</v>
      </c>
      <c r="V412" s="226">
        <v>0.14049936763552914</v>
      </c>
      <c r="W412" s="227">
        <v>0.56933088794044207</v>
      </c>
      <c r="X412" s="228" t="s">
        <v>1090</v>
      </c>
      <c r="Y412" s="229" t="s">
        <v>1091</v>
      </c>
      <c r="Z412" s="230" t="s">
        <v>1092</v>
      </c>
      <c r="AA412" s="231">
        <v>150190</v>
      </c>
      <c r="AB412" s="231">
        <v>0</v>
      </c>
      <c r="AC412" s="232">
        <v>564</v>
      </c>
      <c r="AD412" s="374">
        <v>150754</v>
      </c>
    </row>
    <row r="413" spans="1:31">
      <c r="A413" s="389" t="s">
        <v>110</v>
      </c>
      <c r="B413" s="221" t="s">
        <v>45</v>
      </c>
      <c r="C413" t="s">
        <v>798</v>
      </c>
      <c r="D413"/>
      <c r="E413"/>
      <c r="F413"/>
      <c r="G413"/>
      <c r="H413"/>
      <c r="I413" t="s">
        <v>382</v>
      </c>
      <c r="J413" t="s">
        <v>382</v>
      </c>
      <c r="K413" s="389"/>
      <c r="L413" s="389"/>
      <c r="M413" s="281">
        <v>2010</v>
      </c>
      <c r="N413" s="390">
        <v>5</v>
      </c>
      <c r="O413" s="391">
        <v>149214</v>
      </c>
      <c r="P413" s="391">
        <v>193009</v>
      </c>
      <c r="Q413" s="391">
        <v>5888</v>
      </c>
      <c r="R413" s="391">
        <v>348111</v>
      </c>
      <c r="S413" s="233"/>
      <c r="T413" s="225">
        <v>193009</v>
      </c>
      <c r="U413" s="225">
        <v>149214</v>
      </c>
      <c r="V413" s="226">
        <v>0.12797211175169407</v>
      </c>
      <c r="W413" s="227">
        <v>0.55444671383552946</v>
      </c>
      <c r="X413" s="228" t="s">
        <v>1090</v>
      </c>
      <c r="Y413" s="229" t="s">
        <v>1091</v>
      </c>
      <c r="Z413" s="230" t="s">
        <v>1092</v>
      </c>
      <c r="AA413" s="231">
        <v>149214</v>
      </c>
      <c r="AB413" s="231">
        <v>0</v>
      </c>
      <c r="AC413" s="232">
        <v>5888</v>
      </c>
      <c r="AD413" s="374">
        <v>155102</v>
      </c>
    </row>
    <row r="414" spans="1:31">
      <c r="A414" s="389" t="s">
        <v>110</v>
      </c>
      <c r="B414" s="221" t="s">
        <v>45</v>
      </c>
      <c r="C414" t="s">
        <v>799</v>
      </c>
      <c r="D414"/>
      <c r="E414"/>
      <c r="F414"/>
      <c r="G414"/>
      <c r="H414"/>
      <c r="I414" t="s">
        <v>382</v>
      </c>
      <c r="J414" t="s">
        <v>382</v>
      </c>
      <c r="K414" s="389"/>
      <c r="L414" s="389"/>
      <c r="M414" s="281">
        <v>1992</v>
      </c>
      <c r="N414" s="390">
        <v>6</v>
      </c>
      <c r="O414" s="391">
        <v>111915</v>
      </c>
      <c r="P414" s="391">
        <v>211218</v>
      </c>
      <c r="Q414" s="391">
        <v>666</v>
      </c>
      <c r="R414" s="391">
        <v>323799</v>
      </c>
      <c r="S414" s="233"/>
      <c r="T414" s="225">
        <v>211218</v>
      </c>
      <c r="U414" s="225">
        <v>111915</v>
      </c>
      <c r="V414" s="226">
        <v>0.30731308779976046</v>
      </c>
      <c r="W414" s="227">
        <v>0.65231208249562234</v>
      </c>
      <c r="X414" s="228" t="s">
        <v>1090</v>
      </c>
      <c r="Y414" s="229" t="s">
        <v>1091</v>
      </c>
      <c r="Z414" s="230" t="s">
        <v>1096</v>
      </c>
      <c r="AA414" s="231">
        <v>111915</v>
      </c>
      <c r="AB414" s="231">
        <v>0</v>
      </c>
      <c r="AC414" s="232">
        <v>666</v>
      </c>
      <c r="AD414" s="374">
        <v>112581</v>
      </c>
    </row>
    <row r="415" spans="1:31">
      <c r="A415" s="389" t="s">
        <v>110</v>
      </c>
      <c r="B415" s="221" t="s">
        <v>45</v>
      </c>
      <c r="C415" t="s">
        <v>800</v>
      </c>
      <c r="D415"/>
      <c r="E415"/>
      <c r="F415"/>
      <c r="G415"/>
      <c r="H415"/>
      <c r="I415" t="s">
        <v>382</v>
      </c>
      <c r="J415" t="s">
        <v>382</v>
      </c>
      <c r="K415" s="389"/>
      <c r="L415" s="389"/>
      <c r="M415" s="281">
        <v>2000</v>
      </c>
      <c r="N415" s="390">
        <v>7</v>
      </c>
      <c r="O415" s="391">
        <v>158012</v>
      </c>
      <c r="P415" s="391">
        <v>222983</v>
      </c>
      <c r="Q415" s="391">
        <v>914</v>
      </c>
      <c r="R415" s="391">
        <v>381909</v>
      </c>
      <c r="S415" s="233"/>
      <c r="T415" s="225">
        <v>222983</v>
      </c>
      <c r="U415" s="225">
        <v>158012</v>
      </c>
      <c r="V415" s="226">
        <v>0.17052979697896298</v>
      </c>
      <c r="W415" s="227">
        <v>0.5838642189631561</v>
      </c>
      <c r="X415" s="228" t="s">
        <v>1090</v>
      </c>
      <c r="Y415" s="229" t="s">
        <v>1091</v>
      </c>
      <c r="Z415" s="230" t="s">
        <v>1092</v>
      </c>
      <c r="AA415" s="231">
        <v>158012</v>
      </c>
      <c r="AB415" s="231">
        <v>0</v>
      </c>
      <c r="AC415" s="232">
        <v>914</v>
      </c>
      <c r="AD415" s="374">
        <v>158926</v>
      </c>
    </row>
    <row r="416" spans="1:31">
      <c r="A416" s="389" t="s">
        <v>110</v>
      </c>
      <c r="B416" s="221" t="s">
        <v>45</v>
      </c>
      <c r="C416" t="s">
        <v>801</v>
      </c>
      <c r="D416"/>
      <c r="E416"/>
      <c r="F416"/>
      <c r="G416"/>
      <c r="H416"/>
      <c r="I416" t="s">
        <v>382</v>
      </c>
      <c r="J416" t="s">
        <v>382</v>
      </c>
      <c r="K416" s="392"/>
      <c r="L416" s="392"/>
      <c r="M416" s="281">
        <v>1990</v>
      </c>
      <c r="N416" s="390">
        <v>8</v>
      </c>
      <c r="O416" s="391">
        <v>226847</v>
      </c>
      <c r="P416" s="391">
        <v>107370</v>
      </c>
      <c r="Q416" s="391">
        <v>16970</v>
      </c>
      <c r="R416" s="391">
        <v>351187</v>
      </c>
      <c r="S416" s="233"/>
      <c r="T416" s="225">
        <v>226847</v>
      </c>
      <c r="U416" s="225">
        <v>107370</v>
      </c>
      <c r="V416" s="226">
        <v>0.35748331174057574</v>
      </c>
      <c r="W416" s="227">
        <v>0.64594361408594281</v>
      </c>
      <c r="X416" s="228" t="s">
        <v>1090</v>
      </c>
      <c r="Y416" s="229" t="s">
        <v>1094</v>
      </c>
      <c r="Z416" s="230" t="s">
        <v>1096</v>
      </c>
      <c r="AA416" s="231">
        <v>0</v>
      </c>
      <c r="AB416" s="231">
        <v>107370</v>
      </c>
      <c r="AC416" s="232">
        <v>16970</v>
      </c>
      <c r="AD416" s="374">
        <v>124340</v>
      </c>
    </row>
    <row r="417" spans="1:31">
      <c r="A417" s="389" t="s">
        <v>110</v>
      </c>
      <c r="B417" s="221" t="s">
        <v>45</v>
      </c>
      <c r="C417" t="s">
        <v>802</v>
      </c>
      <c r="D417"/>
      <c r="E417"/>
      <c r="F417"/>
      <c r="G417"/>
      <c r="H417"/>
      <c r="I417" t="s">
        <v>382</v>
      </c>
      <c r="J417" t="s">
        <v>382</v>
      </c>
      <c r="K417" s="389"/>
      <c r="L417" s="389"/>
      <c r="M417" s="281">
        <v>2010</v>
      </c>
      <c r="N417" s="390">
        <v>9</v>
      </c>
      <c r="O417" s="391">
        <v>116400</v>
      </c>
      <c r="P417" s="391">
        <v>184882</v>
      </c>
      <c r="Q417" s="391">
        <v>376</v>
      </c>
      <c r="R417" s="391">
        <v>301658</v>
      </c>
      <c r="S417" s="233"/>
      <c r="T417" s="225">
        <v>184882</v>
      </c>
      <c r="U417" s="225">
        <v>116400</v>
      </c>
      <c r="V417" s="226">
        <v>0.22730199613650998</v>
      </c>
      <c r="W417" s="227">
        <v>0.61288611606521293</v>
      </c>
      <c r="X417" s="228" t="s">
        <v>1090</v>
      </c>
      <c r="Y417" s="229" t="s">
        <v>1091</v>
      </c>
      <c r="Z417" s="230" t="s">
        <v>1096</v>
      </c>
      <c r="AA417" s="231">
        <v>116400</v>
      </c>
      <c r="AB417" s="231">
        <v>0</v>
      </c>
      <c r="AC417" s="232">
        <v>376</v>
      </c>
      <c r="AD417" s="374">
        <v>116776</v>
      </c>
    </row>
    <row r="418" spans="1:31">
      <c r="A418" s="389" t="s">
        <v>110</v>
      </c>
      <c r="B418" s="221" t="s">
        <v>45</v>
      </c>
      <c r="C418" t="s">
        <v>803</v>
      </c>
      <c r="D418"/>
      <c r="E418"/>
      <c r="F418"/>
      <c r="G418"/>
      <c r="H418"/>
      <c r="I418" t="s">
        <v>382</v>
      </c>
      <c r="J418" t="s">
        <v>382</v>
      </c>
      <c r="K418" s="389"/>
      <c r="L418" s="389"/>
      <c r="M418" s="281">
        <v>1980</v>
      </c>
      <c r="N418" s="390">
        <v>10</v>
      </c>
      <c r="O418" s="391">
        <v>142024</v>
      </c>
      <c r="P418" s="391">
        <v>214038</v>
      </c>
      <c r="Q418" s="391">
        <v>10382</v>
      </c>
      <c r="R418" s="391">
        <v>366444</v>
      </c>
      <c r="S418" s="233"/>
      <c r="T418" s="225">
        <v>214038</v>
      </c>
      <c r="U418" s="225">
        <v>142024</v>
      </c>
      <c r="V418" s="226">
        <v>0.20225129331408576</v>
      </c>
      <c r="W418" s="227">
        <v>0.58409470478435999</v>
      </c>
      <c r="X418" s="228" t="s">
        <v>1090</v>
      </c>
      <c r="Y418" s="229" t="s">
        <v>1091</v>
      </c>
      <c r="Z418" s="230" t="s">
        <v>1096</v>
      </c>
      <c r="AA418" s="231">
        <v>142024</v>
      </c>
      <c r="AB418" s="231">
        <v>0</v>
      </c>
      <c r="AC418" s="232">
        <v>10382</v>
      </c>
      <c r="AD418" s="374">
        <v>152406</v>
      </c>
    </row>
    <row r="419" spans="1:31">
      <c r="A419" s="389" t="s">
        <v>110</v>
      </c>
      <c r="B419" s="221" t="s">
        <v>45</v>
      </c>
      <c r="C419" t="s">
        <v>804</v>
      </c>
      <c r="D419"/>
      <c r="E419"/>
      <c r="F419"/>
      <c r="G419"/>
      <c r="H419"/>
      <c r="I419" t="s">
        <v>382</v>
      </c>
      <c r="J419" t="s">
        <v>382</v>
      </c>
      <c r="K419" s="392"/>
      <c r="L419" s="392"/>
      <c r="M419" s="281">
        <v>2008</v>
      </c>
      <c r="N419" s="390">
        <v>11</v>
      </c>
      <c r="O419" s="391">
        <v>202665</v>
      </c>
      <c r="P419" s="391">
        <v>117902</v>
      </c>
      <c r="Q419" s="391">
        <v>11735</v>
      </c>
      <c r="R419" s="391">
        <v>332302</v>
      </c>
      <c r="S419" s="233"/>
      <c r="T419" s="225">
        <v>202665</v>
      </c>
      <c r="U419" s="225">
        <v>117902</v>
      </c>
      <c r="V419" s="226">
        <v>0.26441586314249438</v>
      </c>
      <c r="W419" s="227">
        <v>0.60988197483012441</v>
      </c>
      <c r="X419" s="228" t="s">
        <v>1090</v>
      </c>
      <c r="Y419" s="229" t="s">
        <v>1094</v>
      </c>
      <c r="Z419" s="230" t="s">
        <v>1096</v>
      </c>
      <c r="AA419" s="231">
        <v>0</v>
      </c>
      <c r="AB419" s="231">
        <v>117902</v>
      </c>
      <c r="AC419" s="232">
        <v>11735</v>
      </c>
      <c r="AD419" s="374">
        <v>129637</v>
      </c>
    </row>
    <row r="420" spans="1:31">
      <c r="A420" s="389" t="s">
        <v>111</v>
      </c>
      <c r="B420" s="221" t="s">
        <v>46</v>
      </c>
      <c r="C420" t="s">
        <v>805</v>
      </c>
      <c r="D420" s="382" t="s">
        <v>383</v>
      </c>
      <c r="E420"/>
      <c r="F420"/>
      <c r="G420"/>
      <c r="H420"/>
      <c r="I420" t="s">
        <v>383</v>
      </c>
      <c r="J420" t="s">
        <v>383</v>
      </c>
      <c r="K420" s="392"/>
      <c r="L420" s="392"/>
      <c r="M420" s="281">
        <v>2012</v>
      </c>
      <c r="N420" s="390">
        <v>1</v>
      </c>
      <c r="O420" s="391">
        <v>177025</v>
      </c>
      <c r="P420" s="391">
        <v>151187</v>
      </c>
      <c r="Q420" s="391">
        <v>0</v>
      </c>
      <c r="R420" s="391">
        <v>328212</v>
      </c>
      <c r="S420" s="233"/>
      <c r="T420" s="225">
        <v>177025</v>
      </c>
      <c r="U420" s="225">
        <v>151187</v>
      </c>
      <c r="V420" s="226">
        <v>7.872350797655174E-2</v>
      </c>
      <c r="W420" s="227">
        <v>0.5393617539882759</v>
      </c>
      <c r="X420" s="228" t="s">
        <v>1097</v>
      </c>
      <c r="Y420" s="229" t="s">
        <v>1098</v>
      </c>
      <c r="Z420" s="230" t="s">
        <v>1099</v>
      </c>
      <c r="AA420" s="231">
        <v>0</v>
      </c>
      <c r="AB420" s="231">
        <v>151187</v>
      </c>
      <c r="AC420" s="232">
        <v>0</v>
      </c>
      <c r="AD420" s="374">
        <v>151187</v>
      </c>
      <c r="AE420" s="374">
        <v>1454437</v>
      </c>
    </row>
    <row r="421" spans="1:31">
      <c r="A421" s="389" t="s">
        <v>111</v>
      </c>
      <c r="B421" s="221" t="s">
        <v>46</v>
      </c>
      <c r="C421" t="s">
        <v>806</v>
      </c>
      <c r="D421"/>
      <c r="E421"/>
      <c r="F421"/>
      <c r="G421"/>
      <c r="H421"/>
      <c r="I421" t="s">
        <v>383</v>
      </c>
      <c r="J421" t="s">
        <v>383</v>
      </c>
      <c r="K421" s="392"/>
      <c r="L421" s="392"/>
      <c r="M421" s="281">
        <v>2000</v>
      </c>
      <c r="N421" s="390">
        <v>2</v>
      </c>
      <c r="O421" s="391">
        <v>184826</v>
      </c>
      <c r="P421" s="391">
        <v>117465</v>
      </c>
      <c r="Q421" s="391">
        <v>0</v>
      </c>
      <c r="R421" s="391">
        <v>302291</v>
      </c>
      <c r="S421" s="233"/>
      <c r="T421" s="225">
        <v>184826</v>
      </c>
      <c r="U421" s="225">
        <v>117465</v>
      </c>
      <c r="V421" s="226">
        <v>0.22283495042856055</v>
      </c>
      <c r="W421" s="227">
        <v>0.61141747521428025</v>
      </c>
      <c r="X421" s="228" t="s">
        <v>1097</v>
      </c>
      <c r="Y421" s="229" t="s">
        <v>1098</v>
      </c>
      <c r="Z421" s="230" t="s">
        <v>1100</v>
      </c>
      <c r="AA421" s="231">
        <v>0</v>
      </c>
      <c r="AB421" s="231">
        <v>117465</v>
      </c>
      <c r="AC421" s="232">
        <v>0</v>
      </c>
      <c r="AD421" s="374">
        <v>117465</v>
      </c>
    </row>
    <row r="422" spans="1:31">
      <c r="A422" s="389" t="s">
        <v>111</v>
      </c>
      <c r="B422" s="221" t="s">
        <v>46</v>
      </c>
      <c r="C422" t="s">
        <v>807</v>
      </c>
      <c r="D422" s="382" t="s">
        <v>383</v>
      </c>
      <c r="E422"/>
      <c r="F422" s="382" t="s">
        <v>383</v>
      </c>
      <c r="G422"/>
      <c r="H422"/>
      <c r="I422" t="s">
        <v>383</v>
      </c>
      <c r="J422" t="s">
        <v>383</v>
      </c>
      <c r="K422" s="389"/>
      <c r="L422" s="389"/>
      <c r="M422" s="281">
        <v>2010</v>
      </c>
      <c r="N422" s="390">
        <v>3</v>
      </c>
      <c r="O422" s="391">
        <v>116438</v>
      </c>
      <c r="P422" s="391">
        <v>177446</v>
      </c>
      <c r="Q422" s="391">
        <v>0</v>
      </c>
      <c r="R422" s="391">
        <v>293884</v>
      </c>
      <c r="S422" s="233"/>
      <c r="T422" s="225">
        <v>177446</v>
      </c>
      <c r="U422" s="225">
        <v>116438</v>
      </c>
      <c r="V422" s="226">
        <v>0.20759211117311593</v>
      </c>
      <c r="W422" s="227">
        <v>0.60379605558655791</v>
      </c>
      <c r="X422" s="228" t="s">
        <v>1097</v>
      </c>
      <c r="Y422" s="229" t="s">
        <v>1101</v>
      </c>
      <c r="Z422" s="230" t="s">
        <v>1100</v>
      </c>
      <c r="AA422" s="231">
        <v>116438</v>
      </c>
      <c r="AB422" s="231">
        <v>0</v>
      </c>
      <c r="AC422" s="232">
        <v>0</v>
      </c>
      <c r="AD422" s="374">
        <v>116438</v>
      </c>
    </row>
    <row r="423" spans="1:31">
      <c r="A423" s="389" t="s">
        <v>111</v>
      </c>
      <c r="B423" s="221" t="s">
        <v>46</v>
      </c>
      <c r="C423" t="s">
        <v>808</v>
      </c>
      <c r="E423"/>
      <c r="G423"/>
      <c r="H423"/>
      <c r="I423" t="s">
        <v>383</v>
      </c>
      <c r="J423" t="s">
        <v>383</v>
      </c>
      <c r="K423" s="389"/>
      <c r="L423" s="389"/>
      <c r="M423" s="281">
        <v>1994</v>
      </c>
      <c r="N423" s="390">
        <v>4</v>
      </c>
      <c r="O423" s="391">
        <v>78940</v>
      </c>
      <c r="P423" s="391">
        <v>154749</v>
      </c>
      <c r="Q423" s="391">
        <v>0</v>
      </c>
      <c r="R423" s="391">
        <v>233689</v>
      </c>
      <c r="S423" s="233"/>
      <c r="T423" s="225">
        <v>154749</v>
      </c>
      <c r="U423" s="225">
        <v>78940</v>
      </c>
      <c r="V423" s="226">
        <v>0.32440123411885025</v>
      </c>
      <c r="W423" s="227">
        <v>0.66220061705942512</v>
      </c>
      <c r="X423" s="228" t="s">
        <v>1097</v>
      </c>
      <c r="Y423" s="229" t="s">
        <v>1101</v>
      </c>
      <c r="Z423" s="230" t="s">
        <v>1100</v>
      </c>
      <c r="AA423" s="231">
        <v>78940</v>
      </c>
      <c r="AB423" s="231">
        <v>0</v>
      </c>
      <c r="AC423" s="232">
        <v>0</v>
      </c>
      <c r="AD423" s="374">
        <v>78940</v>
      </c>
    </row>
    <row r="424" spans="1:31">
      <c r="A424" s="389" t="s">
        <v>111</v>
      </c>
      <c r="B424" s="221" t="s">
        <v>46</v>
      </c>
      <c r="C424" t="s">
        <v>809</v>
      </c>
      <c r="D424" s="382" t="s">
        <v>383</v>
      </c>
      <c r="E424"/>
      <c r="F424"/>
      <c r="G424"/>
      <c r="H424"/>
      <c r="I424" t="s">
        <v>383</v>
      </c>
      <c r="J424" t="s">
        <v>383</v>
      </c>
      <c r="K424" s="389"/>
      <c r="L424" s="389"/>
      <c r="M424" s="281">
        <v>2004</v>
      </c>
      <c r="N424" s="390">
        <v>5</v>
      </c>
      <c r="O424" s="391">
        <v>117512</v>
      </c>
      <c r="P424" s="391">
        <v>191066</v>
      </c>
      <c r="Q424" s="391">
        <v>0</v>
      </c>
      <c r="R424" s="391">
        <v>308578</v>
      </c>
      <c r="S424" s="233"/>
      <c r="T424" s="225">
        <v>191066</v>
      </c>
      <c r="U424" s="225">
        <v>117512</v>
      </c>
      <c r="V424" s="226">
        <v>0.23836436816623349</v>
      </c>
      <c r="W424" s="227">
        <v>0.61918218408311676</v>
      </c>
      <c r="X424" s="228" t="s">
        <v>1097</v>
      </c>
      <c r="Y424" s="229" t="s">
        <v>1101</v>
      </c>
      <c r="Z424" s="230" t="s">
        <v>1100</v>
      </c>
      <c r="AA424" s="231">
        <v>117512</v>
      </c>
      <c r="AB424" s="231">
        <v>0</v>
      </c>
      <c r="AC424" s="232">
        <v>0</v>
      </c>
      <c r="AD424" s="374">
        <v>117512</v>
      </c>
    </row>
    <row r="425" spans="1:31">
      <c r="A425" s="389" t="s">
        <v>111</v>
      </c>
      <c r="B425" s="221" t="s">
        <v>46</v>
      </c>
      <c r="C425" t="s">
        <v>810</v>
      </c>
      <c r="D425" s="382"/>
      <c r="E425"/>
      <c r="F425"/>
      <c r="G425"/>
      <c r="H425"/>
      <c r="I425" t="s">
        <v>383</v>
      </c>
      <c r="J425" t="s">
        <v>383</v>
      </c>
      <c r="K425" s="392"/>
      <c r="L425" s="392"/>
      <c r="M425" s="281">
        <v>2012</v>
      </c>
      <c r="N425" s="390">
        <v>6</v>
      </c>
      <c r="O425" s="391">
        <v>186661</v>
      </c>
      <c r="P425" s="391">
        <v>129725</v>
      </c>
      <c r="Q425" s="391">
        <v>0</v>
      </c>
      <c r="R425" s="391">
        <v>316386</v>
      </c>
      <c r="S425" s="233"/>
      <c r="T425" s="225">
        <v>186661</v>
      </c>
      <c r="U425" s="225">
        <v>129725</v>
      </c>
      <c r="V425" s="226">
        <v>0.17995739381641412</v>
      </c>
      <c r="W425" s="227">
        <v>0.58997869690820703</v>
      </c>
      <c r="X425" s="228" t="s">
        <v>1097</v>
      </c>
      <c r="Y425" s="229" t="s">
        <v>1098</v>
      </c>
      <c r="Z425" s="230" t="s">
        <v>1102</v>
      </c>
      <c r="AA425" s="231">
        <v>0</v>
      </c>
      <c r="AB425" s="231">
        <v>129725</v>
      </c>
      <c r="AC425" s="232">
        <v>0</v>
      </c>
      <c r="AD425" s="374">
        <v>129725</v>
      </c>
    </row>
    <row r="426" spans="1:31">
      <c r="A426" s="389" t="s">
        <v>111</v>
      </c>
      <c r="B426" s="221" t="s">
        <v>46</v>
      </c>
      <c r="C426" t="s">
        <v>811</v>
      </c>
      <c r="D426"/>
      <c r="E426"/>
      <c r="F426"/>
      <c r="G426"/>
      <c r="H426"/>
      <c r="I426" t="s">
        <v>383</v>
      </c>
      <c r="J426" t="s">
        <v>383</v>
      </c>
      <c r="K426" s="392"/>
      <c r="L426" s="392"/>
      <c r="M426" s="281">
        <v>1988</v>
      </c>
      <c r="N426" s="390">
        <v>7</v>
      </c>
      <c r="O426" s="391">
        <v>298368</v>
      </c>
      <c r="P426" s="391">
        <v>76212</v>
      </c>
      <c r="Q426" s="391">
        <v>0</v>
      </c>
      <c r="R426" s="391">
        <v>374580</v>
      </c>
      <c r="S426" s="233"/>
      <c r="T426" s="225">
        <v>298368</v>
      </c>
      <c r="U426" s="225">
        <v>76212</v>
      </c>
      <c r="V426" s="226">
        <v>0.59308024987986541</v>
      </c>
      <c r="W426" s="227">
        <v>0.79654012493993276</v>
      </c>
      <c r="X426" s="228" t="s">
        <v>1097</v>
      </c>
      <c r="Y426" s="229" t="s">
        <v>1098</v>
      </c>
      <c r="Z426" s="230" t="s">
        <v>1103</v>
      </c>
      <c r="AA426" s="231">
        <v>0</v>
      </c>
      <c r="AB426" s="231">
        <v>76212</v>
      </c>
      <c r="AC426" s="232">
        <v>0</v>
      </c>
      <c r="AD426" s="374">
        <v>76212</v>
      </c>
    </row>
    <row r="427" spans="1:31">
      <c r="A427" s="389" t="s">
        <v>111</v>
      </c>
      <c r="B427" s="221" t="s">
        <v>46</v>
      </c>
      <c r="C427" t="s">
        <v>812</v>
      </c>
      <c r="D427"/>
      <c r="E427"/>
      <c r="F427"/>
      <c r="G427"/>
      <c r="H427"/>
      <c r="I427" t="s">
        <v>383</v>
      </c>
      <c r="J427" t="s">
        <v>383</v>
      </c>
      <c r="K427" s="389"/>
      <c r="L427" s="389"/>
      <c r="M427" s="281">
        <v>2004</v>
      </c>
      <c r="N427" s="390">
        <v>8</v>
      </c>
      <c r="O427" s="391">
        <v>121886</v>
      </c>
      <c r="P427" s="391">
        <v>180204</v>
      </c>
      <c r="Q427" s="391">
        <v>0</v>
      </c>
      <c r="R427" s="391">
        <v>302090</v>
      </c>
      <c r="S427" s="233"/>
      <c r="T427" s="225">
        <v>180204</v>
      </c>
      <c r="U427" s="225">
        <v>121886</v>
      </c>
      <c r="V427" s="226">
        <v>0.19304842927604357</v>
      </c>
      <c r="W427" s="227">
        <v>0.59652421463802174</v>
      </c>
      <c r="X427" s="228" t="s">
        <v>1097</v>
      </c>
      <c r="Y427" s="229" t="s">
        <v>1101</v>
      </c>
      <c r="Z427" s="230" t="s">
        <v>1102</v>
      </c>
      <c r="AA427" s="231">
        <v>121886</v>
      </c>
      <c r="AB427" s="231">
        <v>0</v>
      </c>
      <c r="AC427" s="232">
        <v>0</v>
      </c>
      <c r="AD427" s="374">
        <v>121886</v>
      </c>
    </row>
    <row r="428" spans="1:31">
      <c r="A428" s="389" t="s">
        <v>111</v>
      </c>
      <c r="B428" s="221" t="s">
        <v>46</v>
      </c>
      <c r="C428" t="s">
        <v>813</v>
      </c>
      <c r="D428"/>
      <c r="E428"/>
      <c r="F428"/>
      <c r="G428"/>
      <c r="H428"/>
      <c r="I428" t="s">
        <v>383</v>
      </c>
      <c r="J428" t="s">
        <v>383</v>
      </c>
      <c r="K428" s="392"/>
      <c r="L428" s="392"/>
      <c r="M428" s="281">
        <v>1996</v>
      </c>
      <c r="N428" s="390">
        <v>9</v>
      </c>
      <c r="O428" s="391">
        <v>192034</v>
      </c>
      <c r="P428" s="391">
        <v>76105</v>
      </c>
      <c r="Q428" s="391">
        <v>0</v>
      </c>
      <c r="R428" s="391">
        <v>268139</v>
      </c>
      <c r="S428" s="233"/>
      <c r="T428" s="225">
        <v>192034</v>
      </c>
      <c r="U428" s="225">
        <v>76105</v>
      </c>
      <c r="V428" s="226">
        <v>0.43234665602541966</v>
      </c>
      <c r="W428" s="227">
        <v>0.71617332801270983</v>
      </c>
      <c r="X428" s="228" t="s">
        <v>1097</v>
      </c>
      <c r="Y428" s="229" t="s">
        <v>1098</v>
      </c>
      <c r="Z428" s="230" t="s">
        <v>1103</v>
      </c>
      <c r="AA428" s="231">
        <v>0</v>
      </c>
      <c r="AB428" s="231">
        <v>76105</v>
      </c>
      <c r="AC428" s="232">
        <v>0</v>
      </c>
      <c r="AD428" s="374">
        <v>76105</v>
      </c>
    </row>
    <row r="429" spans="1:31">
      <c r="A429" s="389" t="s">
        <v>111</v>
      </c>
      <c r="B429" s="221" t="s">
        <v>46</v>
      </c>
      <c r="C429" t="s">
        <v>814</v>
      </c>
      <c r="D429"/>
      <c r="E429"/>
      <c r="F429"/>
      <c r="G429"/>
      <c r="H429"/>
      <c r="I429" t="s">
        <v>383</v>
      </c>
      <c r="J429" t="s">
        <v>383</v>
      </c>
      <c r="K429" s="392"/>
      <c r="L429" s="392"/>
      <c r="M429" s="281">
        <v>2012</v>
      </c>
      <c r="N429" s="390">
        <v>10</v>
      </c>
      <c r="O429" s="391">
        <v>163036</v>
      </c>
      <c r="P429" s="391">
        <v>115381</v>
      </c>
      <c r="Q429" s="391">
        <v>0</v>
      </c>
      <c r="R429" s="391">
        <v>278417</v>
      </c>
      <c r="S429" s="233"/>
      <c r="T429" s="225">
        <v>163036</v>
      </c>
      <c r="U429" s="225">
        <v>115381</v>
      </c>
      <c r="V429" s="226">
        <v>0.17116411713365204</v>
      </c>
      <c r="W429" s="227">
        <v>0.58558205856682599</v>
      </c>
      <c r="X429" s="228" t="s">
        <v>1097</v>
      </c>
      <c r="Y429" s="229" t="s">
        <v>1098</v>
      </c>
      <c r="Z429" s="230" t="s">
        <v>1102</v>
      </c>
      <c r="AA429" s="231">
        <v>0</v>
      </c>
      <c r="AB429" s="231">
        <v>115381</v>
      </c>
      <c r="AC429" s="232">
        <v>0</v>
      </c>
      <c r="AD429" s="374">
        <v>115381</v>
      </c>
      <c r="AE429" s="374">
        <v>949664</v>
      </c>
    </row>
    <row r="430" spans="1:31">
      <c r="A430" s="389" t="s">
        <v>112</v>
      </c>
      <c r="B430" s="221" t="s">
        <v>47</v>
      </c>
      <c r="C430" t="s">
        <v>815</v>
      </c>
      <c r="D430"/>
      <c r="E430"/>
      <c r="F430"/>
      <c r="G430"/>
      <c r="H430"/>
      <c r="I430" t="s">
        <v>384</v>
      </c>
      <c r="J430" t="s">
        <v>384</v>
      </c>
      <c r="K430" s="389"/>
      <c r="L430" s="389"/>
      <c r="M430" s="281">
        <v>2010</v>
      </c>
      <c r="N430" s="390">
        <v>1</v>
      </c>
      <c r="O430" s="391">
        <v>80342</v>
      </c>
      <c r="P430" s="391">
        <v>133809</v>
      </c>
      <c r="Q430" s="391">
        <v>0</v>
      </c>
      <c r="R430" s="391">
        <v>214151</v>
      </c>
      <c r="S430" s="233"/>
      <c r="T430" s="225">
        <v>133809</v>
      </c>
      <c r="U430" s="225">
        <v>80342</v>
      </c>
      <c r="V430" s="226">
        <v>0.24966962563798442</v>
      </c>
      <c r="W430" s="227">
        <v>0.62483481281899222</v>
      </c>
      <c r="X430" s="228" t="s">
        <v>1104</v>
      </c>
      <c r="Y430" s="229" t="s">
        <v>1105</v>
      </c>
      <c r="Z430" s="230" t="s">
        <v>1106</v>
      </c>
      <c r="AA430" s="231">
        <v>80342</v>
      </c>
      <c r="AB430" s="231">
        <v>0</v>
      </c>
      <c r="AC430" s="232">
        <v>0</v>
      </c>
      <c r="AD430" s="374">
        <v>80342</v>
      </c>
    </row>
    <row r="431" spans="1:31">
      <c r="A431" s="389" t="s">
        <v>112</v>
      </c>
      <c r="B431" s="221" t="s">
        <v>47</v>
      </c>
      <c r="C431" t="s">
        <v>816</v>
      </c>
      <c r="D431" s="382" t="s">
        <v>384</v>
      </c>
      <c r="E431"/>
      <c r="F431"/>
      <c r="G431"/>
      <c r="H431"/>
      <c r="I431" t="s">
        <v>384</v>
      </c>
      <c r="J431" t="s">
        <v>384</v>
      </c>
      <c r="K431" s="389"/>
      <c r="L431" s="389"/>
      <c r="M431" s="281">
        <v>2000</v>
      </c>
      <c r="N431" s="390">
        <v>2</v>
      </c>
      <c r="O431" s="391">
        <v>68560</v>
      </c>
      <c r="P431" s="391">
        <v>158206</v>
      </c>
      <c r="Q431" s="391">
        <v>0</v>
      </c>
      <c r="R431" s="391">
        <v>226766</v>
      </c>
      <c r="S431" s="233"/>
      <c r="T431" s="225">
        <v>158206</v>
      </c>
      <c r="U431" s="225">
        <v>68560</v>
      </c>
      <c r="V431" s="226">
        <v>0.39532381397564009</v>
      </c>
      <c r="W431" s="227">
        <v>0.69766190698782005</v>
      </c>
      <c r="X431" s="228" t="s">
        <v>1104</v>
      </c>
      <c r="Y431" s="229" t="s">
        <v>1105</v>
      </c>
      <c r="Z431" s="230" t="s">
        <v>1106</v>
      </c>
      <c r="AA431" s="231">
        <v>68560</v>
      </c>
      <c r="AB431" s="231">
        <v>0</v>
      </c>
      <c r="AC431" s="232">
        <v>0</v>
      </c>
      <c r="AD431" s="374">
        <v>68560</v>
      </c>
    </row>
    <row r="432" spans="1:31">
      <c r="A432" s="389" t="s">
        <v>112</v>
      </c>
      <c r="B432" s="221" t="s">
        <v>47</v>
      </c>
      <c r="C432" t="s">
        <v>817</v>
      </c>
      <c r="D432"/>
      <c r="E432"/>
      <c r="F432"/>
      <c r="G432"/>
      <c r="H432"/>
      <c r="I432" t="s">
        <v>384</v>
      </c>
      <c r="J432" t="s">
        <v>384</v>
      </c>
      <c r="K432" s="392"/>
      <c r="L432" s="392"/>
      <c r="M432" s="281">
        <v>1976</v>
      </c>
      <c r="N432" s="390">
        <v>3</v>
      </c>
      <c r="O432" s="391">
        <v>108223</v>
      </c>
      <c r="P432" s="391">
        <v>92214</v>
      </c>
      <c r="Q432" s="391">
        <v>0</v>
      </c>
      <c r="R432" s="391">
        <v>200437</v>
      </c>
      <c r="S432" s="233"/>
      <c r="T432" s="225">
        <v>108223</v>
      </c>
      <c r="U432" s="225">
        <v>92214</v>
      </c>
      <c r="V432" s="226">
        <v>7.9870482994656669E-2</v>
      </c>
      <c r="W432" s="227">
        <v>0.5399352414973283</v>
      </c>
      <c r="X432" s="228" t="s">
        <v>1104</v>
      </c>
      <c r="Y432" s="229" t="s">
        <v>1107</v>
      </c>
      <c r="Z432" s="230" t="s">
        <v>1108</v>
      </c>
      <c r="AA432" s="231">
        <v>0</v>
      </c>
      <c r="AB432" s="231">
        <v>92214</v>
      </c>
      <c r="AC432" s="232">
        <v>0</v>
      </c>
      <c r="AD432" s="374">
        <v>92214</v>
      </c>
      <c r="AE432" s="374">
        <v>241116</v>
      </c>
    </row>
    <row r="433" spans="1:31">
      <c r="A433" s="389" t="s">
        <v>113</v>
      </c>
      <c r="B433" s="221" t="s">
        <v>48</v>
      </c>
      <c r="C433" t="s">
        <v>818</v>
      </c>
      <c r="D433"/>
      <c r="E433"/>
      <c r="F433"/>
      <c r="G433"/>
      <c r="H433"/>
      <c r="I433" t="s">
        <v>385</v>
      </c>
      <c r="J433" t="s">
        <v>385</v>
      </c>
      <c r="K433" s="389"/>
      <c r="L433" s="389"/>
      <c r="M433" s="281">
        <v>1998</v>
      </c>
      <c r="N433" s="390">
        <v>1</v>
      </c>
      <c r="O433" s="391">
        <v>158414</v>
      </c>
      <c r="P433" s="391">
        <v>200423</v>
      </c>
      <c r="Q433" s="391">
        <v>6221</v>
      </c>
      <c r="R433" s="391">
        <v>365058</v>
      </c>
      <c r="S433" s="233"/>
      <c r="T433" s="225">
        <v>200423</v>
      </c>
      <c r="U433" s="225">
        <v>158414</v>
      </c>
      <c r="V433" s="226">
        <v>0.11706986737710993</v>
      </c>
      <c r="W433" s="227">
        <v>0.5490168685523944</v>
      </c>
      <c r="X433" s="228" t="s">
        <v>1109</v>
      </c>
      <c r="Y433" s="229" t="s">
        <v>1110</v>
      </c>
      <c r="Z433" s="230" t="s">
        <v>1111</v>
      </c>
      <c r="AA433" s="231">
        <v>158414</v>
      </c>
      <c r="AB433" s="231">
        <v>0</v>
      </c>
      <c r="AC433" s="232">
        <v>6221</v>
      </c>
      <c r="AD433" s="374">
        <v>164635</v>
      </c>
    </row>
    <row r="434" spans="1:31">
      <c r="A434" s="389" t="s">
        <v>113</v>
      </c>
      <c r="B434" s="221" t="s">
        <v>48</v>
      </c>
      <c r="C434" t="s">
        <v>819</v>
      </c>
      <c r="D434" s="382"/>
      <c r="E434"/>
      <c r="F434"/>
      <c r="G434"/>
      <c r="H434"/>
      <c r="I434" t="s">
        <v>385</v>
      </c>
      <c r="J434" t="s">
        <v>385</v>
      </c>
      <c r="K434" s="392"/>
      <c r="L434" s="392"/>
      <c r="M434" s="281">
        <v>2012</v>
      </c>
      <c r="N434" s="390">
        <v>2</v>
      </c>
      <c r="O434" s="391">
        <v>265422</v>
      </c>
      <c r="P434" s="391">
        <v>124683</v>
      </c>
      <c r="Q434" s="391">
        <v>793</v>
      </c>
      <c r="R434" s="391">
        <v>390898</v>
      </c>
      <c r="S434" s="233"/>
      <c r="T434" s="225">
        <v>265422</v>
      </c>
      <c r="U434" s="225">
        <v>124683</v>
      </c>
      <c r="V434" s="226">
        <v>0.36077209981927943</v>
      </c>
      <c r="W434" s="227">
        <v>0.67900577644295956</v>
      </c>
      <c r="X434" s="228" t="s">
        <v>1109</v>
      </c>
      <c r="Y434" s="229" t="s">
        <v>1112</v>
      </c>
      <c r="Z434" s="230" t="s">
        <v>1113</v>
      </c>
      <c r="AA434" s="231">
        <v>0</v>
      </c>
      <c r="AB434" s="231">
        <v>124683</v>
      </c>
      <c r="AC434" s="232">
        <v>793</v>
      </c>
      <c r="AD434" s="374">
        <v>125476</v>
      </c>
    </row>
    <row r="435" spans="1:31">
      <c r="A435" s="389" t="s">
        <v>113</v>
      </c>
      <c r="B435" s="221" t="s">
        <v>48</v>
      </c>
      <c r="C435" t="s">
        <v>820</v>
      </c>
      <c r="D435"/>
      <c r="E435"/>
      <c r="F435"/>
      <c r="G435"/>
      <c r="H435"/>
      <c r="I435" t="s">
        <v>385</v>
      </c>
      <c r="J435" t="s">
        <v>385</v>
      </c>
      <c r="K435" s="392"/>
      <c r="L435" s="392"/>
      <c r="M435" s="281">
        <v>1996</v>
      </c>
      <c r="N435" s="390">
        <v>3</v>
      </c>
      <c r="O435" s="391">
        <v>217712</v>
      </c>
      <c r="P435" s="391">
        <v>121713</v>
      </c>
      <c r="Q435" s="391">
        <v>339</v>
      </c>
      <c r="R435" s="391">
        <v>339764</v>
      </c>
      <c r="S435" s="233"/>
      <c r="T435" s="225">
        <v>217712</v>
      </c>
      <c r="U435" s="225">
        <v>121713</v>
      </c>
      <c r="V435" s="226">
        <v>0.2828283125874641</v>
      </c>
      <c r="W435" s="227">
        <v>0.64077418443390122</v>
      </c>
      <c r="X435" s="228" t="s">
        <v>1109</v>
      </c>
      <c r="Y435" s="229" t="s">
        <v>1112</v>
      </c>
      <c r="Z435" s="230" t="s">
        <v>1113</v>
      </c>
      <c r="AA435" s="231">
        <v>0</v>
      </c>
      <c r="AB435" s="231">
        <v>121713</v>
      </c>
      <c r="AC435" s="232">
        <v>339</v>
      </c>
      <c r="AD435" s="374">
        <v>122052</v>
      </c>
    </row>
    <row r="436" spans="1:31">
      <c r="A436" s="389" t="s">
        <v>113</v>
      </c>
      <c r="B436" s="221" t="s">
        <v>48</v>
      </c>
      <c r="C436" t="s">
        <v>821</v>
      </c>
      <c r="D436" s="382" t="s">
        <v>385</v>
      </c>
      <c r="E436" s="382" t="s">
        <v>385</v>
      </c>
      <c r="F436"/>
      <c r="G436"/>
      <c r="H436"/>
      <c r="I436" t="s">
        <v>385</v>
      </c>
      <c r="J436" t="s">
        <v>385</v>
      </c>
      <c r="K436" s="392"/>
      <c r="L436" s="392"/>
      <c r="M436" s="281">
        <v>2004</v>
      </c>
      <c r="N436" s="390">
        <v>4</v>
      </c>
      <c r="O436" s="391">
        <v>235257</v>
      </c>
      <c r="P436" s="391">
        <v>80787</v>
      </c>
      <c r="Q436" s="391">
        <v>9744</v>
      </c>
      <c r="R436" s="391">
        <v>325788</v>
      </c>
      <c r="S436" s="233"/>
      <c r="T436" s="225">
        <v>235257</v>
      </c>
      <c r="U436" s="225">
        <v>80787</v>
      </c>
      <c r="V436" s="226">
        <v>0.48876105858677904</v>
      </c>
      <c r="W436" s="227">
        <v>0.7221168367159011</v>
      </c>
      <c r="X436" s="228" t="s">
        <v>1109</v>
      </c>
      <c r="Y436" s="229" t="s">
        <v>1112</v>
      </c>
      <c r="Z436" s="230" t="s">
        <v>1114</v>
      </c>
      <c r="AA436" s="231">
        <v>0</v>
      </c>
      <c r="AB436" s="231">
        <v>80787</v>
      </c>
      <c r="AC436" s="232">
        <v>9744</v>
      </c>
      <c r="AD436" s="374">
        <v>90531</v>
      </c>
    </row>
    <row r="437" spans="1:31">
      <c r="A437" s="389" t="s">
        <v>113</v>
      </c>
      <c r="B437" s="221" t="s">
        <v>48</v>
      </c>
      <c r="C437" t="s">
        <v>822</v>
      </c>
      <c r="D437"/>
      <c r="E437"/>
      <c r="F437"/>
      <c r="G437"/>
      <c r="H437"/>
      <c r="I437" t="s">
        <v>385</v>
      </c>
      <c r="J437" t="s">
        <v>385</v>
      </c>
      <c r="K437" s="389"/>
      <c r="L437" s="389"/>
      <c r="M437" s="281">
        <v>1978</v>
      </c>
      <c r="N437" s="390">
        <v>5</v>
      </c>
      <c r="O437" s="391">
        <v>118478</v>
      </c>
      <c r="P437" s="391">
        <v>250335</v>
      </c>
      <c r="Q437" s="391">
        <v>851</v>
      </c>
      <c r="R437" s="391">
        <v>369664</v>
      </c>
      <c r="S437" s="233"/>
      <c r="T437" s="225">
        <v>250335</v>
      </c>
      <c r="U437" s="225">
        <v>118478</v>
      </c>
      <c r="V437" s="226">
        <v>0.3575172241759374</v>
      </c>
      <c r="W437" s="227">
        <v>0.67719604830332414</v>
      </c>
      <c r="X437" s="228" t="s">
        <v>1109</v>
      </c>
      <c r="Y437" s="229" t="s">
        <v>1110</v>
      </c>
      <c r="Z437" s="230" t="s">
        <v>1113</v>
      </c>
      <c r="AA437" s="231">
        <v>118478</v>
      </c>
      <c r="AB437" s="231">
        <v>0</v>
      </c>
      <c r="AC437" s="232">
        <v>851</v>
      </c>
      <c r="AD437" s="374">
        <v>119329</v>
      </c>
    </row>
    <row r="438" spans="1:31">
      <c r="A438" s="389" t="s">
        <v>113</v>
      </c>
      <c r="B438" s="221" t="s">
        <v>48</v>
      </c>
      <c r="C438" t="s">
        <v>823</v>
      </c>
      <c r="D438"/>
      <c r="E438"/>
      <c r="F438"/>
      <c r="G438"/>
      <c r="H438"/>
      <c r="I438" t="s">
        <v>385</v>
      </c>
      <c r="J438" t="s">
        <v>385</v>
      </c>
      <c r="K438" s="389"/>
      <c r="L438" s="389"/>
      <c r="M438" s="281">
        <v>1979</v>
      </c>
      <c r="N438" s="390">
        <v>6</v>
      </c>
      <c r="O438" s="391">
        <v>135921</v>
      </c>
      <c r="P438" s="391">
        <v>223460</v>
      </c>
      <c r="Q438" s="391">
        <v>364</v>
      </c>
      <c r="R438" s="391">
        <v>359745</v>
      </c>
      <c r="S438" s="233"/>
      <c r="T438" s="225">
        <v>223460</v>
      </c>
      <c r="U438" s="225">
        <v>135921</v>
      </c>
      <c r="V438" s="226">
        <v>0.24358271583639646</v>
      </c>
      <c r="W438" s="227">
        <v>0.62116221212247569</v>
      </c>
      <c r="X438" s="228" t="s">
        <v>1109</v>
      </c>
      <c r="Y438" s="229" t="s">
        <v>1110</v>
      </c>
      <c r="Z438" s="230" t="s">
        <v>1113</v>
      </c>
      <c r="AA438" s="231">
        <v>135921</v>
      </c>
      <c r="AB438" s="231">
        <v>0</v>
      </c>
      <c r="AC438" s="232">
        <v>364</v>
      </c>
      <c r="AD438" s="374">
        <v>136285</v>
      </c>
    </row>
    <row r="439" spans="1:31">
      <c r="A439" s="389" t="s">
        <v>113</v>
      </c>
      <c r="B439" s="221" t="s">
        <v>48</v>
      </c>
      <c r="C439" t="s">
        <v>824</v>
      </c>
      <c r="D439"/>
      <c r="E439"/>
      <c r="F439"/>
      <c r="G439"/>
      <c r="H439"/>
      <c r="I439" t="s">
        <v>385</v>
      </c>
      <c r="J439" t="s">
        <v>385</v>
      </c>
      <c r="K439" s="389"/>
      <c r="L439" s="389"/>
      <c r="M439" s="281">
        <v>2010</v>
      </c>
      <c r="N439" s="390">
        <v>7</v>
      </c>
      <c r="O439" s="391">
        <v>157524</v>
      </c>
      <c r="P439" s="391">
        <v>201720</v>
      </c>
      <c r="Q439" s="391">
        <v>425</v>
      </c>
      <c r="R439" s="391">
        <v>359669</v>
      </c>
      <c r="S439" s="233"/>
      <c r="T439" s="225">
        <v>201720</v>
      </c>
      <c r="U439" s="225">
        <v>157524</v>
      </c>
      <c r="V439" s="226">
        <v>0.12302501920700137</v>
      </c>
      <c r="W439" s="227">
        <v>0.56084900283316053</v>
      </c>
      <c r="X439" s="228" t="s">
        <v>1109</v>
      </c>
      <c r="Y439" s="229" t="s">
        <v>1110</v>
      </c>
      <c r="Z439" s="230" t="s">
        <v>1111</v>
      </c>
      <c r="AA439" s="231">
        <v>157524</v>
      </c>
      <c r="AB439" s="231">
        <v>0</v>
      </c>
      <c r="AC439" s="232">
        <v>425</v>
      </c>
      <c r="AD439" s="374">
        <v>157949</v>
      </c>
    </row>
    <row r="440" spans="1:31">
      <c r="A440" s="389" t="s">
        <v>113</v>
      </c>
      <c r="B440" s="221" t="s">
        <v>48</v>
      </c>
      <c r="C440" t="s">
        <v>825</v>
      </c>
      <c r="D440"/>
      <c r="E440"/>
      <c r="F440"/>
      <c r="G440"/>
      <c r="H440"/>
      <c r="I440" t="s">
        <v>385</v>
      </c>
      <c r="J440" t="s">
        <v>385</v>
      </c>
      <c r="K440" s="389"/>
      <c r="L440" s="389"/>
      <c r="M440" s="281">
        <v>2010</v>
      </c>
      <c r="N440" s="390">
        <v>8</v>
      </c>
      <c r="O440" s="391">
        <v>156287</v>
      </c>
      <c r="P440" s="391">
        <v>198874</v>
      </c>
      <c r="Q440" s="391">
        <v>303</v>
      </c>
      <c r="R440" s="391">
        <v>355464</v>
      </c>
      <c r="S440" s="233"/>
      <c r="T440" s="225">
        <v>198874</v>
      </c>
      <c r="U440" s="225">
        <v>156287</v>
      </c>
      <c r="V440" s="226">
        <v>0.11990899901734706</v>
      </c>
      <c r="W440" s="227">
        <v>0.55947719037652199</v>
      </c>
      <c r="X440" s="228" t="s">
        <v>1109</v>
      </c>
      <c r="Y440" s="229" t="s">
        <v>1110</v>
      </c>
      <c r="Z440" s="230" t="s">
        <v>1111</v>
      </c>
      <c r="AA440" s="231">
        <v>156287</v>
      </c>
      <c r="AB440" s="231">
        <v>0</v>
      </c>
      <c r="AC440" s="232">
        <v>303</v>
      </c>
      <c r="AD440" s="374">
        <v>156590</v>
      </c>
      <c r="AE440" s="374">
        <v>1072847</v>
      </c>
    </row>
    <row r="441" spans="1:31" ht="16" thickBot="1">
      <c r="A441" s="389" t="s">
        <v>114</v>
      </c>
      <c r="B441" s="221" t="s">
        <v>49</v>
      </c>
      <c r="C441" t="s">
        <v>826</v>
      </c>
      <c r="D441" s="382" t="s">
        <v>386</v>
      </c>
      <c r="E441"/>
      <c r="F441"/>
      <c r="G441"/>
      <c r="H441"/>
      <c r="I441" t="s">
        <v>386</v>
      </c>
      <c r="J441" t="s">
        <v>386</v>
      </c>
      <c r="K441" s="389"/>
      <c r="L441" s="389"/>
      <c r="M441" s="281">
        <v>2008</v>
      </c>
      <c r="N441" s="390" t="s">
        <v>0</v>
      </c>
      <c r="O441" s="391">
        <v>57573</v>
      </c>
      <c r="P441" s="391">
        <v>166452</v>
      </c>
      <c r="Q441" s="391">
        <v>17596</v>
      </c>
      <c r="R441" s="391">
        <v>241621</v>
      </c>
      <c r="S441" s="233"/>
      <c r="T441" s="225">
        <v>166452</v>
      </c>
      <c r="U441" s="225">
        <v>57573</v>
      </c>
      <c r="V441" s="226">
        <v>0.4860127217944426</v>
      </c>
      <c r="W441" s="227">
        <v>0.68889707434370362</v>
      </c>
      <c r="X441" s="228" t="s">
        <v>1115</v>
      </c>
      <c r="Y441" s="229" t="s">
        <v>1116</v>
      </c>
      <c r="Z441" s="230" t="s">
        <v>1117</v>
      </c>
      <c r="AA441" s="231">
        <v>57573</v>
      </c>
      <c r="AB441" s="231">
        <v>0</v>
      </c>
      <c r="AC441" s="232">
        <v>17596</v>
      </c>
      <c r="AD441" s="374">
        <v>75169</v>
      </c>
      <c r="AE441" s="374">
        <v>75169</v>
      </c>
    </row>
    <row r="442" spans="1:31" ht="16" thickBot="1">
      <c r="A442" s="242" t="s">
        <v>50</v>
      </c>
      <c r="B442" s="243"/>
      <c r="C442" s="352"/>
      <c r="D442" s="352"/>
      <c r="E442" s="352"/>
      <c r="F442" s="352"/>
      <c r="G442" s="352"/>
      <c r="H442" s="352"/>
      <c r="I442" s="352"/>
      <c r="J442" s="352"/>
      <c r="K442" s="352"/>
      <c r="L442" s="353"/>
      <c r="M442" s="353"/>
      <c r="N442" s="244"/>
      <c r="O442" s="245">
        <v>59646196</v>
      </c>
      <c r="P442" s="245">
        <v>58283048</v>
      </c>
      <c r="Q442" s="246">
        <v>3414660</v>
      </c>
      <c r="R442" s="246">
        <v>121343904</v>
      </c>
      <c r="S442" s="247">
        <v>1277938</v>
      </c>
      <c r="T442" s="366">
        <v>78615166</v>
      </c>
      <c r="U442" s="367">
        <v>40573957</v>
      </c>
      <c r="V442" s="368">
        <v>0.36509935553663331</v>
      </c>
      <c r="W442" s="369">
        <v>0.647870749238462</v>
      </c>
      <c r="X442" s="248">
        <v>44</v>
      </c>
      <c r="Y442" s="249"/>
      <c r="Z442" s="250"/>
      <c r="AA442" s="251">
        <v>23246178</v>
      </c>
      <c r="AB442" s="252">
        <v>16067900</v>
      </c>
      <c r="AC442" s="253">
        <v>3409014</v>
      </c>
      <c r="AD442" s="375">
        <v>42723092</v>
      </c>
      <c r="AE442" s="376">
        <v>42723092</v>
      </c>
    </row>
    <row r="443" spans="1:31">
      <c r="A443" s="254"/>
      <c r="B443" s="255"/>
      <c r="C443"/>
      <c r="D443"/>
      <c r="E443"/>
      <c r="F443"/>
      <c r="G443"/>
      <c r="H443"/>
      <c r="I443"/>
      <c r="J443"/>
      <c r="K443"/>
      <c r="L443"/>
      <c r="M443"/>
      <c r="N443" s="256"/>
      <c r="O443" s="257"/>
      <c r="P443" s="257"/>
      <c r="Q443" s="257"/>
      <c r="R443" s="257"/>
      <c r="S443" s="258"/>
      <c r="T443" s="257"/>
      <c r="U443" s="257"/>
      <c r="V443" s="259"/>
      <c r="W443" s="260"/>
      <c r="X443" s="261"/>
      <c r="Y443" s="254"/>
      <c r="Z443" s="254"/>
      <c r="AA443" s="262"/>
      <c r="AB443" s="262"/>
      <c r="AC443" s="262"/>
      <c r="AD443" s="6"/>
    </row>
    <row r="444" spans="1:31">
      <c r="A444" s="254"/>
      <c r="B444" s="255"/>
      <c r="C444"/>
      <c r="D444"/>
      <c r="E444"/>
      <c r="F444"/>
      <c r="G444"/>
      <c r="H444"/>
      <c r="I444"/>
      <c r="J444"/>
      <c r="K444"/>
      <c r="L444"/>
      <c r="M444"/>
      <c r="N444" s="256"/>
      <c r="O444" s="257"/>
      <c r="P444" s="257"/>
      <c r="Q444" s="257"/>
      <c r="R444" s="257"/>
      <c r="S444" s="258"/>
      <c r="T444" s="257"/>
      <c r="U444" s="257"/>
      <c r="V444" s="259"/>
      <c r="W444" s="260"/>
      <c r="X444" s="261"/>
      <c r="Y444" s="254"/>
      <c r="Z444" s="254"/>
      <c r="AA444" s="262"/>
      <c r="AB444" s="262"/>
      <c r="AC444" s="262"/>
      <c r="AD444" s="6"/>
    </row>
    <row r="445" spans="1:31">
      <c r="A445" s="200"/>
      <c r="B445" s="263"/>
      <c r="C445"/>
      <c r="D445"/>
      <c r="E445"/>
      <c r="F445"/>
      <c r="G445"/>
      <c r="H445"/>
      <c r="I445"/>
      <c r="J445"/>
      <c r="K445"/>
      <c r="L445"/>
      <c r="M445"/>
      <c r="N445" s="198"/>
      <c r="O445" s="264"/>
      <c r="P445" s="264">
        <v>0</v>
      </c>
      <c r="Q445" s="264"/>
      <c r="R445" s="264"/>
      <c r="S445" s="264"/>
      <c r="T445" s="198"/>
      <c r="U445" s="265"/>
      <c r="V445" s="198"/>
      <c r="W445" s="199"/>
      <c r="X445" s="299"/>
      <c r="Y445" s="267"/>
      <c r="Z445" s="200"/>
      <c r="AA445" s="200"/>
      <c r="AB445" s="200"/>
      <c r="AC445" s="200"/>
      <c r="AD445" s="6"/>
    </row>
    <row r="446" spans="1:31">
      <c r="A446" s="200"/>
      <c r="B446" s="263"/>
      <c r="C446"/>
      <c r="D446"/>
      <c r="E446"/>
      <c r="F446"/>
      <c r="G446"/>
      <c r="H446"/>
      <c r="I446"/>
      <c r="J446"/>
      <c r="K446"/>
      <c r="L446"/>
      <c r="M446"/>
      <c r="N446" s="198"/>
      <c r="O446" s="266" t="s">
        <v>338</v>
      </c>
      <c r="P446" s="264"/>
      <c r="Q446" s="264"/>
      <c r="R446" s="264"/>
      <c r="S446" s="264"/>
      <c r="T446" s="198"/>
      <c r="U446" s="198"/>
      <c r="V446" s="198"/>
      <c r="W446" s="199"/>
      <c r="X446" s="200"/>
      <c r="Y446" s="200"/>
      <c r="Z446" s="200"/>
      <c r="AA446" s="200"/>
      <c r="AB446" s="200"/>
      <c r="AC446" s="200"/>
      <c r="AD446" s="6"/>
    </row>
    <row r="447" spans="1:31">
      <c r="A447" s="200"/>
      <c r="B447" s="263"/>
      <c r="C447"/>
      <c r="D447"/>
      <c r="E447"/>
      <c r="F447"/>
      <c r="G447"/>
      <c r="H447"/>
      <c r="I447"/>
      <c r="J447"/>
      <c r="K447"/>
      <c r="L447"/>
      <c r="M447"/>
      <c r="N447" s="198"/>
      <c r="O447" s="266" t="s">
        <v>339</v>
      </c>
      <c r="P447" s="264"/>
      <c r="Q447" s="264"/>
      <c r="R447" s="264"/>
      <c r="S447" s="264"/>
      <c r="T447" s="198"/>
      <c r="U447" s="198"/>
      <c r="V447" s="198"/>
      <c r="W447" s="199"/>
      <c r="X447" s="200"/>
      <c r="Y447" s="200"/>
      <c r="Z447" s="200"/>
      <c r="AA447" s="200"/>
      <c r="AB447" s="200"/>
      <c r="AC447" s="200"/>
      <c r="AD447" s="6"/>
    </row>
    <row r="448" spans="1:31">
      <c r="A448" s="200"/>
      <c r="B448" s="263"/>
      <c r="C448"/>
      <c r="D448"/>
      <c r="E448"/>
      <c r="F448"/>
      <c r="G448"/>
      <c r="H448"/>
      <c r="I448"/>
      <c r="J448"/>
      <c r="K448"/>
      <c r="L448"/>
      <c r="M448"/>
      <c r="N448" s="198"/>
      <c r="O448" s="266" t="s">
        <v>335</v>
      </c>
      <c r="P448" s="264"/>
      <c r="Q448" s="264"/>
      <c r="R448" s="264"/>
      <c r="S448" s="264"/>
      <c r="T448" s="198"/>
      <c r="U448" s="198"/>
      <c r="V448" s="198"/>
      <c r="W448" s="199"/>
      <c r="X448" s="200"/>
      <c r="Y448" s="200"/>
      <c r="Z448" s="200"/>
      <c r="AA448" s="200"/>
      <c r="AB448" s="200"/>
      <c r="AC448" s="200"/>
      <c r="AD448" s="6"/>
    </row>
    <row r="449" spans="1:30">
      <c r="A449" s="200"/>
      <c r="B449" s="263"/>
      <c r="C449"/>
      <c r="D449"/>
      <c r="E449"/>
      <c r="F449"/>
      <c r="G449"/>
      <c r="H449"/>
      <c r="I449"/>
      <c r="J449"/>
      <c r="K449"/>
      <c r="L449"/>
      <c r="M449"/>
      <c r="N449" s="198"/>
      <c r="O449" s="266"/>
      <c r="P449" s="264"/>
      <c r="Q449" s="264"/>
      <c r="R449" s="264"/>
      <c r="S449" s="264"/>
      <c r="T449" s="198"/>
      <c r="U449" s="198"/>
      <c r="V449" s="198"/>
      <c r="W449" s="199"/>
      <c r="X449" s="200"/>
      <c r="Y449" s="200"/>
      <c r="Z449" s="200"/>
      <c r="AA449" s="200"/>
      <c r="AB449" s="200"/>
      <c r="AC449" s="200"/>
      <c r="AD449" s="6"/>
    </row>
  </sheetData>
  <autoFilter ref="A6:AE442"/>
  <phoneticPr fontId="0" type="noConversion"/>
  <pageMargins left="0.5" right="0.5" top="0.5" bottom="0.5" header="0.5" footer="0.5"/>
  <pageSetup scale="50" fitToWidth="3" fitToHeight="5" orientation="portrait"/>
  <headerFooter alignWithMargins="0">
    <oddHeader>&amp;L&amp;"Times New Roman,Regular"&amp;12&amp;D&amp;C&amp;"Times New Roman,Bold"&amp;12Dubious Democracy 2003 District Data&amp;R&amp;"Times New Roman,Regular"&amp;12&amp;P of 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2"/>
  <sheetViews>
    <sheetView workbookViewId="0">
      <pane xSplit="2" ySplit="6" topLeftCell="BB7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baseColWidth="10" defaultColWidth="8.83203125" defaultRowHeight="15" x14ac:dyDescent="0"/>
  <cols>
    <col min="1" max="1" width="16.5" style="7" bestFit="1" customWidth="1"/>
    <col min="2" max="2" width="9.5" style="7" customWidth="1"/>
    <col min="3" max="3" width="14" style="7" bestFit="1" customWidth="1"/>
    <col min="4" max="4" width="14.6640625" style="7" customWidth="1"/>
    <col min="5" max="5" width="8.83203125" style="7" customWidth="1"/>
    <col min="6" max="6" width="7.6640625" style="7" bestFit="1" customWidth="1"/>
    <col min="7" max="7" width="6.5" style="7" bestFit="1" customWidth="1"/>
    <col min="8" max="8" width="6.5" style="7" customWidth="1"/>
    <col min="9" max="9" width="8" style="7" bestFit="1" customWidth="1"/>
    <col min="10" max="10" width="9" style="7" customWidth="1"/>
    <col min="11" max="11" width="10.1640625" style="7" customWidth="1"/>
    <col min="12" max="12" width="16.5" style="7" bestFit="1" customWidth="1"/>
    <col min="13" max="13" width="7.6640625" style="7" customWidth="1"/>
    <col min="14" max="14" width="9.33203125" style="7" customWidth="1"/>
    <col min="15" max="15" width="8.5" style="7" bestFit="1" customWidth="1"/>
    <col min="16" max="16" width="11.33203125" style="7" customWidth="1"/>
    <col min="17" max="17" width="9.5" style="7" bestFit="1" customWidth="1"/>
    <col min="18" max="18" width="8.5" style="7" bestFit="1" customWidth="1"/>
    <col min="19" max="19" width="7.5" style="7" bestFit="1" customWidth="1"/>
    <col min="20" max="20" width="6" style="5" customWidth="1"/>
    <col min="21" max="22" width="12.5" style="5" customWidth="1"/>
    <col min="23" max="23" width="10.33203125" style="5" customWidth="1"/>
    <col min="24" max="24" width="11.33203125" style="5" customWidth="1"/>
    <col min="25" max="25" width="12.33203125" style="5" customWidth="1"/>
    <col min="26" max="26" width="8.33203125" style="7" bestFit="1" customWidth="1"/>
    <col min="27" max="27" width="9.1640625" style="7" customWidth="1"/>
    <col min="28" max="28" width="7.1640625" style="7" customWidth="1"/>
    <col min="29" max="29" width="7.5" style="7" customWidth="1"/>
    <col min="30" max="31" width="16.83203125" style="7" customWidth="1"/>
    <col min="32" max="32" width="16.1640625" style="7" customWidth="1"/>
    <col min="33" max="34" width="7.5" style="7" customWidth="1"/>
    <col min="35" max="35" width="9.5" style="7" customWidth="1"/>
    <col min="36" max="36" width="9.83203125" style="7" customWidth="1"/>
    <col min="37" max="37" width="8.33203125" style="7" customWidth="1"/>
    <col min="38" max="38" width="7" style="7" customWidth="1"/>
    <col min="39" max="39" width="6.83203125" style="7" customWidth="1"/>
    <col min="40" max="40" width="6.5" style="7" customWidth="1"/>
    <col min="41" max="41" width="7.33203125" style="7" customWidth="1"/>
    <col min="42" max="42" width="8.83203125" style="7" bestFit="1" customWidth="1"/>
    <col min="43" max="43" width="20.5" style="7" customWidth="1"/>
    <col min="44" max="44" width="13.5" style="7" customWidth="1"/>
    <col min="45" max="45" width="11.33203125" style="7" bestFit="1" customWidth="1"/>
    <col min="46" max="46" width="12.1640625" style="7" customWidth="1"/>
    <col min="47" max="47" width="10.1640625" style="7" bestFit="1" customWidth="1"/>
    <col min="48" max="49" width="7.33203125" style="7" bestFit="1" customWidth="1"/>
    <col min="50" max="50" width="7.6640625" style="7" bestFit="1" customWidth="1"/>
    <col min="51" max="52" width="7.83203125" style="7" bestFit="1" customWidth="1"/>
    <col min="53" max="53" width="7.83203125" style="7" customWidth="1"/>
    <col min="54" max="55" width="8.1640625" style="7" bestFit="1" customWidth="1"/>
    <col min="56" max="56" width="8.1640625" style="7" customWidth="1"/>
    <col min="57" max="57" width="9.5" style="7" bestFit="1" customWidth="1"/>
    <col min="58" max="58" width="8.83203125" style="7" bestFit="1" customWidth="1"/>
    <col min="59" max="59" width="8.83203125" style="7" customWidth="1"/>
    <col min="60" max="63" width="11.33203125" style="7" bestFit="1" customWidth="1"/>
    <col min="64" max="64" width="10.1640625" style="7" bestFit="1" customWidth="1"/>
    <col min="65" max="65" width="10.1640625" style="7" customWidth="1"/>
    <col min="66" max="66" width="9" style="7" customWidth="1"/>
    <col min="67" max="67" width="8.5" style="7" customWidth="1"/>
    <col min="68" max="68" width="9" style="7" customWidth="1"/>
    <col min="71" max="16384" width="8.83203125" style="7"/>
  </cols>
  <sheetData>
    <row r="1" spans="1:71">
      <c r="A1" s="8" t="s">
        <v>215</v>
      </c>
      <c r="E1" s="23" t="s">
        <v>203</v>
      </c>
      <c r="X1" s="191"/>
    </row>
    <row r="2" spans="1:71">
      <c r="B2" s="8"/>
      <c r="F2" s="7" t="s">
        <v>204</v>
      </c>
      <c r="AP2" s="7" t="s">
        <v>212</v>
      </c>
    </row>
    <row r="3" spans="1:71">
      <c r="B3" s="8"/>
      <c r="C3" s="8" t="s">
        <v>268</v>
      </c>
      <c r="G3" s="59"/>
      <c r="H3" s="59"/>
      <c r="I3" s="59"/>
      <c r="J3" s="59"/>
      <c r="K3" s="59"/>
      <c r="L3" s="59"/>
      <c r="M3" s="59"/>
      <c r="N3" s="23"/>
      <c r="O3" s="23"/>
      <c r="P3" s="7" t="s">
        <v>267</v>
      </c>
      <c r="Q3" s="23"/>
      <c r="R3" s="23"/>
      <c r="S3" s="23"/>
      <c r="U3" s="60"/>
      <c r="V3" s="60"/>
      <c r="W3" s="60"/>
      <c r="X3" s="60"/>
      <c r="Y3" s="60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71" ht="16" thickBot="1">
      <c r="B4" s="8"/>
      <c r="C4" s="8"/>
      <c r="AQ4"/>
    </row>
    <row r="5" spans="1:71" ht="16" thickBot="1">
      <c r="C5" s="167" t="s">
        <v>194</v>
      </c>
      <c r="E5" s="131" t="s">
        <v>201</v>
      </c>
      <c r="F5" s="132" t="s">
        <v>202</v>
      </c>
      <c r="G5" s="152"/>
      <c r="H5" s="153" t="s">
        <v>205</v>
      </c>
      <c r="I5" s="132"/>
      <c r="J5" s="132"/>
      <c r="K5" s="154"/>
      <c r="L5" s="152" t="s">
        <v>201</v>
      </c>
      <c r="M5" s="132" t="s">
        <v>202</v>
      </c>
      <c r="N5" s="132"/>
      <c r="O5" s="132" t="s">
        <v>128</v>
      </c>
      <c r="P5" s="155"/>
      <c r="Q5" s="132" t="s">
        <v>145</v>
      </c>
      <c r="R5" s="156" t="s">
        <v>140</v>
      </c>
      <c r="S5" s="157" t="s">
        <v>120</v>
      </c>
      <c r="T5" s="158"/>
      <c r="U5" s="159"/>
      <c r="V5" s="354" t="s">
        <v>148</v>
      </c>
      <c r="W5" s="355"/>
      <c r="X5" s="158"/>
      <c r="Y5" s="158"/>
      <c r="Z5" s="133"/>
      <c r="AA5" s="132" t="s">
        <v>394</v>
      </c>
      <c r="AB5" s="358" t="s">
        <v>320</v>
      </c>
      <c r="AC5" s="354" t="s">
        <v>322</v>
      </c>
      <c r="AD5" s="354" t="s">
        <v>323</v>
      </c>
      <c r="AE5" s="354" t="s">
        <v>323</v>
      </c>
      <c r="AF5" s="354" t="s">
        <v>323</v>
      </c>
      <c r="AG5" s="354" t="s">
        <v>389</v>
      </c>
      <c r="AH5" s="354" t="s">
        <v>389</v>
      </c>
      <c r="AI5" s="354" t="s">
        <v>392</v>
      </c>
      <c r="AJ5" s="354" t="s">
        <v>393</v>
      </c>
      <c r="AK5" s="358"/>
      <c r="AL5" s="354"/>
      <c r="AM5" s="354"/>
      <c r="AN5" s="354"/>
      <c r="AO5" s="354"/>
      <c r="AP5" s="167" t="s">
        <v>140</v>
      </c>
      <c r="AQ5" s="160" t="s">
        <v>137</v>
      </c>
      <c r="AR5" s="161"/>
      <c r="AS5" s="130" t="s">
        <v>116</v>
      </c>
      <c r="AT5" s="153"/>
      <c r="AU5" s="162"/>
      <c r="AV5" s="132"/>
      <c r="AW5" s="132" t="s">
        <v>131</v>
      </c>
      <c r="AX5" s="133"/>
      <c r="AY5" s="163"/>
      <c r="AZ5" s="153" t="s">
        <v>130</v>
      </c>
      <c r="BA5" s="164"/>
      <c r="BB5" s="132"/>
      <c r="BC5" s="153" t="s">
        <v>141</v>
      </c>
      <c r="BD5" s="133"/>
      <c r="BE5" s="132"/>
      <c r="BF5" s="153" t="s">
        <v>142</v>
      </c>
      <c r="BG5" s="133"/>
      <c r="BH5" s="165" t="s">
        <v>139</v>
      </c>
      <c r="BI5" s="132"/>
      <c r="BJ5" s="130" t="s">
        <v>146</v>
      </c>
      <c r="BK5" s="130"/>
      <c r="BL5" s="164"/>
      <c r="BM5" s="163"/>
      <c r="BN5" s="163"/>
      <c r="BO5" s="153" t="s">
        <v>147</v>
      </c>
      <c r="BP5" s="166"/>
    </row>
    <row r="6" spans="1:71" ht="17.25" customHeight="1" thickBot="1">
      <c r="A6" s="135" t="s">
        <v>51</v>
      </c>
      <c r="B6" s="136" t="s">
        <v>115</v>
      </c>
      <c r="C6" s="137" t="s">
        <v>193</v>
      </c>
      <c r="D6" s="138" t="s">
        <v>250</v>
      </c>
      <c r="E6" s="139" t="s">
        <v>199</v>
      </c>
      <c r="F6" s="140" t="s">
        <v>199</v>
      </c>
      <c r="G6" s="141" t="s">
        <v>127</v>
      </c>
      <c r="H6" s="140" t="s">
        <v>200</v>
      </c>
      <c r="I6" s="129" t="s">
        <v>143</v>
      </c>
      <c r="J6" s="129" t="s">
        <v>130</v>
      </c>
      <c r="K6" s="142" t="s">
        <v>193</v>
      </c>
      <c r="L6" s="141" t="s">
        <v>199</v>
      </c>
      <c r="M6" s="129" t="s">
        <v>199</v>
      </c>
      <c r="N6" s="129" t="s">
        <v>127</v>
      </c>
      <c r="O6" s="140" t="s">
        <v>206</v>
      </c>
      <c r="P6" s="129" t="s">
        <v>143</v>
      </c>
      <c r="Q6" s="129" t="s">
        <v>144</v>
      </c>
      <c r="R6" s="142" t="s">
        <v>193</v>
      </c>
      <c r="S6" s="143" t="s">
        <v>130</v>
      </c>
      <c r="T6" s="144" t="str">
        <f>Instructions!I18</f>
        <v>Tight</v>
      </c>
      <c r="U6" s="144" t="str">
        <f>Instructions!I17</f>
        <v>Competitive</v>
      </c>
      <c r="V6" s="144" t="str">
        <f>Instructions!I16</f>
        <v>Opportunity</v>
      </c>
      <c r="W6" s="144" t="str">
        <f>Instructions!I15</f>
        <v>Landslide</v>
      </c>
      <c r="X6" s="144" t="str">
        <f>Instructions!I14</f>
        <v>No contest</v>
      </c>
      <c r="Y6" s="144" t="s">
        <v>54</v>
      </c>
      <c r="Z6" s="383" t="s">
        <v>131</v>
      </c>
      <c r="AA6" s="356" t="s">
        <v>395</v>
      </c>
      <c r="AB6" s="359" t="s">
        <v>321</v>
      </c>
      <c r="AC6" s="363" t="s">
        <v>321</v>
      </c>
      <c r="AD6" s="363" t="s">
        <v>324</v>
      </c>
      <c r="AE6" s="363" t="s">
        <v>342</v>
      </c>
      <c r="AF6" s="363" t="s">
        <v>325</v>
      </c>
      <c r="AG6" s="363" t="s">
        <v>390</v>
      </c>
      <c r="AH6" s="363" t="s">
        <v>391</v>
      </c>
      <c r="AI6" s="363" t="s">
        <v>321</v>
      </c>
      <c r="AJ6" s="363" t="s">
        <v>321</v>
      </c>
      <c r="AK6" s="359" t="s">
        <v>349</v>
      </c>
      <c r="AL6" s="363" t="s">
        <v>230</v>
      </c>
      <c r="AM6" s="363" t="s">
        <v>348</v>
      </c>
      <c r="AN6" s="363" t="s">
        <v>347</v>
      </c>
      <c r="AO6" s="363" t="s">
        <v>345</v>
      </c>
      <c r="AP6" s="365" t="s">
        <v>56</v>
      </c>
      <c r="AQ6" s="145" t="s">
        <v>138</v>
      </c>
      <c r="AR6" s="146" t="s">
        <v>120</v>
      </c>
      <c r="AS6" s="129" t="s">
        <v>117</v>
      </c>
      <c r="AT6" s="129" t="s">
        <v>118</v>
      </c>
      <c r="AU6" s="147" t="s">
        <v>119</v>
      </c>
      <c r="AV6" s="129" t="s">
        <v>117</v>
      </c>
      <c r="AW6" s="129" t="s">
        <v>118</v>
      </c>
      <c r="AX6" s="148" t="s">
        <v>119</v>
      </c>
      <c r="AY6" s="139" t="s">
        <v>117</v>
      </c>
      <c r="AZ6" s="139" t="s">
        <v>118</v>
      </c>
      <c r="BA6" s="149" t="s">
        <v>119</v>
      </c>
      <c r="BB6" s="139" t="s">
        <v>117</v>
      </c>
      <c r="BC6" s="139" t="s">
        <v>118</v>
      </c>
      <c r="BD6" s="150" t="s">
        <v>119</v>
      </c>
      <c r="BE6" s="139" t="s">
        <v>117</v>
      </c>
      <c r="BF6" s="139" t="s">
        <v>118</v>
      </c>
      <c r="BG6" s="150" t="s">
        <v>119</v>
      </c>
      <c r="BH6" s="151" t="s">
        <v>138</v>
      </c>
      <c r="BI6" s="129" t="s">
        <v>120</v>
      </c>
      <c r="BJ6" s="129" t="s">
        <v>117</v>
      </c>
      <c r="BK6" s="129" t="s">
        <v>118</v>
      </c>
      <c r="BL6" s="147" t="s">
        <v>119</v>
      </c>
      <c r="BM6" s="129" t="s">
        <v>120</v>
      </c>
      <c r="BN6" s="129" t="s">
        <v>117</v>
      </c>
      <c r="BO6" s="129" t="s">
        <v>118</v>
      </c>
      <c r="BP6" s="148" t="s">
        <v>119</v>
      </c>
    </row>
    <row r="7" spans="1:71" ht="16" thickBot="1">
      <c r="A7" s="17" t="s">
        <v>65</v>
      </c>
      <c r="B7" s="26" t="s">
        <v>0</v>
      </c>
      <c r="C7" s="380">
        <v>2074338</v>
      </c>
      <c r="D7" s="380">
        <v>3522336</v>
      </c>
      <c r="E7" s="25">
        <f t="shared" ref="E7:E38" si="0">RANK(L7,L$7:L$56,1)</f>
        <v>23</v>
      </c>
      <c r="F7" s="25">
        <f t="shared" ref="F7:F38" si="1">RANK(M7,M$7:M$56)</f>
        <v>44</v>
      </c>
      <c r="G7" s="73">
        <f>RANK(N7,N$7:N$56,1)</f>
        <v>41</v>
      </c>
      <c r="H7" s="25">
        <f>RANK(O7,O$7:O$56,1)</f>
        <v>41</v>
      </c>
      <c r="I7" s="25">
        <f>RANK(P7,P$7:P$56)</f>
        <v>9</v>
      </c>
      <c r="J7" s="25">
        <f>RANK(Q7,Q$7:Q$56,1)</f>
        <v>24</v>
      </c>
      <c r="K7" s="68">
        <f>RANK(R7,R$7:R$56)</f>
        <v>32</v>
      </c>
      <c r="L7" s="67">
        <f t="shared" ref="L7:L38" si="2">AVERAGE(G7,H7,I7,I7,J7)</f>
        <v>24.8</v>
      </c>
      <c r="M7" s="64">
        <f>AVERAGE(1-N7,1-O7,P7,P7,1-Q7)</f>
        <v>0.42087206286243939</v>
      </c>
      <c r="N7" s="33">
        <f>AVERAGE('Data By District'!V7:'Data By District'!V13)</f>
        <v>0.4687231703260572</v>
      </c>
      <c r="O7" s="29">
        <f t="shared" ref="O7:O38" si="3">(W7+X7+Y7)/S7</f>
        <v>1</v>
      </c>
      <c r="P7" s="29">
        <f>SUMIF('Data By District'!$B$7:$B$441,B7,'Data By District'!$T$7:$T$441)/D7</f>
        <v>0.39528000735875285</v>
      </c>
      <c r="Q7" s="29">
        <f t="shared" ref="Q7:Q38" si="4">(BF7+BE7)/2</f>
        <v>0.21747653007925138</v>
      </c>
      <c r="R7" s="70">
        <f t="shared" ref="R7:R38" si="5">AR7/D7</f>
        <v>0.54896239313909856</v>
      </c>
      <c r="S7" s="69">
        <f t="shared" ref="S7:S38" si="6">SUM(T7:Y7)</f>
        <v>7</v>
      </c>
      <c r="T7" s="25">
        <f>COUNTIF('Data By District'!$Z$7:$Z$441,$B7&amp;"-"&amp;T$6)</f>
        <v>0</v>
      </c>
      <c r="U7" s="25">
        <f>COUNTIF('Data By District'!$Z$7:$Z$441,$B7&amp;"-"&amp;U$6)</f>
        <v>0</v>
      </c>
      <c r="V7" s="25">
        <f>COUNTIF('Data By District'!$Z$7:$Z$441,$B7&amp;"-"&amp;V$6)</f>
        <v>0</v>
      </c>
      <c r="W7" s="25">
        <f>COUNTIF('Data By District'!$Z$7:$Z$441,$B7&amp;"-"&amp;W$6)</f>
        <v>3</v>
      </c>
      <c r="X7" s="25">
        <f>COUNTIF('Data By District'!$Z$7:$Z$441,$B7&amp;"-"&amp;X$6)-(Y7)</f>
        <v>3</v>
      </c>
      <c r="Y7" s="25">
        <f>COUNTIF('Data By District'!$X$7:$X$441,$B7&amp;"-"&amp;"Yes")</f>
        <v>1</v>
      </c>
      <c r="Z7" s="384">
        <f t="shared" ref="Z7:Z38" si="7">Y7/S7</f>
        <v>0.14285714285714285</v>
      </c>
      <c r="AA7" s="387">
        <f>COUNTIF('Data By District'!$L$7:$L$441, $B7&amp;"-"&amp;1)</f>
        <v>0</v>
      </c>
      <c r="AB7" s="360">
        <f>COUNTIFS('Data By District'!$J$7:$J$441,$B7&amp;"-"&amp;"Yes",'Data By District'!$Z$7:$Z$441,$B7&amp;"-"&amp;X$6)+COUNTIFS('Data By District'!$J$7:$J$441,$B7&amp;"-"&amp;"Yes",'Data By District'!$Z$7:$Z$441,$B7&amp;"-"&amp;W$6)</f>
        <v>7</v>
      </c>
      <c r="AC7" s="357">
        <f>AB7/AD7</f>
        <v>1</v>
      </c>
      <c r="AD7" s="361">
        <f>COUNTIF('Data By District'!$J$7:$J$441,$B7&amp;"-"&amp;"Yes")</f>
        <v>7</v>
      </c>
      <c r="AE7" s="361">
        <f>AF7-AD7</f>
        <v>0</v>
      </c>
      <c r="AF7" s="361">
        <f>COUNTIF('Data By District'!$I$7:$I$441,$B7&amp;"-"&amp;"Yes")</f>
        <v>7</v>
      </c>
      <c r="AG7" s="361">
        <f>COUNTIFS('Data By District'!$J$7:$J$441,$B7&amp;"-"&amp;"Yes",'Data By District'!$Y$7:$Y$441,$B7&amp;"-"&amp;"Dem")</f>
        <v>1</v>
      </c>
      <c r="AH7" s="361">
        <f>COUNTIFS('Data By District'!$J$7:$J$441,$B7&amp;"-"&amp;"Yes",'Data By District'!$Y$7:$Y$441,$B7&amp;"-"&amp;"Rep")</f>
        <v>6</v>
      </c>
      <c r="AI7" s="361">
        <f>COUNTIFS('Data By District'!$J$7:$J$441,$B7&amp;"-"&amp;"Yes",'Data By District'!$Y$7:$Y$441,$B7&amp;"-"&amp;"Dem",'Data By District'!$J$7:$J$441,$B7&amp;"-"&amp;"Yes",'Data By District'!$Z$7:$Z$441,$B7&amp;"-"&amp;W$6)+COUNTIFS('Data By District'!$J$7:$J$441,$B7&amp;"-"&amp;"Yes",'Data By District'!$Y$7:$Y$441,$B7&amp;"-"&amp;"Dem",'Data By District'!$J$7:$J$441,$B7&amp;"-"&amp;"Yes",'Data By District'!$Z$7:$Z$441,$B7&amp;"-"&amp;X$6)</f>
        <v>1</v>
      </c>
      <c r="AJ7" s="361">
        <f>COUNTIFS('Data By District'!$J$7:$J$441,$B7&amp;"-"&amp;"Yes",'Data By District'!$Y$7:$Y$441,$B7&amp;"-"&amp;"Rep",'Data By District'!$J$7:$J$441,$B7&amp;"-"&amp;"Yes",'Data By District'!$Z$7:$Z$441,$B7&amp;"-"&amp;W$6)+COUNTIFS('Data By District'!$J$7:$J$441,$B7&amp;"-"&amp;"Yes",'Data By District'!$Y$7:$Y$441,$B7&amp;"-"&amp;"Rep",'Data By District'!$J$7:$J$441,$B7&amp;"-"&amp;"Yes",'Data By District'!$Z$7:$Z$441,$B7&amp;"-"&amp;X$6)</f>
        <v>6</v>
      </c>
      <c r="AK7" s="360">
        <f>COUNTIF('Data By District'!$D$7:$D$441,$B7&amp;"-"&amp;"Yes")</f>
        <v>2</v>
      </c>
      <c r="AL7" s="361">
        <f>COUNTIF('Data By District'!$E$7:$E$441,$B7&amp;"-"&amp;"Yes")</f>
        <v>1</v>
      </c>
      <c r="AM7" s="361">
        <f>COUNTIF('Data By District'!$F$7:$F$441,$B7&amp;"-"&amp;"Yes")</f>
        <v>0</v>
      </c>
      <c r="AN7" s="361">
        <f>COUNTIF('Data By District'!$G$7:$G$441,$B7&amp;"-"&amp;"Yes")</f>
        <v>0</v>
      </c>
      <c r="AO7" s="361">
        <f>COUNTIF('Data By District'!$H$7:$H$441,$B7&amp;"-"&amp;"Yes")</f>
        <v>0</v>
      </c>
      <c r="AP7" s="70">
        <f t="shared" ref="AP7:AP38" si="8">(C7-AR7)/C7</f>
        <v>6.7832725428546362E-2</v>
      </c>
      <c r="AQ7" s="55">
        <f>BH7/AR7</f>
        <v>0.72004933725686926</v>
      </c>
      <c r="AR7" s="50">
        <f>SUM(AS7:AU7)</f>
        <v>1933630</v>
      </c>
      <c r="AS7" s="41">
        <f>SUMIF('Data By District'!$B$7:$B$441,$B7,'Data By District'!$O$7:$O$441)</f>
        <v>693498</v>
      </c>
      <c r="AT7" s="41">
        <f>SUMIF('Data By District'!$B$7:$B$441,$B7,'Data By District'!$P$7:$P$441)</f>
        <v>1233624</v>
      </c>
      <c r="AU7" s="41">
        <f>SUMIF('Data By District'!$B$7:$B$441,$B7,'Data By District'!$Q$7:$Q$441)</f>
        <v>6508</v>
      </c>
      <c r="AV7" s="288">
        <f t="shared" ref="AV7:AV38" si="9">AS7/AR7</f>
        <v>0.3586508277178157</v>
      </c>
      <c r="AW7" s="284">
        <f t="shared" ref="AW7:AW38" si="10">AT7/AR7</f>
        <v>0.63798348184502718</v>
      </c>
      <c r="AX7" s="55">
        <f t="shared" ref="AX7:AX38" si="11">AU7/AR7</f>
        <v>3.3656904371570568E-3</v>
      </c>
      <c r="AY7" s="25">
        <f>COUNTIF('Data By District'!$Y$7:$Y$441,$B7&amp;"-"&amp;AY$6)</f>
        <v>1</v>
      </c>
      <c r="AZ7" s="25">
        <f>COUNTIF('Data By District'!$Y$7:$Y$441,$B7&amp;"-"&amp;AZ$6)</f>
        <v>6</v>
      </c>
      <c r="BA7" s="290">
        <f>COUNTIF('Data By District'!$Y$7:$Y$441,$B7&amp;"-"&amp;BA$6)</f>
        <v>0</v>
      </c>
      <c r="BB7" s="283">
        <f>AY7/$S7</f>
        <v>0.14285714285714285</v>
      </c>
      <c r="BC7" s="284">
        <f>AZ7/$S7</f>
        <v>0.8571428571428571</v>
      </c>
      <c r="BD7" s="55">
        <f>BA7/$S7</f>
        <v>0</v>
      </c>
      <c r="BE7" s="283">
        <f t="shared" ref="BE7:BE38" si="12">ABS((AS7/$AR7)-(AY7/$S7))</f>
        <v>0.21579368486067285</v>
      </c>
      <c r="BF7" s="284">
        <f t="shared" ref="BF7:BF38" si="13">ABS((AT7/$AR7)-(AZ7/$S7))</f>
        <v>0.21915937529782992</v>
      </c>
      <c r="BG7" s="55">
        <f t="shared" ref="BG7:BG38" si="14">ABS((AU7/$AR7)-(BA7/$S7))</f>
        <v>3.3656904371570568E-3</v>
      </c>
      <c r="BH7" s="50">
        <f>AR7-BI7</f>
        <v>1392309</v>
      </c>
      <c r="BI7" s="41">
        <f>'Data By District'!AE13</f>
        <v>541321</v>
      </c>
      <c r="BJ7" s="41">
        <f>SUMIF('Data By District'!$B$7:$B$441,'Data By State'!$B7,'Data By District'!$AA$7:$AA$441)</f>
        <v>460978</v>
      </c>
      <c r="BK7" s="41">
        <f>SUMIF('Data By District'!$B$7:$B$441,'Data By State'!$B7,'Data By District'!$AB$7:$AB$441)</f>
        <v>73835</v>
      </c>
      <c r="BL7" s="50">
        <f>SUMIF('Data By District'!$B$7:$B$441,'Data By State'!$B7,'Data By District'!$AC$7:$AC$441)</f>
        <v>6508</v>
      </c>
      <c r="BM7" s="64">
        <f>BI7/AR7</f>
        <v>0.2799506627431308</v>
      </c>
      <c r="BN7" s="24">
        <f t="shared" ref="BN7:BN15" si="15">BJ7/AS7</f>
        <v>0.66471424575124949</v>
      </c>
      <c r="BO7" s="24">
        <f t="shared" ref="BO7:BO15" si="16">BK7/AT7</f>
        <v>5.985211052962653E-2</v>
      </c>
      <c r="BP7" s="56">
        <f t="shared" ref="BP7:BP15" si="17">BL7/AU7</f>
        <v>1</v>
      </c>
      <c r="BS7" s="9"/>
    </row>
    <row r="8" spans="1:71" ht="16" thickBot="1">
      <c r="A8" s="17" t="s">
        <v>66</v>
      </c>
      <c r="B8" s="26" t="s">
        <v>1</v>
      </c>
      <c r="C8" s="380">
        <v>300495</v>
      </c>
      <c r="D8" s="380">
        <v>509785</v>
      </c>
      <c r="E8" s="25">
        <f t="shared" si="0"/>
        <v>43</v>
      </c>
      <c r="F8" s="25">
        <f t="shared" si="1"/>
        <v>49</v>
      </c>
      <c r="G8" s="73">
        <f t="shared" ref="G8:G56" si="18">RANK(N8,N$7:N$56,1)</f>
        <v>33</v>
      </c>
      <c r="H8" s="25">
        <f t="shared" ref="H8:H56" si="19">RANK(O8,O$7:O$56,1)</f>
        <v>41</v>
      </c>
      <c r="I8" s="25">
        <f t="shared" ref="I8:I56" si="20">RANK(P8,P$7:P$56)</f>
        <v>27</v>
      </c>
      <c r="J8" s="25">
        <f t="shared" ref="J8:J56" si="21">RANK(Q8,Q$7:Q$56,1)</f>
        <v>37</v>
      </c>
      <c r="K8" s="68">
        <f t="shared" ref="K8:K56" si="22">RANK(R8,R$7:R$56)</f>
        <v>26</v>
      </c>
      <c r="L8" s="67">
        <f t="shared" si="2"/>
        <v>33</v>
      </c>
      <c r="M8" s="64">
        <f t="shared" ref="M8:M56" si="23">AVERAGE(1-N8,1-O8,P8,P8,1-Q8)</f>
        <v>0.40438375590046638</v>
      </c>
      <c r="N8" s="33">
        <f>('Data By District'!V14)</f>
        <v>0.38165630837027398</v>
      </c>
      <c r="O8" s="29">
        <f t="shared" si="3"/>
        <v>1</v>
      </c>
      <c r="P8" s="29">
        <f>SUMIF('Data By District'!$B$7:$B$441,B8,'Data By District'!$T$7:$T$441)/D8</f>
        <v>0.36347872142177584</v>
      </c>
      <c r="Q8" s="29">
        <f t="shared" si="4"/>
        <v>0.32338235497094592</v>
      </c>
      <c r="R8" s="70">
        <f t="shared" si="5"/>
        <v>0.56848279176515593</v>
      </c>
      <c r="S8" s="69">
        <f t="shared" si="6"/>
        <v>1</v>
      </c>
      <c r="T8" s="25">
        <f>COUNTIF('Data By District'!$Z$7:$Z$441,$B8&amp;"-"&amp;T$6)</f>
        <v>0</v>
      </c>
      <c r="U8" s="25">
        <f>COUNTIF('Data By District'!$Z$7:$Z$441,$B8&amp;"-"&amp;U$6)</f>
        <v>0</v>
      </c>
      <c r="V8" s="25">
        <f>COUNTIF('Data By District'!$Z$7:$Z$441,$B8&amp;"-"&amp;V$6)</f>
        <v>0</v>
      </c>
      <c r="W8" s="25">
        <f>COUNTIF('Data By District'!$Z$7:$Z$441,$B8&amp;"-"&amp;W$6)</f>
        <v>1</v>
      </c>
      <c r="X8" s="25">
        <f>COUNTIF('Data By District'!$Z$7:$Z$441,$B8&amp;"-"&amp;X$6)-(Y8)</f>
        <v>0</v>
      </c>
      <c r="Y8" s="25">
        <f>COUNTIF('Data By District'!$X$7:$X$441,$B8&amp;"-"&amp;"Yes")</f>
        <v>0</v>
      </c>
      <c r="Z8" s="385">
        <f t="shared" si="7"/>
        <v>0</v>
      </c>
      <c r="AA8" s="387">
        <f>COUNTIF('Data By District'!$L$7:$L$441, $B8&amp;"-"&amp;1)</f>
        <v>0</v>
      </c>
      <c r="AB8" s="360">
        <f>COUNTIFS('Data By District'!$J$7:$J$441,$B8&amp;"-"&amp;"Yes",'Data By District'!$Z$7:$Z$441,$B8&amp;"-"&amp;X$6)+COUNTIFS('Data By District'!$J$7:$J$441,$B8&amp;"-"&amp;"Yes",'Data By District'!$Z$7:$Z$441,$B8&amp;"-"&amp;W$6)</f>
        <v>1</v>
      </c>
      <c r="AC8" s="357">
        <f>AB8/AD8</f>
        <v>1</v>
      </c>
      <c r="AD8" s="361">
        <f>COUNTIF('Data By District'!$J$7:$J$441,$B8&amp;"-"&amp;"Yes")</f>
        <v>1</v>
      </c>
      <c r="AE8" s="361">
        <f t="shared" ref="AE8:AE56" si="24">AF8-AD8</f>
        <v>0</v>
      </c>
      <c r="AF8" s="361">
        <f>COUNTIF('Data By District'!$I$7:$I$441,$B8&amp;"-"&amp;"Yes")</f>
        <v>1</v>
      </c>
      <c r="AG8" s="361">
        <f>COUNTIFS('Data By District'!$J$7:$J$441,$B8&amp;"-"&amp;"Yes",'Data By District'!$Y$7:$Y$441,$B8&amp;"-"&amp;"Dem")</f>
        <v>0</v>
      </c>
      <c r="AH8" s="361">
        <f>COUNTIFS('Data By District'!$J$7:$J$441,$B8&amp;"-"&amp;"Yes",'Data By District'!$Y$7:$Y$441,$B8&amp;"-"&amp;"Rep")</f>
        <v>1</v>
      </c>
      <c r="AI8" s="361">
        <f>COUNTIFS('Data By District'!$J$7:$J$441,$B8&amp;"-"&amp;"Yes",'Data By District'!$Y$7:$Y$441,$B8&amp;"-"&amp;"Dem",'Data By District'!$J$7:$J$441,$B8&amp;"-"&amp;"Yes",'Data By District'!$Z$7:$Z$441,$B8&amp;"-"&amp;W$6)+COUNTIFS('Data By District'!$J$7:$J$441,$B8&amp;"-"&amp;"Yes",'Data By District'!$Y$7:$Y$441,$B8&amp;"-"&amp;"Dem",'Data By District'!$J$7:$J$441,$B8&amp;"-"&amp;"Yes",'Data By District'!$Z$7:$Z$441,$B8&amp;"-"&amp;X$6)</f>
        <v>0</v>
      </c>
      <c r="AJ8" s="361">
        <f>COUNTIFS('Data By District'!$J$7:$J$441,$B8&amp;"-"&amp;"Yes",'Data By District'!$Y$7:$Y$441,$B8&amp;"-"&amp;"Rep",'Data By District'!$J$7:$J$441,$B8&amp;"-"&amp;"Yes",'Data By District'!$Z$7:$Z$441,$B8&amp;"-"&amp;W$6)+COUNTIFS('Data By District'!$J$7:$J$441,$B8&amp;"-"&amp;"Yes",'Data By District'!$Y$7:$Y$441,$B8&amp;"-"&amp;"Rep",'Data By District'!$J$7:$J$441,$B8&amp;"-"&amp;"Yes",'Data By District'!$Z$7:$Z$441,$B8&amp;"-"&amp;X$6)</f>
        <v>1</v>
      </c>
      <c r="AK8" s="360">
        <f>COUNTIF('Data By District'!$D$7:$D$441,$B8&amp;"-"&amp;"Yes")</f>
        <v>0</v>
      </c>
      <c r="AL8" s="361">
        <f>COUNTIF('Data By District'!$E$7:$E$441,$B8&amp;"-"&amp;"Yes")</f>
        <v>0</v>
      </c>
      <c r="AM8" s="361">
        <f>COUNTIF('Data By District'!$F$7:$F$441,$B8&amp;"-"&amp;"Yes")</f>
        <v>0</v>
      </c>
      <c r="AN8" s="361">
        <f>COUNTIF('Data By District'!$G$7:$G$441,$B8&amp;"-"&amp;"Yes")</f>
        <v>0</v>
      </c>
      <c r="AO8" s="361">
        <f>COUNTIF('Data By District'!$H$7:$H$441,$B8&amp;"-"&amp;"Yes")</f>
        <v>0</v>
      </c>
      <c r="AP8" s="70">
        <f t="shared" si="8"/>
        <v>3.5577963027671008E-2</v>
      </c>
      <c r="AQ8" s="55">
        <f t="shared" ref="AQ8:AQ56" si="25">BH8/AR8</f>
        <v>0.6393838594360326</v>
      </c>
      <c r="AR8" s="50">
        <f t="shared" ref="AR8:AR56" si="26">SUM(AS8:AU8)</f>
        <v>289804</v>
      </c>
      <c r="AS8" s="41">
        <f>SUMIF('Data By District'!$B$7:$B$441,$B8,'Data By District'!$O$7:$O$441)</f>
        <v>82927</v>
      </c>
      <c r="AT8" s="41">
        <f>SUMIF('Data By District'!$B$7:$B$441,$B8,'Data By District'!$P$7:$P$441)</f>
        <v>185296</v>
      </c>
      <c r="AU8" s="41">
        <f>SUMIF('Data By District'!$B$7:$B$441,$B8,'Data By District'!$Q$7:$Q$441)</f>
        <v>21581</v>
      </c>
      <c r="AV8" s="289">
        <f t="shared" si="9"/>
        <v>0.28614856937792438</v>
      </c>
      <c r="AW8" s="24">
        <f t="shared" si="10"/>
        <v>0.6393838594360326</v>
      </c>
      <c r="AX8" s="56">
        <f t="shared" si="11"/>
        <v>7.4467571186042983E-2</v>
      </c>
      <c r="AY8" s="25">
        <f>COUNTIF('Data By District'!$Y$7:$Y$441,$B8&amp;"-"&amp;AY$6)</f>
        <v>0</v>
      </c>
      <c r="AZ8" s="25">
        <f>COUNTIF('Data By District'!$Y$7:$Y$441,$B8&amp;"-"&amp;AZ$6)</f>
        <v>1</v>
      </c>
      <c r="BA8" s="25">
        <f>COUNTIF('Data By District'!$Y$7:$Y$441,$B8&amp;"-"&amp;BA$6)</f>
        <v>0</v>
      </c>
      <c r="BB8" s="285">
        <f t="shared" ref="BB8:BB56" si="27">AY8/$S8</f>
        <v>0</v>
      </c>
      <c r="BC8" s="24">
        <f t="shared" ref="BC8:BC57" si="28">AZ8/$S8</f>
        <v>1</v>
      </c>
      <c r="BD8" s="56">
        <f t="shared" ref="BD8:BD57" si="29">BA8/$S8</f>
        <v>0</v>
      </c>
      <c r="BE8" s="285">
        <f t="shared" si="12"/>
        <v>0.28614856937792438</v>
      </c>
      <c r="BF8" s="24">
        <f t="shared" si="13"/>
        <v>0.3606161405639674</v>
      </c>
      <c r="BG8" s="56">
        <f t="shared" si="14"/>
        <v>7.4467571186042983E-2</v>
      </c>
      <c r="BH8" s="50">
        <f t="shared" ref="BH8:BH56" si="30">AR8-BI8</f>
        <v>185296</v>
      </c>
      <c r="BI8" s="41">
        <f>'Data By District'!AE14</f>
        <v>104508</v>
      </c>
      <c r="BJ8" s="41">
        <f>SUMIF('Data By District'!$B$7:$B$441,'Data By State'!$B8,'Data By District'!$AA$7:$AA$441)</f>
        <v>82927</v>
      </c>
      <c r="BK8" s="41">
        <f>SUMIF('Data By District'!$B$7:$B$441,'Data By State'!$B8,'Data By District'!$AB$7:$AB$441)</f>
        <v>0</v>
      </c>
      <c r="BL8" s="50">
        <f>SUMIF('Data By District'!$B$7:$B$441,'Data By State'!$B8,'Data By District'!$AC$7:$AC$441)</f>
        <v>21581</v>
      </c>
      <c r="BM8" s="64">
        <f t="shared" ref="BM8:BM57" si="31">BI8/AR8</f>
        <v>0.36061614056396735</v>
      </c>
      <c r="BN8" s="24">
        <f t="shared" si="15"/>
        <v>1</v>
      </c>
      <c r="BO8" s="24">
        <f t="shared" si="16"/>
        <v>0</v>
      </c>
      <c r="BP8" s="56">
        <f t="shared" si="17"/>
        <v>1</v>
      </c>
    </row>
    <row r="9" spans="1:71" ht="16" thickBot="1">
      <c r="A9" s="17" t="s">
        <v>67</v>
      </c>
      <c r="B9" s="26" t="s">
        <v>2</v>
      </c>
      <c r="C9" s="380">
        <v>2299254</v>
      </c>
      <c r="D9" s="380">
        <v>4360076</v>
      </c>
      <c r="E9" s="25">
        <f t="shared" si="0"/>
        <v>39</v>
      </c>
      <c r="F9" s="25">
        <f t="shared" si="1"/>
        <v>23</v>
      </c>
      <c r="G9" s="73">
        <f t="shared" si="18"/>
        <v>24</v>
      </c>
      <c r="H9" s="25">
        <f t="shared" si="19"/>
        <v>26</v>
      </c>
      <c r="I9" s="25">
        <f t="shared" si="20"/>
        <v>48</v>
      </c>
      <c r="J9" s="25">
        <f>RANK(Q9,Q$7:Q$56,1)</f>
        <v>11</v>
      </c>
      <c r="K9" s="68">
        <f t="shared" si="22"/>
        <v>43</v>
      </c>
      <c r="L9" s="67">
        <f t="shared" si="2"/>
        <v>31.4</v>
      </c>
      <c r="M9" s="64">
        <f t="shared" si="23"/>
        <v>0.50074443069311558</v>
      </c>
      <c r="N9" s="33">
        <f>AVERAGE('Data By District'!V15:'Data By District'!V22)</f>
        <v>0.32506526489138032</v>
      </c>
      <c r="O9" s="29">
        <f t="shared" si="3"/>
        <v>0.66666666666666663</v>
      </c>
      <c r="P9" s="29">
        <f>SUMIF('Data By District'!$B$7:$B$441,B9,'Data By District'!$T$7:$T$441)/D9</f>
        <v>0.29674757962934589</v>
      </c>
      <c r="Q9" s="29">
        <f t="shared" si="4"/>
        <v>9.8041074235067138E-2</v>
      </c>
      <c r="R9" s="70">
        <f t="shared" si="5"/>
        <v>0.4984585131084871</v>
      </c>
      <c r="S9" s="69">
        <f t="shared" si="6"/>
        <v>9</v>
      </c>
      <c r="T9" s="25">
        <f>COUNTIF('Data By District'!$Z$7:$Z$441,$B9&amp;"-"&amp;T$6)</f>
        <v>3</v>
      </c>
      <c r="U9" s="25">
        <f>COUNTIF('Data By District'!$Z$7:$Z$441,$B9&amp;"-"&amp;U$6)</f>
        <v>0</v>
      </c>
      <c r="V9" s="25">
        <f>COUNTIF('Data By District'!$Z$7:$Z$441,$B9&amp;"-"&amp;V$6)</f>
        <v>0</v>
      </c>
      <c r="W9" s="25">
        <f>COUNTIF('Data By District'!$Z$7:$Z$441,$B9&amp;"-"&amp;W$6)</f>
        <v>4</v>
      </c>
      <c r="X9" s="25">
        <f>COUNTIF('Data By District'!$Z$7:$Z$441,$B9&amp;"-"&amp;X$6)-(Y9)</f>
        <v>1</v>
      </c>
      <c r="Y9" s="25">
        <f>COUNTIF('Data By District'!$X$7:$X$441,$B9&amp;"-"&amp;"Yes")</f>
        <v>1</v>
      </c>
      <c r="Z9" s="385">
        <f t="shared" si="7"/>
        <v>0.1111111111111111</v>
      </c>
      <c r="AA9" s="387">
        <f>COUNTIF('Data By District'!$L$7:$L$441, $B9&amp;"-"&amp;1)</f>
        <v>0</v>
      </c>
      <c r="AB9" s="360">
        <f>COUNTIFS('Data By District'!$J$7:$J$441,$B9&amp;"-"&amp;"Yes",'Data By District'!$Z$7:$Z$441,$B9&amp;"-"&amp;X$6)+COUNTIFS('Data By District'!$J$7:$J$441,$B9&amp;"-"&amp;"Yes",'Data By District'!$Z$7:$Z$441,$B9&amp;"-"&amp;W$6)</f>
        <v>6</v>
      </c>
      <c r="AC9" s="357">
        <f t="shared" ref="AC9:AC57" si="32">AB9/AD9</f>
        <v>0.75</v>
      </c>
      <c r="AD9" s="361">
        <f>COUNTIF('Data By District'!$J$7:$J$441,$B9&amp;"-"&amp;"Yes")</f>
        <v>8</v>
      </c>
      <c r="AE9" s="361">
        <f t="shared" si="24"/>
        <v>1</v>
      </c>
      <c r="AF9" s="361">
        <f>COUNTIF('Data By District'!$I$7:$I$441,$B9&amp;"-"&amp;"Yes")</f>
        <v>9</v>
      </c>
      <c r="AG9" s="361">
        <f>COUNTIFS('Data By District'!$J$7:$J$441,$B9&amp;"-"&amp;"Yes",'Data By District'!$Y$7:$Y$441,$B9&amp;"-"&amp;"Dem")</f>
        <v>4</v>
      </c>
      <c r="AH9" s="361">
        <f>COUNTIFS('Data By District'!$J$7:$J$441,$B9&amp;"-"&amp;"Yes",'Data By District'!$Y$7:$Y$441,$B9&amp;"-"&amp;"Rep")</f>
        <v>4</v>
      </c>
      <c r="AI9" s="361">
        <f>COUNTIFS('Data By District'!$J$7:$J$441,$B9&amp;"-"&amp;"Yes",'Data By District'!$Y$7:$Y$441,$B9&amp;"-"&amp;"Dem",'Data By District'!$J$7:$J$441,$B9&amp;"-"&amp;"Yes",'Data By District'!$Z$7:$Z$441,$B9&amp;"-"&amp;W$6)+COUNTIFS('Data By District'!$J$7:$J$441,$B9&amp;"-"&amp;"Yes",'Data By District'!$Y$7:$Y$441,$B9&amp;"-"&amp;"Dem",'Data By District'!$J$7:$J$441,$B9&amp;"-"&amp;"Yes",'Data By District'!$Z$7:$Z$441,$B9&amp;"-"&amp;X$6)</f>
        <v>2</v>
      </c>
      <c r="AJ9" s="361">
        <f>COUNTIFS('Data By District'!$J$7:$J$441,$B9&amp;"-"&amp;"Yes",'Data By District'!$Y$7:$Y$441,$B9&amp;"-"&amp;"Rep",'Data By District'!$J$7:$J$441,$B9&amp;"-"&amp;"Yes",'Data By District'!$Z$7:$Z$441,$B9&amp;"-"&amp;W$6)+COUNTIFS('Data By District'!$J$7:$J$441,$B9&amp;"-"&amp;"Yes",'Data By District'!$Y$7:$Y$441,$B9&amp;"-"&amp;"Rep",'Data By District'!$J$7:$J$441,$B9&amp;"-"&amp;"Yes",'Data By District'!$Z$7:$Z$441,$B9&amp;"-"&amp;X$6)</f>
        <v>4</v>
      </c>
      <c r="AK9" s="360">
        <f>COUNTIF('Data By District'!$D$7:$D$441,$B9&amp;"-"&amp;"Yes")</f>
        <v>2</v>
      </c>
      <c r="AL9" s="361">
        <f>COUNTIF('Data By District'!$E$7:$E$441,$B9&amp;"-"&amp;"Yes")</f>
        <v>0</v>
      </c>
      <c r="AM9" s="361">
        <f>COUNTIF('Data By District'!$F$7:$F$441,$B9&amp;"-"&amp;"Yes")</f>
        <v>2</v>
      </c>
      <c r="AN9" s="361">
        <f>COUNTIF('Data By District'!$G$7:$G$441,$B9&amp;"-"&amp;"Yes")</f>
        <v>0</v>
      </c>
      <c r="AO9" s="361">
        <f>COUNTIF('Data By District'!$H$7:$H$441,$B9&amp;"-"&amp;"Yes")</f>
        <v>0</v>
      </c>
      <c r="AP9" s="70">
        <f t="shared" si="8"/>
        <v>5.4772982889232769E-2</v>
      </c>
      <c r="AQ9" s="55">
        <f t="shared" si="25"/>
        <v>0.65434172741482255</v>
      </c>
      <c r="AR9" s="50">
        <f t="shared" si="26"/>
        <v>2173317</v>
      </c>
      <c r="AS9" s="41">
        <f>SUMIF('Data By District'!$B$7:$B$441,$B9,'Data By District'!$O$7:$O$441)</f>
        <v>946994</v>
      </c>
      <c r="AT9" s="41">
        <f>SUMIF('Data By District'!$B$7:$B$441,$B9,'Data By District'!$P$7:$P$441)</f>
        <v>1131663</v>
      </c>
      <c r="AU9" s="41">
        <f>SUMIF('Data By District'!$B$7:$B$441,$B9,'Data By District'!$Q$7:$Q$441)</f>
        <v>94660</v>
      </c>
      <c r="AV9" s="289">
        <f t="shared" si="9"/>
        <v>0.43573671029122762</v>
      </c>
      <c r="AW9" s="24">
        <f t="shared" si="10"/>
        <v>0.52070774765025074</v>
      </c>
      <c r="AX9" s="56">
        <f t="shared" si="11"/>
        <v>4.3555542058521607E-2</v>
      </c>
      <c r="AY9" s="25">
        <f>COUNTIF('Data By District'!$Y$7:$Y$441,$B9&amp;"-"&amp;AY$6)</f>
        <v>5</v>
      </c>
      <c r="AZ9" s="25">
        <f>COUNTIF('Data By District'!$Y$7:$Y$441,$B9&amp;"-"&amp;AZ$6)</f>
        <v>4</v>
      </c>
      <c r="BA9" s="25">
        <f>COUNTIF('Data By District'!$Y$7:$Y$441,$B9&amp;"-"&amp;BA$6)</f>
        <v>0</v>
      </c>
      <c r="BB9" s="285">
        <f t="shared" si="27"/>
        <v>0.55555555555555558</v>
      </c>
      <c r="BC9" s="24">
        <f t="shared" si="28"/>
        <v>0.44444444444444442</v>
      </c>
      <c r="BD9" s="56">
        <f t="shared" si="29"/>
        <v>0</v>
      </c>
      <c r="BE9" s="285">
        <f t="shared" si="12"/>
        <v>0.11981884526432796</v>
      </c>
      <c r="BF9" s="24">
        <f t="shared" si="13"/>
        <v>7.6263303205806321E-2</v>
      </c>
      <c r="BG9" s="56">
        <f t="shared" si="14"/>
        <v>4.3555542058521607E-2</v>
      </c>
      <c r="BH9" s="50">
        <f t="shared" si="30"/>
        <v>1422092</v>
      </c>
      <c r="BI9" s="41">
        <f>'Data By District'!AE22</f>
        <v>751225</v>
      </c>
      <c r="BJ9" s="41">
        <f>SUMIF('Data By District'!$B$7:$B$441,'Data By State'!$B9,'Data By District'!$AA$7:$AA$441)</f>
        <v>352044</v>
      </c>
      <c r="BK9" s="41">
        <f>SUMIF('Data By District'!$B$7:$B$441,'Data By State'!$B9,'Data By District'!$AB$7:$AB$441)</f>
        <v>432771</v>
      </c>
      <c r="BL9" s="50">
        <f>SUMIF('Data By District'!$B$7:$B$441,'Data By State'!$B9,'Data By District'!$AC$7:$AC$441)</f>
        <v>94660</v>
      </c>
      <c r="BM9" s="64">
        <f t="shared" si="31"/>
        <v>0.3456582725851774</v>
      </c>
      <c r="BN9" s="24">
        <f t="shared" si="15"/>
        <v>0.37174892343562893</v>
      </c>
      <c r="BO9" s="24">
        <f t="shared" si="16"/>
        <v>0.38242038486722635</v>
      </c>
      <c r="BP9" s="56">
        <f t="shared" si="17"/>
        <v>1</v>
      </c>
    </row>
    <row r="10" spans="1:71" ht="16" thickBot="1">
      <c r="A10" s="17" t="s">
        <v>68</v>
      </c>
      <c r="B10" s="26" t="s">
        <v>3</v>
      </c>
      <c r="C10" s="380">
        <v>1069468</v>
      </c>
      <c r="D10" s="380">
        <v>2116668</v>
      </c>
      <c r="E10" s="25">
        <f t="shared" si="0"/>
        <v>46</v>
      </c>
      <c r="F10" s="25">
        <f t="shared" si="1"/>
        <v>29</v>
      </c>
      <c r="G10" s="73">
        <f t="shared" si="18"/>
        <v>28</v>
      </c>
      <c r="H10" s="25">
        <f t="shared" si="19"/>
        <v>10</v>
      </c>
      <c r="I10" s="25">
        <f t="shared" si="20"/>
        <v>46</v>
      </c>
      <c r="J10" s="25">
        <f t="shared" si="21"/>
        <v>40</v>
      </c>
      <c r="K10" s="68">
        <f t="shared" si="22"/>
        <v>44</v>
      </c>
      <c r="L10" s="67">
        <f t="shared" si="2"/>
        <v>34</v>
      </c>
      <c r="M10" s="64">
        <f t="shared" si="23"/>
        <v>0.48309743072025418</v>
      </c>
      <c r="N10" s="33">
        <f>AVERAGE('Data By District'!V23:'Data By District'!V26)</f>
        <v>0.34727071682137661</v>
      </c>
      <c r="O10" s="29">
        <f t="shared" si="3"/>
        <v>0.5</v>
      </c>
      <c r="P10" s="29">
        <f>SUMIF('Data By District'!$B$7:$B$441,B10,'Data By District'!$T$7:$T$441)/D10</f>
        <v>0.30122390474084743</v>
      </c>
      <c r="Q10" s="29">
        <f t="shared" si="4"/>
        <v>0.33968993905904699</v>
      </c>
      <c r="R10" s="70">
        <f t="shared" si="5"/>
        <v>0.49041890367313157</v>
      </c>
      <c r="S10" s="69">
        <f t="shared" si="6"/>
        <v>4</v>
      </c>
      <c r="T10" s="25">
        <f>COUNTIF('Data By District'!$Z$7:$Z$441,$B10&amp;"-"&amp;T$6)</f>
        <v>0</v>
      </c>
      <c r="U10" s="25">
        <f>COUNTIF('Data By District'!$Z$7:$Z$441,$B10&amp;"-"&amp;U$6)</f>
        <v>0</v>
      </c>
      <c r="V10" s="25">
        <f>COUNTIF('Data By District'!$Z$7:$Z$441,$B10&amp;"-"&amp;V$6)</f>
        <v>2</v>
      </c>
      <c r="W10" s="25">
        <f>COUNTIF('Data By District'!$Z$7:$Z$441,$B10&amp;"-"&amp;W$6)</f>
        <v>1</v>
      </c>
      <c r="X10" s="25">
        <f>COUNTIF('Data By District'!$Z$7:$Z$441,$B10&amp;"-"&amp;X$6)-(Y10)</f>
        <v>0</v>
      </c>
      <c r="Y10" s="25">
        <f>COUNTIF('Data By District'!$X$7:$X$441,$B10&amp;"-"&amp;"Yes")</f>
        <v>1</v>
      </c>
      <c r="Z10" s="385">
        <f t="shared" si="7"/>
        <v>0.25</v>
      </c>
      <c r="AA10" s="387">
        <f>COUNTIF('Data By District'!$L$7:$L$441, $B10&amp;"-"&amp;1)</f>
        <v>0</v>
      </c>
      <c r="AB10" s="360">
        <f>COUNTIFS('Data By District'!$J$7:$J$441,$B10&amp;"-"&amp;"Yes",'Data By District'!$Z$7:$Z$441,$B10&amp;"-"&amp;X$6)+COUNTIFS('Data By District'!$J$7:$J$441,$B10&amp;"-"&amp;"Yes",'Data By District'!$Z$7:$Z$441,$B10&amp;"-"&amp;W$6)</f>
        <v>1</v>
      </c>
      <c r="AC10" s="357">
        <f t="shared" si="32"/>
        <v>0.33333333333333331</v>
      </c>
      <c r="AD10" s="361">
        <f>COUNTIF('Data By District'!$J$7:$J$441,$B10&amp;"-"&amp;"Yes")</f>
        <v>3</v>
      </c>
      <c r="AE10" s="361">
        <f t="shared" si="24"/>
        <v>1</v>
      </c>
      <c r="AF10" s="361">
        <f>COUNTIF('Data By District'!$I$7:$I$441,$B10&amp;"-"&amp;"Yes")</f>
        <v>4</v>
      </c>
      <c r="AG10" s="361">
        <f>COUNTIFS('Data By District'!$J$7:$J$441,$B10&amp;"-"&amp;"Yes",'Data By District'!$Y$7:$Y$441,$B10&amp;"-"&amp;"Dem")</f>
        <v>0</v>
      </c>
      <c r="AH10" s="361">
        <f>COUNTIFS('Data By District'!$J$7:$J$441,$B10&amp;"-"&amp;"Yes",'Data By District'!$Y$7:$Y$441,$B10&amp;"-"&amp;"Rep")</f>
        <v>3</v>
      </c>
      <c r="AI10" s="361">
        <f>COUNTIFS('Data By District'!$J$7:$J$441,$B10&amp;"-"&amp;"Yes",'Data By District'!$Y$7:$Y$441,$B10&amp;"-"&amp;"Dem",'Data By District'!$J$7:$J$441,$B10&amp;"-"&amp;"Yes",'Data By District'!$Z$7:$Z$441,$B10&amp;"-"&amp;W$6)+COUNTIFS('Data By District'!$J$7:$J$441,$B10&amp;"-"&amp;"Yes",'Data By District'!$Y$7:$Y$441,$B10&amp;"-"&amp;"Dem",'Data By District'!$J$7:$J$441,$B10&amp;"-"&amp;"Yes",'Data By District'!$Z$7:$Z$441,$B10&amp;"-"&amp;X$6)</f>
        <v>0</v>
      </c>
      <c r="AJ10" s="361">
        <f>COUNTIFS('Data By District'!$J$7:$J$441,$B10&amp;"-"&amp;"Yes",'Data By District'!$Y$7:$Y$441,$B10&amp;"-"&amp;"Rep",'Data By District'!$J$7:$J$441,$B10&amp;"-"&amp;"Yes",'Data By District'!$Z$7:$Z$441,$B10&amp;"-"&amp;W$6)+COUNTIFS('Data By District'!$J$7:$J$441,$B10&amp;"-"&amp;"Yes",'Data By District'!$Y$7:$Y$441,$B10&amp;"-"&amp;"Rep",'Data By District'!$J$7:$J$441,$B10&amp;"-"&amp;"Yes",'Data By District'!$Z$7:$Z$441,$B10&amp;"-"&amp;X$6)</f>
        <v>1</v>
      </c>
      <c r="AK10" s="360">
        <f>COUNTIF('Data By District'!$D$7:$D$441,$B10&amp;"-"&amp;"Yes")</f>
        <v>0</v>
      </c>
      <c r="AL10" s="361">
        <f>COUNTIF('Data By District'!$E$7:$E$441,$B10&amp;"-"&amp;"Yes")</f>
        <v>0</v>
      </c>
      <c r="AM10" s="361">
        <f>COUNTIF('Data By District'!$F$7:$F$441,$B10&amp;"-"&amp;"Yes")</f>
        <v>0</v>
      </c>
      <c r="AN10" s="361">
        <f>COUNTIF('Data By District'!$G$7:$G$441,$B10&amp;"-"&amp;"Yes")</f>
        <v>0</v>
      </c>
      <c r="AO10" s="361">
        <f>COUNTIF('Data By District'!$H$7:$H$441,$B10&amp;"-"&amp;"Yes")</f>
        <v>0</v>
      </c>
      <c r="AP10" s="70">
        <f t="shared" si="8"/>
        <v>2.9373482890558671E-2</v>
      </c>
      <c r="AQ10" s="55">
        <f t="shared" si="25"/>
        <v>0.59163107121594827</v>
      </c>
      <c r="AR10" s="50">
        <f t="shared" si="26"/>
        <v>1038054</v>
      </c>
      <c r="AS10" s="41">
        <f>SUMIF('Data By District'!$B$7:$B$441,$B10,'Data By District'!$O$7:$O$441)</f>
        <v>304770</v>
      </c>
      <c r="AT10" s="41">
        <f>SUMIF('Data By District'!$B$7:$B$441,$B10,'Data By District'!$P$7:$P$441)</f>
        <v>637591</v>
      </c>
      <c r="AU10" s="41">
        <f>SUMIF('Data By District'!$B$7:$B$441,$B10,'Data By District'!$Q$7:$Q$441)</f>
        <v>95693</v>
      </c>
      <c r="AV10" s="289">
        <f t="shared" si="9"/>
        <v>0.29359744290759443</v>
      </c>
      <c r="AW10" s="24">
        <f t="shared" si="10"/>
        <v>0.6142175647895004</v>
      </c>
      <c r="AX10" s="56">
        <f t="shared" si="11"/>
        <v>9.218499230290525E-2</v>
      </c>
      <c r="AY10" s="25">
        <f>COUNTIF('Data By District'!$Y$7:$Y$441,$B10&amp;"-"&amp;AY$6)</f>
        <v>0</v>
      </c>
      <c r="AZ10" s="25">
        <f>COUNTIF('Data By District'!$Y$7:$Y$441,$B10&amp;"-"&amp;AZ$6)</f>
        <v>4</v>
      </c>
      <c r="BA10" s="25">
        <f>COUNTIF('Data By District'!$Y$7:$Y$441,$B10&amp;"-"&amp;BA$6)</f>
        <v>0</v>
      </c>
      <c r="BB10" s="285">
        <f t="shared" si="27"/>
        <v>0</v>
      </c>
      <c r="BC10" s="24">
        <f t="shared" si="28"/>
        <v>1</v>
      </c>
      <c r="BD10" s="56">
        <f t="shared" si="29"/>
        <v>0</v>
      </c>
      <c r="BE10" s="285">
        <f t="shared" si="12"/>
        <v>0.29359744290759443</v>
      </c>
      <c r="BF10" s="24">
        <f t="shared" si="13"/>
        <v>0.3857824352104996</v>
      </c>
      <c r="BG10" s="56">
        <f t="shared" si="14"/>
        <v>9.218499230290525E-2</v>
      </c>
      <c r="BH10" s="50">
        <f t="shared" si="30"/>
        <v>614145</v>
      </c>
      <c r="BI10" s="41">
        <f>'Data By District'!AE26</f>
        <v>423909</v>
      </c>
      <c r="BJ10" s="41">
        <f>SUMIF('Data By District'!$B$7:$B$441,'Data By State'!$B10,'Data By District'!$AA$7:$AA$441)</f>
        <v>304770</v>
      </c>
      <c r="BK10" s="41">
        <f>SUMIF('Data By District'!$B$7:$B$441,'Data By State'!$B10,'Data By District'!$AB$7:$AB$441)</f>
        <v>0</v>
      </c>
      <c r="BL10" s="50">
        <f>SUMIF('Data By District'!$B$7:$B$441,'Data By State'!$B10,'Data By District'!$AC$7:$AC$441)</f>
        <v>95693</v>
      </c>
      <c r="BM10" s="64">
        <f t="shared" si="31"/>
        <v>0.40836892878405168</v>
      </c>
      <c r="BN10" s="24">
        <f t="shared" si="15"/>
        <v>1</v>
      </c>
      <c r="BO10" s="24">
        <f t="shared" si="16"/>
        <v>0</v>
      </c>
      <c r="BP10" s="56">
        <f t="shared" si="17"/>
        <v>1</v>
      </c>
    </row>
    <row r="11" spans="1:71" ht="16" thickBot="1">
      <c r="A11" s="17" t="s">
        <v>69</v>
      </c>
      <c r="B11" s="26" t="s">
        <v>4</v>
      </c>
      <c r="C11" s="380">
        <v>13038547</v>
      </c>
      <c r="D11" s="380">
        <v>23620070</v>
      </c>
      <c r="E11" s="25">
        <f t="shared" si="0"/>
        <v>35</v>
      </c>
      <c r="F11" s="25">
        <f t="shared" si="1"/>
        <v>24</v>
      </c>
      <c r="G11" s="73">
        <f t="shared" si="18"/>
        <v>40</v>
      </c>
      <c r="H11" s="25">
        <f t="shared" si="19"/>
        <v>30</v>
      </c>
      <c r="I11" s="25">
        <f t="shared" si="20"/>
        <v>31</v>
      </c>
      <c r="J11" s="25">
        <f t="shared" si="21"/>
        <v>12</v>
      </c>
      <c r="K11" s="68">
        <f t="shared" si="22"/>
        <v>41</v>
      </c>
      <c r="L11" s="67">
        <f t="shared" si="2"/>
        <v>28.8</v>
      </c>
      <c r="M11" s="64">
        <f t="shared" si="23"/>
        <v>0.49706972335999061</v>
      </c>
      <c r="N11" s="33">
        <f>AVERAGE('Data By District'!V27:'Data By District'!V79)</f>
        <v>0.45071689761730283</v>
      </c>
      <c r="O11" s="29">
        <f t="shared" si="3"/>
        <v>0.67924528301886788</v>
      </c>
      <c r="P11" s="29">
        <f>SUMIF('Data By District'!$B$7:$B$441,B11,'Data By District'!$T$7:$T$441)/D11</f>
        <v>0.35750520637745781</v>
      </c>
      <c r="Q11" s="29">
        <f t="shared" si="4"/>
        <v>9.969961531879204E-2</v>
      </c>
      <c r="R11" s="70">
        <f t="shared" si="5"/>
        <v>0.5166943620404173</v>
      </c>
      <c r="S11" s="69">
        <f t="shared" si="6"/>
        <v>53</v>
      </c>
      <c r="T11" s="25">
        <f>COUNTIF('Data By District'!$Z$7:$Z$441,$B11&amp;"-"&amp;T$6)</f>
        <v>2</v>
      </c>
      <c r="U11" s="25">
        <f>COUNTIF('Data By District'!$Z$7:$Z$441,$B11&amp;"-"&amp;U$6)</f>
        <v>5</v>
      </c>
      <c r="V11" s="25">
        <f>COUNTIF('Data By District'!$Z$7:$Z$441,$B11&amp;"-"&amp;V$6)</f>
        <v>10</v>
      </c>
      <c r="W11" s="25">
        <f>COUNTIF('Data By District'!$Z$7:$Z$441,$B11&amp;"-"&amp;W$6)</f>
        <v>11</v>
      </c>
      <c r="X11" s="25">
        <f>COUNTIF('Data By District'!$Z$7:$Z$441,$B11&amp;"-"&amp;X$6)-(Y11)</f>
        <v>13</v>
      </c>
      <c r="Y11" s="25">
        <f>COUNTIF('Data By District'!$X$7:$X$441,$B11&amp;"-"&amp;"Yes")</f>
        <v>12</v>
      </c>
      <c r="Z11" s="385">
        <f t="shared" si="7"/>
        <v>0.22641509433962265</v>
      </c>
      <c r="AA11" s="387">
        <f>COUNTIF('Data By District'!$L$7:$L$441, $B11&amp;"-"&amp;1)</f>
        <v>0</v>
      </c>
      <c r="AB11" s="360">
        <f>COUNTIFS('Data By District'!$J$7:$J$441,$B11&amp;"-"&amp;"Yes",'Data By District'!$Z$7:$Z$441,$B11&amp;"-"&amp;X$6)+COUNTIFS('Data By District'!$J$7:$J$441,$B11&amp;"-"&amp;"Yes",'Data By District'!$Z$7:$Z$441,$B11&amp;"-"&amp;W$6)</f>
        <v>34</v>
      </c>
      <c r="AC11" s="357">
        <f t="shared" si="32"/>
        <v>0.75555555555555554</v>
      </c>
      <c r="AD11" s="361">
        <f>COUNTIF('Data By District'!$J$7:$J$441,$B11&amp;"-"&amp;"Yes")</f>
        <v>45</v>
      </c>
      <c r="AE11" s="361">
        <f t="shared" si="24"/>
        <v>8</v>
      </c>
      <c r="AF11" s="361">
        <f>COUNTIF('Data By District'!$I$7:$I$441,$B11&amp;"-"&amp;"Yes")</f>
        <v>53</v>
      </c>
      <c r="AG11" s="361">
        <f>COUNTIFS('Data By District'!$J$7:$J$441,$B11&amp;"-"&amp;"Yes",'Data By District'!$Y$7:$Y$441,$B11&amp;"-"&amp;"Dem")</f>
        <v>31</v>
      </c>
      <c r="AH11" s="361">
        <f>COUNTIFS('Data By District'!$J$7:$J$441,$B11&amp;"-"&amp;"Yes",'Data By District'!$Y$7:$Y$441,$B11&amp;"-"&amp;"Rep")</f>
        <v>14</v>
      </c>
      <c r="AI11" s="361">
        <f>COUNTIFS('Data By District'!$J$7:$J$441,$B11&amp;"-"&amp;"Yes",'Data By District'!$Y$7:$Y$441,$B11&amp;"-"&amp;"Dem",'Data By District'!$J$7:$J$441,$B11&amp;"-"&amp;"Yes",'Data By District'!$Z$7:$Z$441,$B11&amp;"-"&amp;W$6)+COUNTIFS('Data By District'!$J$7:$J$441,$B11&amp;"-"&amp;"Yes",'Data By District'!$Y$7:$Y$441,$B11&amp;"-"&amp;"Dem",'Data By District'!$J$7:$J$441,$B11&amp;"-"&amp;"Yes",'Data By District'!$Z$7:$Z$441,$B11&amp;"-"&amp;X$6)</f>
        <v>26</v>
      </c>
      <c r="AJ11" s="361">
        <f>COUNTIFS('Data By District'!$J$7:$J$441,$B11&amp;"-"&amp;"Yes",'Data By District'!$Y$7:$Y$441,$B11&amp;"-"&amp;"Rep",'Data By District'!$J$7:$J$441,$B11&amp;"-"&amp;"Yes",'Data By District'!$Z$7:$Z$441,$B11&amp;"-"&amp;W$6)+COUNTIFS('Data By District'!$J$7:$J$441,$B11&amp;"-"&amp;"Yes",'Data By District'!$Y$7:$Y$441,$B11&amp;"-"&amp;"Rep",'Data By District'!$J$7:$J$441,$B11&amp;"-"&amp;"Yes",'Data By District'!$Z$7:$Z$441,$B11&amp;"-"&amp;X$6)</f>
        <v>8</v>
      </c>
      <c r="AK11" s="360">
        <f>COUNTIF('Data By District'!$D$7:$D$441,$B11&amp;"-"&amp;"Yes")</f>
        <v>18</v>
      </c>
      <c r="AL11" s="361">
        <f>COUNTIF('Data By District'!$E$7:$E$441,$B11&amp;"-"&amp;"Yes")</f>
        <v>4</v>
      </c>
      <c r="AM11" s="361">
        <f>COUNTIF('Data By District'!$F$7:$F$441,$B11&amp;"-"&amp;"Yes")</f>
        <v>8</v>
      </c>
      <c r="AN11" s="361">
        <f>COUNTIF('Data By District'!$G$7:$G$441,$B11&amp;"-"&amp;"Yes")</f>
        <v>4</v>
      </c>
      <c r="AO11" s="361">
        <f>COUNTIF('Data By District'!$H$7:$H$441,$B11&amp;"-"&amp;"Yes")</f>
        <v>0</v>
      </c>
      <c r="AP11" s="70">
        <f t="shared" si="8"/>
        <v>6.3978754687926506E-2</v>
      </c>
      <c r="AQ11" s="55">
        <f t="shared" si="25"/>
        <v>0.69180014973341075</v>
      </c>
      <c r="AR11" s="50">
        <f t="shared" si="26"/>
        <v>12204357</v>
      </c>
      <c r="AS11" s="41">
        <f>SUMIF('Data By District'!$B$7:$B$441,$B11,'Data By District'!$O$7:$O$441)</f>
        <v>7392703</v>
      </c>
      <c r="AT11" s="41">
        <f>SUMIF('Data By District'!$B$7:$B$441,$B11,'Data By District'!$P$7:$P$441)</f>
        <v>4530012</v>
      </c>
      <c r="AU11" s="41">
        <f>SUMIF('Data By District'!$B$7:$B$441,$B11,'Data By District'!$Q$7:$Q$441)</f>
        <v>281642</v>
      </c>
      <c r="AV11" s="289">
        <f t="shared" si="9"/>
        <v>0.6057429326264383</v>
      </c>
      <c r="AW11" s="24">
        <f t="shared" si="10"/>
        <v>0.37117989911307903</v>
      </c>
      <c r="AX11" s="56">
        <f t="shared" si="11"/>
        <v>2.307716826048271E-2</v>
      </c>
      <c r="AY11" s="25">
        <f>COUNTIF('Data By District'!$Y$7:$Y$441,$B11&amp;"-"&amp;AY$6)</f>
        <v>38</v>
      </c>
      <c r="AZ11" s="25">
        <f>COUNTIF('Data By District'!$Y$7:$Y$441,$B11&amp;"-"&amp;AZ$6)</f>
        <v>15</v>
      </c>
      <c r="BA11" s="25">
        <f>COUNTIF('Data By District'!$Y$7:$Y$441,$B11&amp;"-"&amp;BA$6)</f>
        <v>0</v>
      </c>
      <c r="BB11" s="285">
        <f t="shared" si="27"/>
        <v>0.71698113207547165</v>
      </c>
      <c r="BC11" s="24">
        <f t="shared" si="28"/>
        <v>0.28301886792452829</v>
      </c>
      <c r="BD11" s="56">
        <f t="shared" si="29"/>
        <v>0</v>
      </c>
      <c r="BE11" s="285">
        <f t="shared" si="12"/>
        <v>0.11123819944903335</v>
      </c>
      <c r="BF11" s="24">
        <f t="shared" si="13"/>
        <v>8.8161031188550731E-2</v>
      </c>
      <c r="BG11" s="56">
        <f t="shared" si="14"/>
        <v>2.307716826048271E-2</v>
      </c>
      <c r="BH11" s="50">
        <f t="shared" si="30"/>
        <v>8442976</v>
      </c>
      <c r="BI11" s="41">
        <f>'Data By District'!AE79</f>
        <v>3761381</v>
      </c>
      <c r="BJ11" s="41">
        <f>SUMIF('Data By District'!$B$7:$B$441,'Data By State'!$B11,'Data By District'!$AA$7:$AA$441)</f>
        <v>1212443</v>
      </c>
      <c r="BK11" s="41">
        <f>SUMIF('Data By District'!$B$7:$B$441,'Data By State'!$B11,'Data By District'!$AB$7:$AB$441)</f>
        <v>2265974</v>
      </c>
      <c r="BL11" s="50">
        <f>SUMIF('Data By District'!$B$7:$B$441,'Data By State'!$B11,'Data By District'!$AC$7:$AC$441)</f>
        <v>281642</v>
      </c>
      <c r="BM11" s="64">
        <f t="shared" si="31"/>
        <v>0.30819985026658919</v>
      </c>
      <c r="BN11" s="24">
        <f t="shared" si="15"/>
        <v>0.16400537124242648</v>
      </c>
      <c r="BO11" s="24">
        <f t="shared" si="16"/>
        <v>0.50021368596816074</v>
      </c>
      <c r="BP11" s="56">
        <f t="shared" si="17"/>
        <v>1</v>
      </c>
    </row>
    <row r="12" spans="1:71" ht="16" thickBot="1">
      <c r="A12" s="17" t="s">
        <v>70</v>
      </c>
      <c r="B12" s="26" t="s">
        <v>5</v>
      </c>
      <c r="C12" s="380">
        <v>2569217</v>
      </c>
      <c r="D12" s="380">
        <v>3654045</v>
      </c>
      <c r="E12" s="25">
        <f t="shared" si="0"/>
        <v>4</v>
      </c>
      <c r="F12" s="25">
        <f t="shared" si="1"/>
        <v>9</v>
      </c>
      <c r="G12" s="73">
        <f t="shared" si="18"/>
        <v>22</v>
      </c>
      <c r="H12" s="25">
        <f t="shared" si="19"/>
        <v>9</v>
      </c>
      <c r="I12" s="25">
        <f t="shared" si="20"/>
        <v>15</v>
      </c>
      <c r="J12" s="25">
        <f t="shared" si="21"/>
        <v>6</v>
      </c>
      <c r="K12" s="68">
        <f t="shared" si="22"/>
        <v>5</v>
      </c>
      <c r="L12" s="67">
        <f t="shared" si="2"/>
        <v>13.4</v>
      </c>
      <c r="M12" s="64">
        <f t="shared" si="23"/>
        <v>0.59262689326502649</v>
      </c>
      <c r="N12" s="33">
        <f>AVERAGE('Data By District'!V80:'Data By District'!V86)</f>
        <v>0.31801965384740044</v>
      </c>
      <c r="O12" s="29">
        <f t="shared" si="3"/>
        <v>0.42857142857142855</v>
      </c>
      <c r="P12" s="29">
        <f>SUMIF('Data By District'!$B$7:$B$441,B12,'Data By District'!$T$7:$T$441)/D12</f>
        <v>0.38409242360178925</v>
      </c>
      <c r="Q12" s="29">
        <f t="shared" si="4"/>
        <v>5.8459298459616782E-2</v>
      </c>
      <c r="R12" s="70">
        <f t="shared" si="5"/>
        <v>0.67055906536454801</v>
      </c>
      <c r="S12" s="69">
        <f t="shared" si="6"/>
        <v>7</v>
      </c>
      <c r="T12" s="25">
        <f>COUNTIF('Data By District'!$Z$7:$Z$441,$B12&amp;"-"&amp;T$6)</f>
        <v>1</v>
      </c>
      <c r="U12" s="25">
        <f>COUNTIF('Data By District'!$Z$7:$Z$441,$B12&amp;"-"&amp;U$6)</f>
        <v>0</v>
      </c>
      <c r="V12" s="25">
        <f>COUNTIF('Data By District'!$Z$7:$Z$441,$B12&amp;"-"&amp;V$6)</f>
        <v>3</v>
      </c>
      <c r="W12" s="25">
        <f>COUNTIF('Data By District'!$Z$7:$Z$441,$B12&amp;"-"&amp;W$6)</f>
        <v>1</v>
      </c>
      <c r="X12" s="25">
        <f>COUNTIF('Data By District'!$Z$7:$Z$441,$B12&amp;"-"&amp;X$6)-(Y12)</f>
        <v>1</v>
      </c>
      <c r="Y12" s="25">
        <f>COUNTIF('Data By District'!$X$7:$X$441,$B12&amp;"-"&amp;"Yes")</f>
        <v>1</v>
      </c>
      <c r="Z12" s="385">
        <f t="shared" si="7"/>
        <v>0.14285714285714285</v>
      </c>
      <c r="AA12" s="387">
        <f>COUNTIF('Data By District'!$L$7:$L$441, $B12&amp;"-"&amp;1)</f>
        <v>0</v>
      </c>
      <c r="AB12" s="360">
        <f>COUNTIFS('Data By District'!$J$7:$J$441,$B12&amp;"-"&amp;"Yes",'Data By District'!$Z$7:$Z$441,$B12&amp;"-"&amp;X$6)+COUNTIFS('Data By District'!$J$7:$J$441,$B12&amp;"-"&amp;"Yes",'Data By District'!$Z$7:$Z$441,$B12&amp;"-"&amp;W$6)</f>
        <v>3</v>
      </c>
      <c r="AC12" s="357">
        <f t="shared" si="32"/>
        <v>0.42857142857142855</v>
      </c>
      <c r="AD12" s="361">
        <f>COUNTIF('Data By District'!$J$7:$J$441,$B12&amp;"-"&amp;"Yes")</f>
        <v>7</v>
      </c>
      <c r="AE12" s="361">
        <f t="shared" si="24"/>
        <v>0</v>
      </c>
      <c r="AF12" s="361">
        <f>COUNTIF('Data By District'!$I$7:$I$441,$B12&amp;"-"&amp;"Yes")</f>
        <v>7</v>
      </c>
      <c r="AG12" s="361">
        <f>COUNTIFS('Data By District'!$J$7:$J$441,$B12&amp;"-"&amp;"Yes",'Data By District'!$Y$7:$Y$441,$B12&amp;"-"&amp;"Dem")</f>
        <v>3</v>
      </c>
      <c r="AH12" s="361">
        <f>COUNTIFS('Data By District'!$J$7:$J$441,$B12&amp;"-"&amp;"Yes",'Data By District'!$Y$7:$Y$441,$B12&amp;"-"&amp;"Rep")</f>
        <v>4</v>
      </c>
      <c r="AI12" s="361">
        <f>COUNTIFS('Data By District'!$J$7:$J$441,$B12&amp;"-"&amp;"Yes",'Data By District'!$Y$7:$Y$441,$B12&amp;"-"&amp;"Dem",'Data By District'!$J$7:$J$441,$B12&amp;"-"&amp;"Yes",'Data By District'!$Z$7:$Z$441,$B12&amp;"-"&amp;W$6)+COUNTIFS('Data By District'!$J$7:$J$441,$B12&amp;"-"&amp;"Yes",'Data By District'!$Y$7:$Y$441,$B12&amp;"-"&amp;"Dem",'Data By District'!$J$7:$J$441,$B12&amp;"-"&amp;"Yes",'Data By District'!$Z$7:$Z$441,$B12&amp;"-"&amp;X$6)</f>
        <v>1</v>
      </c>
      <c r="AJ12" s="361">
        <f>COUNTIFS('Data By District'!$J$7:$J$441,$B12&amp;"-"&amp;"Yes",'Data By District'!$Y$7:$Y$441,$B12&amp;"-"&amp;"Rep",'Data By District'!$J$7:$J$441,$B12&amp;"-"&amp;"Yes",'Data By District'!$Z$7:$Z$441,$B12&amp;"-"&amp;W$6)+COUNTIFS('Data By District'!$J$7:$J$441,$B12&amp;"-"&amp;"Yes",'Data By District'!$Y$7:$Y$441,$B12&amp;"-"&amp;"Rep",'Data By District'!$J$7:$J$441,$B12&amp;"-"&amp;"Yes",'Data By District'!$Z$7:$Z$441,$B12&amp;"-"&amp;X$6)</f>
        <v>2</v>
      </c>
      <c r="AK12" s="360">
        <f>COUNTIF('Data By District'!$D$7:$D$441,$B12&amp;"-"&amp;"Yes")</f>
        <v>1</v>
      </c>
      <c r="AL12" s="361">
        <f>COUNTIF('Data By District'!$E$7:$E$441,$B12&amp;"-"&amp;"Yes")</f>
        <v>0</v>
      </c>
      <c r="AM12" s="361">
        <f>COUNTIF('Data By District'!$F$7:$F$441,$B12&amp;"-"&amp;"Yes")</f>
        <v>0</v>
      </c>
      <c r="AN12" s="361">
        <f>COUNTIF('Data By District'!$G$7:$G$441,$B12&amp;"-"&amp;"Yes")</f>
        <v>0</v>
      </c>
      <c r="AO12" s="361">
        <f>COUNTIF('Data By District'!$H$7:$H$441,$B12&amp;"-"&amp;"Yes")</f>
        <v>0</v>
      </c>
      <c r="AP12" s="70">
        <f t="shared" si="8"/>
        <v>4.630360144744488E-2</v>
      </c>
      <c r="AQ12" s="55">
        <f t="shared" si="25"/>
        <v>0.59525240862882323</v>
      </c>
      <c r="AR12" s="50">
        <f t="shared" si="26"/>
        <v>2450253</v>
      </c>
      <c r="AS12" s="41">
        <f>SUMIF('Data By District'!$B$7:$B$441,$B12,'Data By District'!$O$7:$O$441)</f>
        <v>1080060</v>
      </c>
      <c r="AT12" s="41">
        <f>SUMIF('Data By District'!$B$7:$B$441,$B12,'Data By District'!$P$7:$P$441)</f>
        <v>1143616</v>
      </c>
      <c r="AU12" s="41">
        <f>SUMIF('Data By District'!$B$7:$B$441,$B12,'Data By District'!$Q$7:$Q$441)</f>
        <v>226577</v>
      </c>
      <c r="AV12" s="289">
        <f t="shared" si="9"/>
        <v>0.44079529746520052</v>
      </c>
      <c r="AW12" s="24">
        <f t="shared" si="10"/>
        <v>0.4667338434031098</v>
      </c>
      <c r="AX12" s="56">
        <f t="shared" si="11"/>
        <v>9.2470859131689662E-2</v>
      </c>
      <c r="AY12" s="25">
        <f>COUNTIF('Data By District'!$Y$7:$Y$441,$B12&amp;"-"&amp;AY$6)</f>
        <v>3</v>
      </c>
      <c r="AZ12" s="25">
        <f>COUNTIF('Data By District'!$Y$7:$Y$441,$B12&amp;"-"&amp;AZ$6)</f>
        <v>4</v>
      </c>
      <c r="BA12" s="25">
        <f>COUNTIF('Data By District'!$Y$7:$Y$441,$B12&amp;"-"&amp;BA$6)</f>
        <v>0</v>
      </c>
      <c r="BB12" s="285">
        <f t="shared" si="27"/>
        <v>0.42857142857142855</v>
      </c>
      <c r="BC12" s="24">
        <f t="shared" si="28"/>
        <v>0.5714285714285714</v>
      </c>
      <c r="BD12" s="56">
        <f t="shared" si="29"/>
        <v>0</v>
      </c>
      <c r="BE12" s="285">
        <f t="shared" si="12"/>
        <v>1.2223868893771972E-2</v>
      </c>
      <c r="BF12" s="24">
        <f t="shared" si="13"/>
        <v>0.10469472802546159</v>
      </c>
      <c r="BG12" s="56">
        <f t="shared" si="14"/>
        <v>9.2470859131689662E-2</v>
      </c>
      <c r="BH12" s="50">
        <f t="shared" si="30"/>
        <v>1458519</v>
      </c>
      <c r="BI12" s="41">
        <f>'Data By District'!AE86</f>
        <v>991734</v>
      </c>
      <c r="BJ12" s="41">
        <f>SUMIF('Data By District'!$B$7:$B$441,'Data By State'!$B12,'Data By District'!$AA$7:$AA$441)</f>
        <v>425263</v>
      </c>
      <c r="BK12" s="41">
        <f>SUMIF('Data By District'!$B$7:$B$441,'Data By State'!$B12,'Data By District'!$AB$7:$AB$441)</f>
        <v>394922</v>
      </c>
      <c r="BL12" s="50">
        <f>SUMIF('Data By District'!$B$7:$B$441,'Data By State'!$B12,'Data By District'!$AC$7:$AC$441)</f>
        <v>226577</v>
      </c>
      <c r="BM12" s="64">
        <f t="shared" si="31"/>
        <v>0.40474759137117677</v>
      </c>
      <c r="BN12" s="24">
        <f t="shared" si="15"/>
        <v>0.39374016258356015</v>
      </c>
      <c r="BO12" s="24">
        <f t="shared" si="16"/>
        <v>0.34532745257149255</v>
      </c>
      <c r="BP12" s="56">
        <f t="shared" si="17"/>
        <v>1</v>
      </c>
    </row>
    <row r="13" spans="1:71" ht="16" thickBot="1">
      <c r="A13" s="17" t="s">
        <v>71</v>
      </c>
      <c r="B13" s="26" t="s">
        <v>6</v>
      </c>
      <c r="C13" s="380">
        <v>1558114</v>
      </c>
      <c r="D13" s="380">
        <v>2558470</v>
      </c>
      <c r="E13" s="25">
        <f t="shared" si="0"/>
        <v>26</v>
      </c>
      <c r="F13" s="25">
        <f t="shared" si="1"/>
        <v>26</v>
      </c>
      <c r="G13" s="73">
        <f t="shared" si="18"/>
        <v>25</v>
      </c>
      <c r="H13" s="25">
        <f t="shared" si="19"/>
        <v>20</v>
      </c>
      <c r="I13" s="25">
        <f t="shared" si="20"/>
        <v>22</v>
      </c>
      <c r="J13" s="25">
        <f t="shared" si="21"/>
        <v>43</v>
      </c>
      <c r="K13" s="68">
        <f t="shared" si="22"/>
        <v>24</v>
      </c>
      <c r="L13" s="67">
        <f t="shared" si="2"/>
        <v>26.4</v>
      </c>
      <c r="M13" s="64">
        <f t="shared" si="23"/>
        <v>0.49319931239277032</v>
      </c>
      <c r="N13" s="33">
        <f>AVERAGE('Data By District'!V87:'Data By District'!V91)</f>
        <v>0.33139940771833787</v>
      </c>
      <c r="O13" s="29">
        <f t="shared" si="3"/>
        <v>0.6</v>
      </c>
      <c r="P13" s="29">
        <f>SUMIF('Data By District'!$B$7:$B$441,B13,'Data By District'!$T$7:$T$441)/D13</f>
        <v>0.37181635899580606</v>
      </c>
      <c r="Q13" s="29">
        <f t="shared" si="4"/>
        <v>0.34623674830942286</v>
      </c>
      <c r="R13" s="70">
        <f t="shared" si="5"/>
        <v>0.57319843500216927</v>
      </c>
      <c r="S13" s="69">
        <f t="shared" si="6"/>
        <v>5</v>
      </c>
      <c r="T13" s="25">
        <f>COUNTIF('Data By District'!$Z$7:$Z$441,$B13&amp;"-"&amp;T$6)</f>
        <v>1</v>
      </c>
      <c r="U13" s="25">
        <f>COUNTIF('Data By District'!$Z$7:$Z$441,$B13&amp;"-"&amp;U$6)</f>
        <v>0</v>
      </c>
      <c r="V13" s="25">
        <f>COUNTIF('Data By District'!$Z$7:$Z$441,$B13&amp;"-"&amp;V$6)</f>
        <v>1</v>
      </c>
      <c r="W13" s="25">
        <f>COUNTIF('Data By District'!$Z$7:$Z$441,$B13&amp;"-"&amp;W$6)</f>
        <v>1</v>
      </c>
      <c r="X13" s="25">
        <f>COUNTIF('Data By District'!$Z$7:$Z$441,$B13&amp;"-"&amp;X$6)-(Y13)</f>
        <v>2</v>
      </c>
      <c r="Y13" s="25">
        <f>COUNTIF('Data By District'!$X$7:$X$441,$B13&amp;"-"&amp;"Yes")</f>
        <v>0</v>
      </c>
      <c r="Z13" s="385">
        <f t="shared" si="7"/>
        <v>0</v>
      </c>
      <c r="AA13" s="387">
        <f>COUNTIF('Data By District'!$L$7:$L$441, $B13&amp;"-"&amp;1)</f>
        <v>0</v>
      </c>
      <c r="AB13" s="360">
        <f>COUNTIFS('Data By District'!$J$7:$J$441,$B13&amp;"-"&amp;"Yes",'Data By District'!$Z$7:$Z$441,$B13&amp;"-"&amp;X$6)+COUNTIFS('Data By District'!$J$7:$J$441,$B13&amp;"-"&amp;"Yes",'Data By District'!$Z$7:$Z$441,$B13&amp;"-"&amp;W$6)</f>
        <v>3</v>
      </c>
      <c r="AC13" s="357">
        <f t="shared" si="32"/>
        <v>0.6</v>
      </c>
      <c r="AD13" s="361">
        <f>COUNTIF('Data By District'!$J$7:$J$441,$B13&amp;"-"&amp;"Yes")</f>
        <v>5</v>
      </c>
      <c r="AE13" s="361">
        <f t="shared" si="24"/>
        <v>0</v>
      </c>
      <c r="AF13" s="361">
        <f>COUNTIF('Data By District'!$I$7:$I$441,$B13&amp;"-"&amp;"Yes")</f>
        <v>5</v>
      </c>
      <c r="AG13" s="361">
        <f>COUNTIFS('Data By District'!$J$7:$J$441,$B13&amp;"-"&amp;"Yes",'Data By District'!$Y$7:$Y$441,$B13&amp;"-"&amp;"Dem")</f>
        <v>5</v>
      </c>
      <c r="AH13" s="361">
        <f>COUNTIFS('Data By District'!$J$7:$J$441,$B13&amp;"-"&amp;"Yes",'Data By District'!$Y$7:$Y$441,$B13&amp;"-"&amp;"Rep")</f>
        <v>0</v>
      </c>
      <c r="AI13" s="361">
        <f>COUNTIFS('Data By District'!$J$7:$J$441,$B13&amp;"-"&amp;"Yes",'Data By District'!$Y$7:$Y$441,$B13&amp;"-"&amp;"Dem",'Data By District'!$J$7:$J$441,$B13&amp;"-"&amp;"Yes",'Data By District'!$Z$7:$Z$441,$B13&amp;"-"&amp;W$6)+COUNTIFS('Data By District'!$J$7:$J$441,$B13&amp;"-"&amp;"Yes",'Data By District'!$Y$7:$Y$441,$B13&amp;"-"&amp;"Dem",'Data By District'!$J$7:$J$441,$B13&amp;"-"&amp;"Yes",'Data By District'!$Z$7:$Z$441,$B13&amp;"-"&amp;X$6)</f>
        <v>3</v>
      </c>
      <c r="AJ13" s="361">
        <f>COUNTIFS('Data By District'!$J$7:$J$441,$B13&amp;"-"&amp;"Yes",'Data By District'!$Y$7:$Y$441,$B13&amp;"-"&amp;"Rep",'Data By District'!$J$7:$J$441,$B13&amp;"-"&amp;"Yes",'Data By District'!$Z$7:$Z$441,$B13&amp;"-"&amp;W$6)+COUNTIFS('Data By District'!$J$7:$J$441,$B13&amp;"-"&amp;"Yes",'Data By District'!$Y$7:$Y$441,$B13&amp;"-"&amp;"Rep",'Data By District'!$J$7:$J$441,$B13&amp;"-"&amp;"Yes",'Data By District'!$Z$7:$Z$441,$B13&amp;"-"&amp;X$6)</f>
        <v>0</v>
      </c>
      <c r="AK13" s="360">
        <f>COUNTIF('Data By District'!$D$7:$D$441,$B13&amp;"-"&amp;"Yes")</f>
        <v>2</v>
      </c>
      <c r="AL13" s="361">
        <f>COUNTIF('Data By District'!$E$7:$E$441,$B13&amp;"-"&amp;"Yes")</f>
        <v>0</v>
      </c>
      <c r="AM13" s="361">
        <f>COUNTIF('Data By District'!$F$7:$F$441,$B13&amp;"-"&amp;"Yes")</f>
        <v>0</v>
      </c>
      <c r="AN13" s="361">
        <f>COUNTIF('Data By District'!$G$7:$G$441,$B13&amp;"-"&amp;"Yes")</f>
        <v>0</v>
      </c>
      <c r="AO13" s="361">
        <f>COUNTIF('Data By District'!$H$7:$H$441,$B13&amp;"-"&amp;"Yes")</f>
        <v>0</v>
      </c>
      <c r="AP13" s="70">
        <f t="shared" si="8"/>
        <v>5.8790948544201513E-2</v>
      </c>
      <c r="AQ13" s="55">
        <f t="shared" si="25"/>
        <v>0.63513331983190036</v>
      </c>
      <c r="AR13" s="50">
        <f t="shared" si="26"/>
        <v>1466511</v>
      </c>
      <c r="AS13" s="41">
        <f>SUMIF('Data By District'!$B$7:$B$441,$B13,'Data By District'!$O$7:$O$441)</f>
        <v>951281</v>
      </c>
      <c r="AT13" s="41">
        <f>SUMIF('Data By District'!$B$7:$B$441,$B13,'Data By District'!$P$7:$P$441)</f>
        <v>500290</v>
      </c>
      <c r="AU13" s="41">
        <f>SUMIF('Data By District'!$B$7:$B$441,$B13,'Data By District'!$Q$7:$Q$441)</f>
        <v>14940</v>
      </c>
      <c r="AV13" s="289">
        <f t="shared" si="9"/>
        <v>0.64866952924321741</v>
      </c>
      <c r="AW13" s="24">
        <f t="shared" si="10"/>
        <v>0.34114302586206308</v>
      </c>
      <c r="AX13" s="56">
        <f t="shared" si="11"/>
        <v>1.0187444894719507E-2</v>
      </c>
      <c r="AY13" s="25">
        <f>COUNTIF('Data By District'!$Y$7:$Y$441,$B13&amp;"-"&amp;AY$6)</f>
        <v>5</v>
      </c>
      <c r="AZ13" s="25">
        <f>COUNTIF('Data By District'!$Y$7:$Y$441,$B13&amp;"-"&amp;AZ$6)</f>
        <v>0</v>
      </c>
      <c r="BA13" s="25">
        <f>COUNTIF('Data By District'!$Y$7:$Y$441,$B13&amp;"-"&amp;BA$6)</f>
        <v>0</v>
      </c>
      <c r="BB13" s="285">
        <f t="shared" si="27"/>
        <v>1</v>
      </c>
      <c r="BC13" s="24">
        <f t="shared" si="28"/>
        <v>0</v>
      </c>
      <c r="BD13" s="56">
        <f t="shared" si="29"/>
        <v>0</v>
      </c>
      <c r="BE13" s="285">
        <f t="shared" si="12"/>
        <v>0.35133047075678259</v>
      </c>
      <c r="BF13" s="24">
        <f t="shared" si="13"/>
        <v>0.34114302586206308</v>
      </c>
      <c r="BG13" s="56">
        <f t="shared" si="14"/>
        <v>1.0187444894719507E-2</v>
      </c>
      <c r="BH13" s="50">
        <f t="shared" si="30"/>
        <v>931430</v>
      </c>
      <c r="BI13" s="41">
        <f>'Data By District'!AE91</f>
        <v>535081</v>
      </c>
      <c r="BJ13" s="41">
        <f>SUMIF('Data By District'!$B$7:$B$441,'Data By State'!$B13,'Data By District'!$AA$7:$AA$441)</f>
        <v>0</v>
      </c>
      <c r="BK13" s="41">
        <f>SUMIF('Data By District'!$B$7:$B$441,'Data By State'!$B13,'Data By District'!$AB$7:$AB$441)</f>
        <v>500290</v>
      </c>
      <c r="BL13" s="50">
        <f>SUMIF('Data By District'!$B$7:$B$441,'Data By State'!$B13,'Data By District'!$AC$7:$AC$441)</f>
        <v>14940</v>
      </c>
      <c r="BM13" s="64">
        <f t="shared" si="31"/>
        <v>0.36486668016809964</v>
      </c>
      <c r="BN13" s="24">
        <f t="shared" si="15"/>
        <v>0</v>
      </c>
      <c r="BO13" s="24">
        <f t="shared" si="16"/>
        <v>1</v>
      </c>
      <c r="BP13" s="56">
        <f t="shared" si="17"/>
        <v>1</v>
      </c>
    </row>
    <row r="14" spans="1:71" ht="16" thickBot="1">
      <c r="A14" s="17" t="s">
        <v>72</v>
      </c>
      <c r="B14" s="26" t="s">
        <v>7</v>
      </c>
      <c r="C14" s="380">
        <v>413890</v>
      </c>
      <c r="D14" s="380">
        <v>660580</v>
      </c>
      <c r="E14" s="25">
        <f t="shared" si="0"/>
        <v>24</v>
      </c>
      <c r="F14" s="25">
        <f t="shared" si="1"/>
        <v>32</v>
      </c>
      <c r="G14" s="73">
        <f t="shared" si="18"/>
        <v>2</v>
      </c>
      <c r="H14" s="25">
        <f t="shared" si="19"/>
        <v>41</v>
      </c>
      <c r="I14" s="25">
        <f t="shared" si="20"/>
        <v>20</v>
      </c>
      <c r="J14" s="25">
        <f t="shared" si="21"/>
        <v>42</v>
      </c>
      <c r="K14" s="68">
        <f t="shared" si="22"/>
        <v>19</v>
      </c>
      <c r="L14" s="67">
        <f t="shared" si="2"/>
        <v>25</v>
      </c>
      <c r="M14" s="64">
        <f t="shared" si="23"/>
        <v>0.47706937271676242</v>
      </c>
      <c r="N14" s="33">
        <f>('Data By District'!V92)</f>
        <v>2.6203311851370571E-2</v>
      </c>
      <c r="O14" s="29">
        <f t="shared" si="3"/>
        <v>1</v>
      </c>
      <c r="P14" s="29">
        <f>SUMIF('Data By District'!$B$7:$B$441,B14,'Data By District'!$T$7:$T$441)/D14</f>
        <v>0.37835387084077626</v>
      </c>
      <c r="Q14" s="29">
        <f t="shared" si="4"/>
        <v>0.34515756624636973</v>
      </c>
      <c r="R14" s="70">
        <f t="shared" si="5"/>
        <v>0.58745193617729874</v>
      </c>
      <c r="S14" s="69">
        <f t="shared" si="6"/>
        <v>1</v>
      </c>
      <c r="T14" s="25">
        <f>COUNTIF('Data By District'!$Z$7:$Z$441,$B14&amp;"-"&amp;T$6)</f>
        <v>0</v>
      </c>
      <c r="U14" s="25">
        <f>COUNTIF('Data By District'!$Z$7:$Z$441,$B14&amp;"-"&amp;U$6)</f>
        <v>0</v>
      </c>
      <c r="V14" s="25">
        <f>COUNTIF('Data By District'!$Z$7:$Z$441,$B14&amp;"-"&amp;V$6)</f>
        <v>0</v>
      </c>
      <c r="W14" s="25">
        <f>COUNTIF('Data By District'!$Z$7:$Z$441,$B14&amp;"-"&amp;W$6)</f>
        <v>1</v>
      </c>
      <c r="X14" s="25">
        <f>COUNTIF('Data By District'!$Z$7:$Z$441,$B14&amp;"-"&amp;X$6)-(Y14)</f>
        <v>0</v>
      </c>
      <c r="Y14" s="25">
        <f>COUNTIF('Data By District'!$X$7:$X$441,$B14&amp;"-"&amp;"Yes")</f>
        <v>0</v>
      </c>
      <c r="Z14" s="385">
        <f t="shared" si="7"/>
        <v>0</v>
      </c>
      <c r="AA14" s="387">
        <f>COUNTIF('Data By District'!$L$7:$L$441, $B14&amp;"-"&amp;1)</f>
        <v>0</v>
      </c>
      <c r="AB14" s="360">
        <f>COUNTIFS('Data By District'!$J$7:$J$441,$B14&amp;"-"&amp;"Yes",'Data By District'!$Z$7:$Z$441,$B14&amp;"-"&amp;X$6)+COUNTIFS('Data By District'!$J$7:$J$441,$B14&amp;"-"&amp;"Yes",'Data By District'!$Z$7:$Z$441,$B14&amp;"-"&amp;W$6)</f>
        <v>1</v>
      </c>
      <c r="AC14" s="357">
        <f t="shared" si="32"/>
        <v>1</v>
      </c>
      <c r="AD14" s="361">
        <f>COUNTIF('Data By District'!$J$7:$J$441,$B14&amp;"-"&amp;"Yes")</f>
        <v>1</v>
      </c>
      <c r="AE14" s="361">
        <f t="shared" si="24"/>
        <v>0</v>
      </c>
      <c r="AF14" s="361">
        <f>COUNTIF('Data By District'!$I$7:$I$441,$B14&amp;"-"&amp;"Yes")</f>
        <v>1</v>
      </c>
      <c r="AG14" s="361">
        <f>COUNTIFS('Data By District'!$J$7:$J$441,$B14&amp;"-"&amp;"Yes",'Data By District'!$Y$7:$Y$441,$B14&amp;"-"&amp;"Dem")</f>
        <v>1</v>
      </c>
      <c r="AH14" s="361">
        <f>COUNTIFS('Data By District'!$J$7:$J$441,$B14&amp;"-"&amp;"Yes",'Data By District'!$Y$7:$Y$441,$B14&amp;"-"&amp;"Rep")</f>
        <v>0</v>
      </c>
      <c r="AI14" s="361">
        <f>COUNTIFS('Data By District'!$J$7:$J$441,$B14&amp;"-"&amp;"Yes",'Data By District'!$Y$7:$Y$441,$B14&amp;"-"&amp;"Dem",'Data By District'!$J$7:$J$441,$B14&amp;"-"&amp;"Yes",'Data By District'!$Z$7:$Z$441,$B14&amp;"-"&amp;W$6)+COUNTIFS('Data By District'!$J$7:$J$441,$B14&amp;"-"&amp;"Yes",'Data By District'!$Y$7:$Y$441,$B14&amp;"-"&amp;"Dem",'Data By District'!$J$7:$J$441,$B14&amp;"-"&amp;"Yes",'Data By District'!$Z$7:$Z$441,$B14&amp;"-"&amp;X$6)</f>
        <v>1</v>
      </c>
      <c r="AJ14" s="361">
        <f>COUNTIFS('Data By District'!$J$7:$J$441,$B14&amp;"-"&amp;"Yes",'Data By District'!$Y$7:$Y$441,$B14&amp;"-"&amp;"Rep",'Data By District'!$J$7:$J$441,$B14&amp;"-"&amp;"Yes",'Data By District'!$Z$7:$Z$441,$B14&amp;"-"&amp;W$6)+COUNTIFS('Data By District'!$J$7:$J$441,$B14&amp;"-"&amp;"Yes",'Data By District'!$Y$7:$Y$441,$B14&amp;"-"&amp;"Rep",'Data By District'!$J$7:$J$441,$B14&amp;"-"&amp;"Yes",'Data By District'!$Z$7:$Z$441,$B14&amp;"-"&amp;X$6)</f>
        <v>0</v>
      </c>
      <c r="AK14" s="360">
        <f>COUNTIF('Data By District'!$D$7:$D$441,$B14&amp;"-"&amp;"Yes")</f>
        <v>0</v>
      </c>
      <c r="AL14" s="361">
        <f>COUNTIF('Data By District'!$E$7:$E$441,$B14&amp;"-"&amp;"Yes")</f>
        <v>0</v>
      </c>
      <c r="AM14" s="361">
        <f>COUNTIF('Data By District'!$F$7:$F$441,$B14&amp;"-"&amp;"Yes")</f>
        <v>0</v>
      </c>
      <c r="AN14" s="361">
        <f>COUNTIF('Data By District'!$G$7:$G$441,$B14&amp;"-"&amp;"Yes")</f>
        <v>0</v>
      </c>
      <c r="AO14" s="361">
        <f>COUNTIF('Data By District'!$H$7:$H$441,$B14&amp;"-"&amp;"Yes")</f>
        <v>0</v>
      </c>
      <c r="AP14" s="70">
        <f t="shared" si="8"/>
        <v>6.2410302254222137E-2</v>
      </c>
      <c r="AQ14" s="55">
        <f t="shared" si="25"/>
        <v>0.64268577716275099</v>
      </c>
      <c r="AR14" s="50">
        <f t="shared" si="26"/>
        <v>388059</v>
      </c>
      <c r="AS14" s="41">
        <f>SUMIF('Data By District'!$B$7:$B$441,$B14,'Data By District'!$O$7:$O$441)</f>
        <v>249933</v>
      </c>
      <c r="AT14" s="41">
        <f>SUMIF('Data By District'!$B$7:$B$441,$B14,'Data By District'!$P$7:$P$441)</f>
        <v>129757</v>
      </c>
      <c r="AU14" s="41">
        <f>SUMIF('Data By District'!$B$7:$B$441,$B14,'Data By District'!$Q$7:$Q$441)</f>
        <v>8369</v>
      </c>
      <c r="AV14" s="289">
        <f t="shared" si="9"/>
        <v>0.64405927964562093</v>
      </c>
      <c r="AW14" s="24">
        <f t="shared" si="10"/>
        <v>0.33437441213836039</v>
      </c>
      <c r="AX14" s="56">
        <f t="shared" si="11"/>
        <v>2.1566308216018699E-2</v>
      </c>
      <c r="AY14" s="25">
        <f>COUNTIF('Data By District'!$Y$7:$Y$441,$B14&amp;"-"&amp;AY$6)</f>
        <v>1</v>
      </c>
      <c r="AZ14" s="25">
        <f>COUNTIF('Data By District'!$Y$7:$Y$441,$B14&amp;"-"&amp;AZ$6)</f>
        <v>0</v>
      </c>
      <c r="BA14" s="25">
        <f>COUNTIF('Data By District'!$Y$7:$Y$441,$B14&amp;"-"&amp;BA$6)</f>
        <v>0</v>
      </c>
      <c r="BB14" s="285">
        <f t="shared" si="27"/>
        <v>1</v>
      </c>
      <c r="BC14" s="24">
        <f t="shared" si="28"/>
        <v>0</v>
      </c>
      <c r="BD14" s="56">
        <f t="shared" si="29"/>
        <v>0</v>
      </c>
      <c r="BE14" s="285">
        <f t="shared" si="12"/>
        <v>0.35594072035437907</v>
      </c>
      <c r="BF14" s="24">
        <f t="shared" si="13"/>
        <v>0.33437441213836039</v>
      </c>
      <c r="BG14" s="56">
        <f t="shared" si="14"/>
        <v>2.1566308216018699E-2</v>
      </c>
      <c r="BH14" s="50">
        <f t="shared" si="30"/>
        <v>249400</v>
      </c>
      <c r="BI14" s="41">
        <f>'Data By District'!AE92</f>
        <v>138659</v>
      </c>
      <c r="BJ14" s="41">
        <f>SUMIF('Data By District'!$B$7:$B$441,'Data By State'!$B14,'Data By District'!$AA$7:$AA$441)</f>
        <v>0</v>
      </c>
      <c r="BK14" s="41">
        <f>SUMIF('Data By District'!$B$7:$B$441,'Data By State'!$B14,'Data By District'!$AB$7:$AB$441)</f>
        <v>129757</v>
      </c>
      <c r="BL14" s="50">
        <f>SUMIF('Data By District'!$B$7:$B$441,'Data By State'!$B14,'Data By District'!$AC$7:$AC$441)</f>
        <v>8369</v>
      </c>
      <c r="BM14" s="64">
        <f t="shared" si="31"/>
        <v>0.35731422283724895</v>
      </c>
      <c r="BN14" s="24">
        <f t="shared" si="15"/>
        <v>0</v>
      </c>
      <c r="BO14" s="24">
        <f t="shared" si="16"/>
        <v>1</v>
      </c>
      <c r="BP14" s="56">
        <f t="shared" si="17"/>
        <v>1</v>
      </c>
    </row>
    <row r="15" spans="1:71" ht="16" thickBot="1">
      <c r="A15" s="17" t="s">
        <v>73</v>
      </c>
      <c r="B15" s="26" t="s">
        <v>8</v>
      </c>
      <c r="C15" s="380">
        <v>8474179</v>
      </c>
      <c r="D15" s="380">
        <v>13348802</v>
      </c>
      <c r="E15" s="25">
        <f t="shared" si="0"/>
        <v>28</v>
      </c>
      <c r="F15" s="25">
        <f t="shared" si="1"/>
        <v>17</v>
      </c>
      <c r="G15" s="73">
        <f t="shared" si="18"/>
        <v>32</v>
      </c>
      <c r="H15" s="25">
        <f t="shared" si="19"/>
        <v>24</v>
      </c>
      <c r="I15" s="25">
        <f t="shared" si="20"/>
        <v>33</v>
      </c>
      <c r="J15" s="25">
        <f t="shared" si="21"/>
        <v>13</v>
      </c>
      <c r="K15" s="68">
        <f t="shared" si="22"/>
        <v>28</v>
      </c>
      <c r="L15" s="67">
        <f t="shared" si="2"/>
        <v>27</v>
      </c>
      <c r="M15" s="64">
        <f t="shared" si="23"/>
        <v>0.51880601560164075</v>
      </c>
      <c r="N15" s="33">
        <f>AVERAGE('Data By District'!V93:'Data By District'!V117)</f>
        <v>0.37915662546322132</v>
      </c>
      <c r="O15" s="29">
        <f t="shared" si="3"/>
        <v>0.62962962962962965</v>
      </c>
      <c r="P15" s="29">
        <f>SUMIF('Data By District'!$B$7:$B$441,B15,'Data By District'!$T$7:$T$441)/D15</f>
        <v>0.35177838430744574</v>
      </c>
      <c r="Q15" s="29">
        <f t="shared" si="4"/>
        <v>0.10074043551383649</v>
      </c>
      <c r="R15" s="70">
        <f t="shared" si="5"/>
        <v>0.56286219542397886</v>
      </c>
      <c r="S15" s="69">
        <f t="shared" si="6"/>
        <v>27</v>
      </c>
      <c r="T15" s="25">
        <f>COUNTIF('Data By District'!$Z$7:$Z$441,$B15&amp;"-"&amp;T$6)</f>
        <v>2</v>
      </c>
      <c r="U15" s="25">
        <f>COUNTIF('Data By District'!$Z$7:$Z$441,$B15&amp;"-"&amp;U$6)</f>
        <v>3</v>
      </c>
      <c r="V15" s="25">
        <f>COUNTIF('Data By District'!$Z$7:$Z$441,$B15&amp;"-"&amp;V$6)</f>
        <v>5</v>
      </c>
      <c r="W15" s="25">
        <f>COUNTIF('Data By District'!$Z$7:$Z$441,$B15&amp;"-"&amp;W$6)</f>
        <v>8</v>
      </c>
      <c r="X15" s="25">
        <f>COUNTIF('Data By District'!$Z$7:$Z$441,$B15&amp;"-"&amp;X$6)-(Y15)</f>
        <v>3</v>
      </c>
      <c r="Y15" s="25">
        <f>COUNTIF('Data By District'!$X$7:$X$441,$B15&amp;"-"&amp;"Yes")</f>
        <v>6</v>
      </c>
      <c r="Z15" s="385">
        <f t="shared" si="7"/>
        <v>0.22222222222222221</v>
      </c>
      <c r="AA15" s="387">
        <f>COUNTIF('Data By District'!$L$7:$L$441, $B15&amp;"-"&amp;1)</f>
        <v>0</v>
      </c>
      <c r="AB15" s="360">
        <f>COUNTIFS('Data By District'!$J$7:$J$441,$B15&amp;"-"&amp;"Yes",'Data By District'!$Z$7:$Z$441,$B15&amp;"-"&amp;X$6)+COUNTIFS('Data By District'!$J$7:$J$441,$B15&amp;"-"&amp;"Yes",'Data By District'!$Z$7:$Z$441,$B15&amp;"-"&amp;W$6)</f>
        <v>17</v>
      </c>
      <c r="AC15" s="357">
        <f t="shared" si="32"/>
        <v>0.68</v>
      </c>
      <c r="AD15" s="361">
        <f>COUNTIF('Data By District'!$J$7:$J$441,$B15&amp;"-"&amp;"Yes")</f>
        <v>25</v>
      </c>
      <c r="AE15" s="361">
        <f t="shared" si="24"/>
        <v>2</v>
      </c>
      <c r="AF15" s="361">
        <f>COUNTIF('Data By District'!$I$7:$I$441,$B15&amp;"-"&amp;"Yes")</f>
        <v>27</v>
      </c>
      <c r="AG15" s="361">
        <f>COUNTIFS('Data By District'!$J$7:$J$441,$B15&amp;"-"&amp;"Yes",'Data By District'!$Y$7:$Y$441,$B15&amp;"-"&amp;"Dem")</f>
        <v>8</v>
      </c>
      <c r="AH15" s="361">
        <f>COUNTIFS('Data By District'!$J$7:$J$441,$B15&amp;"-"&amp;"Yes",'Data By District'!$Y$7:$Y$441,$B15&amp;"-"&amp;"Rep")</f>
        <v>17</v>
      </c>
      <c r="AI15" s="361">
        <f>COUNTIFS('Data By District'!$J$7:$J$441,$B15&amp;"-"&amp;"Yes",'Data By District'!$Y$7:$Y$441,$B15&amp;"-"&amp;"Dem",'Data By District'!$J$7:$J$441,$B15&amp;"-"&amp;"Yes",'Data By District'!$Z$7:$Z$441,$B15&amp;"-"&amp;W$6)+COUNTIFS('Data By District'!$J$7:$J$441,$B15&amp;"-"&amp;"Yes",'Data By District'!$Y$7:$Y$441,$B15&amp;"-"&amp;"Dem",'Data By District'!$J$7:$J$441,$B15&amp;"-"&amp;"Yes",'Data By District'!$Z$7:$Z$441,$B15&amp;"-"&amp;X$6)</f>
        <v>7</v>
      </c>
      <c r="AJ15" s="361">
        <f>COUNTIFS('Data By District'!$J$7:$J$441,$B15&amp;"-"&amp;"Yes",'Data By District'!$Y$7:$Y$441,$B15&amp;"-"&amp;"Rep",'Data By District'!$J$7:$J$441,$B15&amp;"-"&amp;"Yes",'Data By District'!$Z$7:$Z$441,$B15&amp;"-"&amp;W$6)+COUNTIFS('Data By District'!$J$7:$J$441,$B15&amp;"-"&amp;"Yes",'Data By District'!$Y$7:$Y$441,$B15&amp;"-"&amp;"Rep",'Data By District'!$J$7:$J$441,$B15&amp;"-"&amp;"Yes",'Data By District'!$Z$7:$Z$441,$B15&amp;"-"&amp;X$6)</f>
        <v>10</v>
      </c>
      <c r="AK15" s="360">
        <f>COUNTIF('Data By District'!$D$7:$D$441,$B15&amp;"-"&amp;"Yes")</f>
        <v>6</v>
      </c>
      <c r="AL15" s="361">
        <f>COUNTIF('Data By District'!$E$7:$E$441,$B15&amp;"-"&amp;"Yes")</f>
        <v>3</v>
      </c>
      <c r="AM15" s="361">
        <f>COUNTIF('Data By District'!$F$7:$F$441,$B15&amp;"-"&amp;"Yes")</f>
        <v>3</v>
      </c>
      <c r="AN15" s="361">
        <f>COUNTIF('Data By District'!$G$7:$G$441,$B15&amp;"-"&amp;"Yes")</f>
        <v>0</v>
      </c>
      <c r="AO15" s="361">
        <f>COUNTIF('Data By District'!$H$7:$H$441,$B15&amp;"-"&amp;"Yes")</f>
        <v>0</v>
      </c>
      <c r="AP15" s="70">
        <f t="shared" si="8"/>
        <v>0.11336118814577789</v>
      </c>
      <c r="AQ15" s="55">
        <f t="shared" si="25"/>
        <v>0.64089704235129774</v>
      </c>
      <c r="AR15" s="50">
        <f t="shared" si="26"/>
        <v>7513536</v>
      </c>
      <c r="AS15" s="41">
        <f>SUMIF('Data By District'!$B$7:$B$441,$B15,'Data By District'!$O$7:$O$441)</f>
        <v>3392403</v>
      </c>
      <c r="AT15" s="41">
        <f>SUMIF('Data By District'!$B$7:$B$441,$B15,'Data By District'!$P$7:$P$441)</f>
        <v>3826523</v>
      </c>
      <c r="AU15" s="41">
        <f>SUMIF('Data By District'!$B$7:$B$441,$B15,'Data By District'!$Q$7:$Q$441)</f>
        <v>294610</v>
      </c>
      <c r="AV15" s="289">
        <f t="shared" si="9"/>
        <v>0.45150552283239209</v>
      </c>
      <c r="AW15" s="24">
        <f t="shared" si="10"/>
        <v>0.50928391106397841</v>
      </c>
      <c r="AX15" s="56">
        <f t="shared" si="11"/>
        <v>3.9210566103629503E-2</v>
      </c>
      <c r="AY15" s="25">
        <f>COUNTIF('Data By District'!$Y$7:$Y$441,$B15&amp;"-"&amp;AY$6)</f>
        <v>10</v>
      </c>
      <c r="AZ15" s="25">
        <f>COUNTIF('Data By District'!$Y$7:$Y$441,$B15&amp;"-"&amp;AZ$6)</f>
        <v>17</v>
      </c>
      <c r="BA15" s="25">
        <f>COUNTIF('Data By District'!$Y$7:$Y$441,$B15&amp;"-"&amp;BA$6)</f>
        <v>0</v>
      </c>
      <c r="BB15" s="285">
        <f t="shared" si="27"/>
        <v>0.37037037037037035</v>
      </c>
      <c r="BC15" s="24">
        <f t="shared" si="28"/>
        <v>0.62962962962962965</v>
      </c>
      <c r="BD15" s="56">
        <f t="shared" si="29"/>
        <v>0</v>
      </c>
      <c r="BE15" s="285">
        <f t="shared" si="12"/>
        <v>8.1135152462021742E-2</v>
      </c>
      <c r="BF15" s="24">
        <f t="shared" si="13"/>
        <v>0.12034571856565124</v>
      </c>
      <c r="BG15" s="56">
        <f t="shared" si="14"/>
        <v>3.9210566103629503E-2</v>
      </c>
      <c r="BH15" s="50">
        <f t="shared" si="30"/>
        <v>4815403</v>
      </c>
      <c r="BI15" s="41">
        <f>'Data By District'!AE117</f>
        <v>2698133</v>
      </c>
      <c r="BJ15" s="41">
        <f>SUMIF('Data By District'!$B$7:$B$441,'Data By State'!$B15,'Data By District'!$AA$7:$AA$441)</f>
        <v>1756751</v>
      </c>
      <c r="BK15" s="41">
        <f>SUMIF('Data By District'!$B$7:$B$441,'Data By State'!$B15,'Data By District'!$AB$7:$AB$441)</f>
        <v>766355</v>
      </c>
      <c r="BL15" s="50">
        <f>SUMIF('Data By District'!$B$7:$B$441,'Data By State'!$B15,'Data By District'!$AC$7:$AC$441)</f>
        <v>294610</v>
      </c>
      <c r="BM15" s="64">
        <f t="shared" si="31"/>
        <v>0.35910295764870231</v>
      </c>
      <c r="BN15" s="24">
        <f t="shared" si="15"/>
        <v>0.51784855749744352</v>
      </c>
      <c r="BO15" s="24">
        <f t="shared" si="16"/>
        <v>0.20027450507941544</v>
      </c>
      <c r="BP15" s="56">
        <f t="shared" si="17"/>
        <v>1</v>
      </c>
    </row>
    <row r="16" spans="1:71" ht="16" thickBot="1">
      <c r="A16" s="17" t="s">
        <v>74</v>
      </c>
      <c r="B16" s="26" t="s">
        <v>9</v>
      </c>
      <c r="C16" s="380">
        <v>3900050</v>
      </c>
      <c r="D16" s="380">
        <v>6682600</v>
      </c>
      <c r="E16" s="25">
        <f t="shared" si="0"/>
        <v>12</v>
      </c>
      <c r="F16" s="25">
        <f t="shared" si="1"/>
        <v>37</v>
      </c>
      <c r="G16" s="73">
        <f t="shared" si="18"/>
        <v>45</v>
      </c>
      <c r="H16" s="25">
        <f t="shared" si="19"/>
        <v>40</v>
      </c>
      <c r="I16" s="25">
        <f t="shared" si="20"/>
        <v>10</v>
      </c>
      <c r="J16" s="25">
        <f t="shared" si="21"/>
        <v>3</v>
      </c>
      <c r="K16" s="68">
        <f t="shared" si="22"/>
        <v>38</v>
      </c>
      <c r="L16" s="67">
        <f t="shared" si="2"/>
        <v>21.6</v>
      </c>
      <c r="M16" s="64">
        <f t="shared" si="23"/>
        <v>0.452986614192882</v>
      </c>
      <c r="N16" s="33">
        <f>AVERAGE('Data By District'!V118:'Data By District'!V130)</f>
        <v>0.54620214367986075</v>
      </c>
      <c r="O16" s="29">
        <f t="shared" si="3"/>
        <v>0.9285714285714286</v>
      </c>
      <c r="P16" s="29">
        <f>SUMIF('Data By District'!$B$7:$B$441,B16,'Data By District'!$T$7:$T$441)/D16</f>
        <v>0.39518555651991738</v>
      </c>
      <c r="Q16" s="29">
        <f t="shared" si="4"/>
        <v>5.0664469824135361E-2</v>
      </c>
      <c r="R16" s="70">
        <f t="shared" si="5"/>
        <v>0.53176682728279412</v>
      </c>
      <c r="S16" s="69">
        <f t="shared" si="6"/>
        <v>14</v>
      </c>
      <c r="T16" s="25">
        <f>COUNTIF('Data By District'!$Z$7:$Z$441,$B16&amp;"-"&amp;T$6)</f>
        <v>0</v>
      </c>
      <c r="U16" s="25">
        <f>COUNTIF('Data By District'!$Z$7:$Z$441,$B16&amp;"-"&amp;U$6)</f>
        <v>1</v>
      </c>
      <c r="V16" s="25">
        <f>COUNTIF('Data By District'!$Z$7:$Z$441,$B16&amp;"-"&amp;V$6)</f>
        <v>0</v>
      </c>
      <c r="W16" s="25">
        <f>COUNTIF('Data By District'!$Z$7:$Z$441,$B16&amp;"-"&amp;W$6)</f>
        <v>5</v>
      </c>
      <c r="X16" s="25">
        <f>COUNTIF('Data By District'!$Z$7:$Z$441,$B16&amp;"-"&amp;X$6)-(Y16)</f>
        <v>5</v>
      </c>
      <c r="Y16" s="25">
        <f>COUNTIF('Data By District'!$X$7:$X$441,$B16&amp;"-"&amp;"Yes")</f>
        <v>3</v>
      </c>
      <c r="Z16" s="385">
        <f t="shared" si="7"/>
        <v>0.21428571428571427</v>
      </c>
      <c r="AA16" s="387">
        <f>COUNTIF('Data By District'!$L$7:$L$441, $B16&amp;"-"&amp;1)</f>
        <v>0</v>
      </c>
      <c r="AB16" s="360">
        <f>COUNTIFS('Data By District'!$J$7:$J$441,$B16&amp;"-"&amp;"Yes",'Data By District'!$Z$7:$Z$441,$B16&amp;"-"&amp;X$6)+COUNTIFS('Data By District'!$J$7:$J$441,$B16&amp;"-"&amp;"Yes",'Data By District'!$Z$7:$Z$441,$B16&amp;"-"&amp;W$6)</f>
        <v>13</v>
      </c>
      <c r="AC16" s="357">
        <f t="shared" si="32"/>
        <v>0.9285714285714286</v>
      </c>
      <c r="AD16" s="361">
        <f>COUNTIF('Data By District'!$J$7:$J$441,$B16&amp;"-"&amp;"Yes")</f>
        <v>14</v>
      </c>
      <c r="AE16" s="361">
        <f t="shared" si="24"/>
        <v>0</v>
      </c>
      <c r="AF16" s="361">
        <f>COUNTIF('Data By District'!$I$7:$I$441,$B16&amp;"-"&amp;"Yes")</f>
        <v>14</v>
      </c>
      <c r="AG16" s="361">
        <f>COUNTIFS('Data By District'!$J$7:$J$441,$B16&amp;"-"&amp;"Yes",'Data By District'!$Y$7:$Y$441,$B16&amp;"-"&amp;"Dem")</f>
        <v>5</v>
      </c>
      <c r="AH16" s="361">
        <f>COUNTIFS('Data By District'!$J$7:$J$441,$B16&amp;"-"&amp;"Yes",'Data By District'!$Y$7:$Y$441,$B16&amp;"-"&amp;"Rep")</f>
        <v>9</v>
      </c>
      <c r="AI16" s="361">
        <f>COUNTIFS('Data By District'!$J$7:$J$441,$B16&amp;"-"&amp;"Yes",'Data By District'!$Y$7:$Y$441,$B16&amp;"-"&amp;"Dem",'Data By District'!$J$7:$J$441,$B16&amp;"-"&amp;"Yes",'Data By District'!$Z$7:$Z$441,$B16&amp;"-"&amp;W$6)+COUNTIFS('Data By District'!$J$7:$J$441,$B16&amp;"-"&amp;"Yes",'Data By District'!$Y$7:$Y$441,$B16&amp;"-"&amp;"Dem",'Data By District'!$J$7:$J$441,$B16&amp;"-"&amp;"Yes",'Data By District'!$Z$7:$Z$441,$B16&amp;"-"&amp;X$6)</f>
        <v>4</v>
      </c>
      <c r="AJ16" s="361">
        <f>COUNTIFS('Data By District'!$J$7:$J$441,$B16&amp;"-"&amp;"Yes",'Data By District'!$Y$7:$Y$441,$B16&amp;"-"&amp;"Rep",'Data By District'!$J$7:$J$441,$B16&amp;"-"&amp;"Yes",'Data By District'!$Z$7:$Z$441,$B16&amp;"-"&amp;W$6)+COUNTIFS('Data By District'!$J$7:$J$441,$B16&amp;"-"&amp;"Yes",'Data By District'!$Y$7:$Y$441,$B16&amp;"-"&amp;"Rep",'Data By District'!$J$7:$J$441,$B16&amp;"-"&amp;"Yes",'Data By District'!$Z$7:$Z$441,$B16&amp;"-"&amp;X$6)</f>
        <v>9</v>
      </c>
      <c r="AK16" s="360">
        <f>COUNTIF('Data By District'!$D$7:$D$441,$B16&amp;"-"&amp;"Yes")</f>
        <v>0</v>
      </c>
      <c r="AL16" s="361">
        <f>COUNTIF('Data By District'!$E$7:$E$441,$B16&amp;"-"&amp;"Yes")</f>
        <v>4</v>
      </c>
      <c r="AM16" s="361">
        <f>COUNTIF('Data By District'!$F$7:$F$441,$B16&amp;"-"&amp;"Yes")</f>
        <v>0</v>
      </c>
      <c r="AN16" s="361">
        <f>COUNTIF('Data By District'!$G$7:$G$441,$B16&amp;"-"&amp;"Yes")</f>
        <v>0</v>
      </c>
      <c r="AO16" s="361">
        <f>COUNTIF('Data By District'!$H$7:$H$441,$B16&amp;"-"&amp;"Yes")</f>
        <v>0</v>
      </c>
      <c r="AP16" s="70">
        <f t="shared" si="8"/>
        <v>8.8836040563582519E-2</v>
      </c>
      <c r="AQ16" s="55">
        <f t="shared" si="25"/>
        <v>0.76888803841754172</v>
      </c>
      <c r="AR16" s="50">
        <f t="shared" si="26"/>
        <v>3553585</v>
      </c>
      <c r="AS16" s="41">
        <f>SUMIF('Data By District'!$B$7:$B$441,$B16,'Data By District'!$O$7:$O$441)</f>
        <v>1448869</v>
      </c>
      <c r="AT16" s="41">
        <f>SUMIF('Data By District'!$B$7:$B$441,$B16,'Data By District'!$P$7:$P$441)</f>
        <v>2104098</v>
      </c>
      <c r="AU16" s="41">
        <f>SUMIF('Data By District'!$B$7:$B$441,$B16,'Data By District'!$Q$7:$Q$441)</f>
        <v>618</v>
      </c>
      <c r="AV16" s="289">
        <f t="shared" si="9"/>
        <v>0.40772037252521048</v>
      </c>
      <c r="AW16" s="24">
        <f t="shared" si="10"/>
        <v>0.59210571859122552</v>
      </c>
      <c r="AX16" s="56">
        <f t="shared" si="11"/>
        <v>1.7390888356406278E-4</v>
      </c>
      <c r="AY16" s="25">
        <f>COUNTIF('Data By District'!$Y$7:$Y$441,$B16&amp;"-"&amp;AY$6)</f>
        <v>5</v>
      </c>
      <c r="AZ16" s="25">
        <f>COUNTIF('Data By District'!$Y$7:$Y$441,$B16&amp;"-"&amp;AZ$6)</f>
        <v>9</v>
      </c>
      <c r="BA16" s="25">
        <f>COUNTIF('Data By District'!$Y$7:$Y$441,$B16&amp;"-"&amp;BA$6)</f>
        <v>0</v>
      </c>
      <c r="BB16" s="285">
        <f t="shared" si="27"/>
        <v>0.35714285714285715</v>
      </c>
      <c r="BC16" s="24">
        <f t="shared" si="28"/>
        <v>0.6428571428571429</v>
      </c>
      <c r="BD16" s="56">
        <f t="shared" si="29"/>
        <v>0</v>
      </c>
      <c r="BE16" s="285">
        <f t="shared" si="12"/>
        <v>5.0577515382353333E-2</v>
      </c>
      <c r="BF16" s="24">
        <f t="shared" si="13"/>
        <v>5.0751424265917389E-2</v>
      </c>
      <c r="BG16" s="56">
        <f t="shared" si="14"/>
        <v>1.7390888356406278E-4</v>
      </c>
      <c r="BH16" s="50">
        <f t="shared" si="30"/>
        <v>2732309</v>
      </c>
      <c r="BI16" s="41">
        <f>'Data By District'!AE130</f>
        <v>821276</v>
      </c>
      <c r="BJ16" s="41">
        <f>SUMIF('Data By District'!$B$7:$B$441,'Data By State'!$B16,'Data By District'!$AA$7:$AA$441)</f>
        <v>501791</v>
      </c>
      <c r="BK16" s="41">
        <f>SUMIF('Data By District'!$B$7:$B$441,'Data By State'!$B16,'Data By District'!$AB$7:$AB$441)</f>
        <v>410309</v>
      </c>
      <c r="BL16" s="50">
        <f>SUMIF('Data By District'!$B$7:$B$441,'Data By State'!$B16,'Data By District'!$AC$7:$AC$441)</f>
        <v>618</v>
      </c>
      <c r="BM16" s="64">
        <f t="shared" si="31"/>
        <v>0.23111196158245828</v>
      </c>
      <c r="BN16" s="24">
        <f t="shared" ref="BN16:BN57" si="33">BJ16/AS16</f>
        <v>0.34633289828134911</v>
      </c>
      <c r="BO16" s="24">
        <f t="shared" ref="BO16:BO57" si="34">BK16/AT16</f>
        <v>0.19500470035140949</v>
      </c>
      <c r="BP16" s="56">
        <v>0</v>
      </c>
    </row>
    <row r="17" spans="1:68" ht="16" thickBot="1">
      <c r="A17" s="17" t="s">
        <v>75</v>
      </c>
      <c r="B17" s="26" t="s">
        <v>10</v>
      </c>
      <c r="C17" s="380">
        <v>434697</v>
      </c>
      <c r="D17" s="380">
        <v>982943</v>
      </c>
      <c r="E17" s="25">
        <f t="shared" si="0"/>
        <v>38</v>
      </c>
      <c r="F17" s="25">
        <f t="shared" si="1"/>
        <v>20</v>
      </c>
      <c r="G17" s="73">
        <f t="shared" si="18"/>
        <v>10</v>
      </c>
      <c r="H17" s="25">
        <f t="shared" si="19"/>
        <v>10</v>
      </c>
      <c r="I17" s="25">
        <f t="shared" si="20"/>
        <v>49</v>
      </c>
      <c r="J17" s="25">
        <f t="shared" si="21"/>
        <v>38</v>
      </c>
      <c r="K17" s="68">
        <f t="shared" si="22"/>
        <v>50</v>
      </c>
      <c r="L17" s="67">
        <f t="shared" si="2"/>
        <v>31.2</v>
      </c>
      <c r="M17" s="64">
        <f t="shared" si="23"/>
        <v>0.50637747453076654</v>
      </c>
      <c r="N17" s="33">
        <f>AVERAGE('Data By District'!V131:'Data By District'!V132)</f>
        <v>0.22253299446639024</v>
      </c>
      <c r="O17" s="29">
        <f t="shared" si="3"/>
        <v>0.5</v>
      </c>
      <c r="P17" s="29">
        <f>SUMIF('Data By District'!$B$7:$B$441,B17,'Data By District'!$T$7:$T$441)/D17</f>
        <v>0.28995374095954701</v>
      </c>
      <c r="Q17" s="29">
        <f t="shared" si="4"/>
        <v>0.3254871147988706</v>
      </c>
      <c r="R17" s="70">
        <f t="shared" si="5"/>
        <v>0.42987131502030129</v>
      </c>
      <c r="S17" s="69">
        <f t="shared" si="6"/>
        <v>2</v>
      </c>
      <c r="T17" s="25">
        <f>COUNTIF('Data By District'!$Z$7:$Z$441,$B17&amp;"-"&amp;T$6)</f>
        <v>0</v>
      </c>
      <c r="U17" s="25">
        <f>COUNTIF('Data By District'!$Z$7:$Z$441,$B17&amp;"-"&amp;U$6)</f>
        <v>1</v>
      </c>
      <c r="V17" s="25">
        <f>COUNTIF('Data By District'!$Z$7:$Z$441,$B17&amp;"-"&amp;V$6)</f>
        <v>0</v>
      </c>
      <c r="W17" s="25">
        <f>COUNTIF('Data By District'!$Z$7:$Z$441,$B17&amp;"-"&amp;W$6)</f>
        <v>0</v>
      </c>
      <c r="X17" s="25">
        <f>COUNTIF('Data By District'!$Z$7:$Z$441,$B17&amp;"-"&amp;X$6)-(Y17)</f>
        <v>1</v>
      </c>
      <c r="Y17" s="25">
        <f>COUNTIF('Data By District'!$X$7:$X$441,$B17&amp;"-"&amp;"Yes")</f>
        <v>0</v>
      </c>
      <c r="Z17" s="385">
        <f t="shared" si="7"/>
        <v>0</v>
      </c>
      <c r="AA17" s="387">
        <f>COUNTIF('Data By District'!$L$7:$L$441, $B17&amp;"-"&amp;1)</f>
        <v>0</v>
      </c>
      <c r="AB17" s="360">
        <f>COUNTIFS('Data By District'!$J$7:$J$441,$B17&amp;"-"&amp;"Yes",'Data By District'!$Z$7:$Z$441,$B17&amp;"-"&amp;X$6)+COUNTIFS('Data By District'!$J$7:$J$441,$B17&amp;"-"&amp;"Yes",'Data By District'!$Z$7:$Z$441,$B17&amp;"-"&amp;W$6)</f>
        <v>1</v>
      </c>
      <c r="AC17" s="357">
        <f t="shared" si="32"/>
        <v>0.5</v>
      </c>
      <c r="AD17" s="361">
        <f>COUNTIF('Data By District'!$J$7:$J$441,$B17&amp;"-"&amp;"Yes")</f>
        <v>2</v>
      </c>
      <c r="AE17" s="361">
        <f t="shared" si="24"/>
        <v>0</v>
      </c>
      <c r="AF17" s="361">
        <f>COUNTIF('Data By District'!$I$7:$I$441,$B17&amp;"-"&amp;"Yes")</f>
        <v>2</v>
      </c>
      <c r="AG17" s="361">
        <f>COUNTIFS('Data By District'!$J$7:$J$441,$B17&amp;"-"&amp;"Yes",'Data By District'!$Y$7:$Y$441,$B17&amp;"-"&amp;"Dem")</f>
        <v>2</v>
      </c>
      <c r="AH17" s="361">
        <f>COUNTIFS('Data By District'!$J$7:$J$441,$B17&amp;"-"&amp;"Yes",'Data By District'!$Y$7:$Y$441,$B17&amp;"-"&amp;"Rep")</f>
        <v>0</v>
      </c>
      <c r="AI17" s="361">
        <f>COUNTIFS('Data By District'!$J$7:$J$441,$B17&amp;"-"&amp;"Yes",'Data By District'!$Y$7:$Y$441,$B17&amp;"-"&amp;"Dem",'Data By District'!$J$7:$J$441,$B17&amp;"-"&amp;"Yes",'Data By District'!$Z$7:$Z$441,$B17&amp;"-"&amp;W$6)+COUNTIFS('Data By District'!$J$7:$J$441,$B17&amp;"-"&amp;"Yes",'Data By District'!$Y$7:$Y$441,$B17&amp;"-"&amp;"Dem",'Data By District'!$J$7:$J$441,$B17&amp;"-"&amp;"Yes",'Data By District'!$Z$7:$Z$441,$B17&amp;"-"&amp;X$6)</f>
        <v>1</v>
      </c>
      <c r="AJ17" s="361">
        <f>COUNTIFS('Data By District'!$J$7:$J$441,$B17&amp;"-"&amp;"Yes",'Data By District'!$Y$7:$Y$441,$B17&amp;"-"&amp;"Rep",'Data By District'!$J$7:$J$441,$B17&amp;"-"&amp;"Yes",'Data By District'!$Z$7:$Z$441,$B17&amp;"-"&amp;W$6)+COUNTIFS('Data By District'!$J$7:$J$441,$B17&amp;"-"&amp;"Yes",'Data By District'!$Y$7:$Y$441,$B17&amp;"-"&amp;"Rep",'Data By District'!$J$7:$J$441,$B17&amp;"-"&amp;"Yes",'Data By District'!$Z$7:$Z$441,$B17&amp;"-"&amp;X$6)</f>
        <v>0</v>
      </c>
      <c r="AK17" s="360">
        <f>COUNTIF('Data By District'!$D$7:$D$441,$B17&amp;"-"&amp;"Yes")</f>
        <v>2</v>
      </c>
      <c r="AL17" s="361">
        <f>COUNTIF('Data By District'!$E$7:$E$441,$B17&amp;"-"&amp;"Yes")</f>
        <v>0</v>
      </c>
      <c r="AM17" s="361">
        <f>COUNTIF('Data By District'!$F$7:$F$441,$B17&amp;"-"&amp;"Yes")</f>
        <v>0</v>
      </c>
      <c r="AN17" s="361">
        <f>COUNTIF('Data By District'!$G$7:$G$441,$B17&amp;"-"&amp;"Yes")</f>
        <v>2</v>
      </c>
      <c r="AO17" s="361">
        <f>COUNTIF('Data By District'!$H$7:$H$441,$B17&amp;"-"&amp;"Yes")</f>
        <v>0</v>
      </c>
      <c r="AP17" s="70">
        <f t="shared" si="8"/>
        <v>2.7968907077803619E-2</v>
      </c>
      <c r="AQ17" s="55">
        <f t="shared" si="25"/>
        <v>0.50216193061468883</v>
      </c>
      <c r="AR17" s="50">
        <f t="shared" si="26"/>
        <v>422539</v>
      </c>
      <c r="AS17" s="41">
        <f>SUMIF('Data By District'!$B$7:$B$441,$B17,'Data By District'!$O$7:$O$441)</f>
        <v>285008</v>
      </c>
      <c r="AT17" s="41">
        <f>SUMIF('Data By District'!$B$7:$B$441,$B17,'Data By District'!$P$7:$P$441)</f>
        <v>137531</v>
      </c>
      <c r="AU17" s="41">
        <f>SUMIF('Data By District'!$B$7:$B$441,$B17,'Data By District'!$Q$7:$Q$441)</f>
        <v>0</v>
      </c>
      <c r="AV17" s="289">
        <f t="shared" si="9"/>
        <v>0.6745128852011294</v>
      </c>
      <c r="AW17" s="24">
        <f t="shared" si="10"/>
        <v>0.32548711479887066</v>
      </c>
      <c r="AX17" s="56">
        <f t="shared" si="11"/>
        <v>0</v>
      </c>
      <c r="AY17" s="25">
        <f>COUNTIF('Data By District'!$Y$7:$Y$441,$B17&amp;"-"&amp;AY$6)</f>
        <v>2</v>
      </c>
      <c r="AZ17" s="25">
        <f>COUNTIF('Data By District'!$Y$7:$Y$441,$B17&amp;"-"&amp;AZ$6)</f>
        <v>0</v>
      </c>
      <c r="BA17" s="25">
        <f>COUNTIF('Data By District'!$Y$7:$Y$441,$B17&amp;"-"&amp;BA$6)</f>
        <v>0</v>
      </c>
      <c r="BB17" s="285">
        <f t="shared" si="27"/>
        <v>1</v>
      </c>
      <c r="BC17" s="24">
        <f t="shared" si="28"/>
        <v>0</v>
      </c>
      <c r="BD17" s="56">
        <f t="shared" si="29"/>
        <v>0</v>
      </c>
      <c r="BE17" s="285">
        <f t="shared" si="12"/>
        <v>0.3254871147988706</v>
      </c>
      <c r="BF17" s="24">
        <f t="shared" si="13"/>
        <v>0.32548711479887066</v>
      </c>
      <c r="BG17" s="56">
        <f t="shared" si="14"/>
        <v>0</v>
      </c>
      <c r="BH17" s="50">
        <f t="shared" si="30"/>
        <v>212183</v>
      </c>
      <c r="BI17" s="41">
        <f>'Data By District'!AE132</f>
        <v>210356</v>
      </c>
      <c r="BJ17" s="41">
        <f>SUMIF('Data By District'!$B$7:$B$441,'Data By State'!$B17,'Data By District'!$AA$7:$AA$441)</f>
        <v>0</v>
      </c>
      <c r="BK17" s="41">
        <f>SUMIF('Data By District'!$B$7:$B$441,'Data By State'!$B17,'Data By District'!$AB$7:$AB$441)</f>
        <v>137531</v>
      </c>
      <c r="BL17" s="50">
        <f>SUMIF('Data By District'!$B$7:$B$441,'Data By State'!$B17,'Data By District'!$AC$7:$AC$441)</f>
        <v>0</v>
      </c>
      <c r="BM17" s="64">
        <f t="shared" si="31"/>
        <v>0.49783806938531117</v>
      </c>
      <c r="BN17" s="24">
        <f t="shared" si="33"/>
        <v>0</v>
      </c>
      <c r="BO17" s="24">
        <f t="shared" si="34"/>
        <v>1</v>
      </c>
      <c r="BP17" s="56" t="e">
        <f t="shared" ref="BP17:BP56" si="35">BL17/AU17</f>
        <v>#DIV/0!</v>
      </c>
    </row>
    <row r="18" spans="1:68" ht="16" thickBot="1">
      <c r="A18" s="17" t="s">
        <v>76</v>
      </c>
      <c r="B18" s="26" t="s">
        <v>11</v>
      </c>
      <c r="C18" s="380">
        <v>652274</v>
      </c>
      <c r="D18" s="380">
        <v>1094490</v>
      </c>
      <c r="E18" s="25">
        <f t="shared" si="0"/>
        <v>44</v>
      </c>
      <c r="F18" s="25">
        <f t="shared" si="1"/>
        <v>50</v>
      </c>
      <c r="G18" s="73">
        <f t="shared" si="18"/>
        <v>39</v>
      </c>
      <c r="H18" s="25">
        <f t="shared" si="19"/>
        <v>41</v>
      </c>
      <c r="I18" s="25">
        <f t="shared" si="20"/>
        <v>23</v>
      </c>
      <c r="J18" s="25">
        <f t="shared" si="21"/>
        <v>41</v>
      </c>
      <c r="K18" s="68">
        <f t="shared" si="22"/>
        <v>22</v>
      </c>
      <c r="L18" s="67">
        <f t="shared" si="2"/>
        <v>33.4</v>
      </c>
      <c r="M18" s="64">
        <f t="shared" si="23"/>
        <v>0.39049769051349015</v>
      </c>
      <c r="N18" s="33">
        <f>AVERAGE('Data By District'!V133:'Data By District'!V134)</f>
        <v>0.4471567427836361</v>
      </c>
      <c r="O18" s="29">
        <f t="shared" si="3"/>
        <v>1</v>
      </c>
      <c r="P18" s="29">
        <f>SUMIF('Data By District'!$B$7:$B$441,B18,'Data By District'!$T$7:$T$441)/D18</f>
        <v>0.37169275187530265</v>
      </c>
      <c r="Q18" s="29">
        <f t="shared" si="4"/>
        <v>0.3437403083995183</v>
      </c>
      <c r="R18" s="70">
        <f t="shared" si="5"/>
        <v>0.58037533463074131</v>
      </c>
      <c r="S18" s="69">
        <f t="shared" si="6"/>
        <v>2</v>
      </c>
      <c r="T18" s="25">
        <f>COUNTIF('Data By District'!$Z$7:$Z$441,$B18&amp;"-"&amp;T$6)</f>
        <v>0</v>
      </c>
      <c r="U18" s="25">
        <f>COUNTIF('Data By District'!$Z$7:$Z$441,$B18&amp;"-"&amp;U$6)</f>
        <v>0</v>
      </c>
      <c r="V18" s="25">
        <f>COUNTIF('Data By District'!$Z$7:$Z$441,$B18&amp;"-"&amp;V$6)</f>
        <v>0</v>
      </c>
      <c r="W18" s="25">
        <f>COUNTIF('Data By District'!$Z$7:$Z$441,$B18&amp;"-"&amp;W$6)</f>
        <v>2</v>
      </c>
      <c r="X18" s="25">
        <f>COUNTIF('Data By District'!$Z$7:$Z$441,$B18&amp;"-"&amp;X$6)-(Y18)</f>
        <v>0</v>
      </c>
      <c r="Y18" s="25">
        <f>COUNTIF('Data By District'!$X$7:$X$441,$B18&amp;"-"&amp;"Yes")</f>
        <v>0</v>
      </c>
      <c r="Z18" s="385">
        <f t="shared" si="7"/>
        <v>0</v>
      </c>
      <c r="AA18" s="387">
        <f>COUNTIF('Data By District'!$L$7:$L$441, $B18&amp;"-"&amp;1)</f>
        <v>0</v>
      </c>
      <c r="AB18" s="360">
        <f>COUNTIFS('Data By District'!$J$7:$J$441,$B18&amp;"-"&amp;"Yes",'Data By District'!$Z$7:$Z$441,$B18&amp;"-"&amp;X$6)+COUNTIFS('Data By District'!$J$7:$J$441,$B18&amp;"-"&amp;"Yes",'Data By District'!$Z$7:$Z$441,$B18&amp;"-"&amp;W$6)</f>
        <v>2</v>
      </c>
      <c r="AC18" s="357">
        <f t="shared" si="32"/>
        <v>1</v>
      </c>
      <c r="AD18" s="361">
        <f>COUNTIF('Data By District'!$J$7:$J$441,$B18&amp;"-"&amp;"Yes")</f>
        <v>2</v>
      </c>
      <c r="AE18" s="361">
        <f t="shared" si="24"/>
        <v>0</v>
      </c>
      <c r="AF18" s="361">
        <f>COUNTIF('Data By District'!$I$7:$I$441,$B18&amp;"-"&amp;"Yes")</f>
        <v>2</v>
      </c>
      <c r="AG18" s="361">
        <f>COUNTIFS('Data By District'!$J$7:$J$441,$B18&amp;"-"&amp;"Yes",'Data By District'!$Y$7:$Y$441,$B18&amp;"-"&amp;"Dem")</f>
        <v>0</v>
      </c>
      <c r="AH18" s="361">
        <f>COUNTIFS('Data By District'!$J$7:$J$441,$B18&amp;"-"&amp;"Yes",'Data By District'!$Y$7:$Y$441,$B18&amp;"-"&amp;"Rep")</f>
        <v>2</v>
      </c>
      <c r="AI18" s="361">
        <f>COUNTIFS('Data By District'!$J$7:$J$441,$B18&amp;"-"&amp;"Yes",'Data By District'!$Y$7:$Y$441,$B18&amp;"-"&amp;"Dem",'Data By District'!$J$7:$J$441,$B18&amp;"-"&amp;"Yes",'Data By District'!$Z$7:$Z$441,$B18&amp;"-"&amp;W$6)+COUNTIFS('Data By District'!$J$7:$J$441,$B18&amp;"-"&amp;"Yes",'Data By District'!$Y$7:$Y$441,$B18&amp;"-"&amp;"Dem",'Data By District'!$J$7:$J$441,$B18&amp;"-"&amp;"Yes",'Data By District'!$Z$7:$Z$441,$B18&amp;"-"&amp;X$6)</f>
        <v>0</v>
      </c>
      <c r="AJ18" s="361">
        <f>COUNTIFS('Data By District'!$J$7:$J$441,$B18&amp;"-"&amp;"Yes",'Data By District'!$Y$7:$Y$441,$B18&amp;"-"&amp;"Rep",'Data By District'!$J$7:$J$441,$B18&amp;"-"&amp;"Yes",'Data By District'!$Z$7:$Z$441,$B18&amp;"-"&amp;W$6)+COUNTIFS('Data By District'!$J$7:$J$441,$B18&amp;"-"&amp;"Yes",'Data By District'!$Y$7:$Y$441,$B18&amp;"-"&amp;"Rep",'Data By District'!$J$7:$J$441,$B18&amp;"-"&amp;"Yes",'Data By District'!$Z$7:$Z$441,$B18&amp;"-"&amp;X$6)</f>
        <v>2</v>
      </c>
      <c r="AK18" s="360">
        <f>COUNTIF('Data By District'!$D$7:$D$441,$B18&amp;"-"&amp;"Yes")</f>
        <v>0</v>
      </c>
      <c r="AL18" s="361">
        <f>COUNTIF('Data By District'!$E$7:$E$441,$B18&amp;"-"&amp;"Yes")</f>
        <v>0</v>
      </c>
      <c r="AM18" s="361">
        <f>COUNTIF('Data By District'!$F$7:$F$441,$B18&amp;"-"&amp;"Yes")</f>
        <v>1</v>
      </c>
      <c r="AN18" s="361">
        <f>COUNTIF('Data By District'!$G$7:$G$441,$B18&amp;"-"&amp;"Yes")</f>
        <v>0</v>
      </c>
      <c r="AO18" s="361">
        <f>COUNTIF('Data By District'!$H$7:$H$441,$B18&amp;"-"&amp;"Yes")</f>
        <v>0</v>
      </c>
      <c r="AP18" s="70">
        <f t="shared" si="8"/>
        <v>2.6153119701229851E-2</v>
      </c>
      <c r="AQ18" s="55">
        <f t="shared" si="25"/>
        <v>0.78149917744385755</v>
      </c>
      <c r="AR18" s="50">
        <f t="shared" si="26"/>
        <v>635215</v>
      </c>
      <c r="AS18" s="41">
        <f>SUMIF('Data By District'!$B$7:$B$441,$B18,'Data By District'!$O$7:$O$441)</f>
        <v>208297</v>
      </c>
      <c r="AT18" s="41">
        <f>SUMIF('Data By District'!$B$7:$B$441,$B18,'Data By District'!$P$7:$P$441)</f>
        <v>406814</v>
      </c>
      <c r="AU18" s="41">
        <f>SUMIF('Data By District'!$B$7:$B$441,$B18,'Data By District'!$Q$7:$Q$441)</f>
        <v>20104</v>
      </c>
      <c r="AV18" s="289">
        <f t="shared" si="9"/>
        <v>0.32791574506269533</v>
      </c>
      <c r="AW18" s="24">
        <f t="shared" si="10"/>
        <v>0.64043512826365878</v>
      </c>
      <c r="AX18" s="56">
        <f t="shared" si="11"/>
        <v>3.164912667364593E-2</v>
      </c>
      <c r="AY18" s="25">
        <f>COUNTIF('Data By District'!$Y$7:$Y$441,$B18&amp;"-"&amp;AY$6)</f>
        <v>0</v>
      </c>
      <c r="AZ18" s="25">
        <f>COUNTIF('Data By District'!$Y$7:$Y$441,$B18&amp;"-"&amp;AZ$6)</f>
        <v>2</v>
      </c>
      <c r="BA18" s="25">
        <f>COUNTIF('Data By District'!$Y$7:$Y$441,$B18&amp;"-"&amp;BA$6)</f>
        <v>0</v>
      </c>
      <c r="BB18" s="285">
        <f t="shared" si="27"/>
        <v>0</v>
      </c>
      <c r="BC18" s="24">
        <f t="shared" si="28"/>
        <v>1</v>
      </c>
      <c r="BD18" s="56">
        <f t="shared" si="29"/>
        <v>0</v>
      </c>
      <c r="BE18" s="285">
        <f t="shared" si="12"/>
        <v>0.32791574506269533</v>
      </c>
      <c r="BF18" s="24">
        <f t="shared" si="13"/>
        <v>0.35956487173634122</v>
      </c>
      <c r="BG18" s="56">
        <f t="shared" si="14"/>
        <v>3.164912667364593E-2</v>
      </c>
      <c r="BH18" s="50">
        <f t="shared" si="30"/>
        <v>496420</v>
      </c>
      <c r="BI18" s="41">
        <f>'Data By District'!AE134</f>
        <v>138795</v>
      </c>
      <c r="BJ18" s="41">
        <f>SUMIF('Data By District'!$B$7:$B$441,'Data By State'!$B18,'Data By District'!$AA$7:$AA$441)</f>
        <v>208297</v>
      </c>
      <c r="BK18" s="41">
        <f>SUMIF('Data By District'!$B$7:$B$441,'Data By State'!$B18,'Data By District'!$AB$7:$AB$441)</f>
        <v>0</v>
      </c>
      <c r="BL18" s="50">
        <f>SUMIF('Data By District'!$B$7:$B$441,'Data By State'!$B18,'Data By District'!$AC$7:$AC$441)</f>
        <v>20104</v>
      </c>
      <c r="BM18" s="64">
        <f t="shared" si="31"/>
        <v>0.21850082255614242</v>
      </c>
      <c r="BN18" s="24">
        <f t="shared" si="33"/>
        <v>1</v>
      </c>
      <c r="BO18" s="24">
        <f t="shared" si="34"/>
        <v>0</v>
      </c>
      <c r="BP18" s="56" t="s">
        <v>253</v>
      </c>
    </row>
    <row r="19" spans="1:68" ht="16" thickBot="1">
      <c r="A19" s="17" t="s">
        <v>77</v>
      </c>
      <c r="B19" s="26" t="s">
        <v>12</v>
      </c>
      <c r="C19" s="380">
        <v>5242014</v>
      </c>
      <c r="D19" s="380">
        <v>8903001</v>
      </c>
      <c r="E19" s="25">
        <f t="shared" si="0"/>
        <v>12</v>
      </c>
      <c r="F19" s="25">
        <f t="shared" si="1"/>
        <v>14</v>
      </c>
      <c r="G19" s="73">
        <f t="shared" si="18"/>
        <v>21</v>
      </c>
      <c r="H19" s="25">
        <f t="shared" si="19"/>
        <v>16</v>
      </c>
      <c r="I19" s="25">
        <f t="shared" si="20"/>
        <v>28</v>
      </c>
      <c r="J19" s="25">
        <f t="shared" si="21"/>
        <v>15</v>
      </c>
      <c r="K19" s="68">
        <f t="shared" si="22"/>
        <v>27</v>
      </c>
      <c r="L19" s="67">
        <f t="shared" si="2"/>
        <v>21.6</v>
      </c>
      <c r="M19" s="64">
        <f t="shared" si="23"/>
        <v>0.5475421443870252</v>
      </c>
      <c r="N19" s="33">
        <f>AVERAGE('Data By District'!V135:'Data By District'!V153)</f>
        <v>0.31156290402647641</v>
      </c>
      <c r="O19" s="29">
        <f t="shared" si="3"/>
        <v>0.55555555555555558</v>
      </c>
      <c r="P19" s="29">
        <f>SUMIF('Data By District'!$B$7:$B$441,B19,'Data By District'!$T$7:$T$441)/D19</f>
        <v>0.35926166918323382</v>
      </c>
      <c r="Q19" s="29">
        <f t="shared" si="4"/>
        <v>0.11369415684930917</v>
      </c>
      <c r="R19" s="70">
        <f t="shared" si="5"/>
        <v>0.56813797954195444</v>
      </c>
      <c r="S19" s="69">
        <f t="shared" si="6"/>
        <v>18</v>
      </c>
      <c r="T19" s="25">
        <f>COUNTIF('Data By District'!$Z$7:$Z$441,$B19&amp;"-"&amp;T$6)</f>
        <v>2</v>
      </c>
      <c r="U19" s="25">
        <f>COUNTIF('Data By District'!$Z$7:$Z$441,$B19&amp;"-"&amp;U$6)</f>
        <v>3</v>
      </c>
      <c r="V19" s="25">
        <f>COUNTIF('Data By District'!$Z$7:$Z$441,$B19&amp;"-"&amp;V$6)</f>
        <v>3</v>
      </c>
      <c r="W19" s="25">
        <f>COUNTIF('Data By District'!$Z$7:$Z$441,$B19&amp;"-"&amp;W$6)</f>
        <v>5</v>
      </c>
      <c r="X19" s="25">
        <f>COUNTIF('Data By District'!$Z$7:$Z$441,$B19&amp;"-"&amp;X$6)-(Y19)</f>
        <v>5</v>
      </c>
      <c r="Y19" s="25">
        <f>COUNTIF('Data By District'!$X$7:$X$441,$B19&amp;"-"&amp;"Yes")</f>
        <v>0</v>
      </c>
      <c r="Z19" s="385">
        <f t="shared" si="7"/>
        <v>0</v>
      </c>
      <c r="AA19" s="387">
        <f>COUNTIF('Data By District'!$L$7:$L$441, $B19&amp;"-"&amp;1)</f>
        <v>0</v>
      </c>
      <c r="AB19" s="360">
        <f>COUNTIFS('Data By District'!$J$7:$J$441,$B19&amp;"-"&amp;"Yes",'Data By District'!$Z$7:$Z$441,$B19&amp;"-"&amp;X$6)+COUNTIFS('Data By District'!$J$7:$J$441,$B19&amp;"-"&amp;"Yes",'Data By District'!$Z$7:$Z$441,$B19&amp;"-"&amp;W$6)</f>
        <v>10</v>
      </c>
      <c r="AC19" s="357">
        <f t="shared" si="32"/>
        <v>0.7142857142857143</v>
      </c>
      <c r="AD19" s="361">
        <f>COUNTIF('Data By District'!$J$7:$J$441,$B19&amp;"-"&amp;"Yes")</f>
        <v>14</v>
      </c>
      <c r="AE19" s="361">
        <f t="shared" si="24"/>
        <v>4</v>
      </c>
      <c r="AF19" s="361">
        <f>COUNTIF('Data By District'!$I$7:$I$441,$B19&amp;"-"&amp;"Yes")</f>
        <v>18</v>
      </c>
      <c r="AG19" s="361">
        <f>COUNTIFS('Data By District'!$J$7:$J$441,$B19&amp;"-"&amp;"Yes",'Data By District'!$Y$7:$Y$441,$B19&amp;"-"&amp;"Dem")</f>
        <v>8</v>
      </c>
      <c r="AH19" s="361">
        <f>COUNTIFS('Data By District'!$J$7:$J$441,$B19&amp;"-"&amp;"Yes",'Data By District'!$Y$7:$Y$441,$B19&amp;"-"&amp;"Rep")</f>
        <v>6</v>
      </c>
      <c r="AI19" s="361">
        <f>COUNTIFS('Data By District'!$J$7:$J$441,$B19&amp;"-"&amp;"Yes",'Data By District'!$Y$7:$Y$441,$B19&amp;"-"&amp;"Dem",'Data By District'!$J$7:$J$441,$B19&amp;"-"&amp;"Yes",'Data By District'!$Z$7:$Z$441,$B19&amp;"-"&amp;W$6)+COUNTIFS('Data By District'!$J$7:$J$441,$B19&amp;"-"&amp;"Yes",'Data By District'!$Y$7:$Y$441,$B19&amp;"-"&amp;"Dem",'Data By District'!$J$7:$J$441,$B19&amp;"-"&amp;"Yes",'Data By District'!$Z$7:$Z$441,$B19&amp;"-"&amp;X$6)</f>
        <v>7</v>
      </c>
      <c r="AJ19" s="361">
        <f>COUNTIFS('Data By District'!$J$7:$J$441,$B19&amp;"-"&amp;"Yes",'Data By District'!$Y$7:$Y$441,$B19&amp;"-"&amp;"Rep",'Data By District'!$J$7:$J$441,$B19&amp;"-"&amp;"Yes",'Data By District'!$Z$7:$Z$441,$B19&amp;"-"&amp;W$6)+COUNTIFS('Data By District'!$J$7:$J$441,$B19&amp;"-"&amp;"Yes",'Data By District'!$Y$7:$Y$441,$B19&amp;"-"&amp;"Rep",'Data By District'!$J$7:$J$441,$B19&amp;"-"&amp;"Yes",'Data By District'!$Z$7:$Z$441,$B19&amp;"-"&amp;X$6)</f>
        <v>3</v>
      </c>
      <c r="AK19" s="360">
        <f>COUNTIF('Data By District'!$D$7:$D$441,$B19&amp;"-"&amp;"Yes")</f>
        <v>3</v>
      </c>
      <c r="AL19" s="361">
        <f>COUNTIF('Data By District'!$E$7:$E$441,$B19&amp;"-"&amp;"Yes")</f>
        <v>2</v>
      </c>
      <c r="AM19" s="361">
        <f>COUNTIF('Data By District'!$F$7:$F$441,$B19&amp;"-"&amp;"Yes")</f>
        <v>1</v>
      </c>
      <c r="AN19" s="361">
        <f>COUNTIF('Data By District'!$G$7:$G$441,$B19&amp;"-"&amp;"Yes")</f>
        <v>1</v>
      </c>
      <c r="AO19" s="361">
        <f>COUNTIF('Data By District'!$H$7:$H$441,$B19&amp;"-"&amp;"Yes")</f>
        <v>0</v>
      </c>
      <c r="AP19" s="70">
        <f t="shared" si="8"/>
        <v>3.5078311503937226E-2</v>
      </c>
      <c r="AQ19" s="55">
        <f t="shared" si="25"/>
        <v>0.62566207729215506</v>
      </c>
      <c r="AR19" s="50">
        <f t="shared" si="26"/>
        <v>5058133</v>
      </c>
      <c r="AS19" s="41">
        <f>SUMIF('Data By District'!$B$7:$B$441,$B19,'Data By District'!$O$7:$O$441)</f>
        <v>2743702</v>
      </c>
      <c r="AT19" s="41">
        <f>SUMIF('Data By District'!$B$7:$B$441,$B19,'Data By District'!$P$7:$P$441)</f>
        <v>2207818</v>
      </c>
      <c r="AU19" s="41">
        <f>SUMIF('Data By District'!$B$7:$B$441,$B19,'Data By District'!$Q$7:$Q$441)</f>
        <v>106613</v>
      </c>
      <c r="AV19" s="289">
        <f t="shared" si="9"/>
        <v>0.54243373987991217</v>
      </c>
      <c r="AW19" s="24">
        <f t="shared" si="10"/>
        <v>0.43648872024519719</v>
      </c>
      <c r="AX19" s="56">
        <f t="shared" si="11"/>
        <v>2.1077539874890597E-2</v>
      </c>
      <c r="AY19" s="25">
        <f>COUNTIF('Data By District'!$Y$7:$Y$441,$B19&amp;"-"&amp;AY$6)</f>
        <v>12</v>
      </c>
      <c r="AZ19" s="25">
        <f>COUNTIF('Data By District'!$Y$7:$Y$441,$B19&amp;"-"&amp;AZ$6)</f>
        <v>6</v>
      </c>
      <c r="BA19" s="25">
        <f>COUNTIF('Data By District'!$Y$7:$Y$441,$B19&amp;"-"&amp;BA$6)</f>
        <v>0</v>
      </c>
      <c r="BB19" s="285">
        <f t="shared" si="27"/>
        <v>0.66666666666666663</v>
      </c>
      <c r="BC19" s="24">
        <f t="shared" si="28"/>
        <v>0.33333333333333331</v>
      </c>
      <c r="BD19" s="56">
        <f t="shared" si="29"/>
        <v>0</v>
      </c>
      <c r="BE19" s="285">
        <f t="shared" si="12"/>
        <v>0.12423292678675446</v>
      </c>
      <c r="BF19" s="24">
        <f t="shared" si="13"/>
        <v>0.10315538691186388</v>
      </c>
      <c r="BG19" s="56">
        <f t="shared" si="14"/>
        <v>2.1077539874890597E-2</v>
      </c>
      <c r="BH19" s="50">
        <f t="shared" si="30"/>
        <v>3164682</v>
      </c>
      <c r="BI19" s="41">
        <f>'Data By District'!AE153</f>
        <v>1893451</v>
      </c>
      <c r="BJ19" s="41">
        <f>SUMIF('Data By District'!$B$7:$B$441,'Data By State'!$B19,'Data By District'!$AA$7:$AA$441)</f>
        <v>685001</v>
      </c>
      <c r="BK19" s="41">
        <f>SUMIF('Data By District'!$B$7:$B$441,'Data By State'!$B19,'Data By District'!$AB$7:$AB$441)</f>
        <v>1068012</v>
      </c>
      <c r="BL19" s="50">
        <f>SUMIF('Data By District'!$B$7:$B$441,'Data By State'!$B19,'Data By District'!$AC$7:$AC$441)</f>
        <v>106613</v>
      </c>
      <c r="BM19" s="64">
        <f t="shared" si="31"/>
        <v>0.37433792270784499</v>
      </c>
      <c r="BN19" s="24">
        <f t="shared" si="33"/>
        <v>0.24966304649703211</v>
      </c>
      <c r="BO19" s="24">
        <f t="shared" si="34"/>
        <v>0.48374096053207283</v>
      </c>
      <c r="BP19" s="56">
        <f t="shared" si="35"/>
        <v>1</v>
      </c>
    </row>
    <row r="20" spans="1:68" ht="16" thickBot="1">
      <c r="A20" s="17" t="s">
        <v>78</v>
      </c>
      <c r="B20" s="26" t="s">
        <v>13</v>
      </c>
      <c r="C20" s="380">
        <v>2624534</v>
      </c>
      <c r="D20" s="380">
        <v>4759100</v>
      </c>
      <c r="E20" s="25">
        <f t="shared" si="0"/>
        <v>39</v>
      </c>
      <c r="F20" s="25">
        <f t="shared" si="1"/>
        <v>25</v>
      </c>
      <c r="G20" s="73">
        <f t="shared" si="18"/>
        <v>14</v>
      </c>
      <c r="H20" s="25">
        <f t="shared" si="19"/>
        <v>26</v>
      </c>
      <c r="I20" s="25">
        <f t="shared" si="20"/>
        <v>43</v>
      </c>
      <c r="J20" s="25">
        <f t="shared" si="21"/>
        <v>31</v>
      </c>
      <c r="K20" s="68">
        <f t="shared" si="22"/>
        <v>36</v>
      </c>
      <c r="L20" s="67">
        <f t="shared" si="2"/>
        <v>31.4</v>
      </c>
      <c r="M20" s="64">
        <f t="shared" si="23"/>
        <v>0.49667932843001628</v>
      </c>
      <c r="N20" s="33">
        <f>AVERAGE('Data By District'!V154:'Data By District'!V162)</f>
        <v>0.2495869250746639</v>
      </c>
      <c r="O20" s="29">
        <f t="shared" si="3"/>
        <v>0.66666666666666663</v>
      </c>
      <c r="P20" s="29">
        <f>SUMIF('Data By District'!$B$7:$B$441,B20,'Data By District'!$T$7:$T$441)/D20</f>
        <v>0.31823369964909332</v>
      </c>
      <c r="Q20" s="29">
        <f t="shared" si="4"/>
        <v>0.23681716540677458</v>
      </c>
      <c r="R20" s="70">
        <f t="shared" si="5"/>
        <v>0.53660271900149192</v>
      </c>
      <c r="S20" s="69">
        <f t="shared" si="6"/>
        <v>9</v>
      </c>
      <c r="T20" s="25">
        <f>COUNTIF('Data By District'!$Z$7:$Z$441,$B20&amp;"-"&amp;T$6)</f>
        <v>1</v>
      </c>
      <c r="U20" s="25">
        <f>COUNTIF('Data By District'!$Z$7:$Z$441,$B20&amp;"-"&amp;U$6)</f>
        <v>0</v>
      </c>
      <c r="V20" s="25">
        <f>COUNTIF('Data By District'!$Z$7:$Z$441,$B20&amp;"-"&amp;V$6)</f>
        <v>2</v>
      </c>
      <c r="W20" s="25">
        <f>COUNTIF('Data By District'!$Z$7:$Z$441,$B20&amp;"-"&amp;W$6)</f>
        <v>6</v>
      </c>
      <c r="X20" s="25">
        <f>COUNTIF('Data By District'!$Z$7:$Z$441,$B20&amp;"-"&amp;X$6)-(Y20)</f>
        <v>0</v>
      </c>
      <c r="Y20" s="25">
        <f>COUNTIF('Data By District'!$X$7:$X$441,$B20&amp;"-"&amp;"Yes")</f>
        <v>0</v>
      </c>
      <c r="Z20" s="385">
        <f t="shared" si="7"/>
        <v>0</v>
      </c>
      <c r="AA20" s="387">
        <f>COUNTIF('Data By District'!$L$7:$L$441, $B20&amp;"-"&amp;1)</f>
        <v>0</v>
      </c>
      <c r="AB20" s="360">
        <f>COUNTIFS('Data By District'!$J$7:$J$441,$B20&amp;"-"&amp;"Yes",'Data By District'!$Z$7:$Z$441,$B20&amp;"-"&amp;X$6)+COUNTIFS('Data By District'!$J$7:$J$441,$B20&amp;"-"&amp;"Yes",'Data By District'!$Z$7:$Z$441,$B20&amp;"-"&amp;W$6)</f>
        <v>6</v>
      </c>
      <c r="AC20" s="357">
        <f t="shared" si="32"/>
        <v>0.75</v>
      </c>
      <c r="AD20" s="361">
        <f>COUNTIF('Data By District'!$J$7:$J$441,$B20&amp;"-"&amp;"Yes")</f>
        <v>8</v>
      </c>
      <c r="AE20" s="361">
        <f t="shared" si="24"/>
        <v>1</v>
      </c>
      <c r="AF20" s="361">
        <f>COUNTIF('Data By District'!$I$7:$I$441,$B20&amp;"-"&amp;"Yes")</f>
        <v>9</v>
      </c>
      <c r="AG20" s="361">
        <f>COUNTIFS('Data By District'!$J$7:$J$441,$B20&amp;"-"&amp;"Yes",'Data By District'!$Y$7:$Y$441,$B20&amp;"-"&amp;"Dem")</f>
        <v>2</v>
      </c>
      <c r="AH20" s="361">
        <f>COUNTIFS('Data By District'!$J$7:$J$441,$B20&amp;"-"&amp;"Yes",'Data By District'!$Y$7:$Y$441,$B20&amp;"-"&amp;"Rep")</f>
        <v>6</v>
      </c>
      <c r="AI20" s="361">
        <f>COUNTIFS('Data By District'!$J$7:$J$441,$B20&amp;"-"&amp;"Yes",'Data By District'!$Y$7:$Y$441,$B20&amp;"-"&amp;"Dem",'Data By District'!$J$7:$J$441,$B20&amp;"-"&amp;"Yes",'Data By District'!$Z$7:$Z$441,$B20&amp;"-"&amp;W$6)+COUNTIFS('Data By District'!$J$7:$J$441,$B20&amp;"-"&amp;"Yes",'Data By District'!$Y$7:$Y$441,$B20&amp;"-"&amp;"Dem",'Data By District'!$J$7:$J$441,$B20&amp;"-"&amp;"Yes",'Data By District'!$Z$7:$Z$441,$B20&amp;"-"&amp;X$6)</f>
        <v>2</v>
      </c>
      <c r="AJ20" s="361">
        <f>COUNTIFS('Data By District'!$J$7:$J$441,$B20&amp;"-"&amp;"Yes",'Data By District'!$Y$7:$Y$441,$B20&amp;"-"&amp;"Rep",'Data By District'!$J$7:$J$441,$B20&amp;"-"&amp;"Yes",'Data By District'!$Z$7:$Z$441,$B20&amp;"-"&amp;W$6)+COUNTIFS('Data By District'!$J$7:$J$441,$B20&amp;"-"&amp;"Yes",'Data By District'!$Y$7:$Y$441,$B20&amp;"-"&amp;"Rep",'Data By District'!$J$7:$J$441,$B20&amp;"-"&amp;"Yes",'Data By District'!$Z$7:$Z$441,$B20&amp;"-"&amp;X$6)</f>
        <v>4</v>
      </c>
      <c r="AK20" s="360">
        <f>COUNTIF('Data By District'!$D$7:$D$441,$B20&amp;"-"&amp;"Yes")</f>
        <v>2</v>
      </c>
      <c r="AL20" s="361">
        <f>COUNTIF('Data By District'!$E$7:$E$441,$B20&amp;"-"&amp;"Yes")</f>
        <v>1</v>
      </c>
      <c r="AM20" s="361">
        <f>COUNTIF('Data By District'!$F$7:$F$441,$B20&amp;"-"&amp;"Yes")</f>
        <v>0</v>
      </c>
      <c r="AN20" s="361">
        <f>COUNTIF('Data By District'!$G$7:$G$441,$B20&amp;"-"&amp;"Yes")</f>
        <v>0</v>
      </c>
      <c r="AO20" s="361">
        <f>COUNTIF('Data By District'!$H$7:$H$441,$B20&amp;"-"&amp;"Yes")</f>
        <v>0</v>
      </c>
      <c r="AP20" s="70">
        <f t="shared" si="8"/>
        <v>2.6971645252071415E-2</v>
      </c>
      <c r="AQ20" s="55">
        <f t="shared" si="25"/>
        <v>0.60441954681475762</v>
      </c>
      <c r="AR20" s="50">
        <f t="shared" si="26"/>
        <v>2553746</v>
      </c>
      <c r="AS20" s="41">
        <f>SUMIF('Data By District'!$B$7:$B$441,$B20,'Data By District'!$O$7:$O$441)</f>
        <v>1142554</v>
      </c>
      <c r="AT20" s="41">
        <f>SUMIF('Data By District'!$B$7:$B$441,$B20,'Data By District'!$P$7:$P$441)</f>
        <v>1351760</v>
      </c>
      <c r="AU20" s="41">
        <f>SUMIF('Data By District'!$B$7:$B$441,$B20,'Data By District'!$Q$7:$Q$441)</f>
        <v>59432</v>
      </c>
      <c r="AV20" s="289">
        <f t="shared" si="9"/>
        <v>0.44740314815960552</v>
      </c>
      <c r="AW20" s="24">
        <f t="shared" si="10"/>
        <v>0.52932437290161194</v>
      </c>
      <c r="AX20" s="56">
        <f t="shared" si="11"/>
        <v>2.3272478938782478E-2</v>
      </c>
      <c r="AY20" s="25">
        <f>COUNTIF('Data By District'!$Y$7:$Y$441,$B20&amp;"-"&amp;AY$6)</f>
        <v>2</v>
      </c>
      <c r="AZ20" s="25">
        <f>COUNTIF('Data By District'!$Y$7:$Y$441,$B20&amp;"-"&amp;AZ$6)</f>
        <v>7</v>
      </c>
      <c r="BA20" s="25">
        <f>COUNTIF('Data By District'!$Y$7:$Y$441,$B20&amp;"-"&amp;BA$6)</f>
        <v>0</v>
      </c>
      <c r="BB20" s="285">
        <f t="shared" si="27"/>
        <v>0.22222222222222221</v>
      </c>
      <c r="BC20" s="24">
        <f t="shared" si="28"/>
        <v>0.77777777777777779</v>
      </c>
      <c r="BD20" s="56">
        <f t="shared" si="29"/>
        <v>0</v>
      </c>
      <c r="BE20" s="285">
        <f t="shared" si="12"/>
        <v>0.22518092593738331</v>
      </c>
      <c r="BF20" s="24">
        <f t="shared" si="13"/>
        <v>0.24845340487616585</v>
      </c>
      <c r="BG20" s="56">
        <f t="shared" si="14"/>
        <v>2.3272478938782478E-2</v>
      </c>
      <c r="BH20" s="50">
        <f t="shared" si="30"/>
        <v>1543534</v>
      </c>
      <c r="BI20" s="41">
        <f>'Data By District'!AE162</f>
        <v>1010212</v>
      </c>
      <c r="BJ20" s="41">
        <f>SUMIF('Data By District'!$B$7:$B$441,'Data By State'!$B20,'Data By District'!$AA$7:$AA$441)</f>
        <v>792689</v>
      </c>
      <c r="BK20" s="41">
        <f>SUMIF('Data By District'!$B$7:$B$441,'Data By State'!$B20,'Data By District'!$AB$7:$AB$441)</f>
        <v>187119</v>
      </c>
      <c r="BL20" s="50">
        <f>SUMIF('Data By District'!$B$7:$B$441,'Data By State'!$B20,'Data By District'!$AC$7:$AC$441)</f>
        <v>59432</v>
      </c>
      <c r="BM20" s="64">
        <f t="shared" si="31"/>
        <v>0.39558045318524238</v>
      </c>
      <c r="BN20" s="24">
        <f t="shared" si="33"/>
        <v>0.6937869019757491</v>
      </c>
      <c r="BO20" s="24">
        <f t="shared" si="34"/>
        <v>0.13842619991714505</v>
      </c>
      <c r="BP20" s="56">
        <f t="shared" si="35"/>
        <v>1</v>
      </c>
    </row>
    <row r="21" spans="1:68" ht="16" thickBot="1">
      <c r="A21" s="17" t="s">
        <v>79</v>
      </c>
      <c r="B21" s="26" t="s">
        <v>14</v>
      </c>
      <c r="C21" s="380">
        <v>1582180</v>
      </c>
      <c r="D21" s="380">
        <v>2263375</v>
      </c>
      <c r="E21" s="25">
        <f t="shared" si="0"/>
        <v>2</v>
      </c>
      <c r="F21" s="25">
        <f t="shared" si="1"/>
        <v>1</v>
      </c>
      <c r="G21" s="73">
        <f t="shared" si="18"/>
        <v>4</v>
      </c>
      <c r="H21" s="25">
        <f t="shared" si="19"/>
        <v>1</v>
      </c>
      <c r="I21" s="25">
        <f t="shared" si="20"/>
        <v>24</v>
      </c>
      <c r="J21" s="25">
        <f t="shared" si="21"/>
        <v>1</v>
      </c>
      <c r="K21" s="68">
        <f t="shared" si="22"/>
        <v>2</v>
      </c>
      <c r="L21" s="67">
        <f t="shared" si="2"/>
        <v>10.8</v>
      </c>
      <c r="M21" s="64">
        <f t="shared" si="23"/>
        <v>0.71434727547389854</v>
      </c>
      <c r="N21" s="33">
        <f>AVERAGE('Data By District'!V163:'Data By District'!V167)</f>
        <v>0.15236366407894414</v>
      </c>
      <c r="O21" s="29">
        <f t="shared" si="3"/>
        <v>0</v>
      </c>
      <c r="P21" s="29">
        <f>SUMIF('Data By District'!$B$7:$B$441,B21,'Data By District'!$T$7:$T$441)/D21</f>
        <v>0.36951366874689345</v>
      </c>
      <c r="Q21" s="29">
        <f t="shared" si="4"/>
        <v>1.4927296045349925E-2</v>
      </c>
      <c r="R21" s="70">
        <f t="shared" si="5"/>
        <v>0.67900767658916439</v>
      </c>
      <c r="S21" s="69">
        <f t="shared" si="6"/>
        <v>4</v>
      </c>
      <c r="T21" s="25">
        <f>COUNTIF('Data By District'!$Z$7:$Z$441,$B21&amp;"-"&amp;T$6)</f>
        <v>0</v>
      </c>
      <c r="U21" s="25">
        <f>COUNTIF('Data By District'!$Z$7:$Z$441,$B21&amp;"-"&amp;U$6)</f>
        <v>2</v>
      </c>
      <c r="V21" s="25">
        <f>COUNTIF('Data By District'!$Z$7:$Z$441,$B21&amp;"-"&amp;V$6)</f>
        <v>2</v>
      </c>
      <c r="W21" s="25">
        <f>COUNTIF('Data By District'!$Z$7:$Z$441,$B21&amp;"-"&amp;W$6)</f>
        <v>0</v>
      </c>
      <c r="X21" s="25">
        <f>COUNTIF('Data By District'!$Z$7:$Z$441,$B21&amp;"-"&amp;X$6)-(Y21)</f>
        <v>0</v>
      </c>
      <c r="Y21" s="25">
        <f>COUNTIF('Data By District'!$X$7:$X$441,$B21&amp;"-"&amp;"Yes")</f>
        <v>0</v>
      </c>
      <c r="Z21" s="385">
        <f t="shared" si="7"/>
        <v>0</v>
      </c>
      <c r="AA21" s="387">
        <f>COUNTIF('Data By District'!$L$7:$L$441, $B21&amp;"-"&amp;1)</f>
        <v>0</v>
      </c>
      <c r="AB21" s="360">
        <f>COUNTIFS('Data By District'!$J$7:$J$441,$B21&amp;"-"&amp;"Yes",'Data By District'!$Z$7:$Z$441,$B21&amp;"-"&amp;X$6)+COUNTIFS('Data By District'!$J$7:$J$441,$B21&amp;"-"&amp;"Yes",'Data By District'!$Z$7:$Z$441,$B21&amp;"-"&amp;W$6)</f>
        <v>0</v>
      </c>
      <c r="AC21" s="357">
        <f t="shared" si="32"/>
        <v>0</v>
      </c>
      <c r="AD21" s="361">
        <f>COUNTIF('Data By District'!$J$7:$J$441,$B21&amp;"-"&amp;"Yes")</f>
        <v>4</v>
      </c>
      <c r="AE21" s="361">
        <f t="shared" si="24"/>
        <v>0</v>
      </c>
      <c r="AF21" s="361">
        <f>COUNTIF('Data By District'!$I$7:$I$441,$B21&amp;"-"&amp;"Yes")</f>
        <v>4</v>
      </c>
      <c r="AG21" s="361">
        <f>COUNTIFS('Data By District'!$J$7:$J$441,$B21&amp;"-"&amp;"Yes",'Data By District'!$Y$7:$Y$441,$B21&amp;"-"&amp;"Dem")</f>
        <v>2</v>
      </c>
      <c r="AH21" s="361">
        <f>COUNTIFS('Data By District'!$J$7:$J$441,$B21&amp;"-"&amp;"Yes",'Data By District'!$Y$7:$Y$441,$B21&amp;"-"&amp;"Rep")</f>
        <v>2</v>
      </c>
      <c r="AI21" s="361">
        <f>COUNTIFS('Data By District'!$J$7:$J$441,$B21&amp;"-"&amp;"Yes",'Data By District'!$Y$7:$Y$441,$B21&amp;"-"&amp;"Dem",'Data By District'!$J$7:$J$441,$B21&amp;"-"&amp;"Yes",'Data By District'!$Z$7:$Z$441,$B21&amp;"-"&amp;W$6)+COUNTIFS('Data By District'!$J$7:$J$441,$B21&amp;"-"&amp;"Yes",'Data By District'!$Y$7:$Y$441,$B21&amp;"-"&amp;"Dem",'Data By District'!$J$7:$J$441,$B21&amp;"-"&amp;"Yes",'Data By District'!$Z$7:$Z$441,$B21&amp;"-"&amp;X$6)</f>
        <v>0</v>
      </c>
      <c r="AJ21" s="361">
        <f>COUNTIFS('Data By District'!$J$7:$J$441,$B21&amp;"-"&amp;"Yes",'Data By District'!$Y$7:$Y$441,$B21&amp;"-"&amp;"Rep",'Data By District'!$J$7:$J$441,$B21&amp;"-"&amp;"Yes",'Data By District'!$Z$7:$Z$441,$B21&amp;"-"&amp;W$6)+COUNTIFS('Data By District'!$J$7:$J$441,$B21&amp;"-"&amp;"Yes",'Data By District'!$Y$7:$Y$441,$B21&amp;"-"&amp;"Rep",'Data By District'!$J$7:$J$441,$B21&amp;"-"&amp;"Yes",'Data By District'!$Z$7:$Z$441,$B21&amp;"-"&amp;X$6)</f>
        <v>0</v>
      </c>
      <c r="AK21" s="360">
        <f>COUNTIF('Data By District'!$D$7:$D$441,$B21&amp;"-"&amp;"Yes")</f>
        <v>0</v>
      </c>
      <c r="AL21" s="361">
        <f>COUNTIF('Data By District'!$E$7:$E$441,$B21&amp;"-"&amp;"Yes")</f>
        <v>0</v>
      </c>
      <c r="AM21" s="361">
        <f>COUNTIF('Data By District'!$F$7:$F$441,$B21&amp;"-"&amp;"Yes")</f>
        <v>0</v>
      </c>
      <c r="AN21" s="361">
        <f>COUNTIF('Data By District'!$G$7:$G$441,$B21&amp;"-"&amp;"Yes")</f>
        <v>0</v>
      </c>
      <c r="AO21" s="361">
        <f>COUNTIF('Data By District'!$H$7:$H$441,$B21&amp;"-"&amp;"Yes")</f>
        <v>0</v>
      </c>
      <c r="AP21" s="70">
        <f t="shared" si="8"/>
        <v>2.8650975236698732E-2</v>
      </c>
      <c r="AQ21" s="55">
        <f t="shared" si="25"/>
        <v>0.54519019109880018</v>
      </c>
      <c r="AR21" s="50">
        <f t="shared" si="26"/>
        <v>1536849</v>
      </c>
      <c r="AS21" s="41">
        <f>SUMIF('Data By District'!$B$7:$B$441,$B21,'Data By District'!$O$7:$O$441)</f>
        <v>772387</v>
      </c>
      <c r="AT21" s="41">
        <f>SUMIF('Data By District'!$B$7:$B$441,$B21,'Data By District'!$P$7:$P$441)</f>
        <v>726505</v>
      </c>
      <c r="AU21" s="41">
        <f>SUMIF('Data By District'!$B$7:$B$441,$B21,'Data By District'!$Q$7:$Q$441)</f>
        <v>37957</v>
      </c>
      <c r="AV21" s="289">
        <f t="shared" si="9"/>
        <v>0.50257832747394182</v>
      </c>
      <c r="AW21" s="24">
        <f t="shared" si="10"/>
        <v>0.47272373538324197</v>
      </c>
      <c r="AX21" s="56">
        <f t="shared" si="11"/>
        <v>2.4697937142816241E-2</v>
      </c>
      <c r="AY21" s="25">
        <f>COUNTIF('Data By District'!$Y$7:$Y$441,$B21&amp;"-"&amp;AY$6)</f>
        <v>2</v>
      </c>
      <c r="AZ21" s="25">
        <f>COUNTIF('Data By District'!$Y$7:$Y$441,$B21&amp;"-"&amp;AZ$6)</f>
        <v>2</v>
      </c>
      <c r="BA21" s="25">
        <f>COUNTIF('Data By District'!$Y$7:$Y$441,$B21&amp;"-"&amp;BA$6)</f>
        <v>0</v>
      </c>
      <c r="BB21" s="285">
        <f t="shared" si="27"/>
        <v>0.5</v>
      </c>
      <c r="BC21" s="24">
        <f t="shared" si="28"/>
        <v>0.5</v>
      </c>
      <c r="BD21" s="56">
        <f t="shared" si="29"/>
        <v>0</v>
      </c>
      <c r="BE21" s="285">
        <f t="shared" si="12"/>
        <v>2.5783274739418216E-3</v>
      </c>
      <c r="BF21" s="24">
        <f t="shared" si="13"/>
        <v>2.7276264616758028E-2</v>
      </c>
      <c r="BG21" s="56">
        <f t="shared" si="14"/>
        <v>2.4697937142816241E-2</v>
      </c>
      <c r="BH21" s="50">
        <f t="shared" si="30"/>
        <v>837875</v>
      </c>
      <c r="BI21" s="41">
        <f>'Data By District'!AE167</f>
        <v>698974</v>
      </c>
      <c r="BJ21" s="41">
        <f>SUMIF('Data By District'!$B$7:$B$441,'Data By State'!$B21,'Data By District'!$AA$7:$AA$441)</f>
        <v>338102</v>
      </c>
      <c r="BK21" s="41">
        <f>SUMIF('Data By District'!$B$7:$B$441,'Data By State'!$B21,'Data By District'!$AB$7:$AB$441)</f>
        <v>324442</v>
      </c>
      <c r="BL21" s="50">
        <f>SUMIF('Data By District'!$B$7:$B$441,'Data By State'!$B21,'Data By District'!$AC$7:$AC$441)</f>
        <v>37957</v>
      </c>
      <c r="BM21" s="64">
        <f t="shared" si="31"/>
        <v>0.45480980890119982</v>
      </c>
      <c r="BN21" s="24">
        <f t="shared" si="33"/>
        <v>0.43773652327136525</v>
      </c>
      <c r="BO21" s="24">
        <f t="shared" si="34"/>
        <v>0.4465791701364753</v>
      </c>
      <c r="BP21" s="56">
        <f t="shared" si="35"/>
        <v>1</v>
      </c>
    </row>
    <row r="22" spans="1:68" ht="16" thickBot="1">
      <c r="A22" s="17" t="s">
        <v>80</v>
      </c>
      <c r="B22" s="26" t="s">
        <v>15</v>
      </c>
      <c r="C22" s="380">
        <v>1159971</v>
      </c>
      <c r="D22" s="380">
        <v>2034892</v>
      </c>
      <c r="E22" s="25">
        <f t="shared" si="0"/>
        <v>33</v>
      </c>
      <c r="F22" s="25">
        <f t="shared" si="1"/>
        <v>30</v>
      </c>
      <c r="G22" s="73">
        <f t="shared" si="18"/>
        <v>27</v>
      </c>
      <c r="H22" s="25">
        <f t="shared" si="19"/>
        <v>32</v>
      </c>
      <c r="I22" s="25">
        <f t="shared" si="20"/>
        <v>26</v>
      </c>
      <c r="J22" s="25">
        <f t="shared" si="21"/>
        <v>32</v>
      </c>
      <c r="K22" s="68">
        <f t="shared" si="22"/>
        <v>39</v>
      </c>
      <c r="L22" s="67">
        <f t="shared" si="2"/>
        <v>28.6</v>
      </c>
      <c r="M22" s="64">
        <f t="shared" si="23"/>
        <v>0.47903077618374945</v>
      </c>
      <c r="N22" s="33">
        <f>AVERAGE('Data By District'!V168:'Data By District'!V171)</f>
        <v>0.34097162352454247</v>
      </c>
      <c r="O22" s="29">
        <f t="shared" si="3"/>
        <v>0.75</v>
      </c>
      <c r="P22" s="29">
        <f>SUMIF('Data By District'!$B$7:$B$441,B22,'Data By District'!$T$7:$T$441)/D22</f>
        <v>0.36413775276525734</v>
      </c>
      <c r="Q22" s="29">
        <f t="shared" si="4"/>
        <v>0.2421500010872247</v>
      </c>
      <c r="R22" s="70">
        <f t="shared" si="5"/>
        <v>0.51980105086658157</v>
      </c>
      <c r="S22" s="69">
        <f t="shared" si="6"/>
        <v>4</v>
      </c>
      <c r="T22" s="25">
        <f>COUNTIF('Data By District'!$Z$7:$Z$441,$B22&amp;"-"&amp;T$6)</f>
        <v>0</v>
      </c>
      <c r="U22" s="25">
        <f>COUNTIF('Data By District'!$Z$7:$Z$441,$B22&amp;"-"&amp;U$6)</f>
        <v>0</v>
      </c>
      <c r="V22" s="25">
        <f>COUNTIF('Data By District'!$Z$7:$Z$441,$B22&amp;"-"&amp;V$6)</f>
        <v>1</v>
      </c>
      <c r="W22" s="25">
        <f>COUNTIF('Data By District'!$Z$7:$Z$441,$B22&amp;"-"&amp;W$6)</f>
        <v>1</v>
      </c>
      <c r="X22" s="25">
        <f>COUNTIF('Data By District'!$Z$7:$Z$441,$B22&amp;"-"&amp;X$6)-(Y22)</f>
        <v>0</v>
      </c>
      <c r="Y22" s="25">
        <f>COUNTIF('Data By District'!$X$7:$X$441,$B22&amp;"-"&amp;"Yes")</f>
        <v>2</v>
      </c>
      <c r="Z22" s="385">
        <f t="shared" si="7"/>
        <v>0.5</v>
      </c>
      <c r="AA22" s="387">
        <f>COUNTIF('Data By District'!$L$7:$L$441, $B22&amp;"-"&amp;1)</f>
        <v>0</v>
      </c>
      <c r="AB22" s="360">
        <f>COUNTIFS('Data By District'!$J$7:$J$441,$B22&amp;"-"&amp;"Yes",'Data By District'!$Z$7:$Z$441,$B22&amp;"-"&amp;X$6)+COUNTIFS('Data By District'!$J$7:$J$441,$B22&amp;"-"&amp;"Yes",'Data By District'!$Z$7:$Z$441,$B22&amp;"-"&amp;W$6)</f>
        <v>3</v>
      </c>
      <c r="AC22" s="357">
        <f t="shared" si="32"/>
        <v>0.75</v>
      </c>
      <c r="AD22" s="361">
        <f>COUNTIF('Data By District'!$J$7:$J$441,$B22&amp;"-"&amp;"Yes")</f>
        <v>4</v>
      </c>
      <c r="AE22" s="361">
        <f t="shared" si="24"/>
        <v>0</v>
      </c>
      <c r="AF22" s="361">
        <f>COUNTIF('Data By District'!$I$7:$I$441,$B22&amp;"-"&amp;"Yes")</f>
        <v>4</v>
      </c>
      <c r="AG22" s="361">
        <f>COUNTIFS('Data By District'!$J$7:$J$441,$B22&amp;"-"&amp;"Yes",'Data By District'!$Y$7:$Y$441,$B22&amp;"-"&amp;"Dem")</f>
        <v>0</v>
      </c>
      <c r="AH22" s="361">
        <f>COUNTIFS('Data By District'!$J$7:$J$441,$B22&amp;"-"&amp;"Yes",'Data By District'!$Y$7:$Y$441,$B22&amp;"-"&amp;"Rep")</f>
        <v>4</v>
      </c>
      <c r="AI22" s="361">
        <f>COUNTIFS('Data By District'!$J$7:$J$441,$B22&amp;"-"&amp;"Yes",'Data By District'!$Y$7:$Y$441,$B22&amp;"-"&amp;"Dem",'Data By District'!$J$7:$J$441,$B22&amp;"-"&amp;"Yes",'Data By District'!$Z$7:$Z$441,$B22&amp;"-"&amp;W$6)+COUNTIFS('Data By District'!$J$7:$J$441,$B22&amp;"-"&amp;"Yes",'Data By District'!$Y$7:$Y$441,$B22&amp;"-"&amp;"Dem",'Data By District'!$J$7:$J$441,$B22&amp;"-"&amp;"Yes",'Data By District'!$Z$7:$Z$441,$B22&amp;"-"&amp;X$6)</f>
        <v>0</v>
      </c>
      <c r="AJ22" s="361">
        <f>COUNTIFS('Data By District'!$J$7:$J$441,$B22&amp;"-"&amp;"Yes",'Data By District'!$Y$7:$Y$441,$B22&amp;"-"&amp;"Rep",'Data By District'!$J$7:$J$441,$B22&amp;"-"&amp;"Yes",'Data By District'!$Z$7:$Z$441,$B22&amp;"-"&amp;W$6)+COUNTIFS('Data By District'!$J$7:$J$441,$B22&amp;"-"&amp;"Yes",'Data By District'!$Y$7:$Y$441,$B22&amp;"-"&amp;"Rep",'Data By District'!$J$7:$J$441,$B22&amp;"-"&amp;"Yes",'Data By District'!$Z$7:$Z$441,$B22&amp;"-"&amp;X$6)</f>
        <v>3</v>
      </c>
      <c r="AK22" s="360">
        <f>COUNTIF('Data By District'!$D$7:$D$441,$B22&amp;"-"&amp;"Yes")</f>
        <v>1</v>
      </c>
      <c r="AL22" s="361">
        <f>COUNTIF('Data By District'!$E$7:$E$441,$B22&amp;"-"&amp;"Yes")</f>
        <v>0</v>
      </c>
      <c r="AM22" s="361">
        <f>COUNTIF('Data By District'!$F$7:$F$441,$B22&amp;"-"&amp;"Yes")</f>
        <v>0</v>
      </c>
      <c r="AN22" s="361">
        <f>COUNTIF('Data By District'!$G$7:$G$441,$B22&amp;"-"&amp;"Yes")</f>
        <v>0</v>
      </c>
      <c r="AO22" s="361">
        <f>COUNTIF('Data By District'!$H$7:$H$441,$B22&amp;"-"&amp;"Yes")</f>
        <v>0</v>
      </c>
      <c r="AP22" s="70">
        <f t="shared" si="8"/>
        <v>8.8133237813703968E-2</v>
      </c>
      <c r="AQ22" s="55">
        <f t="shared" si="25"/>
        <v>0.53777160528258861</v>
      </c>
      <c r="AR22" s="50">
        <f t="shared" si="26"/>
        <v>1057739</v>
      </c>
      <c r="AS22" s="41">
        <f>SUMIF('Data By District'!$B$7:$B$441,$B22,'Data By District'!$O$7:$O$441)</f>
        <v>195505</v>
      </c>
      <c r="AT22" s="41">
        <f>SUMIF('Data By District'!$B$7:$B$441,$B22,'Data By District'!$P$7:$P$441)</f>
        <v>740981</v>
      </c>
      <c r="AU22" s="41">
        <f>SUMIF('Data By District'!$B$7:$B$441,$B22,'Data By District'!$Q$7:$Q$441)</f>
        <v>121253</v>
      </c>
      <c r="AV22" s="289">
        <f t="shared" si="9"/>
        <v>0.18483293137532036</v>
      </c>
      <c r="AW22" s="24">
        <f t="shared" si="10"/>
        <v>0.70053292920087096</v>
      </c>
      <c r="AX22" s="56">
        <f t="shared" si="11"/>
        <v>0.11463413942380871</v>
      </c>
      <c r="AY22" s="25">
        <f>COUNTIF('Data By District'!$Y$7:$Y$441,$B22&amp;"-"&amp;AY$6)</f>
        <v>0</v>
      </c>
      <c r="AZ22" s="25">
        <f>COUNTIF('Data By District'!$Y$7:$Y$441,$B22&amp;"-"&amp;AZ$6)</f>
        <v>4</v>
      </c>
      <c r="BA22" s="25">
        <f>COUNTIF('Data By District'!$Y$7:$Y$441,$B22&amp;"-"&amp;BA$6)</f>
        <v>0</v>
      </c>
      <c r="BB22" s="285">
        <f t="shared" si="27"/>
        <v>0</v>
      </c>
      <c r="BC22" s="24">
        <f t="shared" si="28"/>
        <v>1</v>
      </c>
      <c r="BD22" s="56">
        <f t="shared" si="29"/>
        <v>0</v>
      </c>
      <c r="BE22" s="285">
        <f t="shared" si="12"/>
        <v>0.18483293137532036</v>
      </c>
      <c r="BF22" s="24">
        <f t="shared" si="13"/>
        <v>0.29946707079912904</v>
      </c>
      <c r="BG22" s="56">
        <f t="shared" si="14"/>
        <v>0.11463413942380871</v>
      </c>
      <c r="BH22" s="50">
        <f t="shared" si="30"/>
        <v>568822</v>
      </c>
      <c r="BI22" s="41">
        <f>'Data By District'!AE171</f>
        <v>488917</v>
      </c>
      <c r="BJ22" s="41">
        <f>SUMIF('Data By District'!$B$7:$B$441,'Data By State'!$B22,'Data By District'!$AA$7:$AA$441)</f>
        <v>195505</v>
      </c>
      <c r="BK22" s="41">
        <f>SUMIF('Data By District'!$B$7:$B$441,'Data By State'!$B22,'Data By District'!$AB$7:$AB$441)</f>
        <v>0</v>
      </c>
      <c r="BL22" s="50">
        <f>SUMIF('Data By District'!$B$7:$B$441,'Data By State'!$B22,'Data By District'!$AC$7:$AC$441)</f>
        <v>121253</v>
      </c>
      <c r="BM22" s="64">
        <f t="shared" si="31"/>
        <v>0.46222839471741139</v>
      </c>
      <c r="BN22" s="24">
        <f t="shared" si="33"/>
        <v>1</v>
      </c>
      <c r="BO22" s="24">
        <f t="shared" si="34"/>
        <v>0</v>
      </c>
      <c r="BP22" s="56">
        <f t="shared" si="35"/>
        <v>1</v>
      </c>
    </row>
    <row r="23" spans="1:68" ht="14.25" customHeight="1" thickBot="1">
      <c r="A23" s="17" t="s">
        <v>81</v>
      </c>
      <c r="B23" s="26" t="s">
        <v>16</v>
      </c>
      <c r="C23" s="380">
        <v>1797212</v>
      </c>
      <c r="D23" s="380">
        <v>3248303</v>
      </c>
      <c r="E23" s="25">
        <f t="shared" si="0"/>
        <v>47</v>
      </c>
      <c r="F23" s="25">
        <f t="shared" si="1"/>
        <v>41</v>
      </c>
      <c r="G23" s="73">
        <f t="shared" si="18"/>
        <v>38</v>
      </c>
      <c r="H23" s="25">
        <f t="shared" si="19"/>
        <v>36</v>
      </c>
      <c r="I23" s="25">
        <f t="shared" si="20"/>
        <v>34</v>
      </c>
      <c r="J23" s="25">
        <f t="shared" si="21"/>
        <v>30</v>
      </c>
      <c r="K23" s="68">
        <f t="shared" si="22"/>
        <v>35</v>
      </c>
      <c r="L23" s="67">
        <f t="shared" si="2"/>
        <v>34.4</v>
      </c>
      <c r="M23" s="64">
        <f t="shared" si="23"/>
        <v>0.43664049821447415</v>
      </c>
      <c r="N23" s="33">
        <f>AVERAGE('Data By District'!V172:'Data By District'!V177)</f>
        <v>0.4394821835218885</v>
      </c>
      <c r="O23" s="29">
        <f t="shared" si="3"/>
        <v>0.83333333333333337</v>
      </c>
      <c r="P23" s="29">
        <f>SUMIF('Data By District'!$B$7:$B$441,B23,'Data By District'!$T$7:$T$441)/D23</f>
        <v>0.3455687477430523</v>
      </c>
      <c r="Q23" s="29">
        <f t="shared" si="4"/>
        <v>0.23511948755851197</v>
      </c>
      <c r="R23" s="70">
        <f t="shared" si="5"/>
        <v>0.53731748546856617</v>
      </c>
      <c r="S23" s="69">
        <f t="shared" si="6"/>
        <v>6</v>
      </c>
      <c r="T23" s="25">
        <f>COUNTIF('Data By District'!$Z$7:$Z$441,$B23&amp;"-"&amp;T$6)</f>
        <v>1</v>
      </c>
      <c r="U23" s="25">
        <f>COUNTIF('Data By District'!$Z$7:$Z$441,$B23&amp;"-"&amp;U$6)</f>
        <v>0</v>
      </c>
      <c r="V23" s="25">
        <f>COUNTIF('Data By District'!$Z$7:$Z$441,$B23&amp;"-"&amp;V$6)</f>
        <v>0</v>
      </c>
      <c r="W23" s="25">
        <f>COUNTIF('Data By District'!$Z$7:$Z$441,$B23&amp;"-"&amp;W$6)</f>
        <v>4</v>
      </c>
      <c r="X23" s="25">
        <f>COUNTIF('Data By District'!$Z$7:$Z$441,$B23&amp;"-"&amp;X$6)-(Y23)</f>
        <v>1</v>
      </c>
      <c r="Y23" s="25">
        <f>COUNTIF('Data By District'!$X$7:$X$441,$B23&amp;"-"&amp;"Yes")</f>
        <v>0</v>
      </c>
      <c r="Z23" s="385">
        <f t="shared" si="7"/>
        <v>0</v>
      </c>
      <c r="AA23" s="387">
        <f>COUNTIF('Data By District'!$L$7:$L$441, $B23&amp;"-"&amp;1)</f>
        <v>0</v>
      </c>
      <c r="AB23" s="360">
        <f>COUNTIFS('Data By District'!$J$7:$J$441,$B23&amp;"-"&amp;"Yes",'Data By District'!$Z$7:$Z$441,$B23&amp;"-"&amp;X$6)+COUNTIFS('Data By District'!$J$7:$J$441,$B23&amp;"-"&amp;"Yes",'Data By District'!$Z$7:$Z$441,$B23&amp;"-"&amp;W$6)</f>
        <v>5</v>
      </c>
      <c r="AC23" s="357">
        <f t="shared" si="32"/>
        <v>1</v>
      </c>
      <c r="AD23" s="361">
        <f>COUNTIF('Data By District'!$J$7:$J$441,$B23&amp;"-"&amp;"Yes")</f>
        <v>5</v>
      </c>
      <c r="AE23" s="361">
        <f t="shared" si="24"/>
        <v>1</v>
      </c>
      <c r="AF23" s="361">
        <f>COUNTIF('Data By District'!$I$7:$I$441,$B23&amp;"-"&amp;"Yes")</f>
        <v>6</v>
      </c>
      <c r="AG23" s="361">
        <f>COUNTIFS('Data By District'!$J$7:$J$441,$B23&amp;"-"&amp;"Yes",'Data By District'!$Y$7:$Y$441,$B23&amp;"-"&amp;"Dem")</f>
        <v>1</v>
      </c>
      <c r="AH23" s="361">
        <f>COUNTIFS('Data By District'!$J$7:$J$441,$B23&amp;"-"&amp;"Yes",'Data By District'!$Y$7:$Y$441,$B23&amp;"-"&amp;"Rep")</f>
        <v>4</v>
      </c>
      <c r="AI23" s="361">
        <f>COUNTIFS('Data By District'!$J$7:$J$441,$B23&amp;"-"&amp;"Yes",'Data By District'!$Y$7:$Y$441,$B23&amp;"-"&amp;"Dem",'Data By District'!$J$7:$J$441,$B23&amp;"-"&amp;"Yes",'Data By District'!$Z$7:$Z$441,$B23&amp;"-"&amp;W$6)+COUNTIFS('Data By District'!$J$7:$J$441,$B23&amp;"-"&amp;"Yes",'Data By District'!$Y$7:$Y$441,$B23&amp;"-"&amp;"Dem",'Data By District'!$J$7:$J$441,$B23&amp;"-"&amp;"Yes",'Data By District'!$Z$7:$Z$441,$B23&amp;"-"&amp;X$6)</f>
        <v>1</v>
      </c>
      <c r="AJ23" s="361">
        <f>COUNTIFS('Data By District'!$J$7:$J$441,$B23&amp;"-"&amp;"Yes",'Data By District'!$Y$7:$Y$441,$B23&amp;"-"&amp;"Rep",'Data By District'!$J$7:$J$441,$B23&amp;"-"&amp;"Yes",'Data By District'!$Z$7:$Z$441,$B23&amp;"-"&amp;W$6)+COUNTIFS('Data By District'!$J$7:$J$441,$B23&amp;"-"&amp;"Yes",'Data By District'!$Y$7:$Y$441,$B23&amp;"-"&amp;"Rep",'Data By District'!$J$7:$J$441,$B23&amp;"-"&amp;"Yes",'Data By District'!$Z$7:$Z$441,$B23&amp;"-"&amp;X$6)</f>
        <v>4</v>
      </c>
      <c r="AK23" s="360">
        <f>COUNTIF('Data By District'!$D$7:$D$441,$B23&amp;"-"&amp;"Yes")</f>
        <v>0</v>
      </c>
      <c r="AL23" s="361">
        <f>COUNTIF('Data By District'!$E$7:$E$441,$B23&amp;"-"&amp;"Yes")</f>
        <v>0</v>
      </c>
      <c r="AM23" s="361">
        <f>COUNTIF('Data By District'!$F$7:$F$441,$B23&amp;"-"&amp;"Yes")</f>
        <v>0</v>
      </c>
      <c r="AN23" s="361">
        <f>COUNTIF('Data By District'!$G$7:$G$441,$B23&amp;"-"&amp;"Yes")</f>
        <v>0</v>
      </c>
      <c r="AO23" s="361">
        <f>COUNTIF('Data By District'!$H$7:$H$441,$B23&amp;"-"&amp;"Yes")</f>
        <v>0</v>
      </c>
      <c r="AP23" s="70">
        <f t="shared" si="8"/>
        <v>2.8845790034787214E-2</v>
      </c>
      <c r="AQ23" s="55">
        <f t="shared" si="25"/>
        <v>0.651571873012599</v>
      </c>
      <c r="AR23" s="50">
        <f t="shared" si="26"/>
        <v>1745370</v>
      </c>
      <c r="AS23" s="41">
        <f>SUMIF('Data By District'!$B$7:$B$441,$B23,'Data By District'!$O$7:$O$441)</f>
        <v>684740</v>
      </c>
      <c r="AT23" s="41">
        <f>SUMIF('Data By District'!$B$7:$B$441,$B23,'Data By District'!$P$7:$P$441)</f>
        <v>1027579</v>
      </c>
      <c r="AU23" s="41">
        <f>SUMIF('Data By District'!$B$7:$B$441,$B23,'Data By District'!$Q$7:$Q$441)</f>
        <v>33051</v>
      </c>
      <c r="AV23" s="289">
        <f t="shared" si="9"/>
        <v>0.39231796123458063</v>
      </c>
      <c r="AW23" s="24">
        <f t="shared" si="10"/>
        <v>0.58874565278422342</v>
      </c>
      <c r="AX23" s="56">
        <f t="shared" si="11"/>
        <v>1.8936385981195965E-2</v>
      </c>
      <c r="AY23" s="25">
        <f>COUNTIF('Data By District'!$Y$7:$Y$441,$B23&amp;"-"&amp;AY$6)</f>
        <v>1</v>
      </c>
      <c r="AZ23" s="25">
        <f>COUNTIF('Data By District'!$Y$7:$Y$441,$B23&amp;"-"&amp;AZ$6)</f>
        <v>5</v>
      </c>
      <c r="BA23" s="25">
        <f>COUNTIF('Data By District'!$Y$7:$Y$441,$B23&amp;"-"&amp;BA$6)</f>
        <v>0</v>
      </c>
      <c r="BB23" s="285">
        <f t="shared" si="27"/>
        <v>0.16666666666666666</v>
      </c>
      <c r="BC23" s="24">
        <f t="shared" si="28"/>
        <v>0.83333333333333337</v>
      </c>
      <c r="BD23" s="56">
        <f t="shared" si="29"/>
        <v>0</v>
      </c>
      <c r="BE23" s="285">
        <f t="shared" si="12"/>
        <v>0.22565129456791397</v>
      </c>
      <c r="BF23" s="24">
        <f t="shared" si="13"/>
        <v>0.24458768054910995</v>
      </c>
      <c r="BG23" s="56">
        <f t="shared" si="14"/>
        <v>1.8936385981195965E-2</v>
      </c>
      <c r="BH23" s="50">
        <f t="shared" si="30"/>
        <v>1137234</v>
      </c>
      <c r="BI23" s="41">
        <f>'Data By District'!AE177</f>
        <v>608136</v>
      </c>
      <c r="BJ23" s="41">
        <f>SUMIF('Data By District'!$B$7:$B$441,'Data By State'!$B23,'Data By District'!$AA$7:$AA$441)</f>
        <v>478355</v>
      </c>
      <c r="BK23" s="41">
        <f>SUMIF('Data By District'!$B$7:$B$441,'Data By State'!$B23,'Data By District'!$AB$7:$AB$441)</f>
        <v>111452</v>
      </c>
      <c r="BL23" s="50">
        <f>SUMIF('Data By District'!$B$7:$B$441,'Data By State'!$B23,'Data By District'!$AC$7:$AC$441)</f>
        <v>33051</v>
      </c>
      <c r="BM23" s="64">
        <f t="shared" si="31"/>
        <v>0.34842812698740094</v>
      </c>
      <c r="BN23" s="24">
        <f t="shared" si="33"/>
        <v>0.69859362677804715</v>
      </c>
      <c r="BO23" s="24">
        <f t="shared" si="34"/>
        <v>0.1084607606811739</v>
      </c>
      <c r="BP23" s="56">
        <f t="shared" si="35"/>
        <v>1</v>
      </c>
    </row>
    <row r="24" spans="1:68" ht="16" thickBot="1">
      <c r="A24" s="17" t="s">
        <v>82</v>
      </c>
      <c r="B24" s="26" t="s">
        <v>17</v>
      </c>
      <c r="C24" s="380">
        <v>1994065</v>
      </c>
      <c r="D24" s="380">
        <v>3302514</v>
      </c>
      <c r="E24" s="25">
        <f t="shared" si="0"/>
        <v>19</v>
      </c>
      <c r="F24" s="25">
        <f t="shared" si="1"/>
        <v>46</v>
      </c>
      <c r="G24" s="73">
        <f t="shared" si="18"/>
        <v>48</v>
      </c>
      <c r="H24" s="25">
        <f t="shared" si="19"/>
        <v>41</v>
      </c>
      <c r="I24" s="25">
        <f t="shared" si="20"/>
        <v>7</v>
      </c>
      <c r="J24" s="25">
        <f t="shared" si="21"/>
        <v>14</v>
      </c>
      <c r="K24" s="68">
        <f t="shared" si="22"/>
        <v>42</v>
      </c>
      <c r="L24" s="67">
        <f t="shared" si="2"/>
        <v>23.4</v>
      </c>
      <c r="M24" s="64">
        <f t="shared" si="23"/>
        <v>0.4148886354742663</v>
      </c>
      <c r="N24" s="33">
        <f>AVERAGE('Data By District'!V178:'Data By District'!V184)</f>
        <v>0.62339283544287005</v>
      </c>
      <c r="O24" s="29">
        <f t="shared" si="3"/>
        <v>1</v>
      </c>
      <c r="P24" s="29">
        <f>SUMIF('Data By District'!$B$7:$B$441,B24,'Data By District'!$T$7:$T$441)/D24</f>
        <v>0.40069413785982438</v>
      </c>
      <c r="Q24" s="29">
        <f t="shared" si="4"/>
        <v>0.10355226290544715</v>
      </c>
      <c r="R24" s="70">
        <f t="shared" si="5"/>
        <v>0.51646018760253554</v>
      </c>
      <c r="S24" s="69">
        <f t="shared" si="6"/>
        <v>6</v>
      </c>
      <c r="T24" s="25">
        <f>COUNTIF('Data By District'!$Z$7:$Z$441,$B24&amp;"-"&amp;T$6)</f>
        <v>0</v>
      </c>
      <c r="U24" s="25">
        <f>COUNTIF('Data By District'!$Z$7:$Z$441,$B24&amp;"-"&amp;U$6)</f>
        <v>0</v>
      </c>
      <c r="V24" s="25">
        <f>COUNTIF('Data By District'!$Z$7:$Z$441,$B24&amp;"-"&amp;V$6)</f>
        <v>0</v>
      </c>
      <c r="W24" s="25">
        <f>COUNTIF('Data By District'!$Z$7:$Z$441,$B24&amp;"-"&amp;W$6)</f>
        <v>0</v>
      </c>
      <c r="X24" s="25">
        <f>COUNTIF('Data By District'!$Z$7:$Z$441,$B24&amp;"-"&amp;X$6)-(Y24)</f>
        <v>4</v>
      </c>
      <c r="Y24" s="393">
        <f>COUNTIF('Data By District'!$X$7:$X$441,$B24&amp;"-"&amp;"Yes")</f>
        <v>2</v>
      </c>
      <c r="Z24" s="385">
        <f t="shared" si="7"/>
        <v>0.33333333333333331</v>
      </c>
      <c r="AA24" s="387">
        <f>COUNTIF('Data By District'!$L$7:$L$441, $B24&amp;"-"&amp;1)</f>
        <v>0</v>
      </c>
      <c r="AB24" s="360">
        <f>COUNTIFS('Data By District'!$J$7:$J$441,$B24&amp;"-"&amp;"Yes",'Data By District'!$Z$7:$Z$441,$B24&amp;"-"&amp;X$6)+COUNTIFS('Data By District'!$J$7:$J$441,$B24&amp;"-"&amp;"Yes",'Data By District'!$Z$7:$Z$441,$B24&amp;"-"&amp;W$6)</f>
        <v>6</v>
      </c>
      <c r="AC24" s="357">
        <f t="shared" si="32"/>
        <v>1</v>
      </c>
      <c r="AD24" s="361">
        <f>COUNTIF('Data By District'!$J$7:$J$441,$B24&amp;"-"&amp;"Yes")</f>
        <v>6</v>
      </c>
      <c r="AE24" s="361">
        <f t="shared" si="24"/>
        <v>0</v>
      </c>
      <c r="AF24" s="361">
        <f>COUNTIF('Data By District'!$I$7:$I$441,$B24&amp;"-"&amp;"Yes")</f>
        <v>6</v>
      </c>
      <c r="AG24" s="361">
        <f>COUNTIFS('Data By District'!$J$7:$J$441,$B24&amp;"-"&amp;"Yes",'Data By District'!$Y$7:$Y$441,$B24&amp;"-"&amp;"Dem")</f>
        <v>1</v>
      </c>
      <c r="AH24" s="361">
        <f>COUNTIFS('Data By District'!$J$7:$J$441,$B24&amp;"-"&amp;"Yes",'Data By District'!$Y$7:$Y$441,$B24&amp;"-"&amp;"Rep")</f>
        <v>5</v>
      </c>
      <c r="AI24" s="361">
        <f>COUNTIFS('Data By District'!$J$7:$J$441,$B24&amp;"-"&amp;"Yes",'Data By District'!$Y$7:$Y$441,$B24&amp;"-"&amp;"Dem",'Data By District'!$J$7:$J$441,$B24&amp;"-"&amp;"Yes",'Data By District'!$Z$7:$Z$441,$B24&amp;"-"&amp;W$6)+COUNTIFS('Data By District'!$J$7:$J$441,$B24&amp;"-"&amp;"Yes",'Data By District'!$Y$7:$Y$441,$B24&amp;"-"&amp;"Dem",'Data By District'!$J$7:$J$441,$B24&amp;"-"&amp;"Yes",'Data By District'!$Z$7:$Z$441,$B24&amp;"-"&amp;X$6)</f>
        <v>1</v>
      </c>
      <c r="AJ24" s="361">
        <f>COUNTIFS('Data By District'!$J$7:$J$441,$B24&amp;"-"&amp;"Yes",'Data By District'!$Y$7:$Y$441,$B24&amp;"-"&amp;"Rep",'Data By District'!$J$7:$J$441,$B24&amp;"-"&amp;"Yes",'Data By District'!$Z$7:$Z$441,$B24&amp;"-"&amp;W$6)+COUNTIFS('Data By District'!$J$7:$J$441,$B24&amp;"-"&amp;"Yes",'Data By District'!$Y$7:$Y$441,$B24&amp;"-"&amp;"Rep",'Data By District'!$J$7:$J$441,$B24&amp;"-"&amp;"Yes",'Data By District'!$Z$7:$Z$441,$B24&amp;"-"&amp;X$6)</f>
        <v>5</v>
      </c>
      <c r="AK24" s="360">
        <f>COUNTIF('Data By District'!$D$7:$D$441,$B24&amp;"-"&amp;"Yes")</f>
        <v>0</v>
      </c>
      <c r="AL24" s="361">
        <f>COUNTIF('Data By District'!$E$7:$E$441,$B24&amp;"-"&amp;"Yes")</f>
        <v>1</v>
      </c>
      <c r="AM24" s="361">
        <f>COUNTIF('Data By District'!$F$7:$F$441,$B24&amp;"-"&amp;"Yes")</f>
        <v>0</v>
      </c>
      <c r="AN24" s="361">
        <f>COUNTIF('Data By District'!$G$7:$G$441,$B24&amp;"-"&amp;"Yes")</f>
        <v>0</v>
      </c>
      <c r="AO24" s="361">
        <f>COUNTIF('Data By District'!$H$7:$H$441,$B24&amp;"-"&amp;"Yes")</f>
        <v>0</v>
      </c>
      <c r="AP24" s="70">
        <f t="shared" si="8"/>
        <v>0.14465325854473149</v>
      </c>
      <c r="AQ24" s="55">
        <f t="shared" si="25"/>
        <v>0.69255465910576641</v>
      </c>
      <c r="AR24" s="50">
        <f>SUM(AS24:AU24)</f>
        <v>1705617</v>
      </c>
      <c r="AS24" s="41">
        <f>SUMIF('Data By District'!$B$7:$B$441,$B24,'Data By District'!$O$7:$O$441)</f>
        <v>359190</v>
      </c>
      <c r="AT24" s="41">
        <f>SUMIF('Data By District'!$B$7:$B$441,$B24,'Data By District'!$P$7:$P$441)</f>
        <v>1143027</v>
      </c>
      <c r="AU24" s="41">
        <f>SUMIF('Data By District'!$B$7:$B$441,$B24,'Data By District'!$Q$7:$Q$441)</f>
        <v>203400</v>
      </c>
      <c r="AV24" s="289">
        <f t="shared" si="9"/>
        <v>0.21059241318537514</v>
      </c>
      <c r="AW24" s="24">
        <f t="shared" si="10"/>
        <v>0.67015455404114754</v>
      </c>
      <c r="AX24" s="56">
        <f t="shared" si="11"/>
        <v>0.11925303277347728</v>
      </c>
      <c r="AY24" s="25">
        <f>COUNTIF('Data By District'!$Y$7:$Y$441,$B24&amp;"-"&amp;AY$6)</f>
        <v>1</v>
      </c>
      <c r="AZ24" s="25">
        <f>COUNTIF('Data By District'!$Y$7:$Y$441,$B24&amp;"-"&amp;AZ$6)</f>
        <v>5</v>
      </c>
      <c r="BA24" s="25">
        <f>COUNTIF('Data By District'!$Y$7:$Y$441,$B24&amp;"-"&amp;BA$6)</f>
        <v>0</v>
      </c>
      <c r="BB24" s="285">
        <f t="shared" si="27"/>
        <v>0.16666666666666666</v>
      </c>
      <c r="BC24" s="24">
        <f t="shared" si="28"/>
        <v>0.83333333333333337</v>
      </c>
      <c r="BD24" s="56">
        <f t="shared" si="29"/>
        <v>0</v>
      </c>
      <c r="BE24" s="285">
        <f t="shared" si="12"/>
        <v>4.3925746518708481E-2</v>
      </c>
      <c r="BF24" s="24">
        <f t="shared" si="13"/>
        <v>0.16317877929218583</v>
      </c>
      <c r="BG24" s="56">
        <f t="shared" si="14"/>
        <v>0.11925303277347728</v>
      </c>
      <c r="BH24" s="50">
        <f t="shared" si="30"/>
        <v>1181233</v>
      </c>
      <c r="BI24" s="41">
        <f>'Data By District'!AE184</f>
        <v>524384</v>
      </c>
      <c r="BJ24" s="41">
        <f>SUMIF('Data By District'!$B$7:$B$441,'Data By State'!$B24,'Data By District'!$AA$7:$AA$441)</f>
        <v>128773</v>
      </c>
      <c r="BK24" s="41">
        <f>SUMIF('Data By District'!$B$7:$B$441,'Data By State'!$B24,'Data By District'!$AB$7:$AB$441)</f>
        <v>50146</v>
      </c>
      <c r="BL24" s="50">
        <f>SUMIF('Data By District'!$B$7:$B$441,'Data By State'!$B24,'Data By District'!$AC$7:$AC$441)</f>
        <v>203400</v>
      </c>
      <c r="BM24" s="64">
        <f t="shared" si="31"/>
        <v>0.30744534089423359</v>
      </c>
      <c r="BN24" s="24">
        <f t="shared" si="33"/>
        <v>0.35850942398173669</v>
      </c>
      <c r="BO24" s="24">
        <f t="shared" si="34"/>
        <v>4.3871229638494977E-2</v>
      </c>
      <c r="BP24" s="56" t="s">
        <v>253</v>
      </c>
    </row>
    <row r="25" spans="1:68" ht="16" thickBot="1">
      <c r="A25" s="17" t="s">
        <v>83</v>
      </c>
      <c r="B25" s="26" t="s">
        <v>18</v>
      </c>
      <c r="C25" s="380">
        <v>713180</v>
      </c>
      <c r="D25" s="380">
        <v>1047901</v>
      </c>
      <c r="E25" s="25">
        <f t="shared" si="0"/>
        <v>18</v>
      </c>
      <c r="F25" s="25">
        <f t="shared" si="1"/>
        <v>36</v>
      </c>
      <c r="G25" s="73">
        <f t="shared" si="18"/>
        <v>49</v>
      </c>
      <c r="H25" s="25">
        <f t="shared" si="19"/>
        <v>10</v>
      </c>
      <c r="I25" s="25">
        <f t="shared" si="20"/>
        <v>6</v>
      </c>
      <c r="J25" s="25">
        <f t="shared" si="21"/>
        <v>45</v>
      </c>
      <c r="K25" s="68">
        <f t="shared" si="22"/>
        <v>6</v>
      </c>
      <c r="L25" s="67">
        <f t="shared" si="2"/>
        <v>23.2</v>
      </c>
      <c r="M25" s="64">
        <f t="shared" si="23"/>
        <v>0.45704735003700925</v>
      </c>
      <c r="N25" s="33">
        <f>AVERAGE('Data By District'!V185:'Data By District'!V186)</f>
        <v>0.64791956206500489</v>
      </c>
      <c r="O25" s="29">
        <f t="shared" si="3"/>
        <v>0.5</v>
      </c>
      <c r="P25" s="29">
        <f>SUMIF('Data By District'!$B$7:$B$441,B25,'Data By District'!$T$7:$T$441)/D25</f>
        <v>0.40826280345185278</v>
      </c>
      <c r="Q25" s="29">
        <f t="shared" si="4"/>
        <v>0.38336929465365432</v>
      </c>
      <c r="R25" s="70">
        <f t="shared" si="5"/>
        <v>0.66208639938314784</v>
      </c>
      <c r="S25" s="69">
        <f t="shared" si="6"/>
        <v>2</v>
      </c>
      <c r="T25" s="25">
        <f>COUNTIF('Data By District'!$Z$7:$Z$441,$B25&amp;"-"&amp;T$6)</f>
        <v>0</v>
      </c>
      <c r="U25" s="25">
        <f>COUNTIF('Data By District'!$Z$7:$Z$441,$B25&amp;"-"&amp;U$6)</f>
        <v>0</v>
      </c>
      <c r="V25" s="25">
        <f>COUNTIF('Data By District'!$Z$7:$Z$441,$B25&amp;"-"&amp;V$6)</f>
        <v>1</v>
      </c>
      <c r="W25" s="25">
        <f>COUNTIF('Data By District'!$Z$7:$Z$441,$B25&amp;"-"&amp;W$6)</f>
        <v>1</v>
      </c>
      <c r="X25" s="25">
        <f>COUNTIF('Data By District'!$Z$7:$Z$441,$B25&amp;"-"&amp;X$6)-(Y25)</f>
        <v>0</v>
      </c>
      <c r="Y25" s="25">
        <f>COUNTIF('Data By District'!$X$7:$X$441,$B25&amp;"-"&amp;"Yes")</f>
        <v>0</v>
      </c>
      <c r="Z25" s="385">
        <f t="shared" si="7"/>
        <v>0</v>
      </c>
      <c r="AA25" s="387">
        <f>COUNTIF('Data By District'!$L$7:$L$441, $B25&amp;"-"&amp;1)</f>
        <v>0</v>
      </c>
      <c r="AB25" s="360">
        <f>COUNTIFS('Data By District'!$J$7:$J$441,$B25&amp;"-"&amp;"Yes",'Data By District'!$Z$7:$Z$441,$B25&amp;"-"&amp;X$6)+COUNTIFS('Data By District'!$J$7:$J$441,$B25&amp;"-"&amp;"Yes",'Data By District'!$Z$7:$Z$441,$B25&amp;"-"&amp;W$6)</f>
        <v>1</v>
      </c>
      <c r="AC25" s="357">
        <f t="shared" si="32"/>
        <v>0.5</v>
      </c>
      <c r="AD25" s="361">
        <f>COUNTIF('Data By District'!$J$7:$J$441,$B25&amp;"-"&amp;"Yes")</f>
        <v>2</v>
      </c>
      <c r="AE25" s="361">
        <f t="shared" si="24"/>
        <v>0</v>
      </c>
      <c r="AF25" s="361">
        <f>COUNTIF('Data By District'!$I$7:$I$441,$B25&amp;"-"&amp;"Yes")</f>
        <v>2</v>
      </c>
      <c r="AG25" s="361">
        <f>COUNTIFS('Data By District'!$J$7:$J$441,$B25&amp;"-"&amp;"Yes",'Data By District'!$Y$7:$Y$441,$B25&amp;"-"&amp;"Dem")</f>
        <v>2</v>
      </c>
      <c r="AH25" s="361">
        <f>COUNTIFS('Data By District'!$J$7:$J$441,$B25&amp;"-"&amp;"Yes",'Data By District'!$Y$7:$Y$441,$B25&amp;"-"&amp;"Rep")</f>
        <v>0</v>
      </c>
      <c r="AI25" s="361">
        <f>COUNTIFS('Data By District'!$J$7:$J$441,$B25&amp;"-"&amp;"Yes",'Data By District'!$Y$7:$Y$441,$B25&amp;"-"&amp;"Dem",'Data By District'!$J$7:$J$441,$B25&amp;"-"&amp;"Yes",'Data By District'!$Z$7:$Z$441,$B25&amp;"-"&amp;W$6)+COUNTIFS('Data By District'!$J$7:$J$441,$B25&amp;"-"&amp;"Yes",'Data By District'!$Y$7:$Y$441,$B25&amp;"-"&amp;"Dem",'Data By District'!$J$7:$J$441,$B25&amp;"-"&amp;"Yes",'Data By District'!$Z$7:$Z$441,$B25&amp;"-"&amp;X$6)</f>
        <v>1</v>
      </c>
      <c r="AJ25" s="361">
        <f>COUNTIFS('Data By District'!$J$7:$J$441,$B25&amp;"-"&amp;"Yes",'Data By District'!$Y$7:$Y$441,$B25&amp;"-"&amp;"Rep",'Data By District'!$J$7:$J$441,$B25&amp;"-"&amp;"Yes",'Data By District'!$Z$7:$Z$441,$B25&amp;"-"&amp;W$6)+COUNTIFS('Data By District'!$J$7:$J$441,$B25&amp;"-"&amp;"Yes",'Data By District'!$Y$7:$Y$441,$B25&amp;"-"&amp;"Rep",'Data By District'!$J$7:$J$441,$B25&amp;"-"&amp;"Yes",'Data By District'!$Z$7:$Z$441,$B25&amp;"-"&amp;X$6)</f>
        <v>0</v>
      </c>
      <c r="AK25" s="360">
        <f>COUNTIF('Data By District'!$D$7:$D$441,$B25&amp;"-"&amp;"Yes")</f>
        <v>1</v>
      </c>
      <c r="AL25" s="361">
        <f>COUNTIF('Data By District'!$E$7:$E$441,$B25&amp;"-"&amp;"Yes")</f>
        <v>0</v>
      </c>
      <c r="AM25" s="361">
        <f>COUNTIF('Data By District'!$F$7:$F$441,$B25&amp;"-"&amp;"Yes")</f>
        <v>0</v>
      </c>
      <c r="AN25" s="361">
        <f>COUNTIF('Data By District'!$G$7:$G$441,$B25&amp;"-"&amp;"Yes")</f>
        <v>0</v>
      </c>
      <c r="AO25" s="361">
        <f>COUNTIF('Data By District'!$H$7:$H$441,$B25&amp;"-"&amp;"Yes")</f>
        <v>0</v>
      </c>
      <c r="AP25" s="70">
        <f t="shared" si="8"/>
        <v>2.7172663282761716E-2</v>
      </c>
      <c r="AQ25" s="55">
        <f t="shared" si="25"/>
        <v>0.72384012130279429</v>
      </c>
      <c r="AR25" s="50">
        <f t="shared" si="26"/>
        <v>693801</v>
      </c>
      <c r="AS25" s="41">
        <f>SUMIF('Data By District'!$B$7:$B$441,$B25,'Data By District'!$O$7:$O$441)</f>
        <v>427819</v>
      </c>
      <c r="AT25" s="41">
        <f>SUMIF('Data By District'!$B$7:$B$441,$B25,'Data By District'!$P$7:$P$441)</f>
        <v>265982</v>
      </c>
      <c r="AU25" s="41">
        <f>SUMIF('Data By District'!$B$7:$B$441,$B25,'Data By District'!$Q$7:$Q$441)</f>
        <v>0</v>
      </c>
      <c r="AV25" s="289">
        <f t="shared" si="9"/>
        <v>0.61663070534634568</v>
      </c>
      <c r="AW25" s="24">
        <f t="shared" si="10"/>
        <v>0.38336929465365427</v>
      </c>
      <c r="AX25" s="56">
        <f t="shared" si="11"/>
        <v>0</v>
      </c>
      <c r="AY25" s="25">
        <f>COUNTIF('Data By District'!$Y$7:$Y$441,$B25&amp;"-"&amp;AY$6)</f>
        <v>2</v>
      </c>
      <c r="AZ25" s="25">
        <f>COUNTIF('Data By District'!$Y$7:$Y$441,$B25&amp;"-"&amp;AZ$6)</f>
        <v>0</v>
      </c>
      <c r="BA25" s="25">
        <f>COUNTIF('Data By District'!$Y$7:$Y$441,$B25&amp;"-"&amp;BA$6)</f>
        <v>0</v>
      </c>
      <c r="BB25" s="285">
        <f t="shared" si="27"/>
        <v>1</v>
      </c>
      <c r="BC25" s="24">
        <f t="shared" si="28"/>
        <v>0</v>
      </c>
      <c r="BD25" s="56">
        <f t="shared" si="29"/>
        <v>0</v>
      </c>
      <c r="BE25" s="285">
        <f t="shared" si="12"/>
        <v>0.38336929465365432</v>
      </c>
      <c r="BF25" s="24">
        <f t="shared" si="13"/>
        <v>0.38336929465365427</v>
      </c>
      <c r="BG25" s="56">
        <f t="shared" si="14"/>
        <v>0</v>
      </c>
      <c r="BH25" s="50">
        <f t="shared" si="30"/>
        <v>502201</v>
      </c>
      <c r="BI25" s="41">
        <f>'Data By District'!AE186</f>
        <v>191600</v>
      </c>
      <c r="BJ25" s="41">
        <f>SUMIF('Data By District'!$B$7:$B$441,'Data By State'!$B25,'Data By District'!$AA$7:$AA$441)</f>
        <v>0</v>
      </c>
      <c r="BK25" s="41">
        <f>SUMIF('Data By District'!$B$7:$B$441,'Data By State'!$B25,'Data By District'!$AB$7:$AB$441)</f>
        <v>265982</v>
      </c>
      <c r="BL25" s="50">
        <f>SUMIF('Data By District'!$B$7:$B$441,'Data By State'!$B25,'Data By District'!$AC$7:$AC$441)</f>
        <v>0</v>
      </c>
      <c r="BM25" s="64">
        <f t="shared" si="31"/>
        <v>0.27615987869720571</v>
      </c>
      <c r="BN25" s="24">
        <f t="shared" si="33"/>
        <v>0</v>
      </c>
      <c r="BO25" s="24">
        <f t="shared" si="34"/>
        <v>1</v>
      </c>
      <c r="BP25" s="56" t="e">
        <f t="shared" si="35"/>
        <v>#DIV/0!</v>
      </c>
    </row>
    <row r="26" spans="1:68" ht="16" thickBot="1">
      <c r="A26" s="17" t="s">
        <v>84</v>
      </c>
      <c r="B26" s="26" t="s">
        <v>19</v>
      </c>
      <c r="C26" s="380">
        <v>2707327</v>
      </c>
      <c r="D26" s="380">
        <v>4091886</v>
      </c>
      <c r="E26" s="25">
        <f t="shared" si="0"/>
        <v>12</v>
      </c>
      <c r="F26" s="25">
        <f t="shared" si="1"/>
        <v>39</v>
      </c>
      <c r="G26" s="73">
        <f t="shared" si="18"/>
        <v>34</v>
      </c>
      <c r="H26" s="25">
        <f t="shared" si="19"/>
        <v>41</v>
      </c>
      <c r="I26" s="25">
        <f t="shared" si="20"/>
        <v>3</v>
      </c>
      <c r="J26" s="25">
        <f t="shared" si="21"/>
        <v>27</v>
      </c>
      <c r="K26" s="68">
        <f t="shared" si="22"/>
        <v>8</v>
      </c>
      <c r="L26" s="67">
        <f t="shared" si="2"/>
        <v>21.6</v>
      </c>
      <c r="M26" s="64">
        <f t="shared" si="23"/>
        <v>0.44821025714090029</v>
      </c>
      <c r="N26" s="33">
        <f>AVERAGE('Data By District'!V187:'Data By District'!V194)</f>
        <v>0.3870614123740127</v>
      </c>
      <c r="O26" s="29">
        <f t="shared" si="3"/>
        <v>1</v>
      </c>
      <c r="P26" s="29">
        <f>SUMIF('Data By District'!$B$7:$B$441,B26,'Data By District'!$T$7:$T$441)/D26</f>
        <v>0.42725139458919431</v>
      </c>
      <c r="Q26" s="29">
        <f t="shared" si="4"/>
        <v>0.22639009109987415</v>
      </c>
      <c r="R26" s="70">
        <f t="shared" si="5"/>
        <v>0.63186364429507569</v>
      </c>
      <c r="S26" s="69">
        <f t="shared" si="6"/>
        <v>8</v>
      </c>
      <c r="T26" s="25">
        <f>COUNTIF('Data By District'!$Z$7:$Z$441,$B26&amp;"-"&amp;T$6)</f>
        <v>0</v>
      </c>
      <c r="U26" s="25">
        <f>COUNTIF('Data By District'!$Z$7:$Z$441,$B26&amp;"-"&amp;U$6)</f>
        <v>0</v>
      </c>
      <c r="V26" s="25">
        <f>COUNTIF('Data By District'!$Z$7:$Z$441,$B26&amp;"-"&amp;V$6)</f>
        <v>0</v>
      </c>
      <c r="W26" s="25">
        <f>COUNTIF('Data By District'!$Z$7:$Z$441,$B26&amp;"-"&amp;W$6)</f>
        <v>5</v>
      </c>
      <c r="X26" s="25">
        <f>COUNTIF('Data By District'!$Z$7:$Z$441,$B26&amp;"-"&amp;X$6)-(Y26)</f>
        <v>3</v>
      </c>
      <c r="Y26" s="25">
        <f>COUNTIF('Data By District'!$X$7:$X$441,$B26&amp;"-"&amp;"Yes")</f>
        <v>0</v>
      </c>
      <c r="Z26" s="385">
        <f t="shared" si="7"/>
        <v>0</v>
      </c>
      <c r="AA26" s="387">
        <f>COUNTIF('Data By District'!$L$7:$L$441, $B26&amp;"-"&amp;1)</f>
        <v>0</v>
      </c>
      <c r="AB26" s="360">
        <f>COUNTIFS('Data By District'!$J$7:$J$441,$B26&amp;"-"&amp;"Yes",'Data By District'!$Z$7:$Z$441,$B26&amp;"-"&amp;X$6)+COUNTIFS('Data By District'!$J$7:$J$441,$B26&amp;"-"&amp;"Yes",'Data By District'!$Z$7:$Z$441,$B26&amp;"-"&amp;W$6)</f>
        <v>7</v>
      </c>
      <c r="AC26" s="357">
        <f t="shared" si="32"/>
        <v>1</v>
      </c>
      <c r="AD26" s="361">
        <f>COUNTIF('Data By District'!$J$7:$J$441,$B26&amp;"-"&amp;"Yes")</f>
        <v>7</v>
      </c>
      <c r="AE26" s="361">
        <f t="shared" si="24"/>
        <v>1</v>
      </c>
      <c r="AF26" s="361">
        <f>COUNTIF('Data By District'!$I$7:$I$441,$B26&amp;"-"&amp;"Yes")</f>
        <v>8</v>
      </c>
      <c r="AG26" s="361">
        <f>COUNTIFS('Data By District'!$J$7:$J$441,$B26&amp;"-"&amp;"Yes",'Data By District'!$Y$7:$Y$441,$B26&amp;"-"&amp;"Dem")</f>
        <v>6</v>
      </c>
      <c r="AH26" s="361">
        <f>COUNTIFS('Data By District'!$J$7:$J$441,$B26&amp;"-"&amp;"Yes",'Data By District'!$Y$7:$Y$441,$B26&amp;"-"&amp;"Rep")</f>
        <v>1</v>
      </c>
      <c r="AI26" s="361">
        <f>COUNTIFS('Data By District'!$J$7:$J$441,$B26&amp;"-"&amp;"Yes",'Data By District'!$Y$7:$Y$441,$B26&amp;"-"&amp;"Dem",'Data By District'!$J$7:$J$441,$B26&amp;"-"&amp;"Yes",'Data By District'!$Z$7:$Z$441,$B26&amp;"-"&amp;W$6)+COUNTIFS('Data By District'!$J$7:$J$441,$B26&amp;"-"&amp;"Yes",'Data By District'!$Y$7:$Y$441,$B26&amp;"-"&amp;"Dem",'Data By District'!$J$7:$J$441,$B26&amp;"-"&amp;"Yes",'Data By District'!$Z$7:$Z$441,$B26&amp;"-"&amp;X$6)</f>
        <v>6</v>
      </c>
      <c r="AJ26" s="361">
        <f>COUNTIFS('Data By District'!$J$7:$J$441,$B26&amp;"-"&amp;"Yes",'Data By District'!$Y$7:$Y$441,$B26&amp;"-"&amp;"Rep",'Data By District'!$J$7:$J$441,$B26&amp;"-"&amp;"Yes",'Data By District'!$Z$7:$Z$441,$B26&amp;"-"&amp;W$6)+COUNTIFS('Data By District'!$J$7:$J$441,$B26&amp;"-"&amp;"Yes",'Data By District'!$Y$7:$Y$441,$B26&amp;"-"&amp;"Rep",'Data By District'!$J$7:$J$441,$B26&amp;"-"&amp;"Yes",'Data By District'!$Z$7:$Z$441,$B26&amp;"-"&amp;X$6)</f>
        <v>1</v>
      </c>
      <c r="AK26" s="360">
        <f>COUNTIF('Data By District'!$D$7:$D$441,$B26&amp;"-"&amp;"Yes")</f>
        <v>1</v>
      </c>
      <c r="AL26" s="361">
        <f>COUNTIF('Data By District'!$E$7:$E$441,$B26&amp;"-"&amp;"Yes")</f>
        <v>2</v>
      </c>
      <c r="AM26" s="361">
        <f>COUNTIF('Data By District'!$F$7:$F$441,$B26&amp;"-"&amp;"Yes")</f>
        <v>0</v>
      </c>
      <c r="AN26" s="361">
        <f>COUNTIF('Data By District'!$G$7:$G$441,$B26&amp;"-"&amp;"Yes")</f>
        <v>0</v>
      </c>
      <c r="AO26" s="361">
        <f>COUNTIF('Data By District'!$H$7:$H$441,$B26&amp;"-"&amp;"Yes")</f>
        <v>0</v>
      </c>
      <c r="AP26" s="70">
        <f t="shared" si="8"/>
        <v>4.4993826013628939E-2</v>
      </c>
      <c r="AQ26" s="55">
        <f t="shared" si="25"/>
        <v>0.67160611004233584</v>
      </c>
      <c r="AR26" s="50">
        <f t="shared" si="26"/>
        <v>2585514</v>
      </c>
      <c r="AS26" s="41">
        <f>SUMIF('Data By District'!$B$7:$B$441,$B26,'Data By District'!$O$7:$O$441)</f>
        <v>1626872</v>
      </c>
      <c r="AT26" s="41">
        <f>SUMIF('Data By District'!$B$7:$B$441,$B26,'Data By District'!$P$7:$P$441)</f>
        <v>858406</v>
      </c>
      <c r="AU26" s="41">
        <f>SUMIF('Data By District'!$B$7:$B$441,$B26,'Data By District'!$Q$7:$Q$441)</f>
        <v>100236</v>
      </c>
      <c r="AV26" s="289">
        <f t="shared" si="9"/>
        <v>0.62922575549774629</v>
      </c>
      <c r="AW26" s="24">
        <f t="shared" si="10"/>
        <v>0.33200593769749459</v>
      </c>
      <c r="AX26" s="56">
        <f t="shared" si="11"/>
        <v>3.876830680475913E-2</v>
      </c>
      <c r="AY26" s="25">
        <f>COUNTIF('Data By District'!$Y$7:$Y$441,$B26&amp;"-"&amp;AY$6)</f>
        <v>7</v>
      </c>
      <c r="AZ26" s="25">
        <f>COUNTIF('Data By District'!$Y$7:$Y$441,$B26&amp;"-"&amp;AZ$6)</f>
        <v>1</v>
      </c>
      <c r="BA26" s="25">
        <f>COUNTIF('Data By District'!$Y$7:$Y$441,$B26&amp;"-"&amp;BA$6)</f>
        <v>0</v>
      </c>
      <c r="BB26" s="285">
        <f t="shared" si="27"/>
        <v>0.875</v>
      </c>
      <c r="BC26" s="24">
        <f t="shared" si="28"/>
        <v>0.125</v>
      </c>
      <c r="BD26" s="56">
        <f t="shared" si="29"/>
        <v>0</v>
      </c>
      <c r="BE26" s="285">
        <f t="shared" si="12"/>
        <v>0.24577424450225371</v>
      </c>
      <c r="BF26" s="24">
        <f t="shared" si="13"/>
        <v>0.20700593769749459</v>
      </c>
      <c r="BG26" s="56">
        <f t="shared" si="14"/>
        <v>3.876830680475913E-2</v>
      </c>
      <c r="BH26" s="50">
        <f t="shared" si="30"/>
        <v>1736447</v>
      </c>
      <c r="BI26" s="41">
        <f>'Data By District'!AE194</f>
        <v>849067</v>
      </c>
      <c r="BJ26" s="41">
        <f>SUMIF('Data By District'!$B$7:$B$441,'Data By State'!$B26,'Data By District'!$AA$7:$AA$441)</f>
        <v>92812</v>
      </c>
      <c r="BK26" s="41">
        <f>SUMIF('Data By District'!$B$7:$B$441,'Data By State'!$B26,'Data By District'!$AB$7:$AB$441)</f>
        <v>644202</v>
      </c>
      <c r="BL26" s="50">
        <f>SUMIF('Data By District'!$B$7:$B$441,'Data By State'!$B26,'Data By District'!$AC$7:$AC$441)</f>
        <v>100236</v>
      </c>
      <c r="BM26" s="64">
        <f t="shared" si="31"/>
        <v>0.32839388995766411</v>
      </c>
      <c r="BN26" s="24">
        <f t="shared" si="33"/>
        <v>5.7049356064890172E-2</v>
      </c>
      <c r="BO26" s="24">
        <f t="shared" si="34"/>
        <v>0.75046306759272419</v>
      </c>
      <c r="BP26" s="56">
        <f t="shared" si="35"/>
        <v>1</v>
      </c>
    </row>
    <row r="27" spans="1:68" ht="16" thickBot="1">
      <c r="A27" s="17" t="s">
        <v>85</v>
      </c>
      <c r="B27" s="26" t="s">
        <v>20</v>
      </c>
      <c r="C27" s="380">
        <v>3167767</v>
      </c>
      <c r="D27" s="380">
        <v>4781421</v>
      </c>
      <c r="E27" s="25">
        <f t="shared" si="0"/>
        <v>21</v>
      </c>
      <c r="F27" s="25">
        <f t="shared" si="1"/>
        <v>40</v>
      </c>
      <c r="G27" s="73">
        <f t="shared" si="18"/>
        <v>44</v>
      </c>
      <c r="H27" s="25">
        <f t="shared" si="19"/>
        <v>38</v>
      </c>
      <c r="I27" s="25">
        <f t="shared" si="20"/>
        <v>1</v>
      </c>
      <c r="J27" s="25">
        <f t="shared" si="21"/>
        <v>34</v>
      </c>
      <c r="K27" s="68">
        <f t="shared" si="22"/>
        <v>14</v>
      </c>
      <c r="L27" s="67">
        <f t="shared" si="2"/>
        <v>23.6</v>
      </c>
      <c r="M27" s="64">
        <f t="shared" si="23"/>
        <v>0.43935159218969738</v>
      </c>
      <c r="N27" s="33">
        <f>AVERAGE('Data By District'!V195:'Data By District'!V204)</f>
        <v>0.52378310840030773</v>
      </c>
      <c r="O27" s="29">
        <f t="shared" si="3"/>
        <v>0.88888888888888884</v>
      </c>
      <c r="P27" s="29">
        <f>SUMIF('Data By District'!$B$7:$B$441,B27,'Data By District'!$T$7:$T$441)/D27</f>
        <v>0.43514135233019641</v>
      </c>
      <c r="Q27" s="29">
        <f t="shared" si="4"/>
        <v>0.26085274642270928</v>
      </c>
      <c r="R27" s="70">
        <f t="shared" si="5"/>
        <v>0.60472273828219691</v>
      </c>
      <c r="S27" s="69">
        <f t="shared" si="6"/>
        <v>9</v>
      </c>
      <c r="T27" s="25">
        <f>COUNTIF('Data By District'!$Z$7:$Z$441,$B27&amp;"-"&amp;T$6)</f>
        <v>1</v>
      </c>
      <c r="U27" s="25">
        <f>COUNTIF('Data By District'!$Z$7:$Z$441,$B27&amp;"-"&amp;U$6)</f>
        <v>0</v>
      </c>
      <c r="V27" s="25">
        <f>COUNTIF('Data By District'!$Z$7:$Z$441,$B27&amp;"-"&amp;V$6)</f>
        <v>0</v>
      </c>
      <c r="W27" s="25">
        <f>COUNTIF('Data By District'!$Z$7:$Z$441,$B27&amp;"-"&amp;W$6)</f>
        <v>3</v>
      </c>
      <c r="X27" s="25">
        <f>COUNTIF('Data By District'!$Z$7:$Z$441,$B27&amp;"-"&amp;X$6)-(Y27)</f>
        <v>2</v>
      </c>
      <c r="Y27" s="25">
        <f>COUNTIF('Data By District'!$X$7:$X$441,$B27&amp;"-"&amp;"Yes")</f>
        <v>3</v>
      </c>
      <c r="Z27" s="385">
        <f t="shared" si="7"/>
        <v>0.33333333333333331</v>
      </c>
      <c r="AA27" s="387">
        <f>COUNTIF('Data By District'!$L$7:$L$441, $B27&amp;"-"&amp;1)</f>
        <v>0</v>
      </c>
      <c r="AB27" s="360">
        <f>COUNTIFS('Data By District'!$J$7:$J$441,$B27&amp;"-"&amp;"Yes",'Data By District'!$Z$7:$Z$441,$B27&amp;"-"&amp;X$6)+COUNTIFS('Data By District'!$J$7:$J$441,$B27&amp;"-"&amp;"Yes",'Data By District'!$Z$7:$Z$441,$B27&amp;"-"&amp;W$6)</f>
        <v>8</v>
      </c>
      <c r="AC27" s="357">
        <f t="shared" si="32"/>
        <v>0.88888888888888884</v>
      </c>
      <c r="AD27" s="361">
        <f>COUNTIF('Data By District'!$J$7:$J$441,$B27&amp;"-"&amp;"Yes")</f>
        <v>9</v>
      </c>
      <c r="AE27" s="361">
        <f t="shared" si="24"/>
        <v>0</v>
      </c>
      <c r="AF27" s="361">
        <f>COUNTIF('Data By District'!$I$7:$I$441,$B27&amp;"-"&amp;"Yes")</f>
        <v>9</v>
      </c>
      <c r="AG27" s="361">
        <f>COUNTIFS('Data By District'!$J$7:$J$441,$B27&amp;"-"&amp;"Yes",'Data By District'!$Y$7:$Y$441,$B27&amp;"-"&amp;"Dem")</f>
        <v>9</v>
      </c>
      <c r="AH27" s="361">
        <f>COUNTIFS('Data By District'!$J$7:$J$441,$B27&amp;"-"&amp;"Yes",'Data By District'!$Y$7:$Y$441,$B27&amp;"-"&amp;"Rep")</f>
        <v>0</v>
      </c>
      <c r="AI27" s="361">
        <f>COUNTIFS('Data By District'!$J$7:$J$441,$B27&amp;"-"&amp;"Yes",'Data By District'!$Y$7:$Y$441,$B27&amp;"-"&amp;"Dem",'Data By District'!$J$7:$J$441,$B27&amp;"-"&amp;"Yes",'Data By District'!$Z$7:$Z$441,$B27&amp;"-"&amp;W$6)+COUNTIFS('Data By District'!$J$7:$J$441,$B27&amp;"-"&amp;"Yes",'Data By District'!$Y$7:$Y$441,$B27&amp;"-"&amp;"Dem",'Data By District'!$J$7:$J$441,$B27&amp;"-"&amp;"Yes",'Data By District'!$Z$7:$Z$441,$B27&amp;"-"&amp;X$6)</f>
        <v>8</v>
      </c>
      <c r="AJ27" s="361">
        <f>COUNTIFS('Data By District'!$J$7:$J$441,$B27&amp;"-"&amp;"Yes",'Data By District'!$Y$7:$Y$441,$B27&amp;"-"&amp;"Rep",'Data By District'!$J$7:$J$441,$B27&amp;"-"&amp;"Yes",'Data By District'!$Z$7:$Z$441,$B27&amp;"-"&amp;W$6)+COUNTIFS('Data By District'!$J$7:$J$441,$B27&amp;"-"&amp;"Yes",'Data By District'!$Y$7:$Y$441,$B27&amp;"-"&amp;"Rep",'Data By District'!$J$7:$J$441,$B27&amp;"-"&amp;"Yes",'Data By District'!$Z$7:$Z$441,$B27&amp;"-"&amp;X$6)</f>
        <v>0</v>
      </c>
      <c r="AK27" s="360">
        <f>COUNTIF('Data By District'!$D$7:$D$441,$B27&amp;"-"&amp;"Yes")</f>
        <v>1</v>
      </c>
      <c r="AL27" s="361">
        <f>COUNTIF('Data By District'!$E$7:$E$441,$B27&amp;"-"&amp;"Yes")</f>
        <v>0</v>
      </c>
      <c r="AM27" s="361">
        <f>COUNTIF('Data By District'!$F$7:$F$441,$B27&amp;"-"&amp;"Yes")</f>
        <v>0</v>
      </c>
      <c r="AN27" s="361">
        <f>COUNTIF('Data By District'!$G$7:$G$441,$B27&amp;"-"&amp;"Yes")</f>
        <v>0</v>
      </c>
      <c r="AO27" s="361">
        <f>COUNTIF('Data By District'!$H$7:$H$441,$B27&amp;"-"&amp;"Yes")</f>
        <v>0</v>
      </c>
      <c r="AP27" s="70">
        <f t="shared" si="8"/>
        <v>8.7232741549488957E-2</v>
      </c>
      <c r="AQ27" s="55">
        <f t="shared" si="25"/>
        <v>0.67608978797371821</v>
      </c>
      <c r="AR27" s="50">
        <f t="shared" si="26"/>
        <v>2891434</v>
      </c>
      <c r="AS27" s="41">
        <f>SUMIF('Data By District'!$B$7:$B$441,$B27,'Data By District'!$O$7:$O$441)</f>
        <v>2080594</v>
      </c>
      <c r="AT27" s="41">
        <f>SUMIF('Data By District'!$B$7:$B$441,$B27,'Data By District'!$P$7:$P$441)</f>
        <v>697637</v>
      </c>
      <c r="AU27" s="41">
        <f>SUMIF('Data By District'!$B$7:$B$441,$B27,'Data By District'!$Q$7:$Q$441)</f>
        <v>113203</v>
      </c>
      <c r="AV27" s="289">
        <f t="shared" si="9"/>
        <v>0.71957167274093059</v>
      </c>
      <c r="AW27" s="24">
        <f t="shared" si="10"/>
        <v>0.24127716558634921</v>
      </c>
      <c r="AX27" s="56">
        <f t="shared" si="11"/>
        <v>3.9151161672720182E-2</v>
      </c>
      <c r="AY27" s="25">
        <f>COUNTIF('Data By District'!$Y$7:$Y$441,$B27&amp;"-"&amp;AY$6)</f>
        <v>9</v>
      </c>
      <c r="AZ27" s="25">
        <f>COUNTIF('Data By District'!$Y$7:$Y$441,$B27&amp;"-"&amp;AZ$6)</f>
        <v>0</v>
      </c>
      <c r="BA27" s="25">
        <f>COUNTIF('Data By District'!$Y$7:$Y$441,$B27&amp;"-"&amp;BA$6)</f>
        <v>0</v>
      </c>
      <c r="BB27" s="285">
        <f t="shared" si="27"/>
        <v>1</v>
      </c>
      <c r="BC27" s="24">
        <f t="shared" si="28"/>
        <v>0</v>
      </c>
      <c r="BD27" s="56">
        <f t="shared" si="29"/>
        <v>0</v>
      </c>
      <c r="BE27" s="285">
        <f t="shared" si="12"/>
        <v>0.28042832725906941</v>
      </c>
      <c r="BF27" s="24">
        <f t="shared" si="13"/>
        <v>0.24127716558634921</v>
      </c>
      <c r="BG27" s="56">
        <f t="shared" si="14"/>
        <v>3.9151161672720182E-2</v>
      </c>
      <c r="BH27" s="50">
        <f t="shared" si="30"/>
        <v>1954869</v>
      </c>
      <c r="BI27" s="41">
        <f>'Data By District'!AE204</f>
        <v>936565</v>
      </c>
      <c r="BJ27" s="41">
        <f>SUMIF('Data By District'!$B$7:$B$441,'Data By State'!$B27,'Data By District'!$AA$7:$AA$441)</f>
        <v>0</v>
      </c>
      <c r="BK27" s="41">
        <f>SUMIF('Data By District'!$B$7:$B$441,'Data By State'!$B27,'Data By District'!$AB$7:$AB$441)</f>
        <v>697637</v>
      </c>
      <c r="BL27" s="50">
        <f>SUMIF('Data By District'!$B$7:$B$441,'Data By State'!$B27,'Data By District'!$AC$7:$AC$441)</f>
        <v>113203</v>
      </c>
      <c r="BM27" s="64">
        <f t="shared" si="31"/>
        <v>0.32391021202628179</v>
      </c>
      <c r="BN27" s="24">
        <f t="shared" si="33"/>
        <v>0</v>
      </c>
      <c r="BO27" s="24">
        <f t="shared" si="34"/>
        <v>1</v>
      </c>
      <c r="BP27" s="56">
        <f t="shared" si="35"/>
        <v>1</v>
      </c>
    </row>
    <row r="28" spans="1:68" ht="16" thickBot="1">
      <c r="A28" s="17" t="s">
        <v>86</v>
      </c>
      <c r="B28" s="26" t="s">
        <v>21</v>
      </c>
      <c r="C28" s="380">
        <v>4730961</v>
      </c>
      <c r="D28" s="380">
        <v>7317247</v>
      </c>
      <c r="E28" s="25">
        <f t="shared" si="0"/>
        <v>9</v>
      </c>
      <c r="F28" s="25">
        <f t="shared" si="1"/>
        <v>15</v>
      </c>
      <c r="G28" s="73">
        <f t="shared" si="18"/>
        <v>17</v>
      </c>
      <c r="H28" s="25">
        <f t="shared" si="19"/>
        <v>25</v>
      </c>
      <c r="I28" s="25">
        <f t="shared" si="20"/>
        <v>14</v>
      </c>
      <c r="J28" s="25">
        <f t="shared" si="21"/>
        <v>21</v>
      </c>
      <c r="K28" s="68">
        <f t="shared" si="22"/>
        <v>10</v>
      </c>
      <c r="L28" s="67">
        <f t="shared" si="2"/>
        <v>18.2</v>
      </c>
      <c r="M28" s="64">
        <f t="shared" si="23"/>
        <v>0.53654367303521577</v>
      </c>
      <c r="N28" s="33">
        <f>AVERAGE('Data By District'!V205:'Data By District'!V219)</f>
        <v>0.27913815679538223</v>
      </c>
      <c r="O28" s="29">
        <f t="shared" si="3"/>
        <v>0.6428571428571429</v>
      </c>
      <c r="P28" s="29">
        <f>SUMIF('Data By District'!$B$7:$B$441,B28,'Data By District'!$T$7:$T$441)/D28</f>
        <v>0.38696575365024577</v>
      </c>
      <c r="Q28" s="29">
        <f t="shared" si="4"/>
        <v>0.16921784247188784</v>
      </c>
      <c r="R28" s="70">
        <f t="shared" si="5"/>
        <v>0.62518485435847659</v>
      </c>
      <c r="S28" s="69">
        <f t="shared" si="6"/>
        <v>14</v>
      </c>
      <c r="T28" s="25">
        <f>COUNTIF('Data By District'!$Z$7:$Z$441,$B28&amp;"-"&amp;T$6)</f>
        <v>1</v>
      </c>
      <c r="U28" s="25">
        <f>COUNTIF('Data By District'!$Z$7:$Z$441,$B28&amp;"-"&amp;U$6)</f>
        <v>2</v>
      </c>
      <c r="V28" s="25">
        <f>COUNTIF('Data By District'!$Z$7:$Z$441,$B28&amp;"-"&amp;V$6)</f>
        <v>2</v>
      </c>
      <c r="W28" s="25">
        <f>COUNTIF('Data By District'!$Z$7:$Z$441,$B28&amp;"-"&amp;W$6)</f>
        <v>6</v>
      </c>
      <c r="X28" s="25">
        <f>COUNTIF('Data By District'!$Z$7:$Z$441,$B28&amp;"-"&amp;X$6)-(Y28)</f>
        <v>3</v>
      </c>
      <c r="Y28" s="25">
        <f>COUNTIF('Data By District'!$X$7:$X$441,$B28&amp;"-"&amp;"Yes")</f>
        <v>0</v>
      </c>
      <c r="Z28" s="385">
        <f t="shared" si="7"/>
        <v>0</v>
      </c>
      <c r="AA28" s="387">
        <f>COUNTIF('Data By District'!$L$7:$L$441, $B28&amp;"-"&amp;1)</f>
        <v>0</v>
      </c>
      <c r="AB28" s="360">
        <f>COUNTIFS('Data By District'!$J$7:$J$441,$B28&amp;"-"&amp;"Yes",'Data By District'!$Z$7:$Z$441,$B28&amp;"-"&amp;X$6)+COUNTIFS('Data By District'!$J$7:$J$441,$B28&amp;"-"&amp;"Yes",'Data By District'!$Z$7:$Z$441,$B28&amp;"-"&amp;W$6)</f>
        <v>9</v>
      </c>
      <c r="AC28" s="357">
        <f t="shared" si="32"/>
        <v>0.6428571428571429</v>
      </c>
      <c r="AD28" s="361">
        <f>COUNTIF('Data By District'!$J$7:$J$441,$B28&amp;"-"&amp;"Yes")</f>
        <v>14</v>
      </c>
      <c r="AE28" s="361">
        <f t="shared" si="24"/>
        <v>0</v>
      </c>
      <c r="AF28" s="361">
        <f>COUNTIF('Data By District'!$I$7:$I$441,$B28&amp;"-"&amp;"Yes")</f>
        <v>14</v>
      </c>
      <c r="AG28" s="361">
        <f>COUNTIFS('Data By District'!$J$7:$J$441,$B28&amp;"-"&amp;"Yes",'Data By District'!$Y$7:$Y$441,$B28&amp;"-"&amp;"Dem")</f>
        <v>5</v>
      </c>
      <c r="AH28" s="361">
        <f>COUNTIFS('Data By District'!$J$7:$J$441,$B28&amp;"-"&amp;"Yes",'Data By District'!$Y$7:$Y$441,$B28&amp;"-"&amp;"Rep")</f>
        <v>9</v>
      </c>
      <c r="AI28" s="361">
        <f>COUNTIFS('Data By District'!$J$7:$J$441,$B28&amp;"-"&amp;"Yes",'Data By District'!$Y$7:$Y$441,$B28&amp;"-"&amp;"Dem",'Data By District'!$J$7:$J$441,$B28&amp;"-"&amp;"Yes",'Data By District'!$Z$7:$Z$441,$B28&amp;"-"&amp;W$6)+COUNTIFS('Data By District'!$J$7:$J$441,$B28&amp;"-"&amp;"Yes",'Data By District'!$Y$7:$Y$441,$B28&amp;"-"&amp;"Dem",'Data By District'!$J$7:$J$441,$B28&amp;"-"&amp;"Yes",'Data By District'!$Z$7:$Z$441,$B28&amp;"-"&amp;X$6)</f>
        <v>5</v>
      </c>
      <c r="AJ28" s="361">
        <f>COUNTIFS('Data By District'!$J$7:$J$441,$B28&amp;"-"&amp;"Yes",'Data By District'!$Y$7:$Y$441,$B28&amp;"-"&amp;"Rep",'Data By District'!$J$7:$J$441,$B28&amp;"-"&amp;"Yes",'Data By District'!$Z$7:$Z$441,$B28&amp;"-"&amp;W$6)+COUNTIFS('Data By District'!$J$7:$J$441,$B28&amp;"-"&amp;"Yes",'Data By District'!$Y$7:$Y$441,$B28&amp;"-"&amp;"Rep",'Data By District'!$J$7:$J$441,$B28&amp;"-"&amp;"Yes",'Data By District'!$Z$7:$Z$441,$B28&amp;"-"&amp;X$6)</f>
        <v>4</v>
      </c>
      <c r="AK28" s="360">
        <f>COUNTIF('Data By District'!$D$7:$D$441,$B28&amp;"-"&amp;"Yes")</f>
        <v>1</v>
      </c>
      <c r="AL28" s="361">
        <f>COUNTIF('Data By District'!$E$7:$E$441,$B28&amp;"-"&amp;"Yes")</f>
        <v>1</v>
      </c>
      <c r="AM28" s="361">
        <f>COUNTIF('Data By District'!$F$7:$F$441,$B28&amp;"-"&amp;"Yes")</f>
        <v>0</v>
      </c>
      <c r="AN28" s="361">
        <f>COUNTIF('Data By District'!$G$7:$G$441,$B28&amp;"-"&amp;"Yes")</f>
        <v>0</v>
      </c>
      <c r="AO28" s="361">
        <f>COUNTIF('Data By District'!$H$7:$H$441,$B28&amp;"-"&amp;"Yes")</f>
        <v>0</v>
      </c>
      <c r="AP28" s="70">
        <f t="shared" si="8"/>
        <v>3.3043814988117634E-2</v>
      </c>
      <c r="AQ28" s="55">
        <f t="shared" si="25"/>
        <v>0.58777514781516849</v>
      </c>
      <c r="AR28" s="50">
        <f t="shared" si="26"/>
        <v>4574632</v>
      </c>
      <c r="AS28" s="41">
        <f>SUMIF('Data By District'!$B$7:$B$441,$B28,'Data By District'!$O$7:$O$441)</f>
        <v>2327985</v>
      </c>
      <c r="AT28" s="41">
        <f>SUMIF('Data By District'!$B$7:$B$441,$B28,'Data By District'!$P$7:$P$441)</f>
        <v>2086804</v>
      </c>
      <c r="AU28" s="41">
        <f>SUMIF('Data By District'!$B$7:$B$441,$B28,'Data By District'!$Q$7:$Q$441)</f>
        <v>159843</v>
      </c>
      <c r="AV28" s="289">
        <f t="shared" si="9"/>
        <v>0.50889011400261264</v>
      </c>
      <c r="AW28" s="24">
        <f t="shared" si="10"/>
        <v>0.45616871477312271</v>
      </c>
      <c r="AX28" s="56">
        <f t="shared" si="11"/>
        <v>3.49411712242646E-2</v>
      </c>
      <c r="AY28" s="25">
        <f>COUNTIF('Data By District'!$Y$7:$Y$441,$B28&amp;"-"&amp;AY$6)</f>
        <v>5</v>
      </c>
      <c r="AZ28" s="25">
        <f>COUNTIF('Data By District'!$Y$7:$Y$441,$B28&amp;"-"&amp;AZ$6)</f>
        <v>9</v>
      </c>
      <c r="BA28" s="25">
        <f>COUNTIF('Data By District'!$Y$7:$Y$441,$B28&amp;"-"&amp;BA$6)</f>
        <v>0</v>
      </c>
      <c r="BB28" s="285">
        <f t="shared" si="27"/>
        <v>0.35714285714285715</v>
      </c>
      <c r="BC28" s="24">
        <f t="shared" si="28"/>
        <v>0.6428571428571429</v>
      </c>
      <c r="BD28" s="56">
        <f t="shared" si="29"/>
        <v>0</v>
      </c>
      <c r="BE28" s="285">
        <f t="shared" si="12"/>
        <v>0.15174725685975549</v>
      </c>
      <c r="BF28" s="24">
        <f t="shared" si="13"/>
        <v>0.1866884280840202</v>
      </c>
      <c r="BG28" s="56">
        <f t="shared" si="14"/>
        <v>3.49411712242646E-2</v>
      </c>
      <c r="BH28" s="50">
        <f t="shared" si="30"/>
        <v>2688855</v>
      </c>
      <c r="BI28" s="41">
        <f>'Data By District'!AE219</f>
        <v>1885777</v>
      </c>
      <c r="BJ28" s="41">
        <f>SUMIF('Data By District'!$B$7:$B$441,'Data By State'!$B28,'Data By District'!$AA$7:$AA$441)</f>
        <v>1181938</v>
      </c>
      <c r="BK28" s="41">
        <f>SUMIF('Data By District'!$B$7:$B$441,'Data By State'!$B28,'Data By District'!$AB$7:$AB$441)</f>
        <v>401327</v>
      </c>
      <c r="BL28" s="50">
        <f>SUMIF('Data By District'!$B$7:$B$441,'Data By State'!$B28,'Data By District'!$AC$7:$AC$441)</f>
        <v>159843</v>
      </c>
      <c r="BM28" s="64">
        <f t="shared" si="31"/>
        <v>0.41222485218483146</v>
      </c>
      <c r="BN28" s="24">
        <f t="shared" si="33"/>
        <v>0.50770859777876576</v>
      </c>
      <c r="BO28" s="24">
        <f t="shared" si="34"/>
        <v>0.19231657596976046</v>
      </c>
      <c r="BP28" s="56">
        <f t="shared" si="35"/>
        <v>1</v>
      </c>
    </row>
    <row r="29" spans="1:68" ht="16" thickBot="1">
      <c r="A29" s="17" t="s">
        <v>87</v>
      </c>
      <c r="B29" s="26" t="s">
        <v>22</v>
      </c>
      <c r="C29" s="380">
        <v>2936561</v>
      </c>
      <c r="D29" s="380">
        <v>3876752</v>
      </c>
      <c r="E29" s="25">
        <f t="shared" si="0"/>
        <v>1</v>
      </c>
      <c r="F29" s="25">
        <f t="shared" si="1"/>
        <v>2</v>
      </c>
      <c r="G29" s="73">
        <f t="shared" si="18"/>
        <v>8</v>
      </c>
      <c r="H29" s="25">
        <f t="shared" si="19"/>
        <v>7</v>
      </c>
      <c r="I29" s="25">
        <f t="shared" si="20"/>
        <v>2</v>
      </c>
      <c r="J29" s="25">
        <f t="shared" si="21"/>
        <v>7</v>
      </c>
      <c r="K29" s="68">
        <f t="shared" si="22"/>
        <v>1</v>
      </c>
      <c r="L29" s="67">
        <f t="shared" si="2"/>
        <v>5.2</v>
      </c>
      <c r="M29" s="64">
        <f t="shared" si="23"/>
        <v>0.64146933931011718</v>
      </c>
      <c r="N29" s="33">
        <f>AVERAGE('Data By District'!V220:'Data By District'!V227)</f>
        <v>0.20975983531975018</v>
      </c>
      <c r="O29" s="29">
        <f t="shared" si="3"/>
        <v>0.375</v>
      </c>
      <c r="P29" s="29">
        <f>SUMIF('Data By District'!$B$7:$B$441,B29,'Data By District'!$T$7:$T$441)/D29</f>
        <v>0.42740082419509939</v>
      </c>
      <c r="Q29" s="29">
        <f t="shared" si="4"/>
        <v>6.2695116519862371E-2</v>
      </c>
      <c r="R29" s="70">
        <f t="shared" si="5"/>
        <v>0.72570620973433431</v>
      </c>
      <c r="S29" s="69">
        <f t="shared" si="6"/>
        <v>8</v>
      </c>
      <c r="T29" s="25">
        <f>COUNTIF('Data By District'!$Z$7:$Z$441,$B29&amp;"-"&amp;T$6)</f>
        <v>1</v>
      </c>
      <c r="U29" s="25">
        <f>COUNTIF('Data By District'!$Z$7:$Z$441,$B29&amp;"-"&amp;U$6)</f>
        <v>2</v>
      </c>
      <c r="V29" s="25">
        <f>COUNTIF('Data By District'!$Z$7:$Z$441,$B29&amp;"-"&amp;V$6)</f>
        <v>2</v>
      </c>
      <c r="W29" s="25">
        <f>COUNTIF('Data By District'!$Z$7:$Z$441,$B29&amp;"-"&amp;W$6)</f>
        <v>2</v>
      </c>
      <c r="X29" s="25">
        <f>COUNTIF('Data By District'!$Z$7:$Z$441,$B29&amp;"-"&amp;X$6)-(Y29)</f>
        <v>1</v>
      </c>
      <c r="Y29" s="25">
        <f>COUNTIF('Data By District'!$X$7:$X$441,$B29&amp;"-"&amp;"Yes")</f>
        <v>0</v>
      </c>
      <c r="Z29" s="385">
        <f t="shared" si="7"/>
        <v>0</v>
      </c>
      <c r="AA29" s="387">
        <f>COUNTIF('Data By District'!$L$7:$L$441, $B29&amp;"-"&amp;1)</f>
        <v>0</v>
      </c>
      <c r="AB29" s="360">
        <f>COUNTIFS('Data By District'!$J$7:$J$441,$B29&amp;"-"&amp;"Yes",'Data By District'!$Z$7:$Z$441,$B29&amp;"-"&amp;X$6)+COUNTIFS('Data By District'!$J$7:$J$441,$B29&amp;"-"&amp;"Yes",'Data By District'!$Z$7:$Z$441,$B29&amp;"-"&amp;W$6)</f>
        <v>3</v>
      </c>
      <c r="AC29" s="357">
        <f t="shared" si="32"/>
        <v>0.42857142857142855</v>
      </c>
      <c r="AD29" s="361">
        <f>COUNTIF('Data By District'!$J$7:$J$441,$B29&amp;"-"&amp;"Yes")</f>
        <v>7</v>
      </c>
      <c r="AE29" s="361">
        <f t="shared" si="24"/>
        <v>1</v>
      </c>
      <c r="AF29" s="361">
        <f>COUNTIF('Data By District'!$I$7:$I$441,$B29&amp;"-"&amp;"Yes")</f>
        <v>8</v>
      </c>
      <c r="AG29" s="361">
        <f>COUNTIFS('Data By District'!$J$7:$J$441,$B29&amp;"-"&amp;"Yes",'Data By District'!$Y$7:$Y$441,$B29&amp;"-"&amp;"Dem")</f>
        <v>4</v>
      </c>
      <c r="AH29" s="361">
        <f>COUNTIFS('Data By District'!$J$7:$J$441,$B29&amp;"-"&amp;"Yes",'Data By District'!$Y$7:$Y$441,$B29&amp;"-"&amp;"Rep")</f>
        <v>3</v>
      </c>
      <c r="AI29" s="361">
        <f>COUNTIFS('Data By District'!$J$7:$J$441,$B29&amp;"-"&amp;"Yes",'Data By District'!$Y$7:$Y$441,$B29&amp;"-"&amp;"Dem",'Data By District'!$J$7:$J$441,$B29&amp;"-"&amp;"Yes",'Data By District'!$Z$7:$Z$441,$B29&amp;"-"&amp;W$6)+COUNTIFS('Data By District'!$J$7:$J$441,$B29&amp;"-"&amp;"Yes",'Data By District'!$Y$7:$Y$441,$B29&amp;"-"&amp;"Dem",'Data By District'!$J$7:$J$441,$B29&amp;"-"&amp;"Yes",'Data By District'!$Z$7:$Z$441,$B29&amp;"-"&amp;X$6)</f>
        <v>3</v>
      </c>
      <c r="AJ29" s="361">
        <f>COUNTIFS('Data By District'!$J$7:$J$441,$B29&amp;"-"&amp;"Yes",'Data By District'!$Y$7:$Y$441,$B29&amp;"-"&amp;"Rep",'Data By District'!$J$7:$J$441,$B29&amp;"-"&amp;"Yes",'Data By District'!$Z$7:$Z$441,$B29&amp;"-"&amp;W$6)+COUNTIFS('Data By District'!$J$7:$J$441,$B29&amp;"-"&amp;"Yes",'Data By District'!$Y$7:$Y$441,$B29&amp;"-"&amp;"Rep",'Data By District'!$J$7:$J$441,$B29&amp;"-"&amp;"Yes",'Data By District'!$Z$7:$Z$441,$B29&amp;"-"&amp;X$6)</f>
        <v>0</v>
      </c>
      <c r="AK29" s="360">
        <f>COUNTIF('Data By District'!$D$7:$D$441,$B29&amp;"-"&amp;"Yes")</f>
        <v>2</v>
      </c>
      <c r="AL29" s="361">
        <f>COUNTIF('Data By District'!$E$7:$E$441,$B29&amp;"-"&amp;"Yes")</f>
        <v>1</v>
      </c>
      <c r="AM29" s="361">
        <f>COUNTIF('Data By District'!$F$7:$F$441,$B29&amp;"-"&amp;"Yes")</f>
        <v>0</v>
      </c>
      <c r="AN29" s="361">
        <f>COUNTIF('Data By District'!$G$7:$G$441,$B29&amp;"-"&amp;"Yes")</f>
        <v>0</v>
      </c>
      <c r="AO29" s="361">
        <f>COUNTIF('Data By District'!$H$7:$H$441,$B29&amp;"-"&amp;"Yes")</f>
        <v>0</v>
      </c>
      <c r="AP29" s="70">
        <f t="shared" si="8"/>
        <v>4.1946344720916746E-2</v>
      </c>
      <c r="AQ29" s="55">
        <f t="shared" si="25"/>
        <v>0.5961431486576837</v>
      </c>
      <c r="AR29" s="50">
        <f t="shared" si="26"/>
        <v>2813383</v>
      </c>
      <c r="AS29" s="41">
        <f>SUMIF('Data By District'!$B$7:$B$441,$B29,'Data By District'!$O$7:$O$441)</f>
        <v>1560984</v>
      </c>
      <c r="AT29" s="41">
        <f>SUMIF('Data By District'!$B$7:$B$441,$B29,'Data By District'!$P$7:$P$441)</f>
        <v>1210409</v>
      </c>
      <c r="AU29" s="41">
        <f>SUMIF('Data By District'!$B$7:$B$441,$B29,'Data By District'!$Q$7:$Q$441)</f>
        <v>41990</v>
      </c>
      <c r="AV29" s="289">
        <f t="shared" si="9"/>
        <v>0.55484233749901812</v>
      </c>
      <c r="AW29" s="24">
        <f t="shared" si="10"/>
        <v>0.43023257053874286</v>
      </c>
      <c r="AX29" s="56">
        <f t="shared" si="11"/>
        <v>1.4925091962239056E-2</v>
      </c>
      <c r="AY29" s="25">
        <f>COUNTIF('Data By District'!$Y$7:$Y$441,$B29&amp;"-"&amp;AY$6)</f>
        <v>5</v>
      </c>
      <c r="AZ29" s="25">
        <f>COUNTIF('Data By District'!$Y$7:$Y$441,$B29&amp;"-"&amp;AZ$6)</f>
        <v>3</v>
      </c>
      <c r="BA29" s="25">
        <f>COUNTIF('Data By District'!$Y$7:$Y$441,$B29&amp;"-"&amp;BA$6)</f>
        <v>0</v>
      </c>
      <c r="BB29" s="285">
        <f t="shared" si="27"/>
        <v>0.625</v>
      </c>
      <c r="BC29" s="24">
        <f t="shared" si="28"/>
        <v>0.375</v>
      </c>
      <c r="BD29" s="56">
        <f t="shared" si="29"/>
        <v>0</v>
      </c>
      <c r="BE29" s="285">
        <f t="shared" si="12"/>
        <v>7.0157662500981877E-2</v>
      </c>
      <c r="BF29" s="24">
        <f t="shared" si="13"/>
        <v>5.5232570538742864E-2</v>
      </c>
      <c r="BG29" s="56">
        <f t="shared" si="14"/>
        <v>1.4925091962239056E-2</v>
      </c>
      <c r="BH29" s="50">
        <f t="shared" si="30"/>
        <v>1677179</v>
      </c>
      <c r="BI29" s="41">
        <f>'Data By District'!AE227</f>
        <v>1136204</v>
      </c>
      <c r="BJ29" s="41">
        <f>SUMIF('Data By District'!$B$7:$B$441,'Data By State'!$B29,'Data By District'!$AA$7:$AA$441)</f>
        <v>499219</v>
      </c>
      <c r="BK29" s="41">
        <f>SUMIF('Data By District'!$B$7:$B$441,'Data By State'!$B29,'Data By District'!$AB$7:$AB$441)</f>
        <v>615247</v>
      </c>
      <c r="BL29" s="50">
        <f>SUMIF('Data By District'!$B$7:$B$441,'Data By State'!$B29,'Data By District'!$AC$7:$AC$441)</f>
        <v>41990</v>
      </c>
      <c r="BM29" s="64">
        <f t="shared" si="31"/>
        <v>0.40385685134231636</v>
      </c>
      <c r="BN29" s="24">
        <f t="shared" si="33"/>
        <v>0.31981045289381571</v>
      </c>
      <c r="BO29" s="24">
        <f t="shared" si="34"/>
        <v>0.50829678232729603</v>
      </c>
      <c r="BP29" s="56">
        <f t="shared" si="35"/>
        <v>1</v>
      </c>
    </row>
    <row r="30" spans="1:68" ht="16" thickBot="1">
      <c r="A30" s="17" t="s">
        <v>88</v>
      </c>
      <c r="B30" s="26" t="s">
        <v>23</v>
      </c>
      <c r="C30" s="380">
        <v>1285584</v>
      </c>
      <c r="D30" s="380">
        <v>2152832</v>
      </c>
      <c r="E30" s="25">
        <f t="shared" si="0"/>
        <v>33</v>
      </c>
      <c r="F30" s="25">
        <f t="shared" si="1"/>
        <v>47</v>
      </c>
      <c r="G30" s="73">
        <f t="shared" si="18"/>
        <v>47</v>
      </c>
      <c r="H30" s="25">
        <f t="shared" si="19"/>
        <v>41</v>
      </c>
      <c r="I30" s="25">
        <f t="shared" si="20"/>
        <v>19</v>
      </c>
      <c r="J30" s="25">
        <f t="shared" si="21"/>
        <v>17</v>
      </c>
      <c r="K30" s="68">
        <f t="shared" si="22"/>
        <v>29</v>
      </c>
      <c r="L30" s="67">
        <f t="shared" si="2"/>
        <v>28.6</v>
      </c>
      <c r="M30" s="64">
        <f t="shared" si="23"/>
        <v>0.40754654590481498</v>
      </c>
      <c r="N30" s="33">
        <f>AVERAGE('Data By District'!V228:'Data By District'!V231)</f>
        <v>0.59448786971305112</v>
      </c>
      <c r="O30" s="29">
        <f t="shared" si="3"/>
        <v>1</v>
      </c>
      <c r="P30" s="29">
        <f>SUMIF('Data By District'!$B$7:$B$441,B30,'Data By District'!$T$7:$T$441)/D30</f>
        <v>0.38063954827873236</v>
      </c>
      <c r="Q30" s="29">
        <f t="shared" si="4"/>
        <v>0.12905849732033853</v>
      </c>
      <c r="R30" s="70">
        <f t="shared" si="5"/>
        <v>0.56120263912836676</v>
      </c>
      <c r="S30" s="69">
        <f t="shared" si="6"/>
        <v>4</v>
      </c>
      <c r="T30" s="25">
        <f>COUNTIF('Data By District'!$Z$7:$Z$441,$B30&amp;"-"&amp;T$6)</f>
        <v>0</v>
      </c>
      <c r="U30" s="25">
        <f>COUNTIF('Data By District'!$Z$7:$Z$441,$B30&amp;"-"&amp;U$6)</f>
        <v>0</v>
      </c>
      <c r="V30" s="25">
        <f>COUNTIF('Data By District'!$Z$7:$Z$441,$B30&amp;"-"&amp;V$6)</f>
        <v>0</v>
      </c>
      <c r="W30" s="25">
        <f>COUNTIF('Data By District'!$Z$7:$Z$441,$B30&amp;"-"&amp;W$6)</f>
        <v>3</v>
      </c>
      <c r="X30" s="25">
        <f>COUNTIF('Data By District'!$Z$7:$Z$441,$B30&amp;"-"&amp;X$6)-(Y30)</f>
        <v>0</v>
      </c>
      <c r="Y30" s="25">
        <f>COUNTIF('Data By District'!$X$7:$X$441,$B30&amp;"-"&amp;"Yes")</f>
        <v>1</v>
      </c>
      <c r="Z30" s="385">
        <f t="shared" si="7"/>
        <v>0.25</v>
      </c>
      <c r="AA30" s="387">
        <f>COUNTIF('Data By District'!$L$7:$L$441, $B30&amp;"-"&amp;1)</f>
        <v>0</v>
      </c>
      <c r="AB30" s="360">
        <f>COUNTIFS('Data By District'!$J$7:$J$441,$B30&amp;"-"&amp;"Yes",'Data By District'!$Z$7:$Z$441,$B30&amp;"-"&amp;X$6)+COUNTIFS('Data By District'!$J$7:$J$441,$B30&amp;"-"&amp;"Yes",'Data By District'!$Z$7:$Z$441,$B30&amp;"-"&amp;W$6)</f>
        <v>4</v>
      </c>
      <c r="AC30" s="357">
        <f t="shared" si="32"/>
        <v>1</v>
      </c>
      <c r="AD30" s="361">
        <f>COUNTIF('Data By District'!$J$7:$J$441,$B30&amp;"-"&amp;"Yes")</f>
        <v>4</v>
      </c>
      <c r="AE30" s="361">
        <f t="shared" si="24"/>
        <v>0</v>
      </c>
      <c r="AF30" s="361">
        <f>COUNTIF('Data By District'!$I$7:$I$441,$B30&amp;"-"&amp;"Yes")</f>
        <v>4</v>
      </c>
      <c r="AG30" s="361">
        <f>COUNTIFS('Data By District'!$J$7:$J$441,$B30&amp;"-"&amp;"Yes",'Data By District'!$Y$7:$Y$441,$B30&amp;"-"&amp;"Dem")</f>
        <v>1</v>
      </c>
      <c r="AH30" s="361">
        <f>COUNTIFS('Data By District'!$J$7:$J$441,$B30&amp;"-"&amp;"Yes",'Data By District'!$Y$7:$Y$441,$B30&amp;"-"&amp;"Rep")</f>
        <v>3</v>
      </c>
      <c r="AI30" s="361">
        <f>COUNTIFS('Data By District'!$J$7:$J$441,$B30&amp;"-"&amp;"Yes",'Data By District'!$Y$7:$Y$441,$B30&amp;"-"&amp;"Dem",'Data By District'!$J$7:$J$441,$B30&amp;"-"&amp;"Yes",'Data By District'!$Z$7:$Z$441,$B30&amp;"-"&amp;W$6)+COUNTIFS('Data By District'!$J$7:$J$441,$B30&amp;"-"&amp;"Yes",'Data By District'!$Y$7:$Y$441,$B30&amp;"-"&amp;"Dem",'Data By District'!$J$7:$J$441,$B30&amp;"-"&amp;"Yes",'Data By District'!$Z$7:$Z$441,$B30&amp;"-"&amp;X$6)</f>
        <v>1</v>
      </c>
      <c r="AJ30" s="361">
        <f>COUNTIFS('Data By District'!$J$7:$J$441,$B30&amp;"-"&amp;"Yes",'Data By District'!$Y$7:$Y$441,$B30&amp;"-"&amp;"Rep",'Data By District'!$J$7:$J$441,$B30&amp;"-"&amp;"Yes",'Data By District'!$Z$7:$Z$441,$B30&amp;"-"&amp;W$6)+COUNTIFS('Data By District'!$J$7:$J$441,$B30&amp;"-"&amp;"Yes",'Data By District'!$Y$7:$Y$441,$B30&amp;"-"&amp;"Rep",'Data By District'!$J$7:$J$441,$B30&amp;"-"&amp;"Yes",'Data By District'!$Z$7:$Z$441,$B30&amp;"-"&amp;X$6)</f>
        <v>3</v>
      </c>
      <c r="AK30" s="360">
        <f>COUNTIF('Data By District'!$D$7:$D$441,$B30&amp;"-"&amp;"Yes")</f>
        <v>0</v>
      </c>
      <c r="AL30" s="361">
        <f>COUNTIF('Data By District'!$E$7:$E$441,$B30&amp;"-"&amp;"Yes")</f>
        <v>1</v>
      </c>
      <c r="AM30" s="361">
        <f>COUNTIF('Data By District'!$F$7:$F$441,$B30&amp;"-"&amp;"Yes")</f>
        <v>0</v>
      </c>
      <c r="AN30" s="361">
        <f>COUNTIF('Data By District'!$G$7:$G$441,$B30&amp;"-"&amp;"Yes")</f>
        <v>0</v>
      </c>
      <c r="AO30" s="361">
        <f>COUNTIF('Data By District'!$H$7:$H$441,$B30&amp;"-"&amp;"Yes")</f>
        <v>0</v>
      </c>
      <c r="AP30" s="70">
        <f t="shared" si="8"/>
        <v>6.0213101594294889E-2</v>
      </c>
      <c r="AQ30" s="55">
        <f t="shared" si="25"/>
        <v>0.71944378918616925</v>
      </c>
      <c r="AR30" s="50">
        <f t="shared" si="26"/>
        <v>1208175</v>
      </c>
      <c r="AS30" s="41">
        <f>SUMIF('Data By District'!$B$7:$B$441,$B30,'Data By District'!$O$7:$O$441)</f>
        <v>411398</v>
      </c>
      <c r="AT30" s="41">
        <f>SUMIF('Data By District'!$B$7:$B$441,$B30,'Data By District'!$P$7:$P$441)</f>
        <v>703635</v>
      </c>
      <c r="AU30" s="41">
        <f>SUMIF('Data By District'!$B$7:$B$441,$B30,'Data By District'!$Q$7:$Q$441)</f>
        <v>93142</v>
      </c>
      <c r="AV30" s="289">
        <f t="shared" si="9"/>
        <v>0.34051192914933681</v>
      </c>
      <c r="AW30" s="24">
        <f t="shared" si="10"/>
        <v>0.58239493450865976</v>
      </c>
      <c r="AX30" s="56">
        <f t="shared" si="11"/>
        <v>7.7093136342003432E-2</v>
      </c>
      <c r="AY30" s="25">
        <f>COUNTIF('Data By District'!$Y$7:$Y$441,$B30&amp;"-"&amp;AY$6)</f>
        <v>1</v>
      </c>
      <c r="AZ30" s="25">
        <f>COUNTIF('Data By District'!$Y$7:$Y$441,$B30&amp;"-"&amp;AZ$6)</f>
        <v>3</v>
      </c>
      <c r="BA30" s="25">
        <f>COUNTIF('Data By District'!$Y$7:$Y$441,$B30&amp;"-"&amp;BA$6)</f>
        <v>0</v>
      </c>
      <c r="BB30" s="285">
        <f t="shared" si="27"/>
        <v>0.25</v>
      </c>
      <c r="BC30" s="24">
        <f t="shared" si="28"/>
        <v>0.75</v>
      </c>
      <c r="BD30" s="56">
        <f t="shared" si="29"/>
        <v>0</v>
      </c>
      <c r="BE30" s="285">
        <f t="shared" si="12"/>
        <v>9.0511929149336812E-2</v>
      </c>
      <c r="BF30" s="24">
        <f t="shared" si="13"/>
        <v>0.16760506549134024</v>
      </c>
      <c r="BG30" s="56">
        <f t="shared" si="14"/>
        <v>7.7093136342003432E-2</v>
      </c>
      <c r="BH30" s="50">
        <f t="shared" si="30"/>
        <v>869214</v>
      </c>
      <c r="BI30" s="41">
        <f>'Data By District'!AE231</f>
        <v>338961</v>
      </c>
      <c r="BJ30" s="41">
        <f>SUMIF('Data By District'!$B$7:$B$441,'Data By State'!$B30,'Data By District'!$AA$7:$AA$441)</f>
        <v>196420</v>
      </c>
      <c r="BK30" s="41">
        <f>SUMIF('Data By District'!$B$7:$B$441,'Data By State'!$B30,'Data By District'!$AB$7:$AB$441)</f>
        <v>99160</v>
      </c>
      <c r="BL30" s="50">
        <f>SUMIF('Data By District'!$B$7:$B$441,'Data By State'!$B30,'Data By District'!$AC$7:$AC$441)</f>
        <v>93142</v>
      </c>
      <c r="BM30" s="64">
        <f t="shared" si="31"/>
        <v>0.28055621081383075</v>
      </c>
      <c r="BN30" s="24">
        <f t="shared" si="33"/>
        <v>0.47744519905298521</v>
      </c>
      <c r="BO30" s="24">
        <f t="shared" si="34"/>
        <v>0.14092533771060281</v>
      </c>
      <c r="BP30" s="56">
        <f t="shared" si="35"/>
        <v>1</v>
      </c>
    </row>
    <row r="31" spans="1:68" ht="16" thickBot="1">
      <c r="A31" s="17" t="s">
        <v>89</v>
      </c>
      <c r="B31" s="26" t="s">
        <v>24</v>
      </c>
      <c r="C31" s="380">
        <v>2757323</v>
      </c>
      <c r="D31" s="380">
        <v>4410813</v>
      </c>
      <c r="E31" s="25">
        <f t="shared" si="0"/>
        <v>10</v>
      </c>
      <c r="F31" s="25">
        <f t="shared" si="1"/>
        <v>34</v>
      </c>
      <c r="G31" s="73">
        <f t="shared" si="18"/>
        <v>19</v>
      </c>
      <c r="H31" s="25">
        <f t="shared" si="19"/>
        <v>41</v>
      </c>
      <c r="I31" s="25">
        <f t="shared" si="20"/>
        <v>8</v>
      </c>
      <c r="J31" s="25">
        <f t="shared" si="21"/>
        <v>22</v>
      </c>
      <c r="K31" s="68">
        <f t="shared" si="22"/>
        <v>13</v>
      </c>
      <c r="L31" s="67">
        <f t="shared" si="2"/>
        <v>19.600000000000001</v>
      </c>
      <c r="M31" s="64">
        <f t="shared" si="23"/>
        <v>0.46137052670521611</v>
      </c>
      <c r="N31" s="33">
        <f>AVERAGE('Data By District'!V232:'Data By District'!V240)</f>
        <v>0.30040115137086953</v>
      </c>
      <c r="O31" s="29">
        <f t="shared" si="3"/>
        <v>1</v>
      </c>
      <c r="P31" s="29">
        <f>SUMIF('Data By District'!$B$7:$B$441,B31,'Data By District'!$T$7:$T$441)/D31</f>
        <v>0.39648518311703534</v>
      </c>
      <c r="Q31" s="29">
        <f t="shared" si="4"/>
        <v>0.18571658133712021</v>
      </c>
      <c r="R31" s="70">
        <f t="shared" si="5"/>
        <v>0.6066682037982567</v>
      </c>
      <c r="S31" s="69">
        <f t="shared" si="6"/>
        <v>8</v>
      </c>
      <c r="T31" s="25">
        <f>COUNTIF('Data By District'!$Z$7:$Z$441,$B31&amp;"-"&amp;T$6)</f>
        <v>0</v>
      </c>
      <c r="U31" s="25">
        <f>COUNTIF('Data By District'!$Z$7:$Z$441,$B31&amp;"-"&amp;U$6)</f>
        <v>0</v>
      </c>
      <c r="V31" s="25">
        <f>COUNTIF('Data By District'!$Z$7:$Z$441,$B31&amp;"-"&amp;V$6)</f>
        <v>0</v>
      </c>
      <c r="W31" s="25">
        <f>COUNTIF('Data By District'!$Z$7:$Z$441,$B31&amp;"-"&amp;W$6)</f>
        <v>6</v>
      </c>
      <c r="X31" s="25">
        <f>COUNTIF('Data By District'!$Z$7:$Z$441,$B31&amp;"-"&amp;X$6)-(Y31)</f>
        <v>2</v>
      </c>
      <c r="Y31" s="25">
        <f>COUNTIF('Data By District'!$X$7:$X$441,$B31&amp;"-"&amp;"Yes")</f>
        <v>0</v>
      </c>
      <c r="Z31" s="385">
        <f t="shared" si="7"/>
        <v>0</v>
      </c>
      <c r="AA31" s="387">
        <f>COUNTIF('Data By District'!$L$7:$L$441, $B31&amp;"-"&amp;1)</f>
        <v>0</v>
      </c>
      <c r="AB31" s="360">
        <f>COUNTIFS('Data By District'!$J$7:$J$441,$B31&amp;"-"&amp;"Yes",'Data By District'!$Z$7:$Z$441,$B31&amp;"-"&amp;X$6)+COUNTIFS('Data By District'!$J$7:$J$441,$B31&amp;"-"&amp;"Yes",'Data By District'!$Z$7:$Z$441,$B31&amp;"-"&amp;W$6)</f>
        <v>8</v>
      </c>
      <c r="AC31" s="357">
        <f t="shared" si="32"/>
        <v>1</v>
      </c>
      <c r="AD31" s="361">
        <f>COUNTIF('Data By District'!$J$7:$J$441,$B31&amp;"-"&amp;"Yes")</f>
        <v>8</v>
      </c>
      <c r="AE31" s="361">
        <f t="shared" si="24"/>
        <v>0</v>
      </c>
      <c r="AF31" s="361">
        <f>COUNTIF('Data By District'!$I$7:$I$441,$B31&amp;"-"&amp;"Yes")</f>
        <v>8</v>
      </c>
      <c r="AG31" s="361">
        <f>COUNTIFS('Data By District'!$J$7:$J$441,$B31&amp;"-"&amp;"Yes",'Data By District'!$Y$7:$Y$441,$B31&amp;"-"&amp;"Dem")</f>
        <v>2</v>
      </c>
      <c r="AH31" s="361">
        <f>COUNTIFS('Data By District'!$J$7:$J$441,$B31&amp;"-"&amp;"Yes",'Data By District'!$Y$7:$Y$441,$B31&amp;"-"&amp;"Rep")</f>
        <v>6</v>
      </c>
      <c r="AI31" s="361">
        <f>COUNTIFS('Data By District'!$J$7:$J$441,$B31&amp;"-"&amp;"Yes",'Data By District'!$Y$7:$Y$441,$B31&amp;"-"&amp;"Dem",'Data By District'!$J$7:$J$441,$B31&amp;"-"&amp;"Yes",'Data By District'!$Z$7:$Z$441,$B31&amp;"-"&amp;W$6)+COUNTIFS('Data By District'!$J$7:$J$441,$B31&amp;"-"&amp;"Yes",'Data By District'!$Y$7:$Y$441,$B31&amp;"-"&amp;"Dem",'Data By District'!$J$7:$J$441,$B31&amp;"-"&amp;"Yes",'Data By District'!$Z$7:$Z$441,$B31&amp;"-"&amp;X$6)</f>
        <v>2</v>
      </c>
      <c r="AJ31" s="361">
        <f>COUNTIFS('Data By District'!$J$7:$J$441,$B31&amp;"-"&amp;"Yes",'Data By District'!$Y$7:$Y$441,$B31&amp;"-"&amp;"Rep",'Data By District'!$J$7:$J$441,$B31&amp;"-"&amp;"Yes",'Data By District'!$Z$7:$Z$441,$B31&amp;"-"&amp;W$6)+COUNTIFS('Data By District'!$J$7:$J$441,$B31&amp;"-"&amp;"Yes",'Data By District'!$Y$7:$Y$441,$B31&amp;"-"&amp;"Rep",'Data By District'!$J$7:$J$441,$B31&amp;"-"&amp;"Yes",'Data By District'!$Z$7:$Z$441,$B31&amp;"-"&amp;X$6)</f>
        <v>6</v>
      </c>
      <c r="AK31" s="360">
        <f>COUNTIF('Data By District'!$D$7:$D$441,$B31&amp;"-"&amp;"Yes")</f>
        <v>2</v>
      </c>
      <c r="AL31" s="361">
        <f>COUNTIF('Data By District'!$E$7:$E$441,$B31&amp;"-"&amp;"Yes")</f>
        <v>2</v>
      </c>
      <c r="AM31" s="361">
        <f>COUNTIF('Data By District'!$F$7:$F$441,$B31&amp;"-"&amp;"Yes")</f>
        <v>0</v>
      </c>
      <c r="AN31" s="361">
        <f>COUNTIF('Data By District'!$G$7:$G$441,$B31&amp;"-"&amp;"Yes")</f>
        <v>0</v>
      </c>
      <c r="AO31" s="361">
        <f>COUNTIF('Data By District'!$H$7:$H$441,$B31&amp;"-"&amp;"Yes")</f>
        <v>0</v>
      </c>
      <c r="AP31" s="70">
        <f t="shared" si="8"/>
        <v>2.9529728653480206E-2</v>
      </c>
      <c r="AQ31" s="55">
        <f t="shared" si="25"/>
        <v>0.56653836092529619</v>
      </c>
      <c r="AR31" s="50">
        <f t="shared" si="26"/>
        <v>2675900</v>
      </c>
      <c r="AS31" s="41">
        <f>SUMIF('Data By District'!$B$7:$B$441,$B31,'Data By District'!$O$7:$O$441)</f>
        <v>1119554</v>
      </c>
      <c r="AT31" s="41">
        <f>SUMIF('Data By District'!$B$7:$B$441,$B31,'Data By District'!$P$7:$P$441)</f>
        <v>1463586</v>
      </c>
      <c r="AU31" s="41">
        <f>SUMIF('Data By District'!$B$7:$B$441,$B31,'Data By District'!$Q$7:$Q$441)</f>
        <v>92760</v>
      </c>
      <c r="AV31" s="289">
        <f t="shared" si="9"/>
        <v>0.41838409507081731</v>
      </c>
      <c r="AW31" s="24">
        <f t="shared" si="10"/>
        <v>0.54695093239657688</v>
      </c>
      <c r="AX31" s="56">
        <f t="shared" si="11"/>
        <v>3.4664972532605851E-2</v>
      </c>
      <c r="AY31" s="25">
        <f>COUNTIF('Data By District'!$Y$7:$Y$441,$B31&amp;"-"&amp;AY$6)</f>
        <v>2</v>
      </c>
      <c r="AZ31" s="25">
        <f>COUNTIF('Data By District'!$Y$7:$Y$441,$B31&amp;"-"&amp;AZ$6)</f>
        <v>6</v>
      </c>
      <c r="BA31" s="25">
        <f>COUNTIF('Data By District'!$Y$7:$Y$441,$B31&amp;"-"&amp;BA$6)</f>
        <v>0</v>
      </c>
      <c r="BB31" s="285">
        <f t="shared" si="27"/>
        <v>0.25</v>
      </c>
      <c r="BC31" s="24">
        <f t="shared" si="28"/>
        <v>0.75</v>
      </c>
      <c r="BD31" s="56">
        <f t="shared" si="29"/>
        <v>0</v>
      </c>
      <c r="BE31" s="285">
        <f t="shared" si="12"/>
        <v>0.16838409507081731</v>
      </c>
      <c r="BF31" s="24">
        <f t="shared" si="13"/>
        <v>0.20304906760342312</v>
      </c>
      <c r="BG31" s="56">
        <f t="shared" si="14"/>
        <v>3.4664972532605851E-2</v>
      </c>
      <c r="BH31" s="50">
        <f t="shared" si="30"/>
        <v>1516000</v>
      </c>
      <c r="BI31" s="41">
        <f>'Data By District'!AE240</f>
        <v>1159900</v>
      </c>
      <c r="BJ31" s="41">
        <f>SUMIF('Data By District'!$B$7:$B$441,'Data By State'!$B31,'Data By District'!$AA$7:$AA$441)</f>
        <v>651337</v>
      </c>
      <c r="BK31" s="41">
        <f>SUMIF('Data By District'!$B$7:$B$441,'Data By State'!$B31,'Data By District'!$AB$7:$AB$441)</f>
        <v>182981</v>
      </c>
      <c r="BL31" s="50">
        <f>SUMIF('Data By District'!$B$7:$B$441,'Data By State'!$B31,'Data By District'!$AC$7:$AC$441)</f>
        <v>92760</v>
      </c>
      <c r="BM31" s="64">
        <f t="shared" si="31"/>
        <v>0.43346163907470386</v>
      </c>
      <c r="BN31" s="24">
        <f t="shared" si="33"/>
        <v>0.58178256698649644</v>
      </c>
      <c r="BO31" s="24">
        <f t="shared" si="34"/>
        <v>0.12502237654637308</v>
      </c>
      <c r="BP31" s="56">
        <f t="shared" si="35"/>
        <v>1</v>
      </c>
    </row>
    <row r="32" spans="1:68" ht="16" thickBot="1">
      <c r="A32" s="17" t="s">
        <v>90</v>
      </c>
      <c r="B32" s="26" t="s">
        <v>25</v>
      </c>
      <c r="C32" s="380">
        <v>484048</v>
      </c>
      <c r="D32" s="380">
        <v>773147</v>
      </c>
      <c r="E32" s="25">
        <f t="shared" si="0"/>
        <v>25</v>
      </c>
      <c r="F32" s="25">
        <f t="shared" si="1"/>
        <v>3</v>
      </c>
      <c r="G32" s="73">
        <f t="shared" si="18"/>
        <v>1</v>
      </c>
      <c r="H32" s="25">
        <f t="shared" si="19"/>
        <v>1</v>
      </c>
      <c r="I32" s="25">
        <f t="shared" si="20"/>
        <v>38</v>
      </c>
      <c r="J32" s="25">
        <f t="shared" si="21"/>
        <v>49</v>
      </c>
      <c r="K32" s="68">
        <f t="shared" si="22"/>
        <v>11</v>
      </c>
      <c r="L32" s="67">
        <f t="shared" si="2"/>
        <v>25.4</v>
      </c>
      <c r="M32" s="64">
        <f t="shared" si="23"/>
        <v>0.63952025856020878</v>
      </c>
      <c r="N32" s="33">
        <f>('Data By District'!V241)</f>
        <v>1.5913942615771372E-2</v>
      </c>
      <c r="O32" s="29">
        <f t="shared" si="3"/>
        <v>0</v>
      </c>
      <c r="P32" s="29">
        <f>SUMIF('Data By District'!$B$7:$B$441,B32,'Data By District'!$T$7:$T$441)/D32</f>
        <v>0.33042616733945807</v>
      </c>
      <c r="Q32" s="29">
        <f t="shared" si="4"/>
        <v>0.4473370992621003</v>
      </c>
      <c r="R32" s="70">
        <f t="shared" si="5"/>
        <v>0.62050295739361339</v>
      </c>
      <c r="S32" s="69">
        <f t="shared" si="6"/>
        <v>1</v>
      </c>
      <c r="T32" s="25">
        <f>COUNTIF('Data By District'!$Z$7:$Z$441,$B32&amp;"-"&amp;T$6)</f>
        <v>0</v>
      </c>
      <c r="U32" s="25">
        <f>COUNTIF('Data By District'!$Z$7:$Z$441,$B32&amp;"-"&amp;U$6)</f>
        <v>0</v>
      </c>
      <c r="V32" s="25">
        <f>COUNTIF('Data By District'!$Z$7:$Z$441,$B32&amp;"-"&amp;V$6)</f>
        <v>1</v>
      </c>
      <c r="W32" s="25">
        <f>COUNTIF('Data By District'!$Z$7:$Z$441,$B32&amp;"-"&amp;W$6)</f>
        <v>0</v>
      </c>
      <c r="X32" s="25">
        <f>COUNTIF('Data By District'!$Z$7:$Z$441,$B32&amp;"-"&amp;X$6)-(Y32)</f>
        <v>0</v>
      </c>
      <c r="Y32" s="25">
        <f>COUNTIF('Data By District'!$X$7:$X$441,$B32&amp;"-"&amp;"Yes")</f>
        <v>0</v>
      </c>
      <c r="Z32" s="385">
        <f t="shared" si="7"/>
        <v>0</v>
      </c>
      <c r="AA32" s="387">
        <f>COUNTIF('Data By District'!$L$7:$L$441, $B32&amp;"-"&amp;1)</f>
        <v>0</v>
      </c>
      <c r="AB32" s="360">
        <f>COUNTIFS('Data By District'!$J$7:$J$441,$B32&amp;"-"&amp;"Yes",'Data By District'!$Z$7:$Z$441,$B32&amp;"-"&amp;X$6)+COUNTIFS('Data By District'!$J$7:$J$441,$B32&amp;"-"&amp;"Yes",'Data By District'!$Z$7:$Z$441,$B32&amp;"-"&amp;W$6)</f>
        <v>0</v>
      </c>
      <c r="AC32" s="357">
        <f t="shared" si="32"/>
        <v>0</v>
      </c>
      <c r="AD32" s="361">
        <f>COUNTIF('Data By District'!$J$7:$J$441,$B32&amp;"-"&amp;"Yes")</f>
        <v>1</v>
      </c>
      <c r="AE32" s="361">
        <f t="shared" si="24"/>
        <v>0</v>
      </c>
      <c r="AF32" s="361">
        <f>COUNTIF('Data By District'!$I$7:$I$441,$B32&amp;"-"&amp;"Yes")</f>
        <v>1</v>
      </c>
      <c r="AG32" s="361">
        <f>COUNTIFS('Data By District'!$J$7:$J$441,$B32&amp;"-"&amp;"Yes",'Data By District'!$Y$7:$Y$441,$B32&amp;"-"&amp;"Dem")</f>
        <v>0</v>
      </c>
      <c r="AH32" s="361">
        <f>COUNTIFS('Data By District'!$J$7:$J$441,$B32&amp;"-"&amp;"Yes",'Data By District'!$Y$7:$Y$441,$B32&amp;"-"&amp;"Rep")</f>
        <v>1</v>
      </c>
      <c r="AI32" s="361">
        <f>COUNTIFS('Data By District'!$J$7:$J$441,$B32&amp;"-"&amp;"Yes",'Data By District'!$Y$7:$Y$441,$B32&amp;"-"&amp;"Dem",'Data By District'!$J$7:$J$441,$B32&amp;"-"&amp;"Yes",'Data By District'!$Z$7:$Z$441,$B32&amp;"-"&amp;W$6)+COUNTIFS('Data By District'!$J$7:$J$441,$B32&amp;"-"&amp;"Yes",'Data By District'!$Y$7:$Y$441,$B32&amp;"-"&amp;"Dem",'Data By District'!$J$7:$J$441,$B32&amp;"-"&amp;"Yes",'Data By District'!$Z$7:$Z$441,$B32&amp;"-"&amp;X$6)</f>
        <v>0</v>
      </c>
      <c r="AJ32" s="361">
        <f>COUNTIFS('Data By District'!$J$7:$J$441,$B32&amp;"-"&amp;"Yes",'Data By District'!$Y$7:$Y$441,$B32&amp;"-"&amp;"Rep",'Data By District'!$J$7:$J$441,$B32&amp;"-"&amp;"Yes",'Data By District'!$Z$7:$Z$441,$B32&amp;"-"&amp;W$6)+COUNTIFS('Data By District'!$J$7:$J$441,$B32&amp;"-"&amp;"Yes",'Data By District'!$Y$7:$Y$441,$B32&amp;"-"&amp;"Rep",'Data By District'!$J$7:$J$441,$B32&amp;"-"&amp;"Yes",'Data By District'!$Z$7:$Z$441,$B32&amp;"-"&amp;X$6)</f>
        <v>0</v>
      </c>
      <c r="AK32" s="360">
        <f>COUNTIF('Data By District'!$D$7:$D$441,$B32&amp;"-"&amp;"Yes")</f>
        <v>0</v>
      </c>
      <c r="AL32" s="361">
        <f>COUNTIF('Data By District'!$E$7:$E$441,$B32&amp;"-"&amp;"Yes")</f>
        <v>0</v>
      </c>
      <c r="AM32" s="361">
        <f>COUNTIF('Data By District'!$F$7:$F$441,$B32&amp;"-"&amp;"Yes")</f>
        <v>0</v>
      </c>
      <c r="AN32" s="361">
        <f>COUNTIF('Data By District'!$G$7:$G$441,$B32&amp;"-"&amp;"Yes")</f>
        <v>0</v>
      </c>
      <c r="AO32" s="361">
        <f>COUNTIF('Data By District'!$H$7:$H$441,$B32&amp;"-"&amp;"Yes")</f>
        <v>0</v>
      </c>
      <c r="AP32" s="70">
        <f t="shared" si="8"/>
        <v>8.8999438072257294E-3</v>
      </c>
      <c r="AQ32" s="55">
        <f t="shared" si="25"/>
        <v>0.72950556551465373</v>
      </c>
      <c r="AR32" s="50">
        <f t="shared" si="26"/>
        <v>479740</v>
      </c>
      <c r="AS32" s="41">
        <f>SUMIF('Data By District'!$B$7:$B$441,$B32,'Data By District'!$O$7:$O$441)</f>
        <v>204939</v>
      </c>
      <c r="AT32" s="41">
        <f>SUMIF('Data By District'!$B$7:$B$441,$B32,'Data By District'!$P$7:$P$441)</f>
        <v>255468</v>
      </c>
      <c r="AU32" s="41">
        <f>SUMIF('Data By District'!$B$7:$B$441,$B32,'Data By District'!$Q$7:$Q$441)</f>
        <v>19333</v>
      </c>
      <c r="AV32" s="289">
        <f t="shared" si="9"/>
        <v>0.42718764330679115</v>
      </c>
      <c r="AW32" s="24">
        <f t="shared" si="10"/>
        <v>0.53251344478259055</v>
      </c>
      <c r="AX32" s="56">
        <f t="shared" si="11"/>
        <v>4.0298911910618254E-2</v>
      </c>
      <c r="AY32" s="25">
        <f>COUNTIF('Data By District'!$Y$7:$Y$441,$B32&amp;"-"&amp;AY$6)</f>
        <v>0</v>
      </c>
      <c r="AZ32" s="25">
        <f>COUNTIF('Data By District'!$Y$7:$Y$441,$B32&amp;"-"&amp;AZ$6)</f>
        <v>1</v>
      </c>
      <c r="BA32" s="25">
        <f>COUNTIF('Data By District'!$Y$7:$Y$441,$B32&amp;"-"&amp;BA$6)</f>
        <v>0</v>
      </c>
      <c r="BB32" s="285">
        <f t="shared" si="27"/>
        <v>0</v>
      </c>
      <c r="BC32" s="24">
        <f t="shared" si="28"/>
        <v>1</v>
      </c>
      <c r="BD32" s="56">
        <f t="shared" si="29"/>
        <v>0</v>
      </c>
      <c r="BE32" s="285">
        <f t="shared" si="12"/>
        <v>0.42718764330679115</v>
      </c>
      <c r="BF32" s="24">
        <f t="shared" si="13"/>
        <v>0.46748655521740945</v>
      </c>
      <c r="BG32" s="56">
        <f t="shared" si="14"/>
        <v>4.0298911910618254E-2</v>
      </c>
      <c r="BH32" s="50">
        <f t="shared" si="30"/>
        <v>349973</v>
      </c>
      <c r="BI32" s="41">
        <f>'Data By District'!AE241</f>
        <v>129767</v>
      </c>
      <c r="BJ32" s="41">
        <f>SUMIF('Data By District'!$B$7:$B$441,'Data By State'!$B32,'Data By District'!$AA$7:$AA$441)</f>
        <v>204939</v>
      </c>
      <c r="BK32" s="41">
        <f>SUMIF('Data By District'!$B$7:$B$441,'Data By State'!$B32,'Data By District'!$AB$7:$AB$441)</f>
        <v>0</v>
      </c>
      <c r="BL32" s="50">
        <f>SUMIF('Data By District'!$B$7:$B$441,'Data By State'!$B32,'Data By District'!$AC$7:$AC$441)</f>
        <v>19333</v>
      </c>
      <c r="BM32" s="64">
        <f t="shared" si="31"/>
        <v>0.27049443448534621</v>
      </c>
      <c r="BN32" s="24">
        <f t="shared" si="33"/>
        <v>1</v>
      </c>
      <c r="BO32" s="24">
        <f t="shared" si="34"/>
        <v>0</v>
      </c>
      <c r="BP32" s="56">
        <f t="shared" si="35"/>
        <v>1</v>
      </c>
    </row>
    <row r="33" spans="1:68" ht="16" thickBot="1">
      <c r="A33" s="17" t="s">
        <v>91</v>
      </c>
      <c r="B33" s="26" t="s">
        <v>26</v>
      </c>
      <c r="C33" s="380">
        <v>794379</v>
      </c>
      <c r="D33" s="380">
        <v>1321948</v>
      </c>
      <c r="E33" s="25">
        <f t="shared" si="0"/>
        <v>32</v>
      </c>
      <c r="F33" s="25">
        <f t="shared" si="1"/>
        <v>33</v>
      </c>
      <c r="G33" s="73">
        <f t="shared" si="18"/>
        <v>30</v>
      </c>
      <c r="H33" s="25">
        <f t="shared" si="19"/>
        <v>26</v>
      </c>
      <c r="I33" s="25">
        <f t="shared" si="20"/>
        <v>21</v>
      </c>
      <c r="J33" s="25">
        <f t="shared" si="21"/>
        <v>44</v>
      </c>
      <c r="K33" s="68">
        <f t="shared" si="22"/>
        <v>21</v>
      </c>
      <c r="L33" s="67">
        <f t="shared" si="2"/>
        <v>28.4</v>
      </c>
      <c r="M33" s="64">
        <f t="shared" si="23"/>
        <v>0.47543585852391279</v>
      </c>
      <c r="N33" s="33">
        <f>AVERAGE('Data By District'!V242:'Data By District'!V244)</f>
        <v>0.34939534279388956</v>
      </c>
      <c r="O33" s="29">
        <f t="shared" si="3"/>
        <v>0.66666666666666663</v>
      </c>
      <c r="P33" s="29">
        <f>SUMIF('Data By District'!$B$7:$B$441,B33,'Data By District'!$T$7:$T$441)/D33</f>
        <v>0.37541264860645046</v>
      </c>
      <c r="Q33" s="29">
        <f t="shared" si="4"/>
        <v>0.35758399513278061</v>
      </c>
      <c r="R33" s="70">
        <f t="shared" si="5"/>
        <v>0.58437623870227873</v>
      </c>
      <c r="S33" s="69">
        <f t="shared" si="6"/>
        <v>3</v>
      </c>
      <c r="T33" s="25">
        <f>COUNTIF('Data By District'!$Z$7:$Z$441,$B33&amp;"-"&amp;T$6)</f>
        <v>1</v>
      </c>
      <c r="U33" s="25">
        <f>COUNTIF('Data By District'!$Z$7:$Z$441,$B33&amp;"-"&amp;U$6)</f>
        <v>0</v>
      </c>
      <c r="V33" s="25">
        <f>COUNTIF('Data By District'!$Z$7:$Z$441,$B33&amp;"-"&amp;V$6)</f>
        <v>0</v>
      </c>
      <c r="W33" s="25">
        <f>COUNTIF('Data By District'!$Z$7:$Z$441,$B33&amp;"-"&amp;W$6)</f>
        <v>1</v>
      </c>
      <c r="X33" s="25">
        <f>COUNTIF('Data By District'!$Z$7:$Z$441,$B33&amp;"-"&amp;X$6)-(Y33)</f>
        <v>1</v>
      </c>
      <c r="Y33" s="25">
        <f>COUNTIF('Data By District'!$X$7:$X$441,$B33&amp;"-"&amp;"Yes")</f>
        <v>0</v>
      </c>
      <c r="Z33" s="385">
        <f t="shared" si="7"/>
        <v>0</v>
      </c>
      <c r="AA33" s="387">
        <f>COUNTIF('Data By District'!$L$7:$L$441, $B33&amp;"-"&amp;1)</f>
        <v>0</v>
      </c>
      <c r="AB33" s="360">
        <f>COUNTIFS('Data By District'!$J$7:$J$441,$B33&amp;"-"&amp;"Yes",'Data By District'!$Z$7:$Z$441,$B33&amp;"-"&amp;X$6)+COUNTIFS('Data By District'!$J$7:$J$441,$B33&amp;"-"&amp;"Yes",'Data By District'!$Z$7:$Z$441,$B33&amp;"-"&amp;W$6)</f>
        <v>2</v>
      </c>
      <c r="AC33" s="357">
        <f t="shared" si="32"/>
        <v>0.66666666666666663</v>
      </c>
      <c r="AD33" s="361">
        <f>COUNTIF('Data By District'!$J$7:$J$441,$B33&amp;"-"&amp;"Yes")</f>
        <v>3</v>
      </c>
      <c r="AE33" s="361">
        <f t="shared" si="24"/>
        <v>0</v>
      </c>
      <c r="AF33" s="361">
        <f>COUNTIF('Data By District'!$I$7:$I$441,$B33&amp;"-"&amp;"Yes")</f>
        <v>3</v>
      </c>
      <c r="AG33" s="361">
        <f>COUNTIFS('Data By District'!$J$7:$J$441,$B33&amp;"-"&amp;"Yes",'Data By District'!$Y$7:$Y$441,$B33&amp;"-"&amp;"Dem")</f>
        <v>0</v>
      </c>
      <c r="AH33" s="361">
        <f>COUNTIFS('Data By District'!$J$7:$J$441,$B33&amp;"-"&amp;"Yes",'Data By District'!$Y$7:$Y$441,$B33&amp;"-"&amp;"Rep")</f>
        <v>3</v>
      </c>
      <c r="AI33" s="361">
        <f>COUNTIFS('Data By District'!$J$7:$J$441,$B33&amp;"-"&amp;"Yes",'Data By District'!$Y$7:$Y$441,$B33&amp;"-"&amp;"Dem",'Data By District'!$J$7:$J$441,$B33&amp;"-"&amp;"Yes",'Data By District'!$Z$7:$Z$441,$B33&amp;"-"&amp;W$6)+COUNTIFS('Data By District'!$J$7:$J$441,$B33&amp;"-"&amp;"Yes",'Data By District'!$Y$7:$Y$441,$B33&amp;"-"&amp;"Dem",'Data By District'!$J$7:$J$441,$B33&amp;"-"&amp;"Yes",'Data By District'!$Z$7:$Z$441,$B33&amp;"-"&amp;X$6)</f>
        <v>0</v>
      </c>
      <c r="AJ33" s="361">
        <f>COUNTIFS('Data By District'!$J$7:$J$441,$B33&amp;"-"&amp;"Yes",'Data By District'!$Y$7:$Y$441,$B33&amp;"-"&amp;"Rep",'Data By District'!$J$7:$J$441,$B33&amp;"-"&amp;"Yes",'Data By District'!$Z$7:$Z$441,$B33&amp;"-"&amp;W$6)+COUNTIFS('Data By District'!$J$7:$J$441,$B33&amp;"-"&amp;"Yes",'Data By District'!$Y$7:$Y$441,$B33&amp;"-"&amp;"Rep",'Data By District'!$J$7:$J$441,$B33&amp;"-"&amp;"Yes",'Data By District'!$Z$7:$Z$441,$B33&amp;"-"&amp;X$6)</f>
        <v>2</v>
      </c>
      <c r="AK33" s="360">
        <f>COUNTIF('Data By District'!$D$7:$D$441,$B33&amp;"-"&amp;"Yes")</f>
        <v>0</v>
      </c>
      <c r="AL33" s="361">
        <f>COUNTIF('Data By District'!$E$7:$E$441,$B33&amp;"-"&amp;"Yes")</f>
        <v>0</v>
      </c>
      <c r="AM33" s="361">
        <f>COUNTIF('Data By District'!$F$7:$F$441,$B33&amp;"-"&amp;"Yes")</f>
        <v>0</v>
      </c>
      <c r="AN33" s="361">
        <f>COUNTIF('Data By District'!$G$7:$G$441,$B33&amp;"-"&amp;"Yes")</f>
        <v>0</v>
      </c>
      <c r="AO33" s="361">
        <f>COUNTIF('Data By District'!$H$7:$H$441,$B33&amp;"-"&amp;"Yes")</f>
        <v>0</v>
      </c>
      <c r="AP33" s="70">
        <f t="shared" si="8"/>
        <v>2.7523386192233178E-2</v>
      </c>
      <c r="AQ33" s="55">
        <f t="shared" si="25"/>
        <v>0.67662375487854609</v>
      </c>
      <c r="AR33" s="50">
        <f t="shared" si="26"/>
        <v>772515</v>
      </c>
      <c r="AS33" s="41">
        <f>SUMIF('Data By District'!$B$7:$B$441,$B33,'Data By District'!$O$7:$O$441)</f>
        <v>276239</v>
      </c>
      <c r="AT33" s="41">
        <f>SUMIF('Data By District'!$B$7:$B$441,$B33,'Data By District'!$P$7:$P$441)</f>
        <v>496276</v>
      </c>
      <c r="AU33" s="41">
        <f>SUMIF('Data By District'!$B$7:$B$441,$B33,'Data By District'!$Q$7:$Q$441)</f>
        <v>0</v>
      </c>
      <c r="AV33" s="289">
        <f t="shared" si="9"/>
        <v>0.35758399513278061</v>
      </c>
      <c r="AW33" s="24">
        <f t="shared" si="10"/>
        <v>0.64241600486721939</v>
      </c>
      <c r="AX33" s="56">
        <f t="shared" si="11"/>
        <v>0</v>
      </c>
      <c r="AY33" s="25">
        <f>COUNTIF('Data By District'!$Y$7:$Y$441,$B33&amp;"-"&amp;AY$6)</f>
        <v>0</v>
      </c>
      <c r="AZ33" s="25">
        <f>COUNTIF('Data By District'!$Y$7:$Y$441,$B33&amp;"-"&amp;AZ$6)</f>
        <v>3</v>
      </c>
      <c r="BA33" s="25">
        <f>COUNTIF('Data By District'!$Y$7:$Y$441,$B33&amp;"-"&amp;BA$6)</f>
        <v>0</v>
      </c>
      <c r="BB33" s="285">
        <f t="shared" si="27"/>
        <v>0</v>
      </c>
      <c r="BC33" s="24">
        <f t="shared" si="28"/>
        <v>1</v>
      </c>
      <c r="BD33" s="56">
        <f t="shared" si="29"/>
        <v>0</v>
      </c>
      <c r="BE33" s="285">
        <f t="shared" si="12"/>
        <v>0.35758399513278061</v>
      </c>
      <c r="BF33" s="24">
        <f t="shared" si="13"/>
        <v>0.35758399513278061</v>
      </c>
      <c r="BG33" s="56">
        <f t="shared" si="14"/>
        <v>0</v>
      </c>
      <c r="BH33" s="50">
        <f t="shared" si="30"/>
        <v>522702</v>
      </c>
      <c r="BI33" s="41">
        <f>'Data By District'!AE244</f>
        <v>249813</v>
      </c>
      <c r="BJ33" s="41">
        <f>SUMIF('Data By District'!$B$7:$B$441,'Data By State'!$B33,'Data By District'!$AA$7:$AA$441)</f>
        <v>276239</v>
      </c>
      <c r="BK33" s="41">
        <f>SUMIF('Data By District'!$B$7:$B$441,'Data By State'!$B33,'Data By District'!$AB$7:$AB$441)</f>
        <v>0</v>
      </c>
      <c r="BL33" s="50">
        <f>SUMIF('Data By District'!$B$7:$B$441,'Data By State'!$B33,'Data By District'!$AC$7:$AC$441)</f>
        <v>0</v>
      </c>
      <c r="BM33" s="64">
        <f t="shared" si="31"/>
        <v>0.32337624512145396</v>
      </c>
      <c r="BN33" s="24">
        <f t="shared" si="33"/>
        <v>1</v>
      </c>
      <c r="BO33" s="24">
        <f t="shared" si="34"/>
        <v>0</v>
      </c>
      <c r="BP33" s="56" t="e">
        <f t="shared" si="35"/>
        <v>#DIV/0!</v>
      </c>
    </row>
    <row r="34" spans="1:68" ht="16" thickBot="1">
      <c r="A34" s="17" t="s">
        <v>92</v>
      </c>
      <c r="B34" s="26" t="s">
        <v>27</v>
      </c>
      <c r="C34" s="380">
        <v>1014918</v>
      </c>
      <c r="D34" s="380">
        <v>1776403</v>
      </c>
      <c r="E34" s="25">
        <f t="shared" si="0"/>
        <v>15</v>
      </c>
      <c r="F34" s="25">
        <f t="shared" si="1"/>
        <v>5</v>
      </c>
      <c r="G34" s="73">
        <f t="shared" si="18"/>
        <v>3</v>
      </c>
      <c r="H34" s="25">
        <f t="shared" si="19"/>
        <v>10</v>
      </c>
      <c r="I34" s="25">
        <f t="shared" si="20"/>
        <v>47</v>
      </c>
      <c r="J34" s="25">
        <f t="shared" si="21"/>
        <v>2</v>
      </c>
      <c r="K34" s="68">
        <f t="shared" si="22"/>
        <v>33</v>
      </c>
      <c r="L34" s="67">
        <f t="shared" si="2"/>
        <v>21.8</v>
      </c>
      <c r="M34" s="64">
        <f t="shared" si="23"/>
        <v>0.59997199362035702</v>
      </c>
      <c r="N34" s="33">
        <f>AVERAGE('Data By District'!V245:'Data By District'!V247)</f>
        <v>6.8821985022584867E-2</v>
      </c>
      <c r="O34" s="29">
        <f t="shared" si="3"/>
        <v>0.5</v>
      </c>
      <c r="P34" s="29">
        <f>SUMIF('Data By District'!$B$7:$B$441,B34,'Data By District'!$T$7:$T$441)/D34</f>
        <v>0.30056524335975565</v>
      </c>
      <c r="Q34" s="29">
        <f t="shared" si="4"/>
        <v>3.2448533595141216E-2</v>
      </c>
      <c r="R34" s="70">
        <f t="shared" si="5"/>
        <v>0.54815376916161485</v>
      </c>
      <c r="S34" s="69">
        <f t="shared" si="6"/>
        <v>4</v>
      </c>
      <c r="T34" s="25">
        <f>COUNTIF('Data By District'!$Z$7:$Z$441,$B34&amp;"-"&amp;T$6)</f>
        <v>0</v>
      </c>
      <c r="U34" s="25">
        <f>COUNTIF('Data By District'!$Z$7:$Z$441,$B34&amp;"-"&amp;U$6)</f>
        <v>2</v>
      </c>
      <c r="V34" s="25">
        <f>COUNTIF('Data By District'!$Z$7:$Z$441,$B34&amp;"-"&amp;V$6)</f>
        <v>0</v>
      </c>
      <c r="W34" s="25">
        <f>COUNTIF('Data By District'!$Z$7:$Z$441,$B34&amp;"-"&amp;W$6)</f>
        <v>2</v>
      </c>
      <c r="X34" s="25">
        <f>COUNTIF('Data By District'!$Z$7:$Z$441,$B34&amp;"-"&amp;X$6)-(Y34)</f>
        <v>0</v>
      </c>
      <c r="Y34" s="25">
        <f>COUNTIF('Data By District'!$X$7:$X$441,$B34&amp;"-"&amp;"Yes")</f>
        <v>0</v>
      </c>
      <c r="Z34" s="385">
        <f t="shared" si="7"/>
        <v>0</v>
      </c>
      <c r="AA34" s="387">
        <f>COUNTIF('Data By District'!$L$7:$L$441, $B34&amp;"-"&amp;1)</f>
        <v>0</v>
      </c>
      <c r="AB34" s="360">
        <f>COUNTIFS('Data By District'!$J$7:$J$441,$B34&amp;"-"&amp;"Yes",'Data By District'!$Z$7:$Z$441,$B34&amp;"-"&amp;X$6)+COUNTIFS('Data By District'!$J$7:$J$441,$B34&amp;"-"&amp;"Yes",'Data By District'!$Z$7:$Z$441,$B34&amp;"-"&amp;W$6)</f>
        <v>2</v>
      </c>
      <c r="AC34" s="357">
        <f t="shared" si="32"/>
        <v>0.5</v>
      </c>
      <c r="AD34" s="361">
        <f>COUNTIF('Data By District'!$J$7:$J$441,$B34&amp;"-"&amp;"Yes")</f>
        <v>4</v>
      </c>
      <c r="AE34" s="361">
        <f t="shared" si="24"/>
        <v>0</v>
      </c>
      <c r="AF34" s="361">
        <f>COUNTIF('Data By District'!$I$7:$I$441,$B34&amp;"-"&amp;"Yes")</f>
        <v>4</v>
      </c>
      <c r="AG34" s="361">
        <f>COUNTIFS('Data By District'!$J$7:$J$441,$B34&amp;"-"&amp;"Yes",'Data By District'!$Y$7:$Y$441,$B34&amp;"-"&amp;"Dem")</f>
        <v>2</v>
      </c>
      <c r="AH34" s="361">
        <f>COUNTIFS('Data By District'!$J$7:$J$441,$B34&amp;"-"&amp;"Yes",'Data By District'!$Y$7:$Y$441,$B34&amp;"-"&amp;"Rep")</f>
        <v>2</v>
      </c>
      <c r="AI34" s="361">
        <f>COUNTIFS('Data By District'!$J$7:$J$441,$B34&amp;"-"&amp;"Yes",'Data By District'!$Y$7:$Y$441,$B34&amp;"-"&amp;"Dem",'Data By District'!$J$7:$J$441,$B34&amp;"-"&amp;"Yes",'Data By District'!$Z$7:$Z$441,$B34&amp;"-"&amp;W$6)+COUNTIFS('Data By District'!$J$7:$J$441,$B34&amp;"-"&amp;"Yes",'Data By District'!$Y$7:$Y$441,$B34&amp;"-"&amp;"Dem",'Data By District'!$J$7:$J$441,$B34&amp;"-"&amp;"Yes",'Data By District'!$Z$7:$Z$441,$B34&amp;"-"&amp;X$6)</f>
        <v>1</v>
      </c>
      <c r="AJ34" s="361">
        <f>COUNTIFS('Data By District'!$J$7:$J$441,$B34&amp;"-"&amp;"Yes",'Data By District'!$Y$7:$Y$441,$B34&amp;"-"&amp;"Rep",'Data By District'!$J$7:$J$441,$B34&amp;"-"&amp;"Yes",'Data By District'!$Z$7:$Z$441,$B34&amp;"-"&amp;W$6)+COUNTIFS('Data By District'!$J$7:$J$441,$B34&amp;"-"&amp;"Yes",'Data By District'!$Y$7:$Y$441,$B34&amp;"-"&amp;"Rep",'Data By District'!$J$7:$J$441,$B34&amp;"-"&amp;"Yes",'Data By District'!$Z$7:$Z$441,$B34&amp;"-"&amp;X$6)</f>
        <v>1</v>
      </c>
      <c r="AK34" s="360">
        <f>COUNTIF('Data By District'!$D$7:$D$441,$B34&amp;"-"&amp;"Yes")</f>
        <v>1</v>
      </c>
      <c r="AL34" s="361">
        <f>COUNTIF('Data By District'!$E$7:$E$441,$B34&amp;"-"&amp;"Yes")</f>
        <v>1</v>
      </c>
      <c r="AM34" s="361">
        <f>COUNTIF('Data By District'!$F$7:$F$441,$B34&amp;"-"&amp;"Yes")</f>
        <v>0</v>
      </c>
      <c r="AN34" s="361">
        <f>COUNTIF('Data By District'!$G$7:$G$441,$B34&amp;"-"&amp;"Yes")</f>
        <v>0</v>
      </c>
      <c r="AO34" s="361">
        <f>COUNTIF('Data By District'!$H$7:$H$441,$B34&amp;"-"&amp;"Yes")</f>
        <v>0</v>
      </c>
      <c r="AP34" s="70">
        <f t="shared" si="8"/>
        <v>4.0570765322912788E-2</v>
      </c>
      <c r="AQ34" s="55">
        <f t="shared" si="25"/>
        <v>0.55979920759297641</v>
      </c>
      <c r="AR34" s="50">
        <f t="shared" si="26"/>
        <v>973742</v>
      </c>
      <c r="AS34" s="41">
        <f>SUMIF('Data By District'!$B$7:$B$441,$B34,'Data By District'!$O$7:$O$441)</f>
        <v>453310</v>
      </c>
      <c r="AT34" s="41">
        <f>SUMIF('Data By District'!$B$7:$B$441,$B34,'Data By District'!$P$7:$P$441)</f>
        <v>457239</v>
      </c>
      <c r="AU34" s="41">
        <f>SUMIF('Data By District'!$B$7:$B$441,$B34,'Data By District'!$Q$7:$Q$441)</f>
        <v>63193</v>
      </c>
      <c r="AV34" s="289">
        <f t="shared" si="9"/>
        <v>0.46553399155012315</v>
      </c>
      <c r="AW34" s="24">
        <f t="shared" si="10"/>
        <v>0.46956894125959442</v>
      </c>
      <c r="AX34" s="56">
        <f t="shared" si="11"/>
        <v>6.4897067190282431E-2</v>
      </c>
      <c r="AY34" s="25">
        <f>COUNTIF('Data By District'!$Y$7:$Y$441,$B34&amp;"-"&amp;AY$6)</f>
        <v>2</v>
      </c>
      <c r="AZ34" s="25">
        <f>COUNTIF('Data By District'!$Y$7:$Y$441,$B34&amp;"-"&amp;AZ$6)</f>
        <v>2</v>
      </c>
      <c r="BA34" s="25">
        <f>COUNTIF('Data By District'!$Y$7:$Y$441,$B34&amp;"-"&amp;BA$6)</f>
        <v>0</v>
      </c>
      <c r="BB34" s="285">
        <f t="shared" si="27"/>
        <v>0.5</v>
      </c>
      <c r="BC34" s="24">
        <f t="shared" si="28"/>
        <v>0.5</v>
      </c>
      <c r="BD34" s="56">
        <f t="shared" si="29"/>
        <v>0</v>
      </c>
      <c r="BE34" s="285">
        <f t="shared" si="12"/>
        <v>3.446600844987685E-2</v>
      </c>
      <c r="BF34" s="24">
        <f t="shared" si="13"/>
        <v>3.0431058740405581E-2</v>
      </c>
      <c r="BG34" s="56">
        <f t="shared" si="14"/>
        <v>6.4897067190282431E-2</v>
      </c>
      <c r="BH34" s="50">
        <f t="shared" si="30"/>
        <v>545100</v>
      </c>
      <c r="BI34" s="41">
        <f>'Data By District'!AE247</f>
        <v>428642</v>
      </c>
      <c r="BJ34" s="41">
        <f>SUMIF('Data By District'!$B$7:$B$441,'Data By State'!$B34,'Data By District'!$AA$7:$AA$441)</f>
        <v>218842</v>
      </c>
      <c r="BK34" s="41">
        <f>SUMIF('Data By District'!$B$7:$B$441,'Data By State'!$B34,'Data By District'!$AB$7:$AB$441)</f>
        <v>157782</v>
      </c>
      <c r="BL34" s="50">
        <f>SUMIF('Data By District'!$B$7:$B$441,'Data By State'!$B34,'Data By District'!$AC$7:$AC$441)</f>
        <v>63193</v>
      </c>
      <c r="BM34" s="64">
        <f t="shared" si="31"/>
        <v>0.44020079240702364</v>
      </c>
      <c r="BN34" s="24">
        <f t="shared" si="33"/>
        <v>0.48276455405792945</v>
      </c>
      <c r="BO34" s="24">
        <f t="shared" si="34"/>
        <v>0.34507555129811762</v>
      </c>
      <c r="BP34" s="56">
        <f t="shared" si="35"/>
        <v>1</v>
      </c>
    </row>
    <row r="35" spans="1:68" ht="16" thickBot="1">
      <c r="A35" s="17" t="s">
        <v>93</v>
      </c>
      <c r="B35" s="26" t="s">
        <v>28</v>
      </c>
      <c r="C35" s="380">
        <v>710972</v>
      </c>
      <c r="D35" s="380">
        <v>1013741</v>
      </c>
      <c r="E35" s="25">
        <f t="shared" si="0"/>
        <v>26</v>
      </c>
      <c r="F35" s="25">
        <f t="shared" si="1"/>
        <v>8</v>
      </c>
      <c r="G35" s="73">
        <f t="shared" si="18"/>
        <v>9</v>
      </c>
      <c r="H35" s="25">
        <f t="shared" si="19"/>
        <v>1</v>
      </c>
      <c r="I35" s="25">
        <f t="shared" si="20"/>
        <v>36</v>
      </c>
      <c r="J35" s="25">
        <f t="shared" si="21"/>
        <v>50</v>
      </c>
      <c r="K35" s="68">
        <f t="shared" si="22"/>
        <v>4</v>
      </c>
      <c r="L35" s="67">
        <f t="shared" si="2"/>
        <v>26.4</v>
      </c>
      <c r="M35" s="64">
        <f t="shared" si="23"/>
        <v>0.5947993105142535</v>
      </c>
      <c r="N35" s="33">
        <f>AVERAGE('Data By District'!V248:'Data By District'!V249)</f>
        <v>0.22007092911697598</v>
      </c>
      <c r="O35" s="29">
        <f t="shared" si="3"/>
        <v>0</v>
      </c>
      <c r="P35" s="29">
        <f>SUMIF('Data By District'!$B$7:$B$441,B35,'Data By District'!$T$7:$T$441)/D35</f>
        <v>0.33630384881345432</v>
      </c>
      <c r="Q35" s="29">
        <f t="shared" si="4"/>
        <v>0.47854021593866497</v>
      </c>
      <c r="R35" s="70">
        <f t="shared" si="5"/>
        <v>0.67316602564165795</v>
      </c>
      <c r="S35" s="69">
        <f t="shared" si="6"/>
        <v>2</v>
      </c>
      <c r="T35" s="25">
        <f>COUNTIF('Data By District'!$Z$7:$Z$441,$B35&amp;"-"&amp;T$6)</f>
        <v>1</v>
      </c>
      <c r="U35" s="25">
        <f>COUNTIF('Data By District'!$Z$7:$Z$441,$B35&amp;"-"&amp;U$6)</f>
        <v>1</v>
      </c>
      <c r="V35" s="25">
        <f>COUNTIF('Data By District'!$Z$7:$Z$441,$B35&amp;"-"&amp;V$6)</f>
        <v>0</v>
      </c>
      <c r="W35" s="25">
        <f>COUNTIF('Data By District'!$Z$7:$Z$441,$B35&amp;"-"&amp;W$6)</f>
        <v>0</v>
      </c>
      <c r="X35" s="25">
        <f>COUNTIF('Data By District'!$Z$7:$Z$441,$B35&amp;"-"&amp;X$6)-(Y35)</f>
        <v>0</v>
      </c>
      <c r="Y35" s="25">
        <f>COUNTIF('Data By District'!$X$7:$X$441,$B35&amp;"-"&amp;"Yes")</f>
        <v>0</v>
      </c>
      <c r="Z35" s="385">
        <f t="shared" si="7"/>
        <v>0</v>
      </c>
      <c r="AA35" s="387">
        <f>COUNTIF('Data By District'!$L$7:$L$441, $B35&amp;"-"&amp;1)</f>
        <v>0</v>
      </c>
      <c r="AB35" s="360">
        <f>COUNTIFS('Data By District'!$J$7:$J$441,$B35&amp;"-"&amp;"Yes",'Data By District'!$Z$7:$Z$441,$B35&amp;"-"&amp;X$6)+COUNTIFS('Data By District'!$J$7:$J$441,$B35&amp;"-"&amp;"Yes",'Data By District'!$Z$7:$Z$441,$B35&amp;"-"&amp;W$6)</f>
        <v>0</v>
      </c>
      <c r="AC35" s="357" t="e">
        <f t="shared" si="32"/>
        <v>#DIV/0!</v>
      </c>
      <c r="AD35" s="361">
        <f>COUNTIF('Data By District'!$J$7:$J$441,$B35&amp;"-"&amp;"Yes")</f>
        <v>0</v>
      </c>
      <c r="AE35" s="361">
        <f t="shared" si="24"/>
        <v>2</v>
      </c>
      <c r="AF35" s="361">
        <f>COUNTIF('Data By District'!$I$7:$I$441,$B35&amp;"-"&amp;"Yes")</f>
        <v>2</v>
      </c>
      <c r="AG35" s="361">
        <f>COUNTIFS('Data By District'!$J$7:$J$441,$B35&amp;"-"&amp;"Yes",'Data By District'!$Y$7:$Y$441,$B35&amp;"-"&amp;"Dem")</f>
        <v>0</v>
      </c>
      <c r="AH35" s="361">
        <f>COUNTIFS('Data By District'!$J$7:$J$441,$B35&amp;"-"&amp;"Yes",'Data By District'!$Y$7:$Y$441,$B35&amp;"-"&amp;"Rep")</f>
        <v>0</v>
      </c>
      <c r="AI35" s="361">
        <f>COUNTIFS('Data By District'!$J$7:$J$441,$B35&amp;"-"&amp;"Yes",'Data By District'!$Y$7:$Y$441,$B35&amp;"-"&amp;"Dem",'Data By District'!$J$7:$J$441,$B35&amp;"-"&amp;"Yes",'Data By District'!$Z$7:$Z$441,$B35&amp;"-"&amp;W$6)+COUNTIFS('Data By District'!$J$7:$J$441,$B35&amp;"-"&amp;"Yes",'Data By District'!$Y$7:$Y$441,$B35&amp;"-"&amp;"Dem",'Data By District'!$J$7:$J$441,$B35&amp;"-"&amp;"Yes",'Data By District'!$Z$7:$Z$441,$B35&amp;"-"&amp;X$6)</f>
        <v>0</v>
      </c>
      <c r="AJ35" s="361">
        <f>COUNTIFS('Data By District'!$J$7:$J$441,$B35&amp;"-"&amp;"Yes",'Data By District'!$Y$7:$Y$441,$B35&amp;"-"&amp;"Rep",'Data By District'!$J$7:$J$441,$B35&amp;"-"&amp;"Yes",'Data By District'!$Z$7:$Z$441,$B35&amp;"-"&amp;W$6)+COUNTIFS('Data By District'!$J$7:$J$441,$B35&amp;"-"&amp;"Yes",'Data By District'!$Y$7:$Y$441,$B35&amp;"-"&amp;"Rep",'Data By District'!$J$7:$J$441,$B35&amp;"-"&amp;"Yes",'Data By District'!$Z$7:$Z$441,$B35&amp;"-"&amp;X$6)</f>
        <v>0</v>
      </c>
      <c r="AK35" s="360">
        <f>COUNTIF('Data By District'!$D$7:$D$441,$B35&amp;"-"&amp;"Yes")</f>
        <v>2</v>
      </c>
      <c r="AL35" s="361">
        <f>COUNTIF('Data By District'!$E$7:$E$441,$B35&amp;"-"&amp;"Yes")</f>
        <v>0</v>
      </c>
      <c r="AM35" s="361">
        <f>COUNTIF('Data By District'!$F$7:$F$441,$B35&amp;"-"&amp;"Yes")</f>
        <v>0</v>
      </c>
      <c r="AN35" s="361">
        <f>COUNTIF('Data By District'!$G$7:$G$441,$B35&amp;"-"&amp;"Yes")</f>
        <v>0</v>
      </c>
      <c r="AO35" s="361">
        <f>COUNTIF('Data By District'!$H$7:$H$441,$B35&amp;"-"&amp;"Yes")</f>
        <v>0</v>
      </c>
      <c r="AP35" s="70">
        <f t="shared" si="8"/>
        <v>4.0164732225741663E-2</v>
      </c>
      <c r="AQ35" s="55">
        <f t="shared" si="25"/>
        <v>0.60996225176431973</v>
      </c>
      <c r="AR35" s="50">
        <f t="shared" si="26"/>
        <v>682416</v>
      </c>
      <c r="AS35" s="41">
        <f>SUMIF('Data By District'!$B$7:$B$441,$B35,'Data By District'!$O$7:$O$441)</f>
        <v>340925</v>
      </c>
      <c r="AT35" s="41">
        <f>SUMIF('Data By District'!$B$7:$B$441,$B35,'Data By District'!$P$7:$P$441)</f>
        <v>311636</v>
      </c>
      <c r="AU35" s="41">
        <f>SUMIF('Data By District'!$B$7:$B$441,$B35,'Data By District'!$Q$7:$Q$441)</f>
        <v>29855</v>
      </c>
      <c r="AV35" s="289">
        <f t="shared" si="9"/>
        <v>0.499585296944972</v>
      </c>
      <c r="AW35" s="24">
        <f t="shared" si="10"/>
        <v>0.45666572882230194</v>
      </c>
      <c r="AX35" s="56">
        <f t="shared" si="11"/>
        <v>4.3748974232726077E-2</v>
      </c>
      <c r="AY35" s="25">
        <f>COUNTIF('Data By District'!$Y$7:$Y$441,$B35&amp;"-"&amp;AY$6)</f>
        <v>2</v>
      </c>
      <c r="AZ35" s="25">
        <f>COUNTIF('Data By District'!$Y$7:$Y$441,$B35&amp;"-"&amp;AZ$6)</f>
        <v>0</v>
      </c>
      <c r="BA35" s="25">
        <f>COUNTIF('Data By District'!$Y$7:$Y$441,$B35&amp;"-"&amp;BA$6)</f>
        <v>0</v>
      </c>
      <c r="BB35" s="285">
        <f t="shared" si="27"/>
        <v>1</v>
      </c>
      <c r="BC35" s="24">
        <f t="shared" si="28"/>
        <v>0</v>
      </c>
      <c r="BD35" s="56">
        <f t="shared" si="29"/>
        <v>0</v>
      </c>
      <c r="BE35" s="285">
        <f t="shared" si="12"/>
        <v>0.500414703055028</v>
      </c>
      <c r="BF35" s="24">
        <f t="shared" si="13"/>
        <v>0.45666572882230194</v>
      </c>
      <c r="BG35" s="56">
        <f t="shared" si="14"/>
        <v>4.3748974232726077E-2</v>
      </c>
      <c r="BH35" s="50">
        <f t="shared" si="30"/>
        <v>416248</v>
      </c>
      <c r="BI35" s="41">
        <f>'Data By District'!AE249</f>
        <v>266168</v>
      </c>
      <c r="BJ35" s="41">
        <f>SUMIF('Data By District'!$B$7:$B$441,'Data By State'!$B35,'Data By District'!$AA$7:$AA$441)</f>
        <v>0</v>
      </c>
      <c r="BK35" s="41">
        <f>SUMIF('Data By District'!$B$7:$B$441,'Data By State'!$B35,'Data By District'!$AB$7:$AB$441)</f>
        <v>311636</v>
      </c>
      <c r="BL35" s="50">
        <f>SUMIF('Data By District'!$B$7:$B$441,'Data By State'!$B35,'Data By District'!$AC$7:$AC$441)</f>
        <v>29855</v>
      </c>
      <c r="BM35" s="64">
        <f t="shared" si="31"/>
        <v>0.39003774823568027</v>
      </c>
      <c r="BN35" s="24">
        <f t="shared" si="33"/>
        <v>0</v>
      </c>
      <c r="BO35" s="24">
        <f t="shared" si="34"/>
        <v>1</v>
      </c>
      <c r="BP35" s="56">
        <f t="shared" si="35"/>
        <v>1</v>
      </c>
    </row>
    <row r="36" spans="1:68" ht="16" thickBot="1">
      <c r="A36" s="17" t="s">
        <v>94</v>
      </c>
      <c r="B36" s="26" t="s">
        <v>29</v>
      </c>
      <c r="C36" s="380">
        <v>3638499</v>
      </c>
      <c r="D36" s="380">
        <v>5882974</v>
      </c>
      <c r="E36" s="25">
        <f t="shared" si="0"/>
        <v>11</v>
      </c>
      <c r="F36" s="25">
        <f t="shared" si="1"/>
        <v>13</v>
      </c>
      <c r="G36" s="73">
        <f t="shared" si="18"/>
        <v>20</v>
      </c>
      <c r="H36" s="25">
        <f t="shared" si="19"/>
        <v>18</v>
      </c>
      <c r="I36" s="25">
        <f t="shared" si="20"/>
        <v>30</v>
      </c>
      <c r="J36" s="25">
        <f t="shared" si="21"/>
        <v>4</v>
      </c>
      <c r="K36" s="68">
        <f t="shared" si="22"/>
        <v>30</v>
      </c>
      <c r="L36" s="67">
        <f t="shared" si="2"/>
        <v>20.399999999999999</v>
      </c>
      <c r="M36" s="64">
        <f t="shared" si="23"/>
        <v>0.55425385444747521</v>
      </c>
      <c r="N36" s="33">
        <f>AVERAGE('Data By District'!V250:'Data By District'!V262)</f>
        <v>0.30684906519912958</v>
      </c>
      <c r="O36" s="29">
        <f t="shared" si="3"/>
        <v>0.58333333333333337</v>
      </c>
      <c r="P36" s="29">
        <f>SUMIF('Data By District'!$B$7:$B$441,B36,'Data By District'!$T$7:$T$441)/D36</f>
        <v>0.35845186465213003</v>
      </c>
      <c r="Q36" s="29">
        <f t="shared" si="4"/>
        <v>5.5452058534421228E-2</v>
      </c>
      <c r="R36" s="70">
        <f t="shared" si="5"/>
        <v>0.55786376074414068</v>
      </c>
      <c r="S36" s="69">
        <f t="shared" si="6"/>
        <v>12</v>
      </c>
      <c r="T36" s="25">
        <f>COUNTIF('Data By District'!$Z$7:$Z$441,$B36&amp;"-"&amp;T$6)</f>
        <v>0</v>
      </c>
      <c r="U36" s="25">
        <f>COUNTIF('Data By District'!$Z$7:$Z$441,$B36&amp;"-"&amp;U$6)</f>
        <v>1</v>
      </c>
      <c r="V36" s="25">
        <f>COUNTIF('Data By District'!$Z$7:$Z$441,$B36&amp;"-"&amp;V$6)</f>
        <v>4</v>
      </c>
      <c r="W36" s="25">
        <f>COUNTIF('Data By District'!$Z$7:$Z$441,$B36&amp;"-"&amp;W$6)</f>
        <v>3</v>
      </c>
      <c r="X36" s="25">
        <f>COUNTIF('Data By District'!$Z$7:$Z$441,$B36&amp;"-"&amp;X$6)-(Y36)</f>
        <v>4</v>
      </c>
      <c r="Y36" s="25">
        <f>COUNTIF('Data By District'!$X$7:$X$441,$B36&amp;"-"&amp;"Yes")</f>
        <v>0</v>
      </c>
      <c r="Z36" s="385">
        <f t="shared" si="7"/>
        <v>0</v>
      </c>
      <c r="AA36" s="387">
        <f>COUNTIF('Data By District'!$L$7:$L$441, $B36&amp;"-"&amp;1)</f>
        <v>0</v>
      </c>
      <c r="AB36" s="360">
        <f>COUNTIFS('Data By District'!$J$7:$J$441,$B36&amp;"-"&amp;"Yes",'Data By District'!$Z$7:$Z$441,$B36&amp;"-"&amp;X$6)+COUNTIFS('Data By District'!$J$7:$J$441,$B36&amp;"-"&amp;"Yes",'Data By District'!$Z$7:$Z$441,$B36&amp;"-"&amp;W$6)</f>
        <v>7</v>
      </c>
      <c r="AC36" s="357">
        <f t="shared" si="32"/>
        <v>0.58333333333333337</v>
      </c>
      <c r="AD36" s="361">
        <f>COUNTIF('Data By District'!$J$7:$J$441,$B36&amp;"-"&amp;"Yes")</f>
        <v>12</v>
      </c>
      <c r="AE36" s="361">
        <f t="shared" si="24"/>
        <v>0</v>
      </c>
      <c r="AF36" s="361">
        <f>COUNTIF('Data By District'!$I$7:$I$441,$B36&amp;"-"&amp;"Yes")</f>
        <v>12</v>
      </c>
      <c r="AG36" s="361">
        <f>COUNTIFS('Data By District'!$J$7:$J$441,$B36&amp;"-"&amp;"Yes",'Data By District'!$Y$7:$Y$441,$B36&amp;"-"&amp;"Dem")</f>
        <v>6</v>
      </c>
      <c r="AH36" s="361">
        <f>COUNTIFS('Data By District'!$J$7:$J$441,$B36&amp;"-"&amp;"Yes",'Data By District'!$Y$7:$Y$441,$B36&amp;"-"&amp;"Rep")</f>
        <v>6</v>
      </c>
      <c r="AI36" s="361">
        <f>COUNTIFS('Data By District'!$J$7:$J$441,$B36&amp;"-"&amp;"Yes",'Data By District'!$Y$7:$Y$441,$B36&amp;"-"&amp;"Dem",'Data By District'!$J$7:$J$441,$B36&amp;"-"&amp;"Yes",'Data By District'!$Z$7:$Z$441,$B36&amp;"-"&amp;W$6)+COUNTIFS('Data By District'!$J$7:$J$441,$B36&amp;"-"&amp;"Yes",'Data By District'!$Y$7:$Y$441,$B36&amp;"-"&amp;"Dem",'Data By District'!$J$7:$J$441,$B36&amp;"-"&amp;"Yes",'Data By District'!$Z$7:$Z$441,$B36&amp;"-"&amp;X$6)</f>
        <v>6</v>
      </c>
      <c r="AJ36" s="361">
        <f>COUNTIFS('Data By District'!$J$7:$J$441,$B36&amp;"-"&amp;"Yes",'Data By District'!$Y$7:$Y$441,$B36&amp;"-"&amp;"Rep",'Data By District'!$J$7:$J$441,$B36&amp;"-"&amp;"Yes",'Data By District'!$Z$7:$Z$441,$B36&amp;"-"&amp;W$6)+COUNTIFS('Data By District'!$J$7:$J$441,$B36&amp;"-"&amp;"Yes",'Data By District'!$Y$7:$Y$441,$B36&amp;"-"&amp;"Rep",'Data By District'!$J$7:$J$441,$B36&amp;"-"&amp;"Yes",'Data By District'!$Z$7:$Z$441,$B36&amp;"-"&amp;X$6)</f>
        <v>1</v>
      </c>
      <c r="AK36" s="360">
        <f>COUNTIF('Data By District'!$D$7:$D$441,$B36&amp;"-"&amp;"Yes")</f>
        <v>0</v>
      </c>
      <c r="AL36" s="361">
        <f>COUNTIF('Data By District'!$E$7:$E$441,$B36&amp;"-"&amp;"Yes")</f>
        <v>1</v>
      </c>
      <c r="AM36" s="361">
        <f>COUNTIF('Data By District'!$F$7:$F$441,$B36&amp;"-"&amp;"Yes")</f>
        <v>1</v>
      </c>
      <c r="AN36" s="361">
        <f>COUNTIF('Data By District'!$G$7:$G$441,$B36&amp;"-"&amp;"Yes")</f>
        <v>0</v>
      </c>
      <c r="AO36" s="361">
        <f>COUNTIF('Data By District'!$H$7:$H$441,$B36&amp;"-"&amp;"Yes")</f>
        <v>0</v>
      </c>
      <c r="AP36" s="70">
        <f t="shared" si="8"/>
        <v>9.8007722415204737E-2</v>
      </c>
      <c r="AQ36" s="55">
        <f t="shared" si="25"/>
        <v>0.60987422521967471</v>
      </c>
      <c r="AR36" s="50">
        <f t="shared" si="26"/>
        <v>3281898</v>
      </c>
      <c r="AS36" s="41">
        <f>SUMIF('Data By District'!$B$7:$B$441,$B36,'Data By District'!$O$7:$O$441)</f>
        <v>1794301</v>
      </c>
      <c r="AT36" s="41">
        <f>SUMIF('Data By District'!$B$7:$B$441,$B36,'Data By District'!$P$7:$P$441)</f>
        <v>1430325</v>
      </c>
      <c r="AU36" s="41">
        <f>SUMIF('Data By District'!$B$7:$B$441,$B36,'Data By District'!$Q$7:$Q$441)</f>
        <v>57272</v>
      </c>
      <c r="AV36" s="289">
        <f t="shared" si="9"/>
        <v>0.54672661977916437</v>
      </c>
      <c r="AW36" s="24">
        <f t="shared" si="10"/>
        <v>0.43582250271032191</v>
      </c>
      <c r="AX36" s="56">
        <f t="shared" si="11"/>
        <v>1.7450877510513732E-2</v>
      </c>
      <c r="AY36" s="25">
        <f>COUNTIF('Data By District'!$Y$7:$Y$441,$B36&amp;"-"&amp;AY$6)</f>
        <v>6</v>
      </c>
      <c r="AZ36" s="25">
        <f>COUNTIF('Data By District'!$Y$7:$Y$441,$B36&amp;"-"&amp;AZ$6)</f>
        <v>6</v>
      </c>
      <c r="BA36" s="25">
        <f>COUNTIF('Data By District'!$Y$7:$Y$441,$B36&amp;"-"&amp;BA$6)</f>
        <v>0</v>
      </c>
      <c r="BB36" s="285">
        <f t="shared" si="27"/>
        <v>0.5</v>
      </c>
      <c r="BC36" s="24">
        <f t="shared" si="28"/>
        <v>0.5</v>
      </c>
      <c r="BD36" s="56">
        <f t="shared" si="29"/>
        <v>0</v>
      </c>
      <c r="BE36" s="285">
        <f t="shared" si="12"/>
        <v>4.6726619779164369E-2</v>
      </c>
      <c r="BF36" s="24">
        <f t="shared" si="13"/>
        <v>6.4177497289678087E-2</v>
      </c>
      <c r="BG36" s="56">
        <f t="shared" si="14"/>
        <v>1.7450877510513732E-2</v>
      </c>
      <c r="BH36" s="50">
        <f t="shared" si="30"/>
        <v>2001545</v>
      </c>
      <c r="BI36" s="41">
        <f>'Data By District'!AE262</f>
        <v>1280353</v>
      </c>
      <c r="BJ36" s="41">
        <f>SUMIF('Data By District'!$B$7:$B$441,'Data By State'!$B36,'Data By District'!$AA$7:$AA$441)</f>
        <v>747013</v>
      </c>
      <c r="BK36" s="41">
        <f>SUMIF('Data By District'!$B$7:$B$441,'Data By State'!$B36,'Data By District'!$AB$7:$AB$441)</f>
        <v>368850</v>
      </c>
      <c r="BL36" s="50">
        <f>SUMIF('Data By District'!$B$7:$B$441,'Data By State'!$B36,'Data By District'!$AC$7:$AC$441)</f>
        <v>57272</v>
      </c>
      <c r="BM36" s="64">
        <f t="shared" si="31"/>
        <v>0.39012577478032529</v>
      </c>
      <c r="BN36" s="24">
        <f t="shared" si="33"/>
        <v>0.41632535455311009</v>
      </c>
      <c r="BO36" s="24">
        <f t="shared" si="34"/>
        <v>0.25787845419747263</v>
      </c>
      <c r="BP36" s="56">
        <f t="shared" si="35"/>
        <v>1</v>
      </c>
    </row>
    <row r="37" spans="1:68" ht="16" thickBot="1">
      <c r="A37" s="17" t="s">
        <v>95</v>
      </c>
      <c r="B37" s="26" t="s">
        <v>30</v>
      </c>
      <c r="C37" s="380">
        <v>783758</v>
      </c>
      <c r="D37" s="380">
        <v>1432375</v>
      </c>
      <c r="E37" s="25">
        <f t="shared" si="0"/>
        <v>16</v>
      </c>
      <c r="F37" s="25">
        <f t="shared" si="1"/>
        <v>4</v>
      </c>
      <c r="G37" s="73">
        <f t="shared" si="18"/>
        <v>6</v>
      </c>
      <c r="H37" s="25">
        <f t="shared" si="19"/>
        <v>6</v>
      </c>
      <c r="I37" s="25">
        <f t="shared" si="20"/>
        <v>41</v>
      </c>
      <c r="J37" s="25">
        <f t="shared" si="21"/>
        <v>16</v>
      </c>
      <c r="K37" s="68">
        <f t="shared" si="22"/>
        <v>37</v>
      </c>
      <c r="L37" s="67">
        <f t="shared" si="2"/>
        <v>22</v>
      </c>
      <c r="M37" s="64">
        <f t="shared" si="23"/>
        <v>0.60731980156730503</v>
      </c>
      <c r="N37" s="33">
        <f>AVERAGE('Data By District'!V263:'Data By District'!V265)</f>
        <v>0.16167708137043046</v>
      </c>
      <c r="O37" s="29">
        <f t="shared" si="3"/>
        <v>0.33333333333333331</v>
      </c>
      <c r="P37" s="29">
        <f>SUMIF('Data By District'!$B$7:$B$441,B37,'Data By District'!$T$7:$T$441)/D37</f>
        <v>0.32338389039183174</v>
      </c>
      <c r="Q37" s="29">
        <f t="shared" si="4"/>
        <v>0.11515835824337434</v>
      </c>
      <c r="R37" s="70">
        <f t="shared" si="5"/>
        <v>0.53483899118596734</v>
      </c>
      <c r="S37" s="69">
        <f t="shared" si="6"/>
        <v>3</v>
      </c>
      <c r="T37" s="25">
        <f>COUNTIF('Data By District'!$Z$7:$Z$441,$B37&amp;"-"&amp;T$6)</f>
        <v>0</v>
      </c>
      <c r="U37" s="25">
        <f>COUNTIF('Data By District'!$Z$7:$Z$441,$B37&amp;"-"&amp;U$6)</f>
        <v>0</v>
      </c>
      <c r="V37" s="25">
        <f>COUNTIF('Data By District'!$Z$7:$Z$441,$B37&amp;"-"&amp;V$6)</f>
        <v>2</v>
      </c>
      <c r="W37" s="25">
        <f>COUNTIF('Data By District'!$Z$7:$Z$441,$B37&amp;"-"&amp;W$6)</f>
        <v>1</v>
      </c>
      <c r="X37" s="25">
        <f>COUNTIF('Data By District'!$Z$7:$Z$441,$B37&amp;"-"&amp;X$6)-(Y37)</f>
        <v>0</v>
      </c>
      <c r="Y37" s="25">
        <f>COUNTIF('Data By District'!$X$7:$X$441,$B37&amp;"-"&amp;"Yes")</f>
        <v>0</v>
      </c>
      <c r="Z37" s="385">
        <f t="shared" si="7"/>
        <v>0</v>
      </c>
      <c r="AA37" s="387">
        <f>COUNTIF('Data By District'!$L$7:$L$441, $B37&amp;"-"&amp;1)</f>
        <v>0</v>
      </c>
      <c r="AB37" s="360">
        <f>COUNTIFS('Data By District'!$J$7:$J$441,$B37&amp;"-"&amp;"Yes",'Data By District'!$Z$7:$Z$441,$B37&amp;"-"&amp;X$6)+COUNTIFS('Data By District'!$J$7:$J$441,$B37&amp;"-"&amp;"Yes",'Data By District'!$Z$7:$Z$441,$B37&amp;"-"&amp;W$6)</f>
        <v>1</v>
      </c>
      <c r="AC37" s="357">
        <f t="shared" si="32"/>
        <v>0.33333333333333331</v>
      </c>
      <c r="AD37" s="361">
        <f>COUNTIF('Data By District'!$J$7:$J$441,$B37&amp;"-"&amp;"Yes")</f>
        <v>3</v>
      </c>
      <c r="AE37" s="361">
        <f t="shared" si="24"/>
        <v>0</v>
      </c>
      <c r="AF37" s="361">
        <f>COUNTIF('Data By District'!$I$7:$I$441,$B37&amp;"-"&amp;"Yes")</f>
        <v>3</v>
      </c>
      <c r="AG37" s="361">
        <f>COUNTIFS('Data By District'!$J$7:$J$441,$B37&amp;"-"&amp;"Yes",'Data By District'!$Y$7:$Y$441,$B37&amp;"-"&amp;"Dem")</f>
        <v>2</v>
      </c>
      <c r="AH37" s="361">
        <f>COUNTIFS('Data By District'!$J$7:$J$441,$B37&amp;"-"&amp;"Yes",'Data By District'!$Y$7:$Y$441,$B37&amp;"-"&amp;"Rep")</f>
        <v>1</v>
      </c>
      <c r="AI37" s="361">
        <f>COUNTIFS('Data By District'!$J$7:$J$441,$B37&amp;"-"&amp;"Yes",'Data By District'!$Y$7:$Y$441,$B37&amp;"-"&amp;"Dem",'Data By District'!$J$7:$J$441,$B37&amp;"-"&amp;"Yes",'Data By District'!$Z$7:$Z$441,$B37&amp;"-"&amp;W$6)+COUNTIFS('Data By District'!$J$7:$J$441,$B37&amp;"-"&amp;"Yes",'Data By District'!$Y$7:$Y$441,$B37&amp;"-"&amp;"Dem",'Data By District'!$J$7:$J$441,$B37&amp;"-"&amp;"Yes",'Data By District'!$Z$7:$Z$441,$B37&amp;"-"&amp;X$6)</f>
        <v>1</v>
      </c>
      <c r="AJ37" s="361">
        <f>COUNTIFS('Data By District'!$J$7:$J$441,$B37&amp;"-"&amp;"Yes",'Data By District'!$Y$7:$Y$441,$B37&amp;"-"&amp;"Rep",'Data By District'!$J$7:$J$441,$B37&amp;"-"&amp;"Yes",'Data By District'!$Z$7:$Z$441,$B37&amp;"-"&amp;W$6)+COUNTIFS('Data By District'!$J$7:$J$441,$B37&amp;"-"&amp;"Yes",'Data By District'!$Y$7:$Y$441,$B37&amp;"-"&amp;"Rep",'Data By District'!$J$7:$J$441,$B37&amp;"-"&amp;"Yes",'Data By District'!$Z$7:$Z$441,$B37&amp;"-"&amp;X$6)</f>
        <v>0</v>
      </c>
      <c r="AK37" s="360">
        <f>COUNTIF('Data By District'!$D$7:$D$441,$B37&amp;"-"&amp;"Yes")</f>
        <v>1</v>
      </c>
      <c r="AL37" s="361">
        <f>COUNTIF('Data By District'!$E$7:$E$441,$B37&amp;"-"&amp;"Yes")</f>
        <v>0</v>
      </c>
      <c r="AM37" s="361">
        <f>COUNTIF('Data By District'!$F$7:$F$441,$B37&amp;"-"&amp;"Yes")</f>
        <v>2</v>
      </c>
      <c r="AN37" s="361">
        <f>COUNTIF('Data By District'!$G$7:$G$441,$B37&amp;"-"&amp;"Yes")</f>
        <v>0</v>
      </c>
      <c r="AO37" s="361">
        <f>COUNTIF('Data By District'!$H$7:$H$441,$B37&amp;"-"&amp;"Yes")</f>
        <v>0</v>
      </c>
      <c r="AP37" s="70">
        <f t="shared" si="8"/>
        <v>2.2542672610678296E-2</v>
      </c>
      <c r="AQ37" s="55">
        <f t="shared" si="25"/>
        <v>0.5699252046104244</v>
      </c>
      <c r="AR37" s="50">
        <f t="shared" si="26"/>
        <v>766090</v>
      </c>
      <c r="AS37" s="41">
        <f>SUMIF('Data By District'!$B$7:$B$441,$B37,'Data By District'!$O$7:$O$441)</f>
        <v>422189</v>
      </c>
      <c r="AT37" s="41">
        <f>SUMIF('Data By District'!$B$7:$B$441,$B37,'Data By District'!$P$7:$P$441)</f>
        <v>343269</v>
      </c>
      <c r="AU37" s="41">
        <f>SUMIF('Data By District'!$B$7:$B$441,$B37,'Data By District'!$Q$7:$Q$441)</f>
        <v>632</v>
      </c>
      <c r="AV37" s="289">
        <f t="shared" si="9"/>
        <v>0.55109582425041448</v>
      </c>
      <c r="AW37" s="24">
        <f t="shared" si="10"/>
        <v>0.44807920740382984</v>
      </c>
      <c r="AX37" s="56">
        <f t="shared" si="11"/>
        <v>8.2496834575572064E-4</v>
      </c>
      <c r="AY37" s="25">
        <f>COUNTIF('Data By District'!$Y$7:$Y$441,$B37&amp;"-"&amp;AY$6)</f>
        <v>2</v>
      </c>
      <c r="AZ37" s="25">
        <f>COUNTIF('Data By District'!$Y$7:$Y$441,$B37&amp;"-"&amp;AZ$6)</f>
        <v>1</v>
      </c>
      <c r="BA37" s="25">
        <f>COUNTIF('Data By District'!$Y$7:$Y$441,$B37&amp;"-"&amp;BA$6)</f>
        <v>0</v>
      </c>
      <c r="BB37" s="285">
        <f t="shared" si="27"/>
        <v>0.66666666666666663</v>
      </c>
      <c r="BC37" s="24">
        <f t="shared" si="28"/>
        <v>0.33333333333333331</v>
      </c>
      <c r="BD37" s="56">
        <f t="shared" si="29"/>
        <v>0</v>
      </c>
      <c r="BE37" s="285">
        <f t="shared" si="12"/>
        <v>0.11557084241625215</v>
      </c>
      <c r="BF37" s="24">
        <f t="shared" si="13"/>
        <v>0.11474587407049652</v>
      </c>
      <c r="BG37" s="56">
        <f t="shared" si="14"/>
        <v>8.2496834575572064E-4</v>
      </c>
      <c r="BH37" s="50">
        <f t="shared" si="30"/>
        <v>436614</v>
      </c>
      <c r="BI37" s="41">
        <f>'Data By District'!AE265</f>
        <v>329476</v>
      </c>
      <c r="BJ37" s="41">
        <f>SUMIF('Data By District'!$B$7:$B$441,'Data By State'!$B37,'Data By District'!$AA$7:$AA$441)</f>
        <v>92162</v>
      </c>
      <c r="BK37" s="41">
        <f>SUMIF('Data By District'!$B$7:$B$441,'Data By State'!$B37,'Data By District'!$AB$7:$AB$441)</f>
        <v>210089</v>
      </c>
      <c r="BL37" s="50">
        <f>SUMIF('Data By District'!$B$7:$B$441,'Data By State'!$B37,'Data By District'!$AC$7:$AC$441)</f>
        <v>632</v>
      </c>
      <c r="BM37" s="64">
        <f t="shared" si="31"/>
        <v>0.43007479538957566</v>
      </c>
      <c r="BN37" s="24">
        <f t="shared" si="33"/>
        <v>0.21829559746937982</v>
      </c>
      <c r="BO37" s="24">
        <f t="shared" si="34"/>
        <v>0.61202438903600387</v>
      </c>
      <c r="BP37" s="56">
        <f t="shared" si="35"/>
        <v>1</v>
      </c>
    </row>
    <row r="38" spans="1:68" ht="16" thickBot="1">
      <c r="A38" s="17" t="s">
        <v>96</v>
      </c>
      <c r="B38" s="26" t="s">
        <v>31</v>
      </c>
      <c r="C38" s="380">
        <v>7061925</v>
      </c>
      <c r="D38" s="380">
        <v>13299567</v>
      </c>
      <c r="E38" s="25">
        <f t="shared" si="0"/>
        <v>39</v>
      </c>
      <c r="F38" s="25">
        <f t="shared" si="1"/>
        <v>22</v>
      </c>
      <c r="G38" s="73">
        <f t="shared" si="18"/>
        <v>36</v>
      </c>
      <c r="H38" s="25">
        <f t="shared" si="19"/>
        <v>19</v>
      </c>
      <c r="I38" s="25">
        <f t="shared" si="20"/>
        <v>42</v>
      </c>
      <c r="J38" s="25">
        <f t="shared" si="21"/>
        <v>18</v>
      </c>
      <c r="K38" s="68">
        <f t="shared" si="22"/>
        <v>46</v>
      </c>
      <c r="L38" s="67">
        <f t="shared" si="2"/>
        <v>31.4</v>
      </c>
      <c r="M38" s="64">
        <f t="shared" si="23"/>
        <v>0.50262734672236942</v>
      </c>
      <c r="N38" s="33">
        <f>AVERAGE('Data By District'!V266:'Data By District'!V294)</f>
        <v>0.40606433636222683</v>
      </c>
      <c r="O38" s="29">
        <f t="shared" si="3"/>
        <v>0.59259259259259256</v>
      </c>
      <c r="P38" s="29">
        <f>SUMIF('Data By District'!$B$7:$B$441,B38,'Data By District'!$T$7:$T$441)/D38</f>
        <v>0.32152821215908761</v>
      </c>
      <c r="Q38" s="29">
        <f t="shared" si="4"/>
        <v>0.13126276175150917</v>
      </c>
      <c r="R38" s="70">
        <f t="shared" si="5"/>
        <v>0.4857549873616186</v>
      </c>
      <c r="S38" s="69">
        <f t="shared" si="6"/>
        <v>27</v>
      </c>
      <c r="T38" s="25">
        <f>COUNTIF('Data By District'!$Z$7:$Z$441,$B38&amp;"-"&amp;T$6)</f>
        <v>5</v>
      </c>
      <c r="U38" s="25">
        <f>COUNTIF('Data By District'!$Z$7:$Z$441,$B38&amp;"-"&amp;U$6)</f>
        <v>3</v>
      </c>
      <c r="V38" s="25">
        <f>COUNTIF('Data By District'!$Z$7:$Z$441,$B38&amp;"-"&amp;V$6)</f>
        <v>3</v>
      </c>
      <c r="W38" s="25">
        <f>COUNTIF('Data By District'!$Z$7:$Z$441,$B38&amp;"-"&amp;W$6)</f>
        <v>5</v>
      </c>
      <c r="X38" s="25">
        <f>COUNTIF('Data By District'!$Z$7:$Z$441,$B38&amp;"-"&amp;X$6)-(Y38)</f>
        <v>10</v>
      </c>
      <c r="Y38" s="25">
        <f>COUNTIF('Data By District'!$X$7:$X$441,$B38&amp;"-"&amp;"Yes")</f>
        <v>1</v>
      </c>
      <c r="Z38" s="385">
        <f t="shared" si="7"/>
        <v>3.7037037037037035E-2</v>
      </c>
      <c r="AA38" s="387">
        <f>COUNTIF('Data By District'!$L$7:$L$441, $B38&amp;"-"&amp;1)</f>
        <v>0</v>
      </c>
      <c r="AB38" s="360">
        <f>COUNTIFS('Data By District'!$J$7:$J$441,$B38&amp;"-"&amp;"Yes",'Data By District'!$Z$7:$Z$441,$B38&amp;"-"&amp;X$6)+COUNTIFS('Data By District'!$J$7:$J$441,$B38&amp;"-"&amp;"Yes",'Data By District'!$Z$7:$Z$441,$B38&amp;"-"&amp;W$6)</f>
        <v>16</v>
      </c>
      <c r="AC38" s="357">
        <f t="shared" si="32"/>
        <v>0.66666666666666663</v>
      </c>
      <c r="AD38" s="361">
        <f>COUNTIF('Data By District'!$J$7:$J$441,$B38&amp;"-"&amp;"Yes")</f>
        <v>24</v>
      </c>
      <c r="AE38" s="361">
        <f t="shared" si="24"/>
        <v>3</v>
      </c>
      <c r="AF38" s="361">
        <f>COUNTIF('Data By District'!$I$7:$I$441,$B38&amp;"-"&amp;"Yes")</f>
        <v>27</v>
      </c>
      <c r="AG38" s="361">
        <f>COUNTIFS('Data By District'!$J$7:$J$441,$B38&amp;"-"&amp;"Yes",'Data By District'!$Y$7:$Y$441,$B38&amp;"-"&amp;"Dem")</f>
        <v>19</v>
      </c>
      <c r="AH38" s="361">
        <f>COUNTIFS('Data By District'!$J$7:$J$441,$B38&amp;"-"&amp;"Yes",'Data By District'!$Y$7:$Y$441,$B38&amp;"-"&amp;"Rep")</f>
        <v>5</v>
      </c>
      <c r="AI38" s="361">
        <f>COUNTIFS('Data By District'!$J$7:$J$441,$B38&amp;"-"&amp;"Yes",'Data By District'!$Y$7:$Y$441,$B38&amp;"-"&amp;"Dem",'Data By District'!$J$7:$J$441,$B38&amp;"-"&amp;"Yes",'Data By District'!$Z$7:$Z$441,$B38&amp;"-"&amp;W$6)+COUNTIFS('Data By District'!$J$7:$J$441,$B38&amp;"-"&amp;"Yes",'Data By District'!$Y$7:$Y$441,$B38&amp;"-"&amp;"Dem",'Data By District'!$J$7:$J$441,$B38&amp;"-"&amp;"Yes",'Data By District'!$Z$7:$Z$441,$B38&amp;"-"&amp;X$6)</f>
        <v>15</v>
      </c>
      <c r="AJ38" s="361">
        <f>COUNTIFS('Data By District'!$J$7:$J$441,$B38&amp;"-"&amp;"Yes",'Data By District'!$Y$7:$Y$441,$B38&amp;"-"&amp;"Rep",'Data By District'!$J$7:$J$441,$B38&amp;"-"&amp;"Yes",'Data By District'!$Z$7:$Z$441,$B38&amp;"-"&amp;W$6)+COUNTIFS('Data By District'!$J$7:$J$441,$B38&amp;"-"&amp;"Yes",'Data By District'!$Y$7:$Y$441,$B38&amp;"-"&amp;"Rep",'Data By District'!$J$7:$J$441,$B38&amp;"-"&amp;"Yes",'Data By District'!$Z$7:$Z$441,$B38&amp;"-"&amp;X$6)</f>
        <v>1</v>
      </c>
      <c r="AK38" s="360">
        <f>COUNTIF('Data By District'!$D$7:$D$441,$B38&amp;"-"&amp;"Yes")</f>
        <v>7</v>
      </c>
      <c r="AL38" s="361">
        <f>COUNTIF('Data By District'!$E$7:$E$441,$B38&amp;"-"&amp;"Yes")</f>
        <v>4</v>
      </c>
      <c r="AM38" s="361">
        <f>COUNTIF('Data By District'!$F$7:$F$441,$B38&amp;"-"&amp;"Yes")</f>
        <v>2</v>
      </c>
      <c r="AN38" s="361">
        <f>COUNTIF('Data By District'!$G$7:$G$441,$B38&amp;"-"&amp;"Yes")</f>
        <v>1</v>
      </c>
      <c r="AO38" s="361">
        <f>COUNTIF('Data By District'!$H$7:$H$441,$B38&amp;"-"&amp;"Yes")</f>
        <v>0</v>
      </c>
      <c r="AP38" s="70">
        <f t="shared" si="8"/>
        <v>8.518838701912014E-2</v>
      </c>
      <c r="AQ38" s="55">
        <f t="shared" si="25"/>
        <v>0.63217008540274489</v>
      </c>
      <c r="AR38" s="50">
        <f t="shared" si="26"/>
        <v>6460331</v>
      </c>
      <c r="AS38" s="41">
        <f>SUMIF('Data By District'!$B$7:$B$441,$B38,'Data By District'!$O$7:$O$441)</f>
        <v>4136336</v>
      </c>
      <c r="AT38" s="41">
        <f>SUMIF('Data By District'!$B$7:$B$441,$B38,'Data By District'!$P$7:$P$441)</f>
        <v>2243265</v>
      </c>
      <c r="AU38" s="41">
        <f>SUMIF('Data By District'!$B$7:$B$441,$B38,'Data By District'!$Q$7:$Q$441)</f>
        <v>80730</v>
      </c>
      <c r="AV38" s="289">
        <f t="shared" si="9"/>
        <v>0.64026688415810273</v>
      </c>
      <c r="AW38" s="24">
        <f t="shared" si="10"/>
        <v>0.34723685210556549</v>
      </c>
      <c r="AX38" s="56">
        <f t="shared" si="11"/>
        <v>1.2496263736331776E-2</v>
      </c>
      <c r="AY38" s="25">
        <f>COUNTIF('Data By District'!$Y$7:$Y$441,$B38&amp;"-"&amp;AY$6)</f>
        <v>21</v>
      </c>
      <c r="AZ38" s="25">
        <f>COUNTIF('Data By District'!$Y$7:$Y$441,$B38&amp;"-"&amp;AZ$6)</f>
        <v>6</v>
      </c>
      <c r="BA38" s="25">
        <f>COUNTIF('Data By District'!$Y$7:$Y$441,$B38&amp;"-"&amp;BA$6)</f>
        <v>0</v>
      </c>
      <c r="BB38" s="285">
        <f t="shared" si="27"/>
        <v>0.77777777777777779</v>
      </c>
      <c r="BC38" s="24">
        <f t="shared" si="28"/>
        <v>0.22222222222222221</v>
      </c>
      <c r="BD38" s="56">
        <f t="shared" si="29"/>
        <v>0</v>
      </c>
      <c r="BE38" s="285">
        <f t="shared" si="12"/>
        <v>0.13751089361967506</v>
      </c>
      <c r="BF38" s="24">
        <f t="shared" si="13"/>
        <v>0.12501462988334328</v>
      </c>
      <c r="BG38" s="56">
        <f t="shared" si="14"/>
        <v>1.2496263736331776E-2</v>
      </c>
      <c r="BH38" s="50">
        <f t="shared" si="30"/>
        <v>4084028</v>
      </c>
      <c r="BI38" s="41">
        <f>'Data By District'!AE294</f>
        <v>2376303</v>
      </c>
      <c r="BJ38" s="41">
        <f>SUMIF('Data By District'!$B$7:$B$441,'Data By State'!$B38,'Data By District'!$AA$7:$AA$441)</f>
        <v>711784</v>
      </c>
      <c r="BK38" s="41">
        <f>SUMIF('Data By District'!$B$7:$B$441,'Data By State'!$B38,'Data By District'!$AB$7:$AB$441)</f>
        <v>1391631</v>
      </c>
      <c r="BL38" s="50">
        <f>SUMIF('Data By District'!$B$7:$B$441,'Data By State'!$B38,'Data By District'!$AC$7:$AC$441)</f>
        <v>80730</v>
      </c>
      <c r="BM38" s="64">
        <f t="shared" si="31"/>
        <v>0.36782991459725517</v>
      </c>
      <c r="BN38" s="24">
        <f t="shared" si="33"/>
        <v>0.17208079807829924</v>
      </c>
      <c r="BO38" s="24">
        <f t="shared" si="34"/>
        <v>0.62035960976523064</v>
      </c>
      <c r="BP38" s="56">
        <f t="shared" si="35"/>
        <v>1</v>
      </c>
    </row>
    <row r="39" spans="1:68" ht="16" thickBot="1">
      <c r="A39" s="17" t="s">
        <v>97</v>
      </c>
      <c r="B39" s="26" t="s">
        <v>32</v>
      </c>
      <c r="C39" s="380">
        <v>4505372</v>
      </c>
      <c r="D39" s="380">
        <v>6970868</v>
      </c>
      <c r="E39" s="25">
        <f t="shared" ref="E39:E56" si="36">RANK(L39,L$7:L$56,1)</f>
        <v>6</v>
      </c>
      <c r="F39" s="25">
        <f t="shared" ref="F39:F56" si="37">RANK(M39,M$7:M$56)</f>
        <v>6</v>
      </c>
      <c r="G39" s="73">
        <f t="shared" si="18"/>
        <v>7</v>
      </c>
      <c r="H39" s="25">
        <f t="shared" si="19"/>
        <v>8</v>
      </c>
      <c r="I39" s="25">
        <f t="shared" si="20"/>
        <v>16</v>
      </c>
      <c r="J39" s="25">
        <f t="shared" si="21"/>
        <v>23</v>
      </c>
      <c r="K39" s="68">
        <f t="shared" si="22"/>
        <v>9</v>
      </c>
      <c r="L39" s="67">
        <f t="shared" ref="L39:L56" si="38">AVERAGE(G39,H39,I39,I39,J39)</f>
        <v>14</v>
      </c>
      <c r="M39" s="64">
        <f t="shared" si="23"/>
        <v>0.59760784269119582</v>
      </c>
      <c r="N39" s="33">
        <f>AVERAGE('Data By District'!V295:'Data By District'!V307)</f>
        <v>0.19183309679459667</v>
      </c>
      <c r="O39" s="29">
        <f t="shared" ref="O39:O57" si="39">(W39+X39+Y39)/S39</f>
        <v>0.38461538461538464</v>
      </c>
      <c r="P39" s="29">
        <f>SUMIF('Data By District'!$B$7:$B$441,B39,'Data By District'!$T$7:$T$441)/D39</f>
        <v>0.38302747950470445</v>
      </c>
      <c r="Q39" s="29">
        <f t="shared" ref="Q39:Q57" si="40">(BF39+BE39)/2</f>
        <v>0.2015672641434483</v>
      </c>
      <c r="R39" s="70">
        <f t="shared" ref="R39:R56" si="41">AR39/D39</f>
        <v>0.62891909587156147</v>
      </c>
      <c r="S39" s="69">
        <f t="shared" ref="S39:S56" si="42">SUM(T39:Y39)</f>
        <v>13</v>
      </c>
      <c r="T39" s="25">
        <f>COUNTIF('Data By District'!$Z$7:$Z$441,$B39&amp;"-"&amp;T$6)</f>
        <v>1</v>
      </c>
      <c r="U39" s="25">
        <f>COUNTIF('Data By District'!$Z$7:$Z$441,$B39&amp;"-"&amp;U$6)</f>
        <v>2</v>
      </c>
      <c r="V39" s="25">
        <f>COUNTIF('Data By District'!$Z$7:$Z$441,$B39&amp;"-"&amp;V$6)</f>
        <v>5</v>
      </c>
      <c r="W39" s="25">
        <f>COUNTIF('Data By District'!$Z$7:$Z$441,$B39&amp;"-"&amp;W$6)</f>
        <v>2</v>
      </c>
      <c r="X39" s="25">
        <f>COUNTIF('Data By District'!$Z$7:$Z$441,$B39&amp;"-"&amp;X$6)-(Y39)</f>
        <v>3</v>
      </c>
      <c r="Y39" s="25">
        <f>COUNTIF('Data By District'!$X$7:$X$441,$B39&amp;"-"&amp;"Yes")</f>
        <v>0</v>
      </c>
      <c r="Z39" s="385">
        <f t="shared" ref="Z39:Z57" si="43">Y39/S39</f>
        <v>0</v>
      </c>
      <c r="AA39" s="387">
        <f>COUNTIF('Data By District'!$L$7:$L$441, $B39&amp;"-"&amp;1)</f>
        <v>0</v>
      </c>
      <c r="AB39" s="360">
        <f>COUNTIFS('Data By District'!$J$7:$J$441,$B39&amp;"-"&amp;"Yes",'Data By District'!$Z$7:$Z$441,$B39&amp;"-"&amp;X$6)+COUNTIFS('Data By District'!$J$7:$J$441,$B39&amp;"-"&amp;"Yes",'Data By District'!$Z$7:$Z$441,$B39&amp;"-"&amp;W$6)</f>
        <v>5</v>
      </c>
      <c r="AC39" s="357">
        <f t="shared" si="32"/>
        <v>0.5</v>
      </c>
      <c r="AD39" s="361">
        <f>COUNTIF('Data By District'!$J$7:$J$441,$B39&amp;"-"&amp;"Yes")</f>
        <v>10</v>
      </c>
      <c r="AE39" s="361">
        <f t="shared" si="24"/>
        <v>3</v>
      </c>
      <c r="AF39" s="361">
        <f>COUNTIF('Data By District'!$I$7:$I$441,$B39&amp;"-"&amp;"Yes")</f>
        <v>13</v>
      </c>
      <c r="AG39" s="361">
        <f>COUNTIFS('Data By District'!$J$7:$J$441,$B39&amp;"-"&amp;"Yes",'Data By District'!$Y$7:$Y$441,$B39&amp;"-"&amp;"Dem")</f>
        <v>4</v>
      </c>
      <c r="AH39" s="361">
        <f>COUNTIFS('Data By District'!$J$7:$J$441,$B39&amp;"-"&amp;"Yes",'Data By District'!$Y$7:$Y$441,$B39&amp;"-"&amp;"Rep")</f>
        <v>6</v>
      </c>
      <c r="AI39" s="361">
        <f>COUNTIFS('Data By District'!$J$7:$J$441,$B39&amp;"-"&amp;"Yes",'Data By District'!$Y$7:$Y$441,$B39&amp;"-"&amp;"Dem",'Data By District'!$J$7:$J$441,$B39&amp;"-"&amp;"Yes",'Data By District'!$Z$7:$Z$441,$B39&amp;"-"&amp;W$6)+COUNTIFS('Data By District'!$J$7:$J$441,$B39&amp;"-"&amp;"Yes",'Data By District'!$Y$7:$Y$441,$B39&amp;"-"&amp;"Dem",'Data By District'!$J$7:$J$441,$B39&amp;"-"&amp;"Yes",'Data By District'!$Z$7:$Z$441,$B39&amp;"-"&amp;X$6)</f>
        <v>3</v>
      </c>
      <c r="AJ39" s="361">
        <f>COUNTIFS('Data By District'!$J$7:$J$441,$B39&amp;"-"&amp;"Yes",'Data By District'!$Y$7:$Y$441,$B39&amp;"-"&amp;"Rep",'Data By District'!$J$7:$J$441,$B39&amp;"-"&amp;"Yes",'Data By District'!$Z$7:$Z$441,$B39&amp;"-"&amp;W$6)+COUNTIFS('Data By District'!$J$7:$J$441,$B39&amp;"-"&amp;"Yes",'Data By District'!$Y$7:$Y$441,$B39&amp;"-"&amp;"Rep",'Data By District'!$J$7:$J$441,$B39&amp;"-"&amp;"Yes",'Data By District'!$Z$7:$Z$441,$B39&amp;"-"&amp;X$6)</f>
        <v>2</v>
      </c>
      <c r="AK39" s="360">
        <f>COUNTIF('Data By District'!$D$7:$D$441,$B39&amp;"-"&amp;"Yes")</f>
        <v>2</v>
      </c>
      <c r="AL39" s="361">
        <f>COUNTIF('Data By District'!$E$7:$E$441,$B39&amp;"-"&amp;"Yes")</f>
        <v>2</v>
      </c>
      <c r="AM39" s="361">
        <f>COUNTIF('Data By District'!$F$7:$F$441,$B39&amp;"-"&amp;"Yes")</f>
        <v>0</v>
      </c>
      <c r="AN39" s="361">
        <f>COUNTIF('Data By District'!$G$7:$G$441,$B39&amp;"-"&amp;"Yes")</f>
        <v>0</v>
      </c>
      <c r="AO39" s="361">
        <f>COUNTIF('Data By District'!$H$7:$H$441,$B39&amp;"-"&amp;"Yes")</f>
        <v>0</v>
      </c>
      <c r="AP39" s="70">
        <f t="shared" ref="AP39:AP57" si="44">(C39-AR39)/C39</f>
        <v>2.6914536690865926E-2</v>
      </c>
      <c r="AQ39" s="55">
        <f t="shared" si="25"/>
        <v>0.58683993474619267</v>
      </c>
      <c r="AR39" s="50">
        <f t="shared" si="26"/>
        <v>4384112</v>
      </c>
      <c r="AS39" s="41">
        <f>SUMIF('Data By District'!$B$7:$B$441,$B39,'Data By District'!$O$7:$O$441)</f>
        <v>2218357</v>
      </c>
      <c r="AT39" s="41">
        <f>SUMIF('Data By District'!$B$7:$B$441,$B39,'Data By District'!$P$7:$P$441)</f>
        <v>2137167</v>
      </c>
      <c r="AU39" s="41">
        <f>SUMIF('Data By District'!$B$7:$B$441,$B39,'Data By District'!$Q$7:$Q$441)</f>
        <v>28588</v>
      </c>
      <c r="AV39" s="289">
        <f t="shared" ref="AV39:AV57" si="45">AS39/AR39</f>
        <v>0.50599916243015686</v>
      </c>
      <c r="AW39" s="24">
        <f t="shared" ref="AW39:AW57" si="46">AT39/AR39</f>
        <v>0.48748001875864483</v>
      </c>
      <c r="AX39" s="56">
        <f t="shared" ref="AX39:AX57" si="47">AU39/AR39</f>
        <v>6.5208188111982538E-3</v>
      </c>
      <c r="AY39" s="25">
        <f>COUNTIF('Data By District'!$Y$7:$Y$441,$B39&amp;"-"&amp;AY$6)</f>
        <v>4</v>
      </c>
      <c r="AZ39" s="25">
        <f>COUNTIF('Data By District'!$Y$7:$Y$441,$B39&amp;"-"&amp;AZ$6)</f>
        <v>9</v>
      </c>
      <c r="BA39" s="25">
        <f>COUNTIF('Data By District'!$Y$7:$Y$441,$B39&amp;"-"&amp;BA$6)</f>
        <v>0</v>
      </c>
      <c r="BB39" s="285">
        <f t="shared" si="27"/>
        <v>0.30769230769230771</v>
      </c>
      <c r="BC39" s="24">
        <f t="shared" si="28"/>
        <v>0.69230769230769229</v>
      </c>
      <c r="BD39" s="56">
        <f t="shared" si="29"/>
        <v>0</v>
      </c>
      <c r="BE39" s="285">
        <f t="shared" ref="BE39:BE57" si="48">ABS((AS39/$AR39)-(AY39/$S39))</f>
        <v>0.19830685473784915</v>
      </c>
      <c r="BF39" s="24">
        <f t="shared" ref="BF39:BF57" si="49">ABS((AT39/$AR39)-(AZ39/$S39))</f>
        <v>0.20482767354904746</v>
      </c>
      <c r="BG39" s="56">
        <f t="shared" ref="BG39:BG57" si="50">ABS((AU39/$AR39)-(BA39/$S39))</f>
        <v>6.5208188111982538E-3</v>
      </c>
      <c r="BH39" s="50">
        <f t="shared" si="30"/>
        <v>2572772</v>
      </c>
      <c r="BI39" s="41">
        <f>'Data By District'!AE307</f>
        <v>1811340</v>
      </c>
      <c r="BJ39" s="41">
        <f>SUMIF('Data By District'!$B$7:$B$441,'Data By State'!$B39,'Data By District'!$AA$7:$AA$441)</f>
        <v>1287893</v>
      </c>
      <c r="BK39" s="41">
        <f>SUMIF('Data By District'!$B$7:$B$441,'Data By State'!$B39,'Data By District'!$AB$7:$AB$441)</f>
        <v>397597</v>
      </c>
      <c r="BL39" s="50">
        <f>SUMIF('Data By District'!$B$7:$B$441,'Data By State'!$B39,'Data By District'!$AC$7:$AC$441)</f>
        <v>28588</v>
      </c>
      <c r="BM39" s="64">
        <f t="shared" si="31"/>
        <v>0.41316006525380738</v>
      </c>
      <c r="BN39" s="24">
        <f t="shared" si="33"/>
        <v>0.58056164990576364</v>
      </c>
      <c r="BO39" s="24">
        <f t="shared" si="34"/>
        <v>0.18603927535845349</v>
      </c>
      <c r="BP39" s="56">
        <f t="shared" si="35"/>
        <v>1</v>
      </c>
    </row>
    <row r="40" spans="1:68" ht="16" thickBot="1">
      <c r="A40" s="17" t="s">
        <v>98</v>
      </c>
      <c r="B40" s="26" t="s">
        <v>33</v>
      </c>
      <c r="C40" s="380">
        <v>322932</v>
      </c>
      <c r="D40" s="380">
        <v>533050</v>
      </c>
      <c r="E40" s="25">
        <f t="shared" si="36"/>
        <v>30</v>
      </c>
      <c r="F40" s="25">
        <f t="shared" si="37"/>
        <v>7</v>
      </c>
      <c r="G40" s="73">
        <f t="shared" si="18"/>
        <v>11</v>
      </c>
      <c r="H40" s="25">
        <f t="shared" si="19"/>
        <v>1</v>
      </c>
      <c r="I40" s="25">
        <f t="shared" si="20"/>
        <v>39</v>
      </c>
      <c r="J40" s="25">
        <f t="shared" si="21"/>
        <v>48</v>
      </c>
      <c r="K40" s="68">
        <f t="shared" si="22"/>
        <v>17</v>
      </c>
      <c r="L40" s="67">
        <f t="shared" si="38"/>
        <v>27.6</v>
      </c>
      <c r="M40" s="64">
        <f t="shared" si="23"/>
        <v>0.59734721579705297</v>
      </c>
      <c r="N40" s="33">
        <f>('Data By District'!V308)</f>
        <v>0.23051166049646798</v>
      </c>
      <c r="O40" s="29">
        <f t="shared" si="39"/>
        <v>0</v>
      </c>
      <c r="P40" s="29">
        <f>SUMIF('Data By District'!$B$7:$B$441,B40,'Data By District'!$T$7:$T$441)/D40</f>
        <v>0.32564487383922708</v>
      </c>
      <c r="Q40" s="29">
        <f t="shared" si="40"/>
        <v>0.43404200819672134</v>
      </c>
      <c r="R40" s="70">
        <f t="shared" si="41"/>
        <v>0.59323515617671885</v>
      </c>
      <c r="S40" s="69">
        <f t="shared" si="42"/>
        <v>1</v>
      </c>
      <c r="T40" s="25">
        <f>COUNTIF('Data By District'!$Z$7:$Z$441,$B40&amp;"-"&amp;T$6)</f>
        <v>0</v>
      </c>
      <c r="U40" s="25">
        <f>COUNTIF('Data By District'!$Z$7:$Z$441,$B40&amp;"-"&amp;U$6)</f>
        <v>0</v>
      </c>
      <c r="V40" s="25">
        <f>COUNTIF('Data By District'!$Z$7:$Z$441,$B40&amp;"-"&amp;V$6)</f>
        <v>1</v>
      </c>
      <c r="W40" s="25">
        <f>COUNTIF('Data By District'!$Z$7:$Z$441,$B40&amp;"-"&amp;W$6)</f>
        <v>0</v>
      </c>
      <c r="X40" s="25">
        <f>COUNTIF('Data By District'!$Z$7:$Z$441,$B40&amp;"-"&amp;X$6)-(Y40)</f>
        <v>0</v>
      </c>
      <c r="Y40" s="25">
        <f>COUNTIF('Data By District'!$X$7:$X$441,$B40&amp;"-"&amp;"Yes")</f>
        <v>0</v>
      </c>
      <c r="Z40" s="385">
        <f t="shared" si="43"/>
        <v>0</v>
      </c>
      <c r="AA40" s="387">
        <f>COUNTIF('Data By District'!$L$7:$L$441, $B40&amp;"-"&amp;1)</f>
        <v>0</v>
      </c>
      <c r="AB40" s="360">
        <f>COUNTIFS('Data By District'!$J$7:$J$441,$B40&amp;"-"&amp;"Yes",'Data By District'!$Z$7:$Z$441,$B40&amp;"-"&amp;X$6)+COUNTIFS('Data By District'!$J$7:$J$441,$B40&amp;"-"&amp;"Yes",'Data By District'!$Z$7:$Z$441,$B40&amp;"-"&amp;W$6)</f>
        <v>0</v>
      </c>
      <c r="AC40" s="357">
        <f t="shared" si="32"/>
        <v>0</v>
      </c>
      <c r="AD40" s="361">
        <f>COUNTIF('Data By District'!$J$7:$J$441,$B40&amp;"-"&amp;"Yes")</f>
        <v>1</v>
      </c>
      <c r="AE40" s="361">
        <f t="shared" si="24"/>
        <v>0</v>
      </c>
      <c r="AF40" s="361">
        <f>COUNTIF('Data By District'!$I$7:$I$441,$B40&amp;"-"&amp;"Yes")</f>
        <v>1</v>
      </c>
      <c r="AG40" s="361">
        <f>COUNTIFS('Data By District'!$J$7:$J$441,$B40&amp;"-"&amp;"Yes",'Data By District'!$Y$7:$Y$441,$B40&amp;"-"&amp;"Dem")</f>
        <v>0</v>
      </c>
      <c r="AH40" s="361">
        <f>COUNTIFS('Data By District'!$J$7:$J$441,$B40&amp;"-"&amp;"Yes",'Data By District'!$Y$7:$Y$441,$B40&amp;"-"&amp;"Rep")</f>
        <v>1</v>
      </c>
      <c r="AI40" s="361">
        <f>COUNTIFS('Data By District'!$J$7:$J$441,$B40&amp;"-"&amp;"Yes",'Data By District'!$Y$7:$Y$441,$B40&amp;"-"&amp;"Dem",'Data By District'!$J$7:$J$441,$B40&amp;"-"&amp;"Yes",'Data By District'!$Z$7:$Z$441,$B40&amp;"-"&amp;W$6)+COUNTIFS('Data By District'!$J$7:$J$441,$B40&amp;"-"&amp;"Yes",'Data By District'!$Y$7:$Y$441,$B40&amp;"-"&amp;"Dem",'Data By District'!$J$7:$J$441,$B40&amp;"-"&amp;"Yes",'Data By District'!$Z$7:$Z$441,$B40&amp;"-"&amp;X$6)</f>
        <v>0</v>
      </c>
      <c r="AJ40" s="361">
        <f>COUNTIFS('Data By District'!$J$7:$J$441,$B40&amp;"-"&amp;"Yes",'Data By District'!$Y$7:$Y$441,$B40&amp;"-"&amp;"Rep",'Data By District'!$J$7:$J$441,$B40&amp;"-"&amp;"Yes",'Data By District'!$Z$7:$Z$441,$B40&amp;"-"&amp;W$6)+COUNTIFS('Data By District'!$J$7:$J$441,$B40&amp;"-"&amp;"Yes",'Data By District'!$Y$7:$Y$441,$B40&amp;"-"&amp;"Rep",'Data By District'!$J$7:$J$441,$B40&amp;"-"&amp;"Yes",'Data By District'!$Z$7:$Z$441,$B40&amp;"-"&amp;X$6)</f>
        <v>0</v>
      </c>
      <c r="AK40" s="360">
        <f>COUNTIF('Data By District'!$D$7:$D$441,$B40&amp;"-"&amp;"Yes")</f>
        <v>0</v>
      </c>
      <c r="AL40" s="361">
        <f>COUNTIF('Data By District'!$E$7:$E$441,$B40&amp;"-"&amp;"Yes")</f>
        <v>0</v>
      </c>
      <c r="AM40" s="361">
        <f>COUNTIF('Data By District'!$F$7:$F$441,$B40&amp;"-"&amp;"Yes")</f>
        <v>0</v>
      </c>
      <c r="AN40" s="361">
        <f>COUNTIF('Data By District'!$G$7:$G$441,$B40&amp;"-"&amp;"Yes")</f>
        <v>0</v>
      </c>
      <c r="AO40" s="361">
        <f>COUNTIF('Data By District'!$H$7:$H$441,$B40&amp;"-"&amp;"Yes")</f>
        <v>0</v>
      </c>
      <c r="AP40" s="70">
        <f t="shared" si="44"/>
        <v>2.0772174947047677E-2</v>
      </c>
      <c r="AQ40" s="55">
        <f t="shared" si="25"/>
        <v>0.58777638635903662</v>
      </c>
      <c r="AR40" s="50">
        <f t="shared" si="26"/>
        <v>316224</v>
      </c>
      <c r="AS40" s="41">
        <f>SUMIF('Data By District'!$B$7:$B$441,$B40,'Data By District'!$O$7:$O$441)</f>
        <v>131870</v>
      </c>
      <c r="AT40" s="41">
        <f>SUMIF('Data By District'!$B$7:$B$441,$B40,'Data By District'!$P$7:$P$441)</f>
        <v>173585</v>
      </c>
      <c r="AU40" s="41">
        <f>SUMIF('Data By District'!$B$7:$B$441,$B40,'Data By District'!$Q$7:$Q$441)</f>
        <v>10769</v>
      </c>
      <c r="AV40" s="289">
        <f t="shared" si="45"/>
        <v>0.41701452135195305</v>
      </c>
      <c r="AW40" s="24">
        <f t="shared" si="46"/>
        <v>0.54893050495851037</v>
      </c>
      <c r="AX40" s="56">
        <f t="shared" si="47"/>
        <v>3.4054973689536534E-2</v>
      </c>
      <c r="AY40" s="25">
        <f>COUNTIF('Data By District'!$Y$7:$Y$441,$B40&amp;"-"&amp;AY$6)</f>
        <v>0</v>
      </c>
      <c r="AZ40" s="25">
        <f>COUNTIF('Data By District'!$Y$7:$Y$441,$B40&amp;"-"&amp;AZ$6)</f>
        <v>1</v>
      </c>
      <c r="BA40" s="25">
        <f>COUNTIF('Data By District'!$Y$7:$Y$441,$B40&amp;"-"&amp;BA$6)</f>
        <v>0</v>
      </c>
      <c r="BB40" s="285">
        <f t="shared" si="27"/>
        <v>0</v>
      </c>
      <c r="BC40" s="24">
        <f t="shared" si="28"/>
        <v>1</v>
      </c>
      <c r="BD40" s="56">
        <f t="shared" si="29"/>
        <v>0</v>
      </c>
      <c r="BE40" s="285">
        <f t="shared" si="48"/>
        <v>0.41701452135195305</v>
      </c>
      <c r="BF40" s="24">
        <f t="shared" si="49"/>
        <v>0.45106949504148963</v>
      </c>
      <c r="BG40" s="56">
        <f t="shared" si="50"/>
        <v>3.4054973689536534E-2</v>
      </c>
      <c r="BH40" s="50">
        <f t="shared" si="30"/>
        <v>185869</v>
      </c>
      <c r="BI40" s="41">
        <f>'Data By District'!AE308</f>
        <v>130355</v>
      </c>
      <c r="BJ40" s="41">
        <f>SUMIF('Data By District'!$B$7:$B$441,'Data By State'!$B40,'Data By District'!$AA$7:$AA$441)</f>
        <v>131870</v>
      </c>
      <c r="BK40" s="41">
        <f>SUMIF('Data By District'!$B$7:$B$441,'Data By State'!$B40,'Data By District'!$AB$7:$AB$441)</f>
        <v>0</v>
      </c>
      <c r="BL40" s="50">
        <f>SUMIF('Data By District'!$B$7:$B$441,'Data By State'!$B40,'Data By District'!$AC$7:$AC$441)</f>
        <v>10769</v>
      </c>
      <c r="BM40" s="64">
        <f t="shared" si="31"/>
        <v>0.41222361364096338</v>
      </c>
      <c r="BN40" s="24">
        <f t="shared" si="33"/>
        <v>1</v>
      </c>
      <c r="BO40" s="24">
        <f t="shared" si="34"/>
        <v>0</v>
      </c>
      <c r="BP40" s="56" t="s">
        <v>253</v>
      </c>
    </row>
    <row r="41" spans="1:68" ht="16" thickBot="1">
      <c r="A41" s="17" t="s">
        <v>99</v>
      </c>
      <c r="B41" s="26" t="s">
        <v>34</v>
      </c>
      <c r="C41" s="380">
        <v>5580822</v>
      </c>
      <c r="D41" s="380">
        <v>8644958</v>
      </c>
      <c r="E41" s="25">
        <f t="shared" si="36"/>
        <v>21</v>
      </c>
      <c r="F41" s="25">
        <f t="shared" si="37"/>
        <v>19</v>
      </c>
      <c r="G41" s="73">
        <f t="shared" si="18"/>
        <v>31</v>
      </c>
      <c r="H41" s="25">
        <f t="shared" si="19"/>
        <v>22</v>
      </c>
      <c r="I41" s="25">
        <f t="shared" si="20"/>
        <v>18</v>
      </c>
      <c r="J41" s="25">
        <f t="shared" si="21"/>
        <v>29</v>
      </c>
      <c r="K41" s="68">
        <f t="shared" si="22"/>
        <v>16</v>
      </c>
      <c r="L41" s="67">
        <f t="shared" si="38"/>
        <v>23.6</v>
      </c>
      <c r="M41" s="64">
        <f t="shared" si="23"/>
        <v>0.5113450729919008</v>
      </c>
      <c r="N41" s="33">
        <f>AVERAGE('Data By District'!V309:'Data By District'!V326)</f>
        <v>0.35171896727351037</v>
      </c>
      <c r="O41" s="29">
        <f t="shared" si="39"/>
        <v>0.625</v>
      </c>
      <c r="P41" s="29">
        <f>SUMIF('Data By District'!$B$7:$B$441,B41,'Data By District'!$T$7:$T$441)/D41</f>
        <v>0.38161700727753678</v>
      </c>
      <c r="Q41" s="29">
        <f t="shared" si="40"/>
        <v>0.22978968232205899</v>
      </c>
      <c r="R41" s="70">
        <f t="shared" si="41"/>
        <v>0.59481214367958757</v>
      </c>
      <c r="S41" s="69">
        <f t="shared" si="42"/>
        <v>16</v>
      </c>
      <c r="T41" s="25">
        <f>COUNTIF('Data By District'!$Z$7:$Z$441,$B41&amp;"-"&amp;T$6)</f>
        <v>1</v>
      </c>
      <c r="U41" s="25">
        <f>COUNTIF('Data By District'!$Z$7:$Z$441,$B41&amp;"-"&amp;U$6)</f>
        <v>1</v>
      </c>
      <c r="V41" s="25">
        <f>COUNTIF('Data By District'!$Z$7:$Z$441,$B41&amp;"-"&amp;V$6)</f>
        <v>4</v>
      </c>
      <c r="W41" s="25">
        <f>COUNTIF('Data By District'!$Z$7:$Z$441,$B41&amp;"-"&amp;W$6)</f>
        <v>5</v>
      </c>
      <c r="X41" s="25">
        <f>COUNTIF('Data By District'!$Z$7:$Z$441,$B41&amp;"-"&amp;X$6)-(Y41)</f>
        <v>3</v>
      </c>
      <c r="Y41" s="25">
        <f>COUNTIF('Data By District'!$X$7:$X$441,$B41&amp;"-"&amp;"Yes")</f>
        <v>2</v>
      </c>
      <c r="Z41" s="385">
        <f t="shared" si="43"/>
        <v>0.125</v>
      </c>
      <c r="AA41" s="387">
        <f>COUNTIF('Data By District'!$L$7:$L$441, $B41&amp;"-"&amp;1)</f>
        <v>0</v>
      </c>
      <c r="AB41" s="360">
        <f>COUNTIFS('Data By District'!$J$7:$J$441,$B41&amp;"-"&amp;"Yes",'Data By District'!$Z$7:$Z$441,$B41&amp;"-"&amp;X$6)+COUNTIFS('Data By District'!$J$7:$J$441,$B41&amp;"-"&amp;"Yes",'Data By District'!$Z$7:$Z$441,$B41&amp;"-"&amp;W$6)</f>
        <v>9</v>
      </c>
      <c r="AC41" s="357">
        <f t="shared" si="32"/>
        <v>0.6</v>
      </c>
      <c r="AD41" s="361">
        <f>COUNTIF('Data By District'!$J$7:$J$441,$B41&amp;"-"&amp;"Yes")</f>
        <v>15</v>
      </c>
      <c r="AE41" s="361">
        <f t="shared" si="24"/>
        <v>1</v>
      </c>
      <c r="AF41" s="361">
        <f>COUNTIF('Data By District'!$I$7:$I$441,$B41&amp;"-"&amp;"Yes")</f>
        <v>16</v>
      </c>
      <c r="AG41" s="361">
        <f>COUNTIFS('Data By District'!$J$7:$J$441,$B41&amp;"-"&amp;"Yes",'Data By District'!$Y$7:$Y$441,$B41&amp;"-"&amp;"Dem")</f>
        <v>3</v>
      </c>
      <c r="AH41" s="361">
        <f>COUNTIFS('Data By District'!$J$7:$J$441,$B41&amp;"-"&amp;"Yes",'Data By District'!$Y$7:$Y$441,$B41&amp;"-"&amp;"Rep")</f>
        <v>12</v>
      </c>
      <c r="AI41" s="361">
        <f>COUNTIFS('Data By District'!$J$7:$J$441,$B41&amp;"-"&amp;"Yes",'Data By District'!$Y$7:$Y$441,$B41&amp;"-"&amp;"Dem",'Data By District'!$J$7:$J$441,$B41&amp;"-"&amp;"Yes",'Data By District'!$Z$7:$Z$441,$B41&amp;"-"&amp;W$6)+COUNTIFS('Data By District'!$J$7:$J$441,$B41&amp;"-"&amp;"Yes",'Data By District'!$Y$7:$Y$441,$B41&amp;"-"&amp;"Dem",'Data By District'!$J$7:$J$441,$B41&amp;"-"&amp;"Yes",'Data By District'!$Z$7:$Z$441,$B41&amp;"-"&amp;X$6)</f>
        <v>3</v>
      </c>
      <c r="AJ41" s="361">
        <f>COUNTIFS('Data By District'!$J$7:$J$441,$B41&amp;"-"&amp;"Yes",'Data By District'!$Y$7:$Y$441,$B41&amp;"-"&amp;"Rep",'Data By District'!$J$7:$J$441,$B41&amp;"-"&amp;"Yes",'Data By District'!$Z$7:$Z$441,$B41&amp;"-"&amp;W$6)+COUNTIFS('Data By District'!$J$7:$J$441,$B41&amp;"-"&amp;"Yes",'Data By District'!$Y$7:$Y$441,$B41&amp;"-"&amp;"Rep",'Data By District'!$J$7:$J$441,$B41&amp;"-"&amp;"Yes",'Data By District'!$Z$7:$Z$441,$B41&amp;"-"&amp;X$6)</f>
        <v>6</v>
      </c>
      <c r="AK41" s="360">
        <f>COUNTIF('Data By District'!$D$7:$D$441,$B41&amp;"-"&amp;"Yes")</f>
        <v>3</v>
      </c>
      <c r="AL41" s="361">
        <f>COUNTIF('Data By District'!$E$7:$E$441,$B41&amp;"-"&amp;"Yes")</f>
        <v>2</v>
      </c>
      <c r="AM41" s="361">
        <f>COUNTIF('Data By District'!$F$7:$F$441,$B41&amp;"-"&amp;"Yes")</f>
        <v>0</v>
      </c>
      <c r="AN41" s="361">
        <f>COUNTIF('Data By District'!$G$7:$G$441,$B41&amp;"-"&amp;"Yes")</f>
        <v>1</v>
      </c>
      <c r="AO41" s="361">
        <f>COUNTIF('Data By District'!$H$7:$H$441,$B41&amp;"-"&amp;"Yes")</f>
        <v>0</v>
      </c>
      <c r="AP41" s="70">
        <f t="shared" si="44"/>
        <v>7.8607774983685194E-2</v>
      </c>
      <c r="AQ41" s="55">
        <f t="shared" si="25"/>
        <v>0.62325602289792204</v>
      </c>
      <c r="AR41" s="50">
        <f t="shared" si="26"/>
        <v>5142126</v>
      </c>
      <c r="AS41" s="41">
        <f>SUMIF('Data By District'!$B$7:$B$441,$B41,'Data By District'!$O$7:$O$441)</f>
        <v>2412385</v>
      </c>
      <c r="AT41" s="41">
        <f>SUMIF('Data By District'!$B$7:$B$441,$B41,'Data By District'!$P$7:$P$441)</f>
        <v>2620233</v>
      </c>
      <c r="AU41" s="41">
        <f>SUMIF('Data By District'!$B$7:$B$441,$B41,'Data By District'!$Q$7:$Q$441)</f>
        <v>109508</v>
      </c>
      <c r="AV41" s="289">
        <f t="shared" si="45"/>
        <v>0.46914155740252184</v>
      </c>
      <c r="AW41" s="24">
        <f t="shared" si="46"/>
        <v>0.50956219275840386</v>
      </c>
      <c r="AX41" s="56">
        <f t="shared" si="47"/>
        <v>2.1296249839074344E-2</v>
      </c>
      <c r="AY41" s="25">
        <f>COUNTIF('Data By District'!$Y$7:$Y$441,$B41&amp;"-"&amp;AY$6)</f>
        <v>4</v>
      </c>
      <c r="AZ41" s="25">
        <f>COUNTIF('Data By District'!$Y$7:$Y$441,$B41&amp;"-"&amp;AZ$6)</f>
        <v>12</v>
      </c>
      <c r="BA41" s="25">
        <f>COUNTIF('Data By District'!$Y$7:$Y$441,$B41&amp;"-"&amp;BA$6)</f>
        <v>0</v>
      </c>
      <c r="BB41" s="285">
        <f t="shared" si="27"/>
        <v>0.25</v>
      </c>
      <c r="BC41" s="24">
        <f t="shared" si="28"/>
        <v>0.75</v>
      </c>
      <c r="BD41" s="56">
        <f t="shared" si="29"/>
        <v>0</v>
      </c>
      <c r="BE41" s="285">
        <f t="shared" si="48"/>
        <v>0.21914155740252184</v>
      </c>
      <c r="BF41" s="24">
        <f t="shared" si="49"/>
        <v>0.24043780724159614</v>
      </c>
      <c r="BG41" s="56">
        <f t="shared" si="50"/>
        <v>2.1296249839074344E-2</v>
      </c>
      <c r="BH41" s="50">
        <f t="shared" si="30"/>
        <v>3204861</v>
      </c>
      <c r="BI41" s="41">
        <f>'Data By District'!AE326</f>
        <v>1937265</v>
      </c>
      <c r="BJ41" s="41">
        <f>SUMIF('Data By District'!$B$7:$B$441,'Data By State'!$B41,'Data By District'!$AA$7:$AA$441)</f>
        <v>1498866</v>
      </c>
      <c r="BK41" s="41">
        <f>SUMIF('Data By District'!$B$7:$B$441,'Data By State'!$B41,'Data By District'!$AB$7:$AB$441)</f>
        <v>234689</v>
      </c>
      <c r="BL41" s="50">
        <f>SUMIF('Data By District'!$B$7:$B$441,'Data By State'!$B41,'Data By District'!$AC$7:$AC$441)</f>
        <v>109508</v>
      </c>
      <c r="BM41" s="64">
        <f t="shared" si="31"/>
        <v>0.37674397710207802</v>
      </c>
      <c r="BN41" s="24">
        <f t="shared" si="33"/>
        <v>0.62132122360236863</v>
      </c>
      <c r="BO41" s="24">
        <f t="shared" si="34"/>
        <v>8.9567988800995937E-2</v>
      </c>
      <c r="BP41" s="56">
        <f t="shared" si="35"/>
        <v>1</v>
      </c>
    </row>
    <row r="42" spans="1:68" ht="16" thickBot="1">
      <c r="A42" s="17" t="s">
        <v>100</v>
      </c>
      <c r="B42" s="26" t="s">
        <v>35</v>
      </c>
      <c r="C42" s="380">
        <v>1334872</v>
      </c>
      <c r="D42" s="380">
        <v>2715516</v>
      </c>
      <c r="E42" s="25">
        <f t="shared" si="36"/>
        <v>50</v>
      </c>
      <c r="F42" s="25">
        <f t="shared" si="37"/>
        <v>45</v>
      </c>
      <c r="G42" s="73">
        <f t="shared" si="18"/>
        <v>35</v>
      </c>
      <c r="H42" s="25">
        <f t="shared" si="19"/>
        <v>34</v>
      </c>
      <c r="I42" s="25">
        <f t="shared" si="20"/>
        <v>44</v>
      </c>
      <c r="J42" s="25">
        <f t="shared" si="21"/>
        <v>39</v>
      </c>
      <c r="K42" s="68">
        <f t="shared" si="22"/>
        <v>45</v>
      </c>
      <c r="L42" s="67">
        <f t="shared" si="38"/>
        <v>39.200000000000003</v>
      </c>
      <c r="M42" s="64">
        <f t="shared" si="23"/>
        <v>0.41955668904957688</v>
      </c>
      <c r="N42" s="33">
        <f>AVERAGE('Data By District'!V327:'Data By District'!V331)</f>
        <v>0.40169972502127826</v>
      </c>
      <c r="O42" s="29">
        <f t="shared" si="39"/>
        <v>0.8</v>
      </c>
      <c r="P42" s="29">
        <f>SUMIF('Data By District'!$B$7:$B$441,B42,'Data By District'!$T$7:$T$441)/D42</f>
        <v>0.31554665853561531</v>
      </c>
      <c r="Q42" s="29">
        <f t="shared" si="40"/>
        <v>0.33161014680206796</v>
      </c>
      <c r="R42" s="70">
        <f t="shared" si="41"/>
        <v>0.48828104861101906</v>
      </c>
      <c r="S42" s="69">
        <f t="shared" si="42"/>
        <v>5</v>
      </c>
      <c r="T42" s="25">
        <f>COUNTIF('Data By District'!$Z$7:$Z$441,$B42&amp;"-"&amp;T$6)</f>
        <v>0</v>
      </c>
      <c r="U42" s="25">
        <f>COUNTIF('Data By District'!$Z$7:$Z$441,$B42&amp;"-"&amp;U$6)</f>
        <v>0</v>
      </c>
      <c r="V42" s="25">
        <f>COUNTIF('Data By District'!$Z$7:$Z$441,$B42&amp;"-"&amp;V$6)</f>
        <v>1</v>
      </c>
      <c r="W42" s="25">
        <f>COUNTIF('Data By District'!$Z$7:$Z$441,$B42&amp;"-"&amp;W$6)</f>
        <v>2</v>
      </c>
      <c r="X42" s="25">
        <f>COUNTIF('Data By District'!$Z$7:$Z$441,$B42&amp;"-"&amp;X$6)-(Y42)</f>
        <v>2</v>
      </c>
      <c r="Y42" s="25">
        <f>COUNTIF('Data By District'!$X$7:$X$441,$B42&amp;"-"&amp;"Yes")</f>
        <v>0</v>
      </c>
      <c r="Z42" s="385">
        <f t="shared" si="43"/>
        <v>0</v>
      </c>
      <c r="AA42" s="387">
        <f>COUNTIF('Data By District'!$L$7:$L$441, $B42&amp;"-"&amp;1)</f>
        <v>0</v>
      </c>
      <c r="AB42" s="360">
        <f>COUNTIFS('Data By District'!$J$7:$J$441,$B42&amp;"-"&amp;"Yes",'Data By District'!$Z$7:$Z$441,$B42&amp;"-"&amp;X$6)+COUNTIFS('Data By District'!$J$7:$J$441,$B42&amp;"-"&amp;"Yes",'Data By District'!$Z$7:$Z$441,$B42&amp;"-"&amp;W$6)</f>
        <v>4</v>
      </c>
      <c r="AC42" s="357">
        <f t="shared" si="32"/>
        <v>1</v>
      </c>
      <c r="AD42" s="361">
        <f>COUNTIF('Data By District'!$J$7:$J$441,$B42&amp;"-"&amp;"Yes")</f>
        <v>4</v>
      </c>
      <c r="AE42" s="361">
        <f t="shared" si="24"/>
        <v>1</v>
      </c>
      <c r="AF42" s="361">
        <f>COUNTIF('Data By District'!$I$7:$I$441,$B42&amp;"-"&amp;"Yes")</f>
        <v>5</v>
      </c>
      <c r="AG42" s="361">
        <f>COUNTIFS('Data By District'!$J$7:$J$441,$B42&amp;"-"&amp;"Yes",'Data By District'!$Y$7:$Y$441,$B42&amp;"-"&amp;"Dem")</f>
        <v>0</v>
      </c>
      <c r="AH42" s="361">
        <f>COUNTIFS('Data By District'!$J$7:$J$441,$B42&amp;"-"&amp;"Yes",'Data By District'!$Y$7:$Y$441,$B42&amp;"-"&amp;"Rep")</f>
        <v>4</v>
      </c>
      <c r="AI42" s="361">
        <f>COUNTIFS('Data By District'!$J$7:$J$441,$B42&amp;"-"&amp;"Yes",'Data By District'!$Y$7:$Y$441,$B42&amp;"-"&amp;"Dem",'Data By District'!$J$7:$J$441,$B42&amp;"-"&amp;"Yes",'Data By District'!$Z$7:$Z$441,$B42&amp;"-"&amp;W$6)+COUNTIFS('Data By District'!$J$7:$J$441,$B42&amp;"-"&amp;"Yes",'Data By District'!$Y$7:$Y$441,$B42&amp;"-"&amp;"Dem",'Data By District'!$J$7:$J$441,$B42&amp;"-"&amp;"Yes",'Data By District'!$Z$7:$Z$441,$B42&amp;"-"&amp;X$6)</f>
        <v>0</v>
      </c>
      <c r="AJ42" s="361">
        <f>COUNTIFS('Data By District'!$J$7:$J$441,$B42&amp;"-"&amp;"Yes",'Data By District'!$Y$7:$Y$441,$B42&amp;"-"&amp;"Rep",'Data By District'!$J$7:$J$441,$B42&amp;"-"&amp;"Yes",'Data By District'!$Z$7:$Z$441,$B42&amp;"-"&amp;W$6)+COUNTIFS('Data By District'!$J$7:$J$441,$B42&amp;"-"&amp;"Yes",'Data By District'!$Y$7:$Y$441,$B42&amp;"-"&amp;"Rep",'Data By District'!$J$7:$J$441,$B42&amp;"-"&amp;"Yes",'Data By District'!$Z$7:$Z$441,$B42&amp;"-"&amp;X$6)</f>
        <v>4</v>
      </c>
      <c r="AK42" s="360">
        <f>COUNTIF('Data By District'!$D$7:$D$441,$B42&amp;"-"&amp;"Yes")</f>
        <v>0</v>
      </c>
      <c r="AL42" s="361">
        <f>COUNTIF('Data By District'!$E$7:$E$441,$B42&amp;"-"&amp;"Yes")</f>
        <v>0</v>
      </c>
      <c r="AM42" s="361">
        <f>COUNTIF('Data By District'!$F$7:$F$441,$B42&amp;"-"&amp;"Yes")</f>
        <v>0</v>
      </c>
      <c r="AN42" s="361">
        <f>COUNTIF('Data By District'!$G$7:$G$441,$B42&amp;"-"&amp;"Yes")</f>
        <v>0</v>
      </c>
      <c r="AO42" s="361">
        <f>COUNTIF('Data By District'!$H$7:$H$441,$B42&amp;"-"&amp;"Yes")</f>
        <v>1</v>
      </c>
      <c r="AP42" s="70">
        <f t="shared" si="44"/>
        <v>6.6950239423705041E-3</v>
      </c>
      <c r="AQ42" s="55">
        <f t="shared" si="25"/>
        <v>0.59667781603170589</v>
      </c>
      <c r="AR42" s="50">
        <f t="shared" si="26"/>
        <v>1325935</v>
      </c>
      <c r="AS42" s="41">
        <f>SUMIF('Data By District'!$B$7:$B$441,$B42,'Data By District'!$O$7:$O$441)</f>
        <v>410324</v>
      </c>
      <c r="AT42" s="41">
        <f>SUMIF('Data By District'!$B$7:$B$441,$B42,'Data By District'!$P$7:$P$441)</f>
        <v>856872</v>
      </c>
      <c r="AU42" s="41">
        <f>SUMIF('Data By District'!$B$7:$B$441,$B42,'Data By District'!$Q$7:$Q$441)</f>
        <v>58739</v>
      </c>
      <c r="AV42" s="289">
        <f t="shared" si="45"/>
        <v>0.30946011682322283</v>
      </c>
      <c r="AW42" s="24">
        <f t="shared" si="46"/>
        <v>0.64623982321908691</v>
      </c>
      <c r="AX42" s="56">
        <f t="shared" si="47"/>
        <v>4.4300059957690235E-2</v>
      </c>
      <c r="AY42" s="25">
        <f>COUNTIF('Data By District'!$Y$7:$Y$441,$B42&amp;"-"&amp;AY$6)</f>
        <v>0</v>
      </c>
      <c r="AZ42" s="25">
        <f>COUNTIF('Data By District'!$Y$7:$Y$441,$B42&amp;"-"&amp;AZ$6)</f>
        <v>5</v>
      </c>
      <c r="BA42" s="25">
        <f>COUNTIF('Data By District'!$Y$7:$Y$441,$B42&amp;"-"&amp;BA$6)</f>
        <v>0</v>
      </c>
      <c r="BB42" s="285">
        <f t="shared" si="27"/>
        <v>0</v>
      </c>
      <c r="BC42" s="24">
        <f t="shared" si="28"/>
        <v>1</v>
      </c>
      <c r="BD42" s="56">
        <f t="shared" si="29"/>
        <v>0</v>
      </c>
      <c r="BE42" s="285">
        <f t="shared" si="48"/>
        <v>0.30946011682322283</v>
      </c>
      <c r="BF42" s="24">
        <f t="shared" si="49"/>
        <v>0.35376017678091309</v>
      </c>
      <c r="BG42" s="56">
        <f t="shared" si="50"/>
        <v>4.4300059957690235E-2</v>
      </c>
      <c r="BH42" s="50">
        <f t="shared" si="30"/>
        <v>791156</v>
      </c>
      <c r="BI42" s="41">
        <f>'Data By District'!AE331</f>
        <v>534779</v>
      </c>
      <c r="BJ42" s="41">
        <f>SUMIF('Data By District'!$B$7:$B$441,'Data By State'!$B42,'Data By District'!$AA$7:$AA$441)</f>
        <v>410324</v>
      </c>
      <c r="BK42" s="41">
        <f>SUMIF('Data By District'!$B$7:$B$441,'Data By State'!$B42,'Data By District'!$AB$7:$AB$441)</f>
        <v>0</v>
      </c>
      <c r="BL42" s="50">
        <f>SUMIF('Data By District'!$B$7:$B$441,'Data By State'!$B42,'Data By District'!$AC$7:$AC$441)</f>
        <v>58739</v>
      </c>
      <c r="BM42" s="64">
        <f t="shared" si="31"/>
        <v>0.40332218396829406</v>
      </c>
      <c r="BN42" s="24">
        <f t="shared" si="33"/>
        <v>1</v>
      </c>
      <c r="BO42" s="24">
        <f t="shared" si="34"/>
        <v>0</v>
      </c>
      <c r="BP42" s="56">
        <f t="shared" si="35"/>
        <v>1</v>
      </c>
    </row>
    <row r="43" spans="1:68" ht="16" thickBot="1">
      <c r="A43" s="17" t="s">
        <v>101</v>
      </c>
      <c r="B43" s="26" t="s">
        <v>36</v>
      </c>
      <c r="C43" s="380">
        <v>1789270</v>
      </c>
      <c r="D43" s="380">
        <v>2829348</v>
      </c>
      <c r="E43" s="25">
        <f t="shared" si="36"/>
        <v>19</v>
      </c>
      <c r="F43" s="25">
        <f t="shared" si="37"/>
        <v>28</v>
      </c>
      <c r="G43" s="73">
        <f t="shared" si="18"/>
        <v>23</v>
      </c>
      <c r="H43" s="25">
        <f t="shared" si="19"/>
        <v>34</v>
      </c>
      <c r="I43" s="25">
        <f t="shared" si="20"/>
        <v>17</v>
      </c>
      <c r="J43" s="25">
        <f t="shared" si="21"/>
        <v>26</v>
      </c>
      <c r="K43" s="68">
        <f t="shared" si="22"/>
        <v>15</v>
      </c>
      <c r="L43" s="67">
        <f t="shared" si="38"/>
        <v>23.4</v>
      </c>
      <c r="M43" s="64">
        <f t="shared" si="23"/>
        <v>0.48315484783252527</v>
      </c>
      <c r="N43" s="33">
        <f>AVERAGE('Data By District'!V332:'Data By District'!V336)</f>
        <v>0.32497049809361511</v>
      </c>
      <c r="O43" s="29">
        <f t="shared" si="39"/>
        <v>0.8</v>
      </c>
      <c r="P43" s="29">
        <f>SUMIF('Data By District'!$B$7:$B$441,B43,'Data By District'!$T$7:$T$441)/D43</f>
        <v>0.38205339180616876</v>
      </c>
      <c r="Q43" s="29">
        <f t="shared" si="40"/>
        <v>0.22336204635609616</v>
      </c>
      <c r="R43" s="70">
        <f t="shared" si="41"/>
        <v>0.60373202589430497</v>
      </c>
      <c r="S43" s="69">
        <f t="shared" si="42"/>
        <v>5</v>
      </c>
      <c r="T43" s="25">
        <f>COUNTIF('Data By District'!$Z$7:$Z$441,$B43&amp;"-"&amp;T$6)</f>
        <v>0</v>
      </c>
      <c r="U43" s="25">
        <f>COUNTIF('Data By District'!$Z$7:$Z$441,$B43&amp;"-"&amp;U$6)</f>
        <v>0</v>
      </c>
      <c r="V43" s="25">
        <f>COUNTIF('Data By District'!$Z$7:$Z$441,$B43&amp;"-"&amp;V$6)</f>
        <v>1</v>
      </c>
      <c r="W43" s="25">
        <f>COUNTIF('Data By District'!$Z$7:$Z$441,$B43&amp;"-"&amp;W$6)</f>
        <v>2</v>
      </c>
      <c r="X43" s="25">
        <f>COUNTIF('Data By District'!$Z$7:$Z$441,$B43&amp;"-"&amp;X$6)-(Y43)</f>
        <v>2</v>
      </c>
      <c r="Y43" s="25">
        <f>COUNTIF('Data By District'!$X$7:$X$441,$B43&amp;"-"&amp;"Yes")</f>
        <v>0</v>
      </c>
      <c r="Z43" s="385">
        <f t="shared" si="43"/>
        <v>0</v>
      </c>
      <c r="AA43" s="387">
        <f>COUNTIF('Data By District'!$L$7:$L$441, $B43&amp;"-"&amp;1)</f>
        <v>0</v>
      </c>
      <c r="AB43" s="360">
        <f>COUNTIFS('Data By District'!$J$7:$J$441,$B43&amp;"-"&amp;"Yes",'Data By District'!$Z$7:$Z$441,$B43&amp;"-"&amp;X$6)+COUNTIFS('Data By District'!$J$7:$J$441,$B43&amp;"-"&amp;"Yes",'Data By District'!$Z$7:$Z$441,$B43&amp;"-"&amp;W$6)</f>
        <v>4</v>
      </c>
      <c r="AC43" s="357">
        <f t="shared" si="32"/>
        <v>0.8</v>
      </c>
      <c r="AD43" s="361">
        <f>COUNTIF('Data By District'!$J$7:$J$441,$B43&amp;"-"&amp;"Yes")</f>
        <v>5</v>
      </c>
      <c r="AE43" s="361">
        <f t="shared" si="24"/>
        <v>0</v>
      </c>
      <c r="AF43" s="361">
        <f>COUNTIF('Data By District'!$I$7:$I$441,$B43&amp;"-"&amp;"Yes")</f>
        <v>5</v>
      </c>
      <c r="AG43" s="361">
        <f>COUNTIFS('Data By District'!$J$7:$J$441,$B43&amp;"-"&amp;"Yes",'Data By District'!$Y$7:$Y$441,$B43&amp;"-"&amp;"Dem")</f>
        <v>4</v>
      </c>
      <c r="AH43" s="361">
        <f>COUNTIFS('Data By District'!$J$7:$J$441,$B43&amp;"-"&amp;"Yes",'Data By District'!$Y$7:$Y$441,$B43&amp;"-"&amp;"Rep")</f>
        <v>1</v>
      </c>
      <c r="AI43" s="361">
        <f>COUNTIFS('Data By District'!$J$7:$J$441,$B43&amp;"-"&amp;"Yes",'Data By District'!$Y$7:$Y$441,$B43&amp;"-"&amp;"Dem",'Data By District'!$J$7:$J$441,$B43&amp;"-"&amp;"Yes",'Data By District'!$Z$7:$Z$441,$B43&amp;"-"&amp;W$6)+COUNTIFS('Data By District'!$J$7:$J$441,$B43&amp;"-"&amp;"Yes",'Data By District'!$Y$7:$Y$441,$B43&amp;"-"&amp;"Dem",'Data By District'!$J$7:$J$441,$B43&amp;"-"&amp;"Yes",'Data By District'!$Z$7:$Z$441,$B43&amp;"-"&amp;X$6)</f>
        <v>3</v>
      </c>
      <c r="AJ43" s="361">
        <f>COUNTIFS('Data By District'!$J$7:$J$441,$B43&amp;"-"&amp;"Yes",'Data By District'!$Y$7:$Y$441,$B43&amp;"-"&amp;"Rep",'Data By District'!$J$7:$J$441,$B43&amp;"-"&amp;"Yes",'Data By District'!$Z$7:$Z$441,$B43&amp;"-"&amp;W$6)+COUNTIFS('Data By District'!$J$7:$J$441,$B43&amp;"-"&amp;"Yes",'Data By District'!$Y$7:$Y$441,$B43&amp;"-"&amp;"Rep",'Data By District'!$J$7:$J$441,$B43&amp;"-"&amp;"Yes",'Data By District'!$Z$7:$Z$441,$B43&amp;"-"&amp;X$6)</f>
        <v>1</v>
      </c>
      <c r="AK43" s="360">
        <f>COUNTIF('Data By District'!$D$7:$D$441,$B43&amp;"-"&amp;"Yes")</f>
        <v>1</v>
      </c>
      <c r="AL43" s="361">
        <f>COUNTIF('Data By District'!$E$7:$E$441,$B43&amp;"-"&amp;"Yes")</f>
        <v>0</v>
      </c>
      <c r="AM43" s="361">
        <f>COUNTIF('Data By District'!$F$7:$F$441,$B43&amp;"-"&amp;"Yes")</f>
        <v>0</v>
      </c>
      <c r="AN43" s="361">
        <f>COUNTIF('Data By District'!$G$7:$G$441,$B43&amp;"-"&amp;"Yes")</f>
        <v>0</v>
      </c>
      <c r="AO43" s="361">
        <f>COUNTIF('Data By District'!$H$7:$H$441,$B43&amp;"-"&amp;"Yes")</f>
        <v>0</v>
      </c>
      <c r="AP43" s="70">
        <f t="shared" si="44"/>
        <v>4.5326865146121047E-2</v>
      </c>
      <c r="AQ43" s="55">
        <f t="shared" si="25"/>
        <v>0.68047463715512757</v>
      </c>
      <c r="AR43" s="50">
        <f t="shared" si="26"/>
        <v>1708168</v>
      </c>
      <c r="AS43" s="41">
        <f>SUMIF('Data By District'!$B$7:$B$441,$B43,'Data By District'!$O$7:$O$441)</f>
        <v>949660</v>
      </c>
      <c r="AT43" s="41">
        <f>SUMIF('Data By District'!$B$7:$B$441,$B43,'Data By District'!$P$7:$P$441)</f>
        <v>687839</v>
      </c>
      <c r="AU43" s="41">
        <f>SUMIF('Data By District'!$B$7:$B$441,$B43,'Data By District'!$Q$7:$Q$441)</f>
        <v>70669</v>
      </c>
      <c r="AV43" s="289">
        <f t="shared" si="45"/>
        <v>0.5559523419242135</v>
      </c>
      <c r="AW43" s="24">
        <f t="shared" si="46"/>
        <v>0.40267643463640579</v>
      </c>
      <c r="AX43" s="56">
        <f t="shared" si="47"/>
        <v>4.1371223439380669E-2</v>
      </c>
      <c r="AY43" s="25">
        <f>COUNTIF('Data By District'!$Y$7:$Y$441,$B43&amp;"-"&amp;AY$6)</f>
        <v>4</v>
      </c>
      <c r="AZ43" s="25">
        <f>COUNTIF('Data By District'!$Y$7:$Y$441,$B43&amp;"-"&amp;AZ$6)</f>
        <v>1</v>
      </c>
      <c r="BA43" s="25">
        <f>COUNTIF('Data By District'!$Y$7:$Y$441,$B43&amp;"-"&amp;BA$6)</f>
        <v>0</v>
      </c>
      <c r="BB43" s="285">
        <f t="shared" si="27"/>
        <v>0.8</v>
      </c>
      <c r="BC43" s="24">
        <f t="shared" si="28"/>
        <v>0.2</v>
      </c>
      <c r="BD43" s="56">
        <f t="shared" si="29"/>
        <v>0</v>
      </c>
      <c r="BE43" s="285">
        <f t="shared" si="48"/>
        <v>0.24404765807578654</v>
      </c>
      <c r="BF43" s="24">
        <f t="shared" si="49"/>
        <v>0.20267643463640578</v>
      </c>
      <c r="BG43" s="56">
        <f t="shared" si="50"/>
        <v>4.1371223439380669E-2</v>
      </c>
      <c r="BH43" s="50">
        <f t="shared" si="30"/>
        <v>1162365</v>
      </c>
      <c r="BI43" s="41">
        <f>'Data By District'!AE336</f>
        <v>545803</v>
      </c>
      <c r="BJ43" s="41">
        <f>SUMIF('Data By District'!$B$7:$B$441,'Data By State'!$B43,'Data By District'!$AA$7:$AA$441)</f>
        <v>96741</v>
      </c>
      <c r="BK43" s="41">
        <f>SUMIF('Data By District'!$B$7:$B$441,'Data By State'!$B43,'Data By District'!$AB$7:$AB$441)</f>
        <v>459796</v>
      </c>
      <c r="BL43" s="50">
        <f>SUMIF('Data By District'!$B$7:$B$441,'Data By State'!$B43,'Data By District'!$AC$7:$AC$441)</f>
        <v>70669</v>
      </c>
      <c r="BM43" s="64">
        <f t="shared" si="31"/>
        <v>0.31952536284487237</v>
      </c>
      <c r="BN43" s="24">
        <f t="shared" si="33"/>
        <v>0.10186908999010172</v>
      </c>
      <c r="BO43" s="24">
        <f t="shared" si="34"/>
        <v>0.66846456801664345</v>
      </c>
      <c r="BP43" s="56">
        <f t="shared" si="35"/>
        <v>1</v>
      </c>
    </row>
    <row r="44" spans="1:68" ht="16" thickBot="1">
      <c r="A44" s="17" t="s">
        <v>102</v>
      </c>
      <c r="B44" s="26" t="s">
        <v>37</v>
      </c>
      <c r="C44" s="380">
        <v>5753546</v>
      </c>
      <c r="D44" s="380">
        <v>9674379</v>
      </c>
      <c r="E44" s="25">
        <f t="shared" si="36"/>
        <v>16</v>
      </c>
      <c r="F44" s="25">
        <f t="shared" si="37"/>
        <v>16</v>
      </c>
      <c r="G44" s="73">
        <f t="shared" si="18"/>
        <v>16</v>
      </c>
      <c r="H44" s="25">
        <f t="shared" si="19"/>
        <v>16</v>
      </c>
      <c r="I44" s="25">
        <f t="shared" si="20"/>
        <v>25</v>
      </c>
      <c r="J44" s="25">
        <f t="shared" si="21"/>
        <v>28</v>
      </c>
      <c r="K44" s="68">
        <f t="shared" si="22"/>
        <v>23</v>
      </c>
      <c r="L44" s="67">
        <f t="shared" si="38"/>
        <v>22</v>
      </c>
      <c r="M44" s="64">
        <f t="shared" si="23"/>
        <v>0.53476692595943831</v>
      </c>
      <c r="N44" s="33">
        <f>AVERAGE('Data By District'!V337:'Data By District'!V355)</f>
        <v>0.27186896869970884</v>
      </c>
      <c r="O44" s="29">
        <f t="shared" si="39"/>
        <v>0.55555555555555558</v>
      </c>
      <c r="P44" s="29">
        <f>SUMIF('Data By District'!$B$7:$B$441,B44,'Data By District'!$T$7:$T$441)/D44</f>
        <v>0.36549622461555414</v>
      </c>
      <c r="Q44" s="29">
        <f t="shared" si="40"/>
        <v>0.2297332951786521</v>
      </c>
      <c r="R44" s="70">
        <f t="shared" si="41"/>
        <v>0.57433453868201778</v>
      </c>
      <c r="S44" s="69">
        <f t="shared" si="42"/>
        <v>18</v>
      </c>
      <c r="T44" s="25">
        <f>COUNTIF('Data By District'!$Z$7:$Z$441,$B44&amp;"-"&amp;T$6)</f>
        <v>1</v>
      </c>
      <c r="U44" s="25">
        <f>COUNTIF('Data By District'!$Z$7:$Z$441,$B44&amp;"-"&amp;U$6)</f>
        <v>0</v>
      </c>
      <c r="V44" s="25">
        <f>COUNTIF('Data By District'!$Z$7:$Z$441,$B44&amp;"-"&amp;V$6)</f>
        <v>7</v>
      </c>
      <c r="W44" s="25">
        <f>COUNTIF('Data By District'!$Z$7:$Z$441,$B44&amp;"-"&amp;W$6)</f>
        <v>7</v>
      </c>
      <c r="X44" s="25">
        <f>COUNTIF('Data By District'!$Z$7:$Z$441,$B44&amp;"-"&amp;X$6)-(Y44)</f>
        <v>3</v>
      </c>
      <c r="Y44" s="25">
        <f>COUNTIF('Data By District'!$X$7:$X$441,$B44&amp;"-"&amp;"Yes")</f>
        <v>0</v>
      </c>
      <c r="Z44" s="385">
        <f t="shared" si="43"/>
        <v>0</v>
      </c>
      <c r="AA44" s="387">
        <f>COUNTIF('Data By District'!$L$7:$L$441, $B44&amp;"-"&amp;1)</f>
        <v>0</v>
      </c>
      <c r="AB44" s="360">
        <f>COUNTIFS('Data By District'!$J$7:$J$441,$B44&amp;"-"&amp;"Yes",'Data By District'!$Z$7:$Z$441,$B44&amp;"-"&amp;X$6)+COUNTIFS('Data By District'!$J$7:$J$441,$B44&amp;"-"&amp;"Yes",'Data By District'!$Z$7:$Z$441,$B44&amp;"-"&amp;W$6)</f>
        <v>10</v>
      </c>
      <c r="AC44" s="357">
        <f t="shared" si="32"/>
        <v>0.58823529411764708</v>
      </c>
      <c r="AD44" s="361">
        <f>COUNTIF('Data By District'!$J$7:$J$441,$B44&amp;"-"&amp;"Yes")</f>
        <v>17</v>
      </c>
      <c r="AE44" s="361">
        <f t="shared" si="24"/>
        <v>1</v>
      </c>
      <c r="AF44" s="361">
        <f>COUNTIF('Data By District'!$I$7:$I$441,$B44&amp;"-"&amp;"Yes")</f>
        <v>18</v>
      </c>
      <c r="AG44" s="361">
        <f>COUNTIFS('Data By District'!$J$7:$J$441,$B44&amp;"-"&amp;"Yes",'Data By District'!$Y$7:$Y$441,$B44&amp;"-"&amp;"Dem")</f>
        <v>5</v>
      </c>
      <c r="AH44" s="361">
        <f>COUNTIFS('Data By District'!$J$7:$J$441,$B44&amp;"-"&amp;"Yes",'Data By District'!$Y$7:$Y$441,$B44&amp;"-"&amp;"Rep")</f>
        <v>12</v>
      </c>
      <c r="AI44" s="361">
        <f>COUNTIFS('Data By District'!$J$7:$J$441,$B44&amp;"-"&amp;"Yes",'Data By District'!$Y$7:$Y$441,$B44&amp;"-"&amp;"Dem",'Data By District'!$J$7:$J$441,$B44&amp;"-"&amp;"Yes",'Data By District'!$Z$7:$Z$441,$B44&amp;"-"&amp;W$6)+COUNTIFS('Data By District'!$J$7:$J$441,$B44&amp;"-"&amp;"Yes",'Data By District'!$Y$7:$Y$441,$B44&amp;"-"&amp;"Dem",'Data By District'!$J$7:$J$441,$B44&amp;"-"&amp;"Yes",'Data By District'!$Z$7:$Z$441,$B44&amp;"-"&amp;X$6)</f>
        <v>5</v>
      </c>
      <c r="AJ44" s="361">
        <f>COUNTIFS('Data By District'!$J$7:$J$441,$B44&amp;"-"&amp;"Yes",'Data By District'!$Y$7:$Y$441,$B44&amp;"-"&amp;"Rep",'Data By District'!$J$7:$J$441,$B44&amp;"-"&amp;"Yes",'Data By District'!$Z$7:$Z$441,$B44&amp;"-"&amp;W$6)+COUNTIFS('Data By District'!$J$7:$J$441,$B44&amp;"-"&amp;"Yes",'Data By District'!$Y$7:$Y$441,$B44&amp;"-"&amp;"Rep",'Data By District'!$J$7:$J$441,$B44&amp;"-"&amp;"Yes",'Data By District'!$Z$7:$Z$441,$B44&amp;"-"&amp;X$6)</f>
        <v>5</v>
      </c>
      <c r="AK44" s="360">
        <f>COUNTIF('Data By District'!$D$7:$D$441,$B44&amp;"-"&amp;"Yes")</f>
        <v>1</v>
      </c>
      <c r="AL44" s="361">
        <f>COUNTIF('Data By District'!$E$7:$E$441,$B44&amp;"-"&amp;"Yes")</f>
        <v>1</v>
      </c>
      <c r="AM44" s="361">
        <f>COUNTIF('Data By District'!$F$7:$F$441,$B44&amp;"-"&amp;"Yes")</f>
        <v>0</v>
      </c>
      <c r="AN44" s="361">
        <f>COUNTIF('Data By District'!$G$7:$G$441,$B44&amp;"-"&amp;"Yes")</f>
        <v>0</v>
      </c>
      <c r="AO44" s="361">
        <f>COUNTIF('Data By District'!$H$7:$H$441,$B44&amp;"-"&amp;"Yes")</f>
        <v>0</v>
      </c>
      <c r="AP44" s="70">
        <f t="shared" si="44"/>
        <v>3.427729612312129E-2</v>
      </c>
      <c r="AQ44" s="55">
        <f t="shared" si="25"/>
        <v>0.63135990842876499</v>
      </c>
      <c r="AR44" s="50">
        <f t="shared" si="26"/>
        <v>5556330</v>
      </c>
      <c r="AS44" s="41">
        <f>SUMIF('Data By District'!$B$7:$B$441,$B44,'Data By District'!$O$7:$O$441)</f>
        <v>2793538</v>
      </c>
      <c r="AT44" s="41">
        <f>SUMIF('Data By District'!$B$7:$B$441,$B44,'Data By District'!$P$7:$P$441)</f>
        <v>2710070</v>
      </c>
      <c r="AU44" s="41">
        <f>SUMIF('Data By District'!$B$7:$B$441,$B44,'Data By District'!$Q$7:$Q$441)</f>
        <v>52722</v>
      </c>
      <c r="AV44" s="289">
        <f t="shared" si="45"/>
        <v>0.50276675431444862</v>
      </c>
      <c r="AW44" s="24">
        <f t="shared" si="46"/>
        <v>0.48774460840158884</v>
      </c>
      <c r="AX44" s="56">
        <f t="shared" si="47"/>
        <v>9.488637283962615E-3</v>
      </c>
      <c r="AY44" s="25">
        <f>COUNTIF('Data By District'!$Y$7:$Y$441,$B44&amp;"-"&amp;AY$6)</f>
        <v>5</v>
      </c>
      <c r="AZ44" s="25">
        <f>COUNTIF('Data By District'!$Y$7:$Y$441,$B44&amp;"-"&amp;AZ$6)</f>
        <v>13</v>
      </c>
      <c r="BA44" s="25">
        <f>COUNTIF('Data By District'!$Y$7:$Y$441,$B44&amp;"-"&amp;BA$6)</f>
        <v>0</v>
      </c>
      <c r="BB44" s="285">
        <f t="shared" si="27"/>
        <v>0.27777777777777779</v>
      </c>
      <c r="BC44" s="24">
        <f t="shared" si="28"/>
        <v>0.72222222222222221</v>
      </c>
      <c r="BD44" s="56">
        <f t="shared" si="29"/>
        <v>0</v>
      </c>
      <c r="BE44" s="285">
        <f t="shared" si="48"/>
        <v>0.22498897653667083</v>
      </c>
      <c r="BF44" s="24">
        <f t="shared" si="49"/>
        <v>0.23447761382063337</v>
      </c>
      <c r="BG44" s="56">
        <f t="shared" si="50"/>
        <v>9.488637283962615E-3</v>
      </c>
      <c r="BH44" s="50">
        <f t="shared" si="30"/>
        <v>3508044</v>
      </c>
      <c r="BI44" s="41">
        <f>'Data By District'!AE355</f>
        <v>2048286</v>
      </c>
      <c r="BJ44" s="41">
        <f>SUMIF('Data By District'!$B$7:$B$441,'Data By State'!$B44,'Data By District'!$AA$7:$AA$441)</f>
        <v>1616742</v>
      </c>
      <c r="BK44" s="41">
        <f>SUMIF('Data By District'!$B$7:$B$441,'Data By State'!$B44,'Data By District'!$AB$7:$AB$441)</f>
        <v>350917</v>
      </c>
      <c r="BL44" s="50">
        <f>SUMIF('Data By District'!$B$7:$B$441,'Data By State'!$B44,'Data By District'!$AC$7:$AC$441)</f>
        <v>52722</v>
      </c>
      <c r="BM44" s="64">
        <f t="shared" si="31"/>
        <v>0.36864009157123495</v>
      </c>
      <c r="BN44" s="24">
        <f t="shared" si="33"/>
        <v>0.5787435144966705</v>
      </c>
      <c r="BO44" s="24">
        <f t="shared" si="34"/>
        <v>0.12948632323150325</v>
      </c>
      <c r="BP44" s="56">
        <f t="shared" si="35"/>
        <v>1</v>
      </c>
    </row>
    <row r="45" spans="1:68" ht="16" thickBot="1">
      <c r="A45" s="17" t="s">
        <v>103</v>
      </c>
      <c r="B45" s="26" t="s">
        <v>38</v>
      </c>
      <c r="C45" s="380">
        <v>446049</v>
      </c>
      <c r="D45" s="380">
        <v>768785</v>
      </c>
      <c r="E45" s="25">
        <f t="shared" si="36"/>
        <v>49</v>
      </c>
      <c r="F45" s="25">
        <f t="shared" si="37"/>
        <v>43</v>
      </c>
      <c r="G45" s="73">
        <f t="shared" si="18"/>
        <v>46</v>
      </c>
      <c r="H45" s="25">
        <f t="shared" si="19"/>
        <v>10</v>
      </c>
      <c r="I45" s="25">
        <f t="shared" si="20"/>
        <v>45</v>
      </c>
      <c r="J45" s="25">
        <f t="shared" si="21"/>
        <v>46</v>
      </c>
      <c r="K45" s="68">
        <f t="shared" si="22"/>
        <v>31</v>
      </c>
      <c r="L45" s="67">
        <f t="shared" si="38"/>
        <v>38.4</v>
      </c>
      <c r="M45" s="64">
        <f t="shared" si="23"/>
        <v>0.42646551437000879</v>
      </c>
      <c r="N45" s="33">
        <f>AVERAGE('Data By District'!V356:'Data By District'!V357)</f>
        <v>0.55568745757051008</v>
      </c>
      <c r="O45" s="29">
        <f t="shared" si="39"/>
        <v>0.5</v>
      </c>
      <c r="P45" s="29">
        <f>SUMIF('Data By District'!$B$7:$B$441,B45,'Data By District'!$T$7:$T$441)/D45</f>
        <v>0.30265809036336555</v>
      </c>
      <c r="Q45" s="29">
        <f t="shared" si="40"/>
        <v>0.41730115130617734</v>
      </c>
      <c r="R45" s="70">
        <f t="shared" si="41"/>
        <v>0.55642995115669536</v>
      </c>
      <c r="S45" s="69">
        <f t="shared" si="42"/>
        <v>2</v>
      </c>
      <c r="T45" s="25">
        <f>COUNTIF('Data By District'!$Z$7:$Z$441,$B45&amp;"-"&amp;T$6)</f>
        <v>0</v>
      </c>
      <c r="U45" s="25">
        <f>COUNTIF('Data By District'!$Z$7:$Z$441,$B45&amp;"-"&amp;U$6)</f>
        <v>0</v>
      </c>
      <c r="V45" s="25">
        <f>COUNTIF('Data By District'!$Z$7:$Z$441,$B45&amp;"-"&amp;V$6)</f>
        <v>1</v>
      </c>
      <c r="W45" s="25">
        <f>COUNTIF('Data By District'!$Z$7:$Z$441,$B45&amp;"-"&amp;W$6)</f>
        <v>1</v>
      </c>
      <c r="X45" s="25">
        <f>COUNTIF('Data By District'!$Z$7:$Z$441,$B45&amp;"-"&amp;X$6)-(Y45)</f>
        <v>0</v>
      </c>
      <c r="Y45" s="373">
        <f>COUNTIF('Data By District'!$X$7:$X$441,$B45&amp;"-"&amp;"Yes")</f>
        <v>0</v>
      </c>
      <c r="Z45" s="385">
        <f t="shared" si="43"/>
        <v>0</v>
      </c>
      <c r="AA45" s="387">
        <f>COUNTIF('Data By District'!$L$7:$L$441, $B45&amp;"-"&amp;1)</f>
        <v>0</v>
      </c>
      <c r="AB45" s="360">
        <f>COUNTIFS('Data By District'!$J$7:$J$441,$B45&amp;"-"&amp;"Yes",'Data By District'!$Z$7:$Z$441,$B45&amp;"-"&amp;X$6)+COUNTIFS('Data By District'!$J$7:$J$441,$B45&amp;"-"&amp;"Yes",'Data By District'!$Z$7:$Z$441,$B45&amp;"-"&amp;W$6)</f>
        <v>1</v>
      </c>
      <c r="AC45" s="357">
        <f t="shared" si="32"/>
        <v>0.5</v>
      </c>
      <c r="AD45" s="361">
        <f>COUNTIF('Data By District'!$J$7:$J$441,$B45&amp;"-"&amp;"Yes")</f>
        <v>2</v>
      </c>
      <c r="AE45" s="361">
        <f t="shared" si="24"/>
        <v>0</v>
      </c>
      <c r="AF45" s="361">
        <f>COUNTIF('Data By District'!$I$7:$I$441,$B45&amp;"-"&amp;"Yes")</f>
        <v>2</v>
      </c>
      <c r="AG45" s="361">
        <f>COUNTIFS('Data By District'!$J$7:$J$441,$B45&amp;"-"&amp;"Yes",'Data By District'!$Y$7:$Y$441,$B45&amp;"-"&amp;"Dem")</f>
        <v>2</v>
      </c>
      <c r="AH45" s="361">
        <f>COUNTIFS('Data By District'!$J$7:$J$441,$B45&amp;"-"&amp;"Yes",'Data By District'!$Y$7:$Y$441,$B45&amp;"-"&amp;"Rep")</f>
        <v>0</v>
      </c>
      <c r="AI45" s="361">
        <f>COUNTIFS('Data By District'!$J$7:$J$441,$B45&amp;"-"&amp;"Yes",'Data By District'!$Y$7:$Y$441,$B45&amp;"-"&amp;"Dem",'Data By District'!$J$7:$J$441,$B45&amp;"-"&amp;"Yes",'Data By District'!$Z$7:$Z$441,$B45&amp;"-"&amp;W$6)+COUNTIFS('Data By District'!$J$7:$J$441,$B45&amp;"-"&amp;"Yes",'Data By District'!$Y$7:$Y$441,$B45&amp;"-"&amp;"Dem",'Data By District'!$J$7:$J$441,$B45&amp;"-"&amp;"Yes",'Data By District'!$Z$7:$Z$441,$B45&amp;"-"&amp;X$6)</f>
        <v>1</v>
      </c>
      <c r="AJ45" s="361">
        <f>COUNTIFS('Data By District'!$J$7:$J$441,$B45&amp;"-"&amp;"Yes",'Data By District'!$Y$7:$Y$441,$B45&amp;"-"&amp;"Rep",'Data By District'!$J$7:$J$441,$B45&amp;"-"&amp;"Yes",'Data By District'!$Z$7:$Z$441,$B45&amp;"-"&amp;W$6)+COUNTIFS('Data By District'!$J$7:$J$441,$B45&amp;"-"&amp;"Yes",'Data By District'!$Y$7:$Y$441,$B45&amp;"-"&amp;"Rep",'Data By District'!$J$7:$J$441,$B45&amp;"-"&amp;"Yes",'Data By District'!$Z$7:$Z$441,$B45&amp;"-"&amp;X$6)</f>
        <v>0</v>
      </c>
      <c r="AK45" s="360">
        <f>COUNTIF('Data By District'!$D$7:$D$441,$B45&amp;"-"&amp;"Yes")</f>
        <v>0</v>
      </c>
      <c r="AL45" s="361">
        <f>COUNTIF('Data By District'!$E$7:$E$441,$B45&amp;"-"&amp;"Yes")</f>
        <v>0</v>
      </c>
      <c r="AM45" s="361">
        <f>COUNTIF('Data By District'!$F$7:$F$441,$B45&amp;"-"&amp;"Yes")</f>
        <v>0</v>
      </c>
      <c r="AN45" s="361">
        <f>COUNTIF('Data By District'!$G$7:$G$441,$B45&amp;"-"&amp;"Yes")</f>
        <v>0</v>
      </c>
      <c r="AO45" s="361">
        <f>COUNTIF('Data By District'!$H$7:$H$441,$B45&amp;"-"&amp;"Yes")</f>
        <v>0</v>
      </c>
      <c r="AP45" s="70">
        <f t="shared" si="44"/>
        <v>4.0968593136628484E-2</v>
      </c>
      <c r="AQ45" s="55">
        <f t="shared" si="25"/>
        <v>0.67841037928817716</v>
      </c>
      <c r="AR45" s="50">
        <f t="shared" si="26"/>
        <v>427775</v>
      </c>
      <c r="AS45" s="41">
        <f>SUMIF('Data By District'!$B$7:$B$441,$B45,'Data By District'!$O$7:$O$441)</f>
        <v>232679</v>
      </c>
      <c r="AT45" s="41">
        <f>SUMIF('Data By District'!$B$7:$B$441,$B45,'Data By District'!$P$7:$P$441)</f>
        <v>161926</v>
      </c>
      <c r="AU45" s="41">
        <f>SUMIF('Data By District'!$B$7:$B$441,$B45,'Data By District'!$Q$7:$Q$441)</f>
        <v>33170</v>
      </c>
      <c r="AV45" s="289">
        <f t="shared" si="45"/>
        <v>0.54392846706796794</v>
      </c>
      <c r="AW45" s="24">
        <f t="shared" si="46"/>
        <v>0.37853076968032262</v>
      </c>
      <c r="AX45" s="56">
        <f t="shared" si="47"/>
        <v>7.754076325170943E-2</v>
      </c>
      <c r="AY45" s="25">
        <f>COUNTIF('Data By District'!$Y$7:$Y$441,$B45&amp;"-"&amp;AY$6)</f>
        <v>2</v>
      </c>
      <c r="AZ45" s="25">
        <f>COUNTIF('Data By District'!$Y$7:$Y$441,$B45&amp;"-"&amp;AZ$6)</f>
        <v>0</v>
      </c>
      <c r="BA45" s="25">
        <f>COUNTIF('Data By District'!$Y$7:$Y$441,$B45&amp;"-"&amp;BA$6)</f>
        <v>0</v>
      </c>
      <c r="BB45" s="285">
        <f t="shared" si="27"/>
        <v>1</v>
      </c>
      <c r="BC45" s="24">
        <f t="shared" si="28"/>
        <v>0</v>
      </c>
      <c r="BD45" s="56">
        <f t="shared" si="29"/>
        <v>0</v>
      </c>
      <c r="BE45" s="285">
        <f t="shared" si="48"/>
        <v>0.45607153293203206</v>
      </c>
      <c r="BF45" s="24">
        <f t="shared" si="49"/>
        <v>0.37853076968032262</v>
      </c>
      <c r="BG45" s="56">
        <f t="shared" si="50"/>
        <v>7.754076325170943E-2</v>
      </c>
      <c r="BH45" s="50">
        <f t="shared" si="30"/>
        <v>290207</v>
      </c>
      <c r="BI45" s="41">
        <f>'Data By District'!AE357</f>
        <v>137568</v>
      </c>
      <c r="BJ45" s="41">
        <f>SUMIF('Data By District'!$B$7:$B$441,'Data By State'!$B45,'Data By District'!$AA$7:$AA$441)</f>
        <v>0</v>
      </c>
      <c r="BK45" s="41">
        <f>SUMIF('Data By District'!$B$7:$B$441,'Data By State'!$B45,'Data By District'!$AB$7:$AB$441)</f>
        <v>161926</v>
      </c>
      <c r="BL45" s="50">
        <f>SUMIF('Data By District'!$B$7:$B$441,'Data By State'!$B45,'Data By District'!$AC$7:$AC$441)</f>
        <v>33170</v>
      </c>
      <c r="BM45" s="64">
        <f t="shared" si="31"/>
        <v>0.32158962071182279</v>
      </c>
      <c r="BN45" s="24">
        <f t="shared" si="33"/>
        <v>0</v>
      </c>
      <c r="BO45" s="24">
        <f t="shared" si="34"/>
        <v>1</v>
      </c>
      <c r="BP45" s="56">
        <f t="shared" si="35"/>
        <v>1</v>
      </c>
    </row>
    <row r="46" spans="1:68" ht="16" thickBot="1">
      <c r="A46" s="17" t="s">
        <v>104</v>
      </c>
      <c r="B46" s="26" t="s">
        <v>39</v>
      </c>
      <c r="C46" s="380">
        <v>1964118</v>
      </c>
      <c r="D46" s="380">
        <v>3470908</v>
      </c>
      <c r="E46" s="25">
        <f t="shared" si="36"/>
        <v>37</v>
      </c>
      <c r="F46" s="25">
        <f t="shared" si="37"/>
        <v>31</v>
      </c>
      <c r="G46" s="73">
        <f t="shared" si="18"/>
        <v>26</v>
      </c>
      <c r="H46" s="25">
        <f t="shared" si="19"/>
        <v>31</v>
      </c>
      <c r="I46" s="25">
        <f t="shared" si="20"/>
        <v>29</v>
      </c>
      <c r="J46" s="25">
        <f t="shared" si="21"/>
        <v>36</v>
      </c>
      <c r="K46" s="68">
        <f t="shared" si="22"/>
        <v>40</v>
      </c>
      <c r="L46" s="67">
        <f t="shared" si="38"/>
        <v>30.2</v>
      </c>
      <c r="M46" s="64">
        <f t="shared" si="23"/>
        <v>0.47772474014992977</v>
      </c>
      <c r="N46" s="33">
        <f>AVERAGE('Data By District'!V358:'Data By District'!V363)</f>
        <v>0.33583227421728185</v>
      </c>
      <c r="O46" s="29">
        <f t="shared" si="39"/>
        <v>0.7142857142857143</v>
      </c>
      <c r="P46" s="29">
        <f>SUMIF('Data By District'!$B$7:$B$441,B46,'Data By District'!$T$7:$T$441)/D46</f>
        <v>0.35865139611882541</v>
      </c>
      <c r="Q46" s="29">
        <f t="shared" si="40"/>
        <v>0.2785611029850058</v>
      </c>
      <c r="R46" s="70">
        <f t="shared" si="41"/>
        <v>0.5193839767576669</v>
      </c>
      <c r="S46" s="69">
        <f t="shared" si="42"/>
        <v>7</v>
      </c>
      <c r="T46" s="25">
        <f>COUNTIF('Data By District'!$Z$7:$Z$441,$B46&amp;"-"&amp;T$6)</f>
        <v>0</v>
      </c>
      <c r="U46" s="25">
        <f>COUNTIF('Data By District'!$Z$7:$Z$441,$B46&amp;"-"&amp;U$6)</f>
        <v>0</v>
      </c>
      <c r="V46" s="25">
        <f>COUNTIF('Data By District'!$Z$7:$Z$441,$B46&amp;"-"&amp;V$6)</f>
        <v>2</v>
      </c>
      <c r="W46" s="25">
        <f>COUNTIF('Data By District'!$Z$7:$Z$441,$B46&amp;"-"&amp;W$6)</f>
        <v>3</v>
      </c>
      <c r="X46" s="25">
        <f>COUNTIF('Data By District'!$Z$7:$Z$441,$B46&amp;"-"&amp;X$6)-(Y46)</f>
        <v>0</v>
      </c>
      <c r="Y46" s="25">
        <f>COUNTIF('Data By District'!$X$7:$X$441,$B46&amp;"-"&amp;"Yes")</f>
        <v>2</v>
      </c>
      <c r="Z46" s="385">
        <f t="shared" si="43"/>
        <v>0.2857142857142857</v>
      </c>
      <c r="AA46" s="387">
        <f>COUNTIF('Data By District'!$L$7:$L$441, $B46&amp;"-"&amp;1)</f>
        <v>0</v>
      </c>
      <c r="AB46" s="360">
        <f>COUNTIFS('Data By District'!$J$7:$J$441,$B46&amp;"-"&amp;"Yes",'Data By District'!$Z$7:$Z$441,$B46&amp;"-"&amp;X$6)+COUNTIFS('Data By District'!$J$7:$J$441,$B46&amp;"-"&amp;"Yes",'Data By District'!$Z$7:$Z$441,$B46&amp;"-"&amp;W$6)</f>
        <v>5</v>
      </c>
      <c r="AC46" s="357">
        <f t="shared" si="32"/>
        <v>0.7142857142857143</v>
      </c>
      <c r="AD46" s="361">
        <f>COUNTIF('Data By District'!$J$7:$J$441,$B46&amp;"-"&amp;"Yes")</f>
        <v>7</v>
      </c>
      <c r="AE46" s="361">
        <f t="shared" si="24"/>
        <v>0</v>
      </c>
      <c r="AF46" s="361">
        <f>COUNTIF('Data By District'!$I$7:$I$441,$B46&amp;"-"&amp;"Yes")</f>
        <v>7</v>
      </c>
      <c r="AG46" s="361">
        <f>COUNTIFS('Data By District'!$J$7:$J$441,$B46&amp;"-"&amp;"Yes",'Data By District'!$Y$7:$Y$441,$B46&amp;"-"&amp;"Dem")</f>
        <v>1</v>
      </c>
      <c r="AH46" s="361">
        <f>COUNTIFS('Data By District'!$J$7:$J$441,$B46&amp;"-"&amp;"Yes",'Data By District'!$Y$7:$Y$441,$B46&amp;"-"&amp;"Rep")</f>
        <v>6</v>
      </c>
      <c r="AI46" s="361">
        <f>COUNTIFS('Data By District'!$J$7:$J$441,$B46&amp;"-"&amp;"Yes",'Data By District'!$Y$7:$Y$441,$B46&amp;"-"&amp;"Dem",'Data By District'!$J$7:$J$441,$B46&amp;"-"&amp;"Yes",'Data By District'!$Z$7:$Z$441,$B46&amp;"-"&amp;W$6)+COUNTIFS('Data By District'!$J$7:$J$441,$B46&amp;"-"&amp;"Yes",'Data By District'!$Y$7:$Y$441,$B46&amp;"-"&amp;"Dem",'Data By District'!$J$7:$J$441,$B46&amp;"-"&amp;"Yes",'Data By District'!$Z$7:$Z$441,$B46&amp;"-"&amp;X$6)</f>
        <v>1</v>
      </c>
      <c r="AJ46" s="361">
        <f>COUNTIFS('Data By District'!$J$7:$J$441,$B46&amp;"-"&amp;"Yes",'Data By District'!$Y$7:$Y$441,$B46&amp;"-"&amp;"Rep",'Data By District'!$J$7:$J$441,$B46&amp;"-"&amp;"Yes",'Data By District'!$Z$7:$Z$441,$B46&amp;"-"&amp;W$6)+COUNTIFS('Data By District'!$J$7:$J$441,$B46&amp;"-"&amp;"Yes",'Data By District'!$Y$7:$Y$441,$B46&amp;"-"&amp;"Rep",'Data By District'!$J$7:$J$441,$B46&amp;"-"&amp;"Yes",'Data By District'!$Z$7:$Z$441,$B46&amp;"-"&amp;X$6)</f>
        <v>4</v>
      </c>
      <c r="AK46" s="360">
        <f>COUNTIF('Data By District'!$D$7:$D$441,$B46&amp;"-"&amp;"Yes")</f>
        <v>0</v>
      </c>
      <c r="AL46" s="361">
        <f>COUNTIF('Data By District'!$E$7:$E$441,$B46&amp;"-"&amp;"Yes")</f>
        <v>1</v>
      </c>
      <c r="AM46" s="361">
        <f>COUNTIF('Data By District'!$F$7:$F$441,$B46&amp;"-"&amp;"Yes")</f>
        <v>0</v>
      </c>
      <c r="AN46" s="361">
        <f>COUNTIF('Data By District'!$G$7:$G$441,$B46&amp;"-"&amp;"Yes")</f>
        <v>0</v>
      </c>
      <c r="AO46" s="361">
        <f>COUNTIF('Data By District'!$H$7:$H$441,$B46&amp;"-"&amp;"Yes")</f>
        <v>0</v>
      </c>
      <c r="AP46" s="70">
        <f t="shared" si="44"/>
        <v>8.2166142767389733E-2</v>
      </c>
      <c r="AQ46" s="55">
        <f t="shared" si="25"/>
        <v>0.68303976071899686</v>
      </c>
      <c r="AR46" s="50">
        <f t="shared" si="26"/>
        <v>1802734</v>
      </c>
      <c r="AS46" s="41">
        <f>SUMIF('Data By District'!$B$7:$B$441,$B46,'Data By District'!$O$7:$O$441)</f>
        <v>742805</v>
      </c>
      <c r="AT46" s="41">
        <f>SUMIF('Data By District'!$B$7:$B$441,$B46,'Data By District'!$P$7:$P$441)</f>
        <v>1026129</v>
      </c>
      <c r="AU46" s="41">
        <f>SUMIF('Data By District'!$B$7:$B$441,$B46,'Data By District'!$Q$7:$Q$441)</f>
        <v>33800</v>
      </c>
      <c r="AV46" s="289">
        <f t="shared" si="45"/>
        <v>0.41204359600473506</v>
      </c>
      <c r="AW46" s="24">
        <f t="shared" si="46"/>
        <v>0.56920710432043775</v>
      </c>
      <c r="AX46" s="56">
        <f t="shared" si="47"/>
        <v>1.8749299674827236E-2</v>
      </c>
      <c r="AY46" s="25">
        <f>COUNTIF('Data By District'!$Y$7:$Y$441,$B46&amp;"-"&amp;AY$6)</f>
        <v>1</v>
      </c>
      <c r="AZ46" s="25">
        <f>COUNTIF('Data By District'!$Y$7:$Y$441,$B46&amp;"-"&amp;AZ$6)</f>
        <v>6</v>
      </c>
      <c r="BA46" s="25">
        <f>COUNTIF('Data By District'!$Y$7:$Y$441,$B46&amp;"-"&amp;BA$6)</f>
        <v>0</v>
      </c>
      <c r="BB46" s="285">
        <f t="shared" si="27"/>
        <v>0.14285714285714285</v>
      </c>
      <c r="BC46" s="24">
        <f t="shared" si="28"/>
        <v>0.8571428571428571</v>
      </c>
      <c r="BD46" s="56">
        <f t="shared" si="29"/>
        <v>0</v>
      </c>
      <c r="BE46" s="285">
        <f t="shared" si="48"/>
        <v>0.26918645314759221</v>
      </c>
      <c r="BF46" s="24">
        <f t="shared" si="49"/>
        <v>0.28793575282241934</v>
      </c>
      <c r="BG46" s="56">
        <f t="shared" si="50"/>
        <v>1.8749299674827236E-2</v>
      </c>
      <c r="BH46" s="50">
        <f t="shared" si="30"/>
        <v>1231339</v>
      </c>
      <c r="BI46" s="41">
        <f>'Data By District'!AE363</f>
        <v>571395</v>
      </c>
      <c r="BJ46" s="41">
        <f>SUMIF('Data By District'!$B$7:$B$441,'Data By State'!$B46,'Data By District'!$AA$7:$AA$441)</f>
        <v>524088</v>
      </c>
      <c r="BK46" s="41">
        <f>SUMIF('Data By District'!$B$7:$B$441,'Data By State'!$B46,'Data By District'!$AB$7:$AB$441)</f>
        <v>0</v>
      </c>
      <c r="BL46" s="50">
        <f>SUMIF('Data By District'!$B$7:$B$441,'Data By State'!$B46,'Data By District'!$AC$7:$AC$441)</f>
        <v>33800</v>
      </c>
      <c r="BM46" s="64">
        <f t="shared" si="31"/>
        <v>0.3169602392810032</v>
      </c>
      <c r="BN46" s="24">
        <f t="shared" si="33"/>
        <v>0.70555260128835962</v>
      </c>
      <c r="BO46" s="24">
        <f t="shared" si="34"/>
        <v>0</v>
      </c>
      <c r="BP46" s="56">
        <f t="shared" si="35"/>
        <v>1</v>
      </c>
    </row>
    <row r="47" spans="1:68" ht="16" thickBot="1">
      <c r="A47" s="17" t="s">
        <v>105</v>
      </c>
      <c r="B47" s="26" t="s">
        <v>40</v>
      </c>
      <c r="C47" s="380">
        <v>363815</v>
      </c>
      <c r="D47" s="380">
        <v>612310</v>
      </c>
      <c r="E47" s="25">
        <f t="shared" si="36"/>
        <v>45</v>
      </c>
      <c r="F47" s="25">
        <f t="shared" si="37"/>
        <v>38</v>
      </c>
      <c r="G47" s="73">
        <f t="shared" si="18"/>
        <v>50</v>
      </c>
      <c r="H47" s="25">
        <f t="shared" si="19"/>
        <v>1</v>
      </c>
      <c r="I47" s="25">
        <f t="shared" si="20"/>
        <v>35</v>
      </c>
      <c r="J47" s="25">
        <f t="shared" si="21"/>
        <v>47</v>
      </c>
      <c r="K47" s="68">
        <f t="shared" si="22"/>
        <v>18</v>
      </c>
      <c r="L47" s="67">
        <f t="shared" si="38"/>
        <v>33.6</v>
      </c>
      <c r="M47" s="64">
        <f t="shared" si="23"/>
        <v>0.45054317838416946</v>
      </c>
      <c r="N47" s="33">
        <f>('Data By District'!V364)</f>
        <v>1</v>
      </c>
      <c r="O47" s="29">
        <f t="shared" si="39"/>
        <v>0</v>
      </c>
      <c r="P47" s="29">
        <f>SUMIF('Data By District'!$B$7:$B$441,B47,'Data By District'!$T$7:$T$441)/D47</f>
        <v>0.33910927471378877</v>
      </c>
      <c r="Q47" s="29">
        <f t="shared" si="40"/>
        <v>0.42550265750673022</v>
      </c>
      <c r="R47" s="70">
        <f t="shared" si="41"/>
        <v>0.59027126782185491</v>
      </c>
      <c r="S47" s="69">
        <f t="shared" si="42"/>
        <v>1</v>
      </c>
      <c r="T47" s="25">
        <f>COUNTIF('Data By District'!$Z$7:$Z$441,$B47&amp;"-"&amp;T$6)</f>
        <v>0</v>
      </c>
      <c r="U47" s="25">
        <f>COUNTIF('Data By District'!$Z$7:$Z$441,$B47&amp;"-"&amp;U$6)</f>
        <v>0</v>
      </c>
      <c r="V47" s="25">
        <f>COUNTIF('Data By District'!$Z$7:$Z$441,$B47&amp;"-"&amp;V$6)</f>
        <v>1</v>
      </c>
      <c r="W47" s="25">
        <f>COUNTIF('Data By District'!$Z$7:$Z$441,$B47&amp;"-"&amp;W$6)</f>
        <v>0</v>
      </c>
      <c r="X47" s="25">
        <f>COUNTIF('Data By District'!$Z$7:$Z$441,$B47&amp;"-"&amp;X$6)-(Y47)</f>
        <v>0</v>
      </c>
      <c r="Y47" s="25">
        <f>COUNTIF('Data By District'!$X$7:$X$441,$B47&amp;"-"&amp;"Yes")</f>
        <v>0</v>
      </c>
      <c r="Z47" s="385">
        <f t="shared" si="43"/>
        <v>0</v>
      </c>
      <c r="AA47" s="387">
        <f>COUNTIF('Data By District'!$L$7:$L$441, $B47&amp;"-"&amp;1)</f>
        <v>0</v>
      </c>
      <c r="AB47" s="360">
        <f>COUNTIFS('Data By District'!$J$7:$J$441,$B47&amp;"-"&amp;"Yes",'Data By District'!$Z$7:$Z$441,$B47&amp;"-"&amp;X$6)+COUNTIFS('Data By District'!$J$7:$J$441,$B47&amp;"-"&amp;"Yes",'Data By District'!$Z$7:$Z$441,$B47&amp;"-"&amp;W$6)</f>
        <v>0</v>
      </c>
      <c r="AC47" s="357">
        <f t="shared" si="32"/>
        <v>0</v>
      </c>
      <c r="AD47" s="361">
        <f>COUNTIF('Data By District'!$J$7:$J$441,$B47&amp;"-"&amp;"Yes")</f>
        <v>1</v>
      </c>
      <c r="AE47" s="361">
        <f t="shared" si="24"/>
        <v>0</v>
      </c>
      <c r="AF47" s="361">
        <f>COUNTIF('Data By District'!$I$7:$I$441,$B47&amp;"-"&amp;"Yes")</f>
        <v>1</v>
      </c>
      <c r="AG47" s="361">
        <f>COUNTIFS('Data By District'!$J$7:$J$441,$B47&amp;"-"&amp;"Yes",'Data By District'!$Y$7:$Y$441,$B47&amp;"-"&amp;"Dem")</f>
        <v>0</v>
      </c>
      <c r="AH47" s="361">
        <f>COUNTIFS('Data By District'!$J$7:$J$441,$B47&amp;"-"&amp;"Yes",'Data By District'!$Y$7:$Y$441,$B47&amp;"-"&amp;"Rep")</f>
        <v>1</v>
      </c>
      <c r="AI47" s="361">
        <f>COUNTIFS('Data By District'!$J$7:$J$441,$B47&amp;"-"&amp;"Yes",'Data By District'!$Y$7:$Y$441,$B47&amp;"-"&amp;"Dem",'Data By District'!$J$7:$J$441,$B47&amp;"-"&amp;"Yes",'Data By District'!$Z$7:$Z$441,$B47&amp;"-"&amp;W$6)+COUNTIFS('Data By District'!$J$7:$J$441,$B47&amp;"-"&amp;"Yes",'Data By District'!$Y$7:$Y$441,$B47&amp;"-"&amp;"Dem",'Data By District'!$J$7:$J$441,$B47&amp;"-"&amp;"Yes",'Data By District'!$Z$7:$Z$441,$B47&amp;"-"&amp;X$6)</f>
        <v>0</v>
      </c>
      <c r="AJ47" s="361">
        <f>COUNTIFS('Data By District'!$J$7:$J$441,$B47&amp;"-"&amp;"Yes",'Data By District'!$Y$7:$Y$441,$B47&amp;"-"&amp;"Rep",'Data By District'!$J$7:$J$441,$B47&amp;"-"&amp;"Yes",'Data By District'!$Z$7:$Z$441,$B47&amp;"-"&amp;W$6)+COUNTIFS('Data By District'!$J$7:$J$441,$B47&amp;"-"&amp;"Yes",'Data By District'!$Y$7:$Y$441,$B47&amp;"-"&amp;"Rep",'Data By District'!$J$7:$J$441,$B47&amp;"-"&amp;"Yes",'Data By District'!$Z$7:$Z$441,$B47&amp;"-"&amp;X$6)</f>
        <v>0</v>
      </c>
      <c r="AK47" s="360">
        <f>COUNTIF('Data By District'!$D$7:$D$441,$B47&amp;"-"&amp;"Yes")</f>
        <v>1</v>
      </c>
      <c r="AL47" s="361">
        <f>COUNTIF('Data By District'!$E$7:$E$441,$B47&amp;"-"&amp;"Yes")</f>
        <v>0</v>
      </c>
      <c r="AM47" s="361">
        <f>COUNTIF('Data By District'!$F$7:$F$441,$B47&amp;"-"&amp;"Yes")</f>
        <v>0</v>
      </c>
      <c r="AN47" s="361">
        <f>COUNTIF('Data By District'!$G$7:$G$441,$B47&amp;"-"&amp;"Yes")</f>
        <v>0</v>
      </c>
      <c r="AO47" s="361">
        <f>COUNTIF('Data By District'!$H$7:$H$441,$B47&amp;"-"&amp;"Yes")</f>
        <v>0</v>
      </c>
      <c r="AP47" s="70">
        <f t="shared" si="44"/>
        <v>6.5582782458117449E-3</v>
      </c>
      <c r="AQ47" s="55">
        <f t="shared" si="25"/>
        <v>0.84268556203293044</v>
      </c>
      <c r="AR47" s="50">
        <f t="shared" si="26"/>
        <v>361429</v>
      </c>
      <c r="AS47" s="41">
        <f>SUMIF('Data By District'!$B$7:$B$441,$B47,'Data By District'!$O$7:$O$441)</f>
        <v>153789</v>
      </c>
      <c r="AT47" s="41">
        <f>SUMIF('Data By District'!$B$7:$B$441,$B47,'Data By District'!$P$7:$P$441)</f>
        <v>207640</v>
      </c>
      <c r="AU47" s="41">
        <f>SUMIF('Data By District'!$B$7:$B$441,$B47,'Data By District'!$Q$7:$Q$441)</f>
        <v>0</v>
      </c>
      <c r="AV47" s="289">
        <f t="shared" si="45"/>
        <v>0.42550265750673022</v>
      </c>
      <c r="AW47" s="24">
        <f t="shared" si="46"/>
        <v>0.57449734249326978</v>
      </c>
      <c r="AX47" s="56">
        <f t="shared" si="47"/>
        <v>0</v>
      </c>
      <c r="AY47" s="25">
        <f>COUNTIF('Data By District'!$Y$7:$Y$441,$B47&amp;"-"&amp;AY$6)</f>
        <v>0</v>
      </c>
      <c r="AZ47" s="25">
        <f>COUNTIF('Data By District'!$Y$7:$Y$441,$B47&amp;"-"&amp;AZ$6)</f>
        <v>1</v>
      </c>
      <c r="BA47" s="25">
        <f>COUNTIF('Data By District'!$Y$7:$Y$441,$B47&amp;"-"&amp;BA$6)</f>
        <v>0</v>
      </c>
      <c r="BB47" s="285">
        <f t="shared" si="27"/>
        <v>0</v>
      </c>
      <c r="BC47" s="24">
        <f t="shared" si="28"/>
        <v>1</v>
      </c>
      <c r="BD47" s="56">
        <f t="shared" si="29"/>
        <v>0</v>
      </c>
      <c r="BE47" s="285">
        <f t="shared" si="48"/>
        <v>0.42550265750673022</v>
      </c>
      <c r="BF47" s="24">
        <f t="shared" si="49"/>
        <v>0.42550265750673022</v>
      </c>
      <c r="BG47" s="56">
        <f t="shared" si="50"/>
        <v>0</v>
      </c>
      <c r="BH47" s="50">
        <f t="shared" si="30"/>
        <v>304571</v>
      </c>
      <c r="BI47" s="41">
        <f>'Data By District'!AE364</f>
        <v>56858</v>
      </c>
      <c r="BJ47" s="41">
        <f>SUMIF('Data By District'!$B$7:$B$441,'Data By State'!$B47,'Data By District'!$AA$7:$AA$441)</f>
        <v>153789</v>
      </c>
      <c r="BK47" s="41">
        <f>SUMIF('Data By District'!$B$7:$B$441,'Data By State'!$B47,'Data By District'!$AB$7:$AB$441)</f>
        <v>0</v>
      </c>
      <c r="BL47" s="50">
        <f>SUMIF('Data By District'!$B$7:$B$441,'Data By State'!$B47,'Data By District'!$AC$7:$AC$441)</f>
        <v>0</v>
      </c>
      <c r="BM47" s="64">
        <f t="shared" si="31"/>
        <v>0.15731443796706959</v>
      </c>
      <c r="BN47" s="24">
        <f t="shared" si="33"/>
        <v>1</v>
      </c>
      <c r="BO47" s="24">
        <f t="shared" si="34"/>
        <v>0</v>
      </c>
      <c r="BP47" s="56" t="e">
        <f t="shared" si="35"/>
        <v>#DIV/0!</v>
      </c>
    </row>
    <row r="48" spans="1:68" ht="16" thickBot="1">
      <c r="A48" s="17" t="s">
        <v>106</v>
      </c>
      <c r="B48" s="26" t="s">
        <v>41</v>
      </c>
      <c r="C48" s="380">
        <v>2458577</v>
      </c>
      <c r="D48" s="380">
        <v>4711782</v>
      </c>
      <c r="E48" s="25">
        <f t="shared" si="36"/>
        <v>48</v>
      </c>
      <c r="F48" s="25">
        <f t="shared" si="37"/>
        <v>42</v>
      </c>
      <c r="G48" s="73">
        <f t="shared" si="18"/>
        <v>42</v>
      </c>
      <c r="H48" s="25">
        <f t="shared" si="19"/>
        <v>38</v>
      </c>
      <c r="I48" s="25">
        <f t="shared" si="20"/>
        <v>37</v>
      </c>
      <c r="J48" s="25">
        <f t="shared" si="21"/>
        <v>20</v>
      </c>
      <c r="K48" s="68">
        <f t="shared" si="22"/>
        <v>47</v>
      </c>
      <c r="L48" s="67">
        <f t="shared" si="38"/>
        <v>34.799999999999997</v>
      </c>
      <c r="M48" s="64">
        <f t="shared" si="23"/>
        <v>0.43231716571170009</v>
      </c>
      <c r="N48" s="33">
        <f>AVERAGE('Data By District'!V365:'Data By District'!V373)</f>
        <v>0.46940811459423049</v>
      </c>
      <c r="O48" s="29">
        <f t="shared" si="39"/>
        <v>0.88888888888888884</v>
      </c>
      <c r="P48" s="29">
        <f>SUMIF('Data By District'!$B$7:$B$441,B48,'Data By District'!$T$7:$T$441)/D48</f>
        <v>0.33609852917643473</v>
      </c>
      <c r="Q48" s="29">
        <f t="shared" si="40"/>
        <v>0.15231422631124963</v>
      </c>
      <c r="R48" s="70">
        <f t="shared" si="41"/>
        <v>0.48468435084645256</v>
      </c>
      <c r="S48" s="69">
        <f t="shared" si="42"/>
        <v>9</v>
      </c>
      <c r="T48" s="25">
        <f>COUNTIF('Data By District'!$Z$7:$Z$441,$B48&amp;"-"&amp;T$6)</f>
        <v>0</v>
      </c>
      <c r="U48" s="25">
        <f>COUNTIF('Data By District'!$Z$7:$Z$441,$B48&amp;"-"&amp;U$6)</f>
        <v>0</v>
      </c>
      <c r="V48" s="25">
        <f>COUNTIF('Data By District'!$Z$7:$Z$441,$B48&amp;"-"&amp;V$6)</f>
        <v>1</v>
      </c>
      <c r="W48" s="25">
        <f>COUNTIF('Data By District'!$Z$7:$Z$441,$B48&amp;"-"&amp;W$6)</f>
        <v>2</v>
      </c>
      <c r="X48" s="25">
        <f>COUNTIF('Data By District'!$Z$7:$Z$441,$B48&amp;"-"&amp;X$6)-(Y48)</f>
        <v>5</v>
      </c>
      <c r="Y48" s="25">
        <f>COUNTIF('Data By District'!$X$7:$X$441,$B48&amp;"-"&amp;"Yes")</f>
        <v>1</v>
      </c>
      <c r="Z48" s="385">
        <f t="shared" si="43"/>
        <v>0.1111111111111111</v>
      </c>
      <c r="AA48" s="387">
        <f>COUNTIF('Data By District'!$L$7:$L$441, $B48&amp;"-"&amp;1)</f>
        <v>0</v>
      </c>
      <c r="AB48" s="360">
        <f>COUNTIFS('Data By District'!$J$7:$J$441,$B48&amp;"-"&amp;"Yes",'Data By District'!$Z$7:$Z$441,$B48&amp;"-"&amp;X$6)+COUNTIFS('Data By District'!$J$7:$J$441,$B48&amp;"-"&amp;"Yes",'Data By District'!$Z$7:$Z$441,$B48&amp;"-"&amp;W$6)</f>
        <v>8</v>
      </c>
      <c r="AC48" s="357">
        <f t="shared" si="32"/>
        <v>0.88888888888888884</v>
      </c>
      <c r="AD48" s="361">
        <f>COUNTIF('Data By District'!$J$7:$J$441,$B48&amp;"-"&amp;"Yes")</f>
        <v>9</v>
      </c>
      <c r="AE48" s="361">
        <f t="shared" si="24"/>
        <v>0</v>
      </c>
      <c r="AF48" s="361">
        <f>COUNTIF('Data By District'!$I$7:$I$441,$B48&amp;"-"&amp;"Yes")</f>
        <v>9</v>
      </c>
      <c r="AG48" s="361">
        <f>COUNTIFS('Data By District'!$J$7:$J$441,$B48&amp;"-"&amp;"Yes",'Data By District'!$Y$7:$Y$441,$B48&amp;"-"&amp;"Dem")</f>
        <v>2</v>
      </c>
      <c r="AH48" s="361">
        <f>COUNTIFS('Data By District'!$J$7:$J$441,$B48&amp;"-"&amp;"Yes",'Data By District'!$Y$7:$Y$441,$B48&amp;"-"&amp;"Rep")</f>
        <v>7</v>
      </c>
      <c r="AI48" s="361">
        <f>COUNTIFS('Data By District'!$J$7:$J$441,$B48&amp;"-"&amp;"Yes",'Data By District'!$Y$7:$Y$441,$B48&amp;"-"&amp;"Dem",'Data By District'!$J$7:$J$441,$B48&amp;"-"&amp;"Yes",'Data By District'!$Z$7:$Z$441,$B48&amp;"-"&amp;W$6)+COUNTIFS('Data By District'!$J$7:$J$441,$B48&amp;"-"&amp;"Yes",'Data By District'!$Y$7:$Y$441,$B48&amp;"-"&amp;"Dem",'Data By District'!$J$7:$J$441,$B48&amp;"-"&amp;"Yes",'Data By District'!$Z$7:$Z$441,$B48&amp;"-"&amp;X$6)</f>
        <v>2</v>
      </c>
      <c r="AJ48" s="361">
        <f>COUNTIFS('Data By District'!$J$7:$J$441,$B48&amp;"-"&amp;"Yes",'Data By District'!$Y$7:$Y$441,$B48&amp;"-"&amp;"Rep",'Data By District'!$J$7:$J$441,$B48&amp;"-"&amp;"Yes",'Data By District'!$Z$7:$Z$441,$B48&amp;"-"&amp;W$6)+COUNTIFS('Data By District'!$J$7:$J$441,$B48&amp;"-"&amp;"Yes",'Data By District'!$Y$7:$Y$441,$B48&amp;"-"&amp;"Rep",'Data By District'!$J$7:$J$441,$B48&amp;"-"&amp;"Yes",'Data By District'!$Z$7:$Z$441,$B48&amp;"-"&amp;X$6)</f>
        <v>6</v>
      </c>
      <c r="AK48" s="360">
        <f>COUNTIF('Data By District'!$D$7:$D$441,$B48&amp;"-"&amp;"Yes")</f>
        <v>2</v>
      </c>
      <c r="AL48" s="361">
        <f>COUNTIF('Data By District'!$E$7:$E$441,$B48&amp;"-"&amp;"Yes")</f>
        <v>0</v>
      </c>
      <c r="AM48" s="361">
        <f>COUNTIF('Data By District'!$F$7:$F$441,$B48&amp;"-"&amp;"Yes")</f>
        <v>0</v>
      </c>
      <c r="AN48" s="361">
        <f>COUNTIF('Data By District'!$G$7:$G$441,$B48&amp;"-"&amp;"Yes")</f>
        <v>0</v>
      </c>
      <c r="AO48" s="361">
        <f>COUNTIF('Data By District'!$H$7:$H$441,$B48&amp;"-"&amp;"Yes")</f>
        <v>0</v>
      </c>
      <c r="AP48" s="70">
        <f t="shared" si="44"/>
        <v>7.1118374571957688E-2</v>
      </c>
      <c r="AQ48" s="55">
        <f t="shared" si="25"/>
        <v>0.72397751570130753</v>
      </c>
      <c r="AR48" s="50">
        <f t="shared" si="26"/>
        <v>2283727</v>
      </c>
      <c r="AS48" s="41">
        <f>SUMIF('Data By District'!$B$7:$B$441,$B48,'Data By District'!$O$7:$O$441)</f>
        <v>796513</v>
      </c>
      <c r="AT48" s="41">
        <f>SUMIF('Data By District'!$B$7:$B$441,$B48,'Data By District'!$P$7:$P$441)</f>
        <v>1369562</v>
      </c>
      <c r="AU48" s="41">
        <f>SUMIF('Data By District'!$B$7:$B$441,$B48,'Data By District'!$Q$7:$Q$441)</f>
        <v>117652</v>
      </c>
      <c r="AV48" s="289">
        <f t="shared" si="45"/>
        <v>0.3487776778923225</v>
      </c>
      <c r="AW48" s="24">
        <f t="shared" si="46"/>
        <v>0.59970478082537881</v>
      </c>
      <c r="AX48" s="56">
        <f t="shared" si="47"/>
        <v>5.1517541282298629E-2</v>
      </c>
      <c r="AY48" s="25">
        <f>COUNTIF('Data By District'!$Y$7:$Y$441,$B48&amp;"-"&amp;AY$6)</f>
        <v>2</v>
      </c>
      <c r="AZ48" s="25">
        <f>COUNTIF('Data By District'!$Y$7:$Y$441,$B48&amp;"-"&amp;AZ$6)</f>
        <v>7</v>
      </c>
      <c r="BA48" s="25">
        <f>COUNTIF('Data By District'!$Y$7:$Y$441,$B48&amp;"-"&amp;BA$6)</f>
        <v>0</v>
      </c>
      <c r="BB48" s="285">
        <f t="shared" si="27"/>
        <v>0.22222222222222221</v>
      </c>
      <c r="BC48" s="24">
        <f t="shared" si="28"/>
        <v>0.77777777777777779</v>
      </c>
      <c r="BD48" s="56">
        <f t="shared" si="29"/>
        <v>0</v>
      </c>
      <c r="BE48" s="285">
        <f t="shared" si="48"/>
        <v>0.12655545567010029</v>
      </c>
      <c r="BF48" s="24">
        <f t="shared" si="49"/>
        <v>0.17807299695239898</v>
      </c>
      <c r="BG48" s="56">
        <f t="shared" si="50"/>
        <v>5.1517541282298629E-2</v>
      </c>
      <c r="BH48" s="50">
        <f t="shared" si="30"/>
        <v>1653367</v>
      </c>
      <c r="BI48" s="41">
        <f>'Data By District'!AE373</f>
        <v>630360</v>
      </c>
      <c r="BJ48" s="41">
        <f>SUMIF('Data By District'!$B$7:$B$441,'Data By State'!$B48,'Data By District'!$AA$7:$AA$441)</f>
        <v>436470</v>
      </c>
      <c r="BK48" s="41">
        <f>SUMIF('Data By District'!$B$7:$B$441,'Data By State'!$B48,'Data By District'!$AB$7:$AB$441)</f>
        <v>145982</v>
      </c>
      <c r="BL48" s="50">
        <f>SUMIF('Data By District'!$B$7:$B$441,'Data By State'!$B48,'Data By District'!$AC$7:$AC$441)</f>
        <v>117652</v>
      </c>
      <c r="BM48" s="64">
        <f t="shared" si="31"/>
        <v>0.27602248429869247</v>
      </c>
      <c r="BN48" s="24">
        <f t="shared" si="33"/>
        <v>0.54797599034792899</v>
      </c>
      <c r="BO48" s="24">
        <f t="shared" si="34"/>
        <v>0.10659028214859934</v>
      </c>
      <c r="BP48" s="56">
        <f t="shared" si="35"/>
        <v>1</v>
      </c>
    </row>
    <row r="49" spans="1:70" ht="16" thickBot="1">
      <c r="A49" s="17" t="s">
        <v>107</v>
      </c>
      <c r="B49" s="26" t="s">
        <v>42</v>
      </c>
      <c r="C49" s="380">
        <v>7993851</v>
      </c>
      <c r="D49" s="380">
        <v>16100196</v>
      </c>
      <c r="E49" s="25">
        <f t="shared" si="36"/>
        <v>42</v>
      </c>
      <c r="F49" s="25">
        <f t="shared" si="37"/>
        <v>35</v>
      </c>
      <c r="G49" s="73">
        <f t="shared" si="18"/>
        <v>37</v>
      </c>
      <c r="H49" s="25">
        <f t="shared" si="19"/>
        <v>37</v>
      </c>
      <c r="I49" s="25">
        <f t="shared" si="20"/>
        <v>40</v>
      </c>
      <c r="J49" s="25">
        <f t="shared" si="21"/>
        <v>9</v>
      </c>
      <c r="K49" s="68">
        <f t="shared" si="22"/>
        <v>48</v>
      </c>
      <c r="L49" s="67">
        <f t="shared" si="38"/>
        <v>32.6</v>
      </c>
      <c r="M49" s="64">
        <f t="shared" si="23"/>
        <v>0.45728331306696041</v>
      </c>
      <c r="N49" s="33">
        <f>AVERAGE('Data By District'!V374:'Data By District'!V405)</f>
        <v>0.4300842808857202</v>
      </c>
      <c r="O49" s="29">
        <f t="shared" si="39"/>
        <v>0.86111111111111116</v>
      </c>
      <c r="P49" s="29">
        <f>SUMIF('Data By District'!$B$7:$B$441,B49,'Data By District'!$T$7:$T$441)/D49</f>
        <v>0.32388351048645619</v>
      </c>
      <c r="Q49" s="29">
        <f t="shared" si="40"/>
        <v>7.0155063641279047E-2</v>
      </c>
      <c r="R49" s="70">
        <f t="shared" si="41"/>
        <v>0.47603196880336113</v>
      </c>
      <c r="S49" s="69">
        <f t="shared" si="42"/>
        <v>36</v>
      </c>
      <c r="T49" s="25">
        <f>COUNTIF('Data By District'!$Z$7:$Z$441,$B49&amp;"-"&amp;T$6)</f>
        <v>1</v>
      </c>
      <c r="U49" s="25">
        <f>COUNTIF('Data By District'!$Z$7:$Z$441,$B49&amp;"-"&amp;U$6)</f>
        <v>1</v>
      </c>
      <c r="V49" s="25">
        <f>COUNTIF('Data By District'!$Z$7:$Z$441,$B49&amp;"-"&amp;V$6)</f>
        <v>3</v>
      </c>
      <c r="W49" s="25">
        <f>COUNTIF('Data By District'!$Z$7:$Z$441,$B49&amp;"-"&amp;W$6)</f>
        <v>15</v>
      </c>
      <c r="X49" s="25">
        <f>COUNTIF('Data By District'!$Z$7:$Z$441,$B49&amp;"-"&amp;X$6)-(Y49)</f>
        <v>11</v>
      </c>
      <c r="Y49" s="25">
        <f>COUNTIF('Data By District'!$X$7:$X$441,$B49&amp;"-"&amp;"Yes")</f>
        <v>5</v>
      </c>
      <c r="Z49" s="385">
        <f t="shared" si="43"/>
        <v>0.1388888888888889</v>
      </c>
      <c r="AA49" s="387">
        <f>COUNTIF('Data By District'!$L$7:$L$441, $B49&amp;"-"&amp;1)</f>
        <v>0</v>
      </c>
      <c r="AB49" s="360">
        <f>COUNTIFS('Data By District'!$J$7:$J$441,$B49&amp;"-"&amp;"Yes",'Data By District'!$Z$7:$Z$441,$B49&amp;"-"&amp;X$6)+COUNTIFS('Data By District'!$J$7:$J$441,$B49&amp;"-"&amp;"Yes",'Data By District'!$Z$7:$Z$441,$B49&amp;"-"&amp;W$6)</f>
        <v>31</v>
      </c>
      <c r="AC49" s="357">
        <f t="shared" si="32"/>
        <v>0.88571428571428568</v>
      </c>
      <c r="AD49" s="361">
        <f>COUNTIF('Data By District'!$J$7:$J$441,$B49&amp;"-"&amp;"Yes")</f>
        <v>35</v>
      </c>
      <c r="AE49" s="361">
        <f t="shared" si="24"/>
        <v>1</v>
      </c>
      <c r="AF49" s="361">
        <f>COUNTIF('Data By District'!$I$7:$I$441,$B49&amp;"-"&amp;"Yes")</f>
        <v>36</v>
      </c>
      <c r="AG49" s="361">
        <f>COUNTIFS('Data By District'!$J$7:$J$441,$B49&amp;"-"&amp;"Yes",'Data By District'!$Y$7:$Y$441,$B49&amp;"-"&amp;"Dem")</f>
        <v>11</v>
      </c>
      <c r="AH49" s="361">
        <f>COUNTIFS('Data By District'!$J$7:$J$441,$B49&amp;"-"&amp;"Yes",'Data By District'!$Y$7:$Y$441,$B49&amp;"-"&amp;"Rep")</f>
        <v>24</v>
      </c>
      <c r="AI49" s="361">
        <f>COUNTIFS('Data By District'!$J$7:$J$441,$B49&amp;"-"&amp;"Yes",'Data By District'!$Y$7:$Y$441,$B49&amp;"-"&amp;"Dem",'Data By District'!$J$7:$J$441,$B49&amp;"-"&amp;"Yes",'Data By District'!$Z$7:$Z$441,$B49&amp;"-"&amp;W$6)+COUNTIFS('Data By District'!$J$7:$J$441,$B49&amp;"-"&amp;"Yes",'Data By District'!$Y$7:$Y$441,$B49&amp;"-"&amp;"Dem",'Data By District'!$J$7:$J$441,$B49&amp;"-"&amp;"Yes",'Data By District'!$Z$7:$Z$441,$B49&amp;"-"&amp;X$6)</f>
        <v>11</v>
      </c>
      <c r="AJ49" s="361">
        <f>COUNTIFS('Data By District'!$J$7:$J$441,$B49&amp;"-"&amp;"Yes",'Data By District'!$Y$7:$Y$441,$B49&amp;"-"&amp;"Rep",'Data By District'!$J$7:$J$441,$B49&amp;"-"&amp;"Yes",'Data By District'!$Z$7:$Z$441,$B49&amp;"-"&amp;W$6)+COUNTIFS('Data By District'!$J$7:$J$441,$B49&amp;"-"&amp;"Yes",'Data By District'!$Y$7:$Y$441,$B49&amp;"-"&amp;"Rep",'Data By District'!$J$7:$J$441,$B49&amp;"-"&amp;"Yes",'Data By District'!$Z$7:$Z$441,$B49&amp;"-"&amp;X$6)</f>
        <v>20</v>
      </c>
      <c r="AK49" s="360">
        <f>COUNTIF('Data By District'!$D$7:$D$441,$B49&amp;"-"&amp;"Yes")</f>
        <v>3</v>
      </c>
      <c r="AL49" s="361">
        <f>COUNTIF('Data By District'!$E$7:$E$441,$B49&amp;"-"&amp;"Yes")</f>
        <v>4</v>
      </c>
      <c r="AM49" s="361">
        <f>COUNTIF('Data By District'!$F$7:$F$441,$B49&amp;"-"&amp;"Yes")</f>
        <v>6</v>
      </c>
      <c r="AN49" s="361">
        <f>COUNTIF('Data By District'!$G$7:$G$441,$B49&amp;"-"&amp;"Yes")</f>
        <v>0</v>
      </c>
      <c r="AO49" s="361">
        <f>COUNTIF('Data By District'!$H$7:$H$441,$B49&amp;"-"&amp;"Yes")</f>
        <v>0</v>
      </c>
      <c r="AP49" s="70">
        <f t="shared" si="44"/>
        <v>4.1237070843577146E-2</v>
      </c>
      <c r="AQ49" s="55">
        <f t="shared" si="25"/>
        <v>0.71178196103237279</v>
      </c>
      <c r="AR49" s="50">
        <f t="shared" si="26"/>
        <v>7664208</v>
      </c>
      <c r="AS49" s="41">
        <f>SUMIF('Data By District'!$B$7:$B$441,$B49,'Data By District'!$O$7:$O$441)</f>
        <v>2949900</v>
      </c>
      <c r="AT49" s="41">
        <f>SUMIF('Data By District'!$B$7:$B$441,$B49,'Data By District'!$P$7:$P$441)</f>
        <v>4429270</v>
      </c>
      <c r="AU49" s="41">
        <f>SUMIF('Data By District'!$B$7:$B$441,$B49,'Data By District'!$Q$7:$Q$441)</f>
        <v>285038</v>
      </c>
      <c r="AV49" s="289">
        <f t="shared" si="45"/>
        <v>0.38489299872863575</v>
      </c>
      <c r="AW49" s="24">
        <f t="shared" si="46"/>
        <v>0.57791620477941097</v>
      </c>
      <c r="AX49" s="56">
        <f t="shared" si="47"/>
        <v>3.7190796491953247E-2</v>
      </c>
      <c r="AY49" s="25">
        <f>COUNTIF('Data By District'!$Y$7:$Y$441,$B49&amp;"-"&amp;AY$6)</f>
        <v>12</v>
      </c>
      <c r="AZ49" s="25">
        <f>COUNTIF('Data By District'!$Y$7:$Y$441,$B49&amp;"-"&amp;AZ$6)</f>
        <v>24</v>
      </c>
      <c r="BA49" s="25">
        <f>COUNTIF('Data By District'!$Y$7:$Y$441,$B49&amp;"-"&amp;BA$6)</f>
        <v>0</v>
      </c>
      <c r="BB49" s="285">
        <f t="shared" si="27"/>
        <v>0.33333333333333331</v>
      </c>
      <c r="BC49" s="24">
        <f t="shared" si="28"/>
        <v>0.66666666666666663</v>
      </c>
      <c r="BD49" s="56">
        <f t="shared" si="29"/>
        <v>0</v>
      </c>
      <c r="BE49" s="285">
        <f t="shared" si="48"/>
        <v>5.1559665395302434E-2</v>
      </c>
      <c r="BF49" s="24">
        <f t="shared" si="49"/>
        <v>8.8750461887255661E-2</v>
      </c>
      <c r="BG49" s="56">
        <f t="shared" si="50"/>
        <v>3.7190796491953247E-2</v>
      </c>
      <c r="BH49" s="50">
        <f t="shared" si="30"/>
        <v>5455245</v>
      </c>
      <c r="BI49" s="41">
        <f>'Data By District'!AE405</f>
        <v>2208963</v>
      </c>
      <c r="BJ49" s="41">
        <f>SUMIF('Data By District'!$B$7:$B$441,'Data By State'!$B49,'Data By District'!$AA$7:$AA$441)</f>
        <v>1603281</v>
      </c>
      <c r="BK49" s="41">
        <f>SUMIF('Data By District'!$B$7:$B$441,'Data By State'!$B49,'Data By District'!$AB$7:$AB$441)</f>
        <v>561301</v>
      </c>
      <c r="BL49" s="50">
        <f>SUMIF('Data By District'!$B$7:$B$441,'Data By State'!$B49,'Data By District'!$AC$7:$AC$441)</f>
        <v>285038</v>
      </c>
      <c r="BM49" s="64">
        <f t="shared" si="31"/>
        <v>0.28821803896762721</v>
      </c>
      <c r="BN49" s="24">
        <f t="shared" si="33"/>
        <v>0.5435035085935116</v>
      </c>
      <c r="BO49" s="24">
        <f t="shared" si="34"/>
        <v>0.12672539718734691</v>
      </c>
      <c r="BP49" s="56">
        <f t="shared" si="35"/>
        <v>1</v>
      </c>
    </row>
    <row r="50" spans="1:70" ht="16" thickBot="1">
      <c r="A50" s="17" t="s">
        <v>108</v>
      </c>
      <c r="B50" s="26" t="s">
        <v>43</v>
      </c>
      <c r="C50" s="380">
        <v>1017440</v>
      </c>
      <c r="D50" s="380">
        <v>1835666</v>
      </c>
      <c r="E50" s="25">
        <f t="shared" si="36"/>
        <v>28</v>
      </c>
      <c r="F50" s="25">
        <f t="shared" si="37"/>
        <v>21</v>
      </c>
      <c r="G50" s="73">
        <f t="shared" si="18"/>
        <v>29</v>
      </c>
      <c r="H50" s="25">
        <f t="shared" si="19"/>
        <v>32</v>
      </c>
      <c r="I50" s="25">
        <f t="shared" si="20"/>
        <v>32</v>
      </c>
      <c r="J50" s="25">
        <f t="shared" si="21"/>
        <v>10</v>
      </c>
      <c r="K50" s="68">
        <f t="shared" si="22"/>
        <v>34</v>
      </c>
      <c r="L50" s="67">
        <f t="shared" si="38"/>
        <v>27</v>
      </c>
      <c r="M50" s="64">
        <f t="shared" si="23"/>
        <v>0.50390725409022008</v>
      </c>
      <c r="N50" s="33">
        <f>AVERAGE('Data By District'!V406:'Data By District'!V408)</f>
        <v>0.34913354472135855</v>
      </c>
      <c r="O50" s="29">
        <f t="shared" si="39"/>
        <v>0.75</v>
      </c>
      <c r="P50" s="29">
        <f>SUMIF('Data By District'!$B$7:$B$441,B50,'Data By District'!$T$7:$T$441)/D50</f>
        <v>0.35335458629184174</v>
      </c>
      <c r="Q50" s="29">
        <f t="shared" si="40"/>
        <v>8.8039357411224595E-2</v>
      </c>
      <c r="R50" s="70">
        <f t="shared" si="41"/>
        <v>0.54416053900873029</v>
      </c>
      <c r="S50" s="69">
        <f t="shared" si="42"/>
        <v>4</v>
      </c>
      <c r="T50" s="25">
        <f>COUNTIF('Data By District'!$Z$7:$Z$441,$B50&amp;"-"&amp;T$6)</f>
        <v>1</v>
      </c>
      <c r="U50" s="25">
        <f>COUNTIF('Data By District'!$Z$7:$Z$441,$B50&amp;"-"&amp;U$6)</f>
        <v>0</v>
      </c>
      <c r="V50" s="25">
        <f>COUNTIF('Data By District'!$Z$7:$Z$441,$B50&amp;"-"&amp;V$6)</f>
        <v>0</v>
      </c>
      <c r="W50" s="25">
        <f>COUNTIF('Data By District'!$Z$7:$Z$441,$B50&amp;"-"&amp;W$6)</f>
        <v>1</v>
      </c>
      <c r="X50" s="25">
        <f>COUNTIF('Data By District'!$Z$7:$Z$441,$B50&amp;"-"&amp;X$6)-(Y50)</f>
        <v>2</v>
      </c>
      <c r="Y50" s="25">
        <f>COUNTIF('Data By District'!$X$7:$X$441,$B50&amp;"-"&amp;"Yes")</f>
        <v>0</v>
      </c>
      <c r="Z50" s="385">
        <f t="shared" si="43"/>
        <v>0</v>
      </c>
      <c r="AA50" s="387">
        <f>COUNTIF('Data By District'!$L$7:$L$441, $B50&amp;"-"&amp;1)</f>
        <v>0</v>
      </c>
      <c r="AB50" s="360">
        <f>COUNTIFS('Data By District'!$J$7:$J$441,$B50&amp;"-"&amp;"Yes",'Data By District'!$Z$7:$Z$441,$B50&amp;"-"&amp;X$6)+COUNTIFS('Data By District'!$J$7:$J$441,$B50&amp;"-"&amp;"Yes",'Data By District'!$Z$7:$Z$441,$B50&amp;"-"&amp;W$6)</f>
        <v>3</v>
      </c>
      <c r="AC50" s="357">
        <f t="shared" si="32"/>
        <v>0.75</v>
      </c>
      <c r="AD50" s="361">
        <f>COUNTIF('Data By District'!$J$7:$J$441,$B50&amp;"-"&amp;"Yes")</f>
        <v>4</v>
      </c>
      <c r="AE50" s="361">
        <f t="shared" si="24"/>
        <v>0</v>
      </c>
      <c r="AF50" s="361">
        <f>COUNTIF('Data By District'!$I$7:$I$441,$B50&amp;"-"&amp;"Yes")</f>
        <v>4</v>
      </c>
      <c r="AG50" s="361">
        <f>COUNTIFS('Data By District'!$J$7:$J$441,$B50&amp;"-"&amp;"Yes",'Data By District'!$Y$7:$Y$441,$B50&amp;"-"&amp;"Dem")</f>
        <v>1</v>
      </c>
      <c r="AH50" s="361">
        <f>COUNTIFS('Data By District'!$J$7:$J$441,$B50&amp;"-"&amp;"Yes",'Data By District'!$Y$7:$Y$441,$B50&amp;"-"&amp;"Rep")</f>
        <v>3</v>
      </c>
      <c r="AI50" s="361">
        <f>COUNTIFS('Data By District'!$J$7:$J$441,$B50&amp;"-"&amp;"Yes",'Data By District'!$Y$7:$Y$441,$B50&amp;"-"&amp;"Dem",'Data By District'!$J$7:$J$441,$B50&amp;"-"&amp;"Yes",'Data By District'!$Z$7:$Z$441,$B50&amp;"-"&amp;W$6)+COUNTIFS('Data By District'!$J$7:$J$441,$B50&amp;"-"&amp;"Yes",'Data By District'!$Y$7:$Y$441,$B50&amp;"-"&amp;"Dem",'Data By District'!$J$7:$J$441,$B50&amp;"-"&amp;"Yes",'Data By District'!$Z$7:$Z$441,$B50&amp;"-"&amp;X$6)</f>
        <v>0</v>
      </c>
      <c r="AJ50" s="361">
        <f>COUNTIFS('Data By District'!$J$7:$J$441,$B50&amp;"-"&amp;"Yes",'Data By District'!$Y$7:$Y$441,$B50&amp;"-"&amp;"Rep",'Data By District'!$J$7:$J$441,$B50&amp;"-"&amp;"Yes",'Data By District'!$Z$7:$Z$441,$B50&amp;"-"&amp;W$6)+COUNTIFS('Data By District'!$J$7:$J$441,$B50&amp;"-"&amp;"Yes",'Data By District'!$Y$7:$Y$441,$B50&amp;"-"&amp;"Rep",'Data By District'!$J$7:$J$441,$B50&amp;"-"&amp;"Yes",'Data By District'!$Z$7:$Z$441,$B50&amp;"-"&amp;X$6)</f>
        <v>3</v>
      </c>
      <c r="AK50" s="360">
        <f>COUNTIF('Data By District'!$D$7:$D$441,$B50&amp;"-"&amp;"Yes")</f>
        <v>0</v>
      </c>
      <c r="AL50" s="361">
        <f>COUNTIF('Data By District'!$E$7:$E$441,$B50&amp;"-"&amp;"Yes")</f>
        <v>0</v>
      </c>
      <c r="AM50" s="361">
        <f>COUNTIF('Data By District'!$F$7:$F$441,$B50&amp;"-"&amp;"Yes")</f>
        <v>0</v>
      </c>
      <c r="AN50" s="361">
        <f>COUNTIF('Data By District'!$G$7:$G$441,$B50&amp;"-"&amp;"Yes")</f>
        <v>0</v>
      </c>
      <c r="AO50" s="361">
        <f>COUNTIF('Data By District'!$H$7:$H$441,$B50&amp;"-"&amp;"Yes")</f>
        <v>0</v>
      </c>
      <c r="AP50" s="70">
        <f t="shared" si="44"/>
        <v>1.8225153325994652E-2</v>
      </c>
      <c r="AQ50" s="55">
        <f t="shared" si="25"/>
        <v>0.73218059519650169</v>
      </c>
      <c r="AR50" s="50">
        <f t="shared" si="26"/>
        <v>998897</v>
      </c>
      <c r="AS50" s="41">
        <f>SUMIF('Data By District'!$B$7:$B$441,$B50,'Data By District'!$O$7:$O$441)</f>
        <v>324309</v>
      </c>
      <c r="AT50" s="41">
        <f>SUMIF('Data By District'!$B$7:$B$441,$B50,'Data By District'!$P$7:$P$441)</f>
        <v>647873</v>
      </c>
      <c r="AU50" s="41">
        <f>SUMIF('Data By District'!$B$7:$B$441,$B50,'Data By District'!$Q$7:$Q$441)</f>
        <v>26715</v>
      </c>
      <c r="AV50" s="289">
        <f t="shared" si="45"/>
        <v>0.32466710781992536</v>
      </c>
      <c r="AW50" s="24">
        <f t="shared" si="46"/>
        <v>0.64858839299747617</v>
      </c>
      <c r="AX50" s="56">
        <f t="shared" si="47"/>
        <v>2.6744499182598407E-2</v>
      </c>
      <c r="AY50" s="25">
        <f>COUNTIF('Data By District'!$Y$7:$Y$441,$B50&amp;"-"&amp;AY$6)</f>
        <v>1</v>
      </c>
      <c r="AZ50" s="25">
        <f>COUNTIF('Data By District'!$Y$7:$Y$441,$B50&amp;"-"&amp;AZ$6)</f>
        <v>3</v>
      </c>
      <c r="BA50" s="25">
        <f>COUNTIF('Data By District'!$Y$7:$Y$441,$B50&amp;"-"&amp;BA$6)</f>
        <v>0</v>
      </c>
      <c r="BB50" s="285">
        <f t="shared" si="27"/>
        <v>0.25</v>
      </c>
      <c r="BC50" s="24">
        <f t="shared" si="28"/>
        <v>0.75</v>
      </c>
      <c r="BD50" s="56">
        <f t="shared" si="29"/>
        <v>0</v>
      </c>
      <c r="BE50" s="285">
        <f t="shared" si="48"/>
        <v>7.466710781992536E-2</v>
      </c>
      <c r="BF50" s="24">
        <f t="shared" si="49"/>
        <v>0.10141160700252383</v>
      </c>
      <c r="BG50" s="56">
        <f t="shared" si="50"/>
        <v>2.6744499182598407E-2</v>
      </c>
      <c r="BH50" s="50">
        <f t="shared" si="30"/>
        <v>731373</v>
      </c>
      <c r="BI50" s="41">
        <f>'Data By District'!AE408</f>
        <v>267524</v>
      </c>
      <c r="BJ50" s="41">
        <f>SUMIF('Data By District'!$B$7:$B$441,'Data By State'!$B50,'Data By District'!$AA$7:$AA$441)</f>
        <v>204506</v>
      </c>
      <c r="BK50" s="41">
        <f>SUMIF('Data By District'!$B$7:$B$441,'Data By State'!$B50,'Data By District'!$AB$7:$AB$441)</f>
        <v>119035</v>
      </c>
      <c r="BL50" s="50">
        <f>SUMIF('Data By District'!$B$7:$B$441,'Data By State'!$B50,'Data By District'!$AC$7:$AC$441)</f>
        <v>26715</v>
      </c>
      <c r="BM50" s="64">
        <f t="shared" si="31"/>
        <v>0.26781940480349825</v>
      </c>
      <c r="BN50" s="24">
        <f t="shared" si="33"/>
        <v>0.63058996204237316</v>
      </c>
      <c r="BO50" s="24">
        <f t="shared" si="34"/>
        <v>0.18373199685740879</v>
      </c>
      <c r="BP50" s="56">
        <f t="shared" si="35"/>
        <v>1</v>
      </c>
    </row>
    <row r="51" spans="1:70" s="78" customFormat="1" ht="16" thickBot="1">
      <c r="A51" s="81" t="s">
        <v>109</v>
      </c>
      <c r="B51" s="26" t="s">
        <v>44</v>
      </c>
      <c r="C51" s="380">
        <v>299290</v>
      </c>
      <c r="D51" s="380">
        <v>495866</v>
      </c>
      <c r="E51" s="168">
        <f t="shared" si="36"/>
        <v>8</v>
      </c>
      <c r="F51" s="168">
        <f t="shared" si="37"/>
        <v>27</v>
      </c>
      <c r="G51" s="169">
        <f t="shared" si="18"/>
        <v>5</v>
      </c>
      <c r="H51" s="168">
        <f t="shared" si="19"/>
        <v>41</v>
      </c>
      <c r="I51" s="168">
        <f t="shared" si="20"/>
        <v>5</v>
      </c>
      <c r="J51" s="168">
        <f t="shared" si="21"/>
        <v>33</v>
      </c>
      <c r="K51" s="169">
        <f t="shared" si="22"/>
        <v>20</v>
      </c>
      <c r="L51" s="170">
        <f t="shared" si="38"/>
        <v>17.8</v>
      </c>
      <c r="M51" s="171">
        <f t="shared" si="23"/>
        <v>0.48668803457016097</v>
      </c>
      <c r="N51" s="33">
        <f>('Data By District'!V409)</f>
        <v>0.1546764554545951</v>
      </c>
      <c r="O51" s="173">
        <f t="shared" si="39"/>
        <v>1</v>
      </c>
      <c r="P51" s="173">
        <f>SUMIF('Data By District'!$B$7:$B$441,B51,'Data By District'!$T$7:$T$441)/D51</f>
        <v>0.42211403887340532</v>
      </c>
      <c r="Q51" s="29">
        <f t="shared" si="40"/>
        <v>0.25611144944141095</v>
      </c>
      <c r="R51" s="174">
        <f t="shared" si="41"/>
        <v>0.58613214053796792</v>
      </c>
      <c r="S51" s="169">
        <f t="shared" si="42"/>
        <v>1</v>
      </c>
      <c r="T51" s="169">
        <f>COUNTIF('Data By District'!$Z$7:$Z$441,$B51&amp;"-"&amp;T$6)</f>
        <v>0</v>
      </c>
      <c r="U51" s="168">
        <f>COUNTIF('Data By District'!$Z$7:$Z$441,$B51&amp;"-"&amp;U$6)</f>
        <v>0</v>
      </c>
      <c r="V51" s="168">
        <f>COUNTIF('Data By District'!$Z$7:$Z$441,$B51&amp;"-"&amp;V$6)</f>
        <v>0</v>
      </c>
      <c r="W51" s="168">
        <f>COUNTIF('Data By District'!$Z$7:$Z$441,$B51&amp;"-"&amp;W$6)</f>
        <v>0</v>
      </c>
      <c r="X51" s="168">
        <f>COUNTIF('Data By District'!$Z$7:$Z$441,$B51&amp;"-"&amp;X$6)-(Y51)</f>
        <v>1</v>
      </c>
      <c r="Y51" s="168">
        <f>COUNTIF('Data By District'!$X$7:$X$441,$B51&amp;"-"&amp;"Yes")</f>
        <v>0</v>
      </c>
      <c r="Z51" s="386">
        <f t="shared" si="43"/>
        <v>0</v>
      </c>
      <c r="AA51" s="387">
        <f>COUNTIF('Data By District'!$L$7:$L$441, $B51&amp;"-"&amp;1)</f>
        <v>0</v>
      </c>
      <c r="AB51" s="360">
        <f>COUNTIFS('Data By District'!$J$7:$J$441,$B51&amp;"-"&amp;"Yes",'Data By District'!$Z$7:$Z$441,$B51&amp;"-"&amp;X$6)+COUNTIFS('Data By District'!$J$7:$J$441,$B51&amp;"-"&amp;"Yes",'Data By District'!$Z$7:$Z$441,$B51&amp;"-"&amp;W$6)</f>
        <v>1</v>
      </c>
      <c r="AC51" s="357">
        <f t="shared" si="32"/>
        <v>1</v>
      </c>
      <c r="AD51" s="361">
        <f>COUNTIF('Data By District'!$J$7:$J$441,$B51&amp;"-"&amp;"Yes")</f>
        <v>1</v>
      </c>
      <c r="AE51" s="361">
        <f t="shared" si="24"/>
        <v>0</v>
      </c>
      <c r="AF51" s="361">
        <f>COUNTIF('Data By District'!$I$7:$I$441,$B51&amp;"-"&amp;"Yes")</f>
        <v>1</v>
      </c>
      <c r="AG51" s="361">
        <f>COUNTIFS('Data By District'!$J$7:$J$441,$B51&amp;"-"&amp;"Yes",'Data By District'!$Y$7:$Y$441,$B51&amp;"-"&amp;"Dem")</f>
        <v>1</v>
      </c>
      <c r="AH51" s="361">
        <f>COUNTIFS('Data By District'!$J$7:$J$441,$B51&amp;"-"&amp;"Yes",'Data By District'!$Y$7:$Y$441,$B51&amp;"-"&amp;"Rep")</f>
        <v>0</v>
      </c>
      <c r="AI51" s="361">
        <f>COUNTIFS('Data By District'!$J$7:$J$441,$B51&amp;"-"&amp;"Yes",'Data By District'!$Y$7:$Y$441,$B51&amp;"-"&amp;"Dem",'Data By District'!$J$7:$J$441,$B51&amp;"-"&amp;"Yes",'Data By District'!$Z$7:$Z$441,$B51&amp;"-"&amp;W$6)+COUNTIFS('Data By District'!$J$7:$J$441,$B51&amp;"-"&amp;"Yes",'Data By District'!$Y$7:$Y$441,$B51&amp;"-"&amp;"Dem",'Data By District'!$J$7:$J$441,$B51&amp;"-"&amp;"Yes",'Data By District'!$Z$7:$Z$441,$B51&amp;"-"&amp;X$6)</f>
        <v>1</v>
      </c>
      <c r="AJ51" s="361">
        <f>COUNTIFS('Data By District'!$J$7:$J$441,$B51&amp;"-"&amp;"Yes",'Data By District'!$Y$7:$Y$441,$B51&amp;"-"&amp;"Rep",'Data By District'!$J$7:$J$441,$B51&amp;"-"&amp;"Yes",'Data By District'!$Z$7:$Z$441,$B51&amp;"-"&amp;W$6)+COUNTIFS('Data By District'!$J$7:$J$441,$B51&amp;"-"&amp;"Yes",'Data By District'!$Y$7:$Y$441,$B51&amp;"-"&amp;"Rep",'Data By District'!$J$7:$J$441,$B51&amp;"-"&amp;"Yes",'Data By District'!$Z$7:$Z$441,$B51&amp;"-"&amp;X$6)</f>
        <v>0</v>
      </c>
      <c r="AK51" s="360">
        <f>COUNTIF('Data By District'!$D$7:$D$441,$B51&amp;"-"&amp;"Yes")</f>
        <v>0</v>
      </c>
      <c r="AL51" s="361">
        <f>COUNTIF('Data By District'!$E$7:$E$441,$B51&amp;"-"&amp;"Yes")</f>
        <v>0</v>
      </c>
      <c r="AM51" s="361">
        <f>COUNTIF('Data By District'!$F$7:$F$441,$B51&amp;"-"&amp;"Yes")</f>
        <v>0</v>
      </c>
      <c r="AN51" s="361">
        <f>COUNTIF('Data By District'!$G$7:$G$441,$B51&amp;"-"&amp;"Yes")</f>
        <v>0</v>
      </c>
      <c r="AO51" s="361">
        <f>COUNTIF('Data By District'!$H$7:$H$441,$B51&amp;"-"&amp;"Yes")</f>
        <v>0</v>
      </c>
      <c r="AP51" s="364">
        <f t="shared" si="44"/>
        <v>2.8891710381235589E-2</v>
      </c>
      <c r="AQ51" s="55">
        <f t="shared" si="25"/>
        <v>0.48281912862171117</v>
      </c>
      <c r="AR51" s="50">
        <f t="shared" si="26"/>
        <v>290643</v>
      </c>
      <c r="AS51" s="176">
        <f>SUMIF('Data By District'!$B$7:$B$441,$B51,'Data By District'!$O$7:$O$441)</f>
        <v>209312</v>
      </c>
      <c r="AT51" s="176">
        <f>SUMIF('Data By District'!$B$7:$B$441,$B51,'Data By District'!$P$7:$P$441)</f>
        <v>67543</v>
      </c>
      <c r="AU51" s="176">
        <f>SUMIF('Data By District'!$B$7:$B$441,$B51,'Data By District'!$Q$7:$Q$441)</f>
        <v>13788</v>
      </c>
      <c r="AV51" s="174">
        <f t="shared" si="45"/>
        <v>0.72016872933461329</v>
      </c>
      <c r="AW51" s="177">
        <f t="shared" si="46"/>
        <v>0.23239162821743514</v>
      </c>
      <c r="AX51" s="287">
        <f t="shared" si="47"/>
        <v>4.743964244795161E-2</v>
      </c>
      <c r="AY51" s="168">
        <f>COUNTIF('Data By District'!$Y$7:$Y$441,$B51&amp;"-"&amp;AY$6)</f>
        <v>1</v>
      </c>
      <c r="AZ51" s="168">
        <f>COUNTIF('Data By District'!$Y$7:$Y$441,$B51&amp;"-"&amp;AZ$6)</f>
        <v>0</v>
      </c>
      <c r="BA51" s="168">
        <f>COUNTIF('Data By District'!$Y$7:$Y$441,$B51&amp;"-"&amp;BA$6)</f>
        <v>0</v>
      </c>
      <c r="BB51" s="286">
        <f t="shared" si="27"/>
        <v>1</v>
      </c>
      <c r="BC51" s="177">
        <f t="shared" si="28"/>
        <v>0</v>
      </c>
      <c r="BD51" s="287">
        <f t="shared" si="29"/>
        <v>0</v>
      </c>
      <c r="BE51" s="286">
        <f t="shared" si="48"/>
        <v>0.27983127066538671</v>
      </c>
      <c r="BF51" s="177">
        <f t="shared" si="49"/>
        <v>0.23239162821743514</v>
      </c>
      <c r="BG51" s="287">
        <f t="shared" si="50"/>
        <v>4.743964244795161E-2</v>
      </c>
      <c r="BH51" s="50">
        <f t="shared" si="30"/>
        <v>140328</v>
      </c>
      <c r="BI51" s="176">
        <f>'Data By District'!AE409</f>
        <v>150315</v>
      </c>
      <c r="BJ51" s="176">
        <f>SUMIF('Data By District'!$B$7:$B$441,'Data By State'!$B51,'Data By District'!$AA$7:$AA$441)</f>
        <v>0</v>
      </c>
      <c r="BK51" s="176">
        <f>SUMIF('Data By District'!$B$7:$B$441,'Data By State'!$B51,'Data By District'!$AB$7:$AB$441)</f>
        <v>67543</v>
      </c>
      <c r="BL51" s="176">
        <f>SUMIF('Data By District'!$B$7:$B$441,'Data By State'!$B51,'Data By District'!$AC$7:$AC$441)</f>
        <v>13788</v>
      </c>
      <c r="BM51" s="178">
        <f t="shared" si="31"/>
        <v>0.51718087137828883</v>
      </c>
      <c r="BN51" s="177">
        <f t="shared" si="33"/>
        <v>0</v>
      </c>
      <c r="BO51" s="177">
        <f t="shared" si="34"/>
        <v>1</v>
      </c>
      <c r="BP51" s="175">
        <f t="shared" si="35"/>
        <v>1</v>
      </c>
      <c r="BQ51" s="126"/>
      <c r="BR51" s="77"/>
    </row>
    <row r="52" spans="1:70" ht="16" thickBot="1">
      <c r="A52" s="17" t="s">
        <v>110</v>
      </c>
      <c r="B52" s="26" t="s">
        <v>45</v>
      </c>
      <c r="C52" s="380">
        <v>3854489</v>
      </c>
      <c r="D52" s="380">
        <v>5808768</v>
      </c>
      <c r="E52" s="25">
        <f t="shared" si="36"/>
        <v>7</v>
      </c>
      <c r="F52" s="25">
        <f t="shared" si="37"/>
        <v>12</v>
      </c>
      <c r="G52" s="73">
        <f t="shared" si="18"/>
        <v>12</v>
      </c>
      <c r="H52" s="25">
        <f t="shared" si="19"/>
        <v>15</v>
      </c>
      <c r="I52" s="25">
        <f t="shared" si="20"/>
        <v>12</v>
      </c>
      <c r="J52" s="25">
        <f t="shared" si="21"/>
        <v>25</v>
      </c>
      <c r="K52" s="68">
        <f t="shared" si="22"/>
        <v>7</v>
      </c>
      <c r="L52" s="67">
        <f t="shared" si="38"/>
        <v>15.2</v>
      </c>
      <c r="M52" s="64">
        <f t="shared" si="23"/>
        <v>0.55747240274644105</v>
      </c>
      <c r="N52" s="33">
        <f>AVERAGE('Data By District'!V410:'Data By District'!V420)</f>
        <v>0.23479140370432686</v>
      </c>
      <c r="O52" s="29">
        <f t="shared" si="39"/>
        <v>0.54545454545454541</v>
      </c>
      <c r="P52" s="29">
        <f>SUMIF('Data By District'!$B$7:$B$441,B52,'Data By District'!$T$7:$T$441)/D52</f>
        <v>0.39271821494678388</v>
      </c>
      <c r="Q52" s="29">
        <f t="shared" si="40"/>
        <v>0.21782846700249028</v>
      </c>
      <c r="R52" s="70">
        <f t="shared" si="41"/>
        <v>0.6439265606751724</v>
      </c>
      <c r="S52" s="69">
        <f t="shared" si="42"/>
        <v>11</v>
      </c>
      <c r="T52" s="25">
        <f>COUNTIF('Data By District'!$Z$7:$Z$441,$B52&amp;"-"&amp;T$6)</f>
        <v>0</v>
      </c>
      <c r="U52" s="25">
        <f>COUNTIF('Data By District'!$Z$7:$Z$441,$B52&amp;"-"&amp;U$6)</f>
        <v>1</v>
      </c>
      <c r="V52" s="25">
        <f>COUNTIF('Data By District'!$Z$7:$Z$441,$B52&amp;"-"&amp;V$6)</f>
        <v>4</v>
      </c>
      <c r="W52" s="25">
        <f>COUNTIF('Data By District'!$Z$7:$Z$441,$B52&amp;"-"&amp;W$6)</f>
        <v>5</v>
      </c>
      <c r="X52" s="25">
        <f>COUNTIF('Data By District'!$Z$7:$Z$441,$B52&amp;"-"&amp;X$6)-(Y52)</f>
        <v>1</v>
      </c>
      <c r="Y52" s="25">
        <f>COUNTIF('Data By District'!$X$7:$X$441,$B52&amp;"-"&amp;"Yes")</f>
        <v>0</v>
      </c>
      <c r="Z52" s="385">
        <f t="shared" si="43"/>
        <v>0</v>
      </c>
      <c r="AA52" s="387">
        <f>COUNTIF('Data By District'!$L$7:$L$441, $B52&amp;"-"&amp;1)</f>
        <v>0</v>
      </c>
      <c r="AB52" s="360">
        <f>COUNTIFS('Data By District'!$J$7:$J$441,$B52&amp;"-"&amp;"Yes",'Data By District'!$Z$7:$Z$441,$B52&amp;"-"&amp;X$6)+COUNTIFS('Data By District'!$J$7:$J$441,$B52&amp;"-"&amp;"Yes",'Data By District'!$Z$7:$Z$441,$B52&amp;"-"&amp;W$6)</f>
        <v>6</v>
      </c>
      <c r="AC52" s="357">
        <f t="shared" si="32"/>
        <v>0.54545454545454541</v>
      </c>
      <c r="AD52" s="361">
        <f>COUNTIF('Data By District'!$J$7:$J$441,$B52&amp;"-"&amp;"Yes")</f>
        <v>11</v>
      </c>
      <c r="AE52" s="361">
        <f t="shared" si="24"/>
        <v>0</v>
      </c>
      <c r="AF52" s="361">
        <f>COUNTIF('Data By District'!$I$7:$I$441,$B52&amp;"-"&amp;"Yes")</f>
        <v>11</v>
      </c>
      <c r="AG52" s="361">
        <f>COUNTIFS('Data By District'!$J$7:$J$441,$B52&amp;"-"&amp;"Yes",'Data By District'!$Y$7:$Y$441,$B52&amp;"-"&amp;"Dem")</f>
        <v>3</v>
      </c>
      <c r="AH52" s="361">
        <f>COUNTIFS('Data By District'!$J$7:$J$441,$B52&amp;"-"&amp;"Yes",'Data By District'!$Y$7:$Y$441,$B52&amp;"-"&amp;"Rep")</f>
        <v>8</v>
      </c>
      <c r="AI52" s="361">
        <f>COUNTIFS('Data By District'!$J$7:$J$441,$B52&amp;"-"&amp;"Yes",'Data By District'!$Y$7:$Y$441,$B52&amp;"-"&amp;"Dem",'Data By District'!$J$7:$J$441,$B52&amp;"-"&amp;"Yes",'Data By District'!$Z$7:$Z$441,$B52&amp;"-"&amp;W$6)+COUNTIFS('Data By District'!$J$7:$J$441,$B52&amp;"-"&amp;"Yes",'Data By District'!$Y$7:$Y$441,$B52&amp;"-"&amp;"Dem",'Data By District'!$J$7:$J$441,$B52&amp;"-"&amp;"Yes",'Data By District'!$Z$7:$Z$441,$B52&amp;"-"&amp;X$6)</f>
        <v>3</v>
      </c>
      <c r="AJ52" s="361">
        <f>COUNTIFS('Data By District'!$J$7:$J$441,$B52&amp;"-"&amp;"Yes",'Data By District'!$Y$7:$Y$441,$B52&amp;"-"&amp;"Rep",'Data By District'!$J$7:$J$441,$B52&amp;"-"&amp;"Yes",'Data By District'!$Z$7:$Z$441,$B52&amp;"-"&amp;W$6)+COUNTIFS('Data By District'!$J$7:$J$441,$B52&amp;"-"&amp;"Yes",'Data By District'!$Y$7:$Y$441,$B52&amp;"-"&amp;"Rep",'Data By District'!$J$7:$J$441,$B52&amp;"-"&amp;"Yes",'Data By District'!$Z$7:$Z$441,$B52&amp;"-"&amp;X$6)</f>
        <v>3</v>
      </c>
      <c r="AK52" s="360">
        <f>COUNTIF('Data By District'!$D$7:$D$441,$B52&amp;"-"&amp;"Yes")</f>
        <v>0</v>
      </c>
      <c r="AL52" s="361">
        <f>COUNTIF('Data By District'!$E$7:$E$441,$B52&amp;"-"&amp;"Yes")</f>
        <v>1</v>
      </c>
      <c r="AM52" s="361">
        <f>COUNTIF('Data By District'!$F$7:$F$441,$B52&amp;"-"&amp;"Yes")</f>
        <v>0</v>
      </c>
      <c r="AN52" s="361">
        <f>COUNTIF('Data By District'!$G$7:$G$441,$B52&amp;"-"&amp;"Yes")</f>
        <v>1</v>
      </c>
      <c r="AO52" s="361">
        <f>COUNTIF('Data By District'!$H$7:$H$441,$B52&amp;"-"&amp;"Yes")</f>
        <v>0</v>
      </c>
      <c r="AP52" s="70">
        <f t="shared" si="44"/>
        <v>2.9593806079093753E-2</v>
      </c>
      <c r="AQ52" s="55">
        <f t="shared" si="25"/>
        <v>0.6111567684912389</v>
      </c>
      <c r="AR52" s="50">
        <f t="shared" si="26"/>
        <v>3740420</v>
      </c>
      <c r="AS52" s="41">
        <f>SUMIF('Data By District'!$B$7:$B$441,$B52,'Data By District'!$O$7:$O$441)</f>
        <v>1806050</v>
      </c>
      <c r="AT52" s="41">
        <f>SUMIF('Data By District'!$B$7:$B$441,$B52,'Data By District'!$P$7:$P$441)</f>
        <v>1876701</v>
      </c>
      <c r="AU52" s="41">
        <f>SUMIF('Data By District'!$B$7:$B$441,$B52,'Data By District'!$Q$7:$Q$441)</f>
        <v>57669</v>
      </c>
      <c r="AV52" s="289">
        <f t="shared" si="45"/>
        <v>0.48284684607610912</v>
      </c>
      <c r="AW52" s="24">
        <f t="shared" si="46"/>
        <v>0.50173536661658313</v>
      </c>
      <c r="AX52" s="56">
        <f t="shared" si="47"/>
        <v>1.5417787307307735E-2</v>
      </c>
      <c r="AY52" s="25">
        <f>COUNTIF('Data By District'!$Y$7:$Y$441,$B52&amp;"-"&amp;AY$6)</f>
        <v>3</v>
      </c>
      <c r="AZ52" s="25">
        <f>COUNTIF('Data By District'!$Y$7:$Y$441,$B52&amp;"-"&amp;AZ$6)</f>
        <v>8</v>
      </c>
      <c r="BA52" s="25">
        <f>COUNTIF('Data By District'!$Y$7:$Y$441,$B52&amp;"-"&amp;BA$6)</f>
        <v>0</v>
      </c>
      <c r="BB52" s="285">
        <f t="shared" si="27"/>
        <v>0.27272727272727271</v>
      </c>
      <c r="BC52" s="24">
        <f t="shared" si="28"/>
        <v>0.72727272727272729</v>
      </c>
      <c r="BD52" s="56">
        <f t="shared" si="29"/>
        <v>0</v>
      </c>
      <c r="BE52" s="285">
        <f t="shared" si="48"/>
        <v>0.21011957334883641</v>
      </c>
      <c r="BF52" s="24">
        <f t="shared" si="49"/>
        <v>0.22553736065614416</v>
      </c>
      <c r="BG52" s="56">
        <f t="shared" si="50"/>
        <v>1.5417787307307735E-2</v>
      </c>
      <c r="BH52" s="50">
        <f t="shared" si="30"/>
        <v>2285983</v>
      </c>
      <c r="BI52" s="41">
        <f>'Data By District'!AE420</f>
        <v>1454437</v>
      </c>
      <c r="BJ52" s="41">
        <f>SUMIF('Data By District'!$B$7:$B$441,'Data By State'!$B52,'Data By District'!$AA$7:$AA$441)</f>
        <v>1117339</v>
      </c>
      <c r="BK52" s="41">
        <f>SUMIF('Data By District'!$B$7:$B$441,'Data By State'!$B52,'Data By District'!$AB$7:$AB$441)</f>
        <v>284203</v>
      </c>
      <c r="BL52" s="50">
        <f>SUMIF('Data By District'!$B$7:$B$441,'Data By State'!$B52,'Data By District'!$AC$7:$AC$441)</f>
        <v>52023</v>
      </c>
      <c r="BM52" s="64">
        <f t="shared" si="31"/>
        <v>0.38884323150876104</v>
      </c>
      <c r="BN52" s="24">
        <f t="shared" si="33"/>
        <v>0.61866448880152825</v>
      </c>
      <c r="BO52" s="24">
        <f t="shared" si="34"/>
        <v>0.15143754918870933</v>
      </c>
      <c r="BP52" s="56">
        <f t="shared" si="35"/>
        <v>0.90209644696457369</v>
      </c>
    </row>
    <row r="53" spans="1:70" ht="16" thickBot="1">
      <c r="A53" s="17" t="s">
        <v>111</v>
      </c>
      <c r="B53" s="26" t="s">
        <v>46</v>
      </c>
      <c r="C53" s="380">
        <v>3125516</v>
      </c>
      <c r="D53" s="380">
        <v>4877969</v>
      </c>
      <c r="E53" s="25">
        <f t="shared" si="36"/>
        <v>5</v>
      </c>
      <c r="F53" s="25">
        <f t="shared" si="37"/>
        <v>10</v>
      </c>
      <c r="G53" s="73">
        <f t="shared" si="18"/>
        <v>18</v>
      </c>
      <c r="H53" s="25">
        <f t="shared" si="19"/>
        <v>20</v>
      </c>
      <c r="I53" s="25">
        <f t="shared" si="20"/>
        <v>13</v>
      </c>
      <c r="J53" s="25">
        <f t="shared" si="21"/>
        <v>5</v>
      </c>
      <c r="K53" s="68">
        <f t="shared" si="22"/>
        <v>12</v>
      </c>
      <c r="L53" s="67">
        <f t="shared" si="38"/>
        <v>13.8</v>
      </c>
      <c r="M53" s="64">
        <f t="shared" si="23"/>
        <v>0.56818334410200211</v>
      </c>
      <c r="N53" s="33">
        <f>AVERAGE('Data By District'!V421:'Data By District'!V429)</f>
        <v>0.28475439000201724</v>
      </c>
      <c r="O53" s="29">
        <f t="shared" si="39"/>
        <v>0.6</v>
      </c>
      <c r="P53" s="29">
        <f>SUMIF('Data By District'!$B$7:$B$441,B53,'Data By District'!$T$7:$T$441)/D53</f>
        <v>0.39061646353226109</v>
      </c>
      <c r="Q53" s="29">
        <f t="shared" si="40"/>
        <v>5.5561816552494009E-2</v>
      </c>
      <c r="R53" s="70">
        <f t="shared" si="41"/>
        <v>0.61629460949833836</v>
      </c>
      <c r="S53" s="69">
        <f t="shared" si="42"/>
        <v>10</v>
      </c>
      <c r="T53" s="25">
        <f>COUNTIF('Data By District'!$Z$7:$Z$441,$B53&amp;"-"&amp;T$6)</f>
        <v>0</v>
      </c>
      <c r="U53" s="25">
        <f>COUNTIF('Data By District'!$Z$7:$Z$441,$B53&amp;"-"&amp;U$6)</f>
        <v>1</v>
      </c>
      <c r="V53" s="25">
        <f>COUNTIF('Data By District'!$Z$7:$Z$441,$B53&amp;"-"&amp;V$6)</f>
        <v>3</v>
      </c>
      <c r="W53" s="25">
        <f>COUNTIF('Data By District'!$Z$7:$Z$441,$B53&amp;"-"&amp;W$6)</f>
        <v>4</v>
      </c>
      <c r="X53" s="25">
        <f>COUNTIF('Data By District'!$Z$7:$Z$441,$B53&amp;"-"&amp;X$6)-(Y53)</f>
        <v>2</v>
      </c>
      <c r="Y53" s="25">
        <f>COUNTIF('Data By District'!$X$7:$X$441,$B53&amp;"-"&amp;"Yes")</f>
        <v>0</v>
      </c>
      <c r="Z53" s="385">
        <f t="shared" si="43"/>
        <v>0</v>
      </c>
      <c r="AA53" s="387">
        <f>COUNTIF('Data By District'!$L$7:$L$441, $B53&amp;"-"&amp;1)</f>
        <v>0</v>
      </c>
      <c r="AB53" s="360">
        <f>COUNTIFS('Data By District'!$J$7:$J$441,$B53&amp;"-"&amp;"Yes",'Data By District'!$Z$7:$Z$441,$B53&amp;"-"&amp;X$6)+COUNTIFS('Data By District'!$J$7:$J$441,$B53&amp;"-"&amp;"Yes",'Data By District'!$Z$7:$Z$441,$B53&amp;"-"&amp;W$6)</f>
        <v>6</v>
      </c>
      <c r="AC53" s="357">
        <f t="shared" si="32"/>
        <v>0.6</v>
      </c>
      <c r="AD53" s="361">
        <f>COUNTIF('Data By District'!$J$7:$J$441,$B53&amp;"-"&amp;"Yes")</f>
        <v>10</v>
      </c>
      <c r="AE53" s="361">
        <f t="shared" si="24"/>
        <v>0</v>
      </c>
      <c r="AF53" s="361">
        <f>COUNTIF('Data By District'!$I$7:$I$441,$B53&amp;"-"&amp;"Yes")</f>
        <v>10</v>
      </c>
      <c r="AG53" s="361">
        <f>COUNTIFS('Data By District'!$J$7:$J$441,$B53&amp;"-"&amp;"Yes",'Data By District'!$Y$7:$Y$441,$B53&amp;"-"&amp;"Dem")</f>
        <v>6</v>
      </c>
      <c r="AH53" s="361">
        <f>COUNTIFS('Data By District'!$J$7:$J$441,$B53&amp;"-"&amp;"Yes",'Data By District'!$Y$7:$Y$441,$B53&amp;"-"&amp;"Rep")</f>
        <v>4</v>
      </c>
      <c r="AI53" s="361">
        <f>COUNTIFS('Data By District'!$J$7:$J$441,$B53&amp;"-"&amp;"Yes",'Data By District'!$Y$7:$Y$441,$B53&amp;"-"&amp;"Dem",'Data By District'!$J$7:$J$441,$B53&amp;"-"&amp;"Yes",'Data By District'!$Z$7:$Z$441,$B53&amp;"-"&amp;W$6)+COUNTIFS('Data By District'!$J$7:$J$441,$B53&amp;"-"&amp;"Yes",'Data By District'!$Y$7:$Y$441,$B53&amp;"-"&amp;"Dem",'Data By District'!$J$7:$J$441,$B53&amp;"-"&amp;"Yes",'Data By District'!$Z$7:$Z$441,$B53&amp;"-"&amp;X$6)</f>
        <v>3</v>
      </c>
      <c r="AJ53" s="361">
        <f>COUNTIFS('Data By District'!$J$7:$J$441,$B53&amp;"-"&amp;"Yes",'Data By District'!$Y$7:$Y$441,$B53&amp;"-"&amp;"Rep",'Data By District'!$J$7:$J$441,$B53&amp;"-"&amp;"Yes",'Data By District'!$Z$7:$Z$441,$B53&amp;"-"&amp;W$6)+COUNTIFS('Data By District'!$J$7:$J$441,$B53&amp;"-"&amp;"Yes",'Data By District'!$Y$7:$Y$441,$B53&amp;"-"&amp;"Rep",'Data By District'!$J$7:$J$441,$B53&amp;"-"&amp;"Yes",'Data By District'!$Z$7:$Z$441,$B53&amp;"-"&amp;X$6)</f>
        <v>3</v>
      </c>
      <c r="AK53" s="360">
        <f>COUNTIF('Data By District'!$D$7:$D$441,$B53&amp;"-"&amp;"Yes")</f>
        <v>3</v>
      </c>
      <c r="AL53" s="361">
        <f>COUNTIF('Data By District'!$E$7:$E$441,$B53&amp;"-"&amp;"Yes")</f>
        <v>0</v>
      </c>
      <c r="AM53" s="361">
        <f>COUNTIF('Data By District'!$F$7:$F$441,$B53&amp;"-"&amp;"Yes")</f>
        <v>1</v>
      </c>
      <c r="AN53" s="361">
        <f>COUNTIF('Data By District'!$G$7:$G$441,$B53&amp;"-"&amp;"Yes")</f>
        <v>0</v>
      </c>
      <c r="AO53" s="361">
        <f>COUNTIF('Data By District'!$H$7:$H$441,$B53&amp;"-"&amp;"Yes")</f>
        <v>0</v>
      </c>
      <c r="AP53" s="70">
        <f t="shared" si="44"/>
        <v>3.8153700061045917E-2</v>
      </c>
      <c r="AQ53" s="55">
        <f t="shared" si="25"/>
        <v>0.68410513241343252</v>
      </c>
      <c r="AR53" s="50">
        <f t="shared" si="26"/>
        <v>3006266</v>
      </c>
      <c r="AS53" s="41">
        <f>SUMIF('Data By District'!$B$7:$B$441,$B53,'Data By District'!$O$7:$O$441)</f>
        <v>1636726</v>
      </c>
      <c r="AT53" s="41">
        <f>SUMIF('Data By District'!$B$7:$B$441,$B53,'Data By District'!$P$7:$P$441)</f>
        <v>1369540</v>
      </c>
      <c r="AU53" s="41">
        <f>SUMIF('Data By District'!$B$7:$B$441,$B53,'Data By District'!$Q$7:$Q$441)</f>
        <v>0</v>
      </c>
      <c r="AV53" s="289">
        <f t="shared" si="45"/>
        <v>0.54443818344750594</v>
      </c>
      <c r="AW53" s="24">
        <f t="shared" si="46"/>
        <v>0.455561816552494</v>
      </c>
      <c r="AX53" s="56">
        <f t="shared" si="47"/>
        <v>0</v>
      </c>
      <c r="AY53" s="25">
        <f>COUNTIF('Data By District'!$Y$7:$Y$441,$B53&amp;"-"&amp;AY$6)</f>
        <v>6</v>
      </c>
      <c r="AZ53" s="25">
        <f>COUNTIF('Data By District'!$Y$7:$Y$441,$B53&amp;"-"&amp;AZ$6)</f>
        <v>4</v>
      </c>
      <c r="BA53" s="25">
        <f>COUNTIF('Data By District'!$Y$7:$Y$441,$B53&amp;"-"&amp;BA$6)</f>
        <v>0</v>
      </c>
      <c r="BB53" s="285">
        <f t="shared" si="27"/>
        <v>0.6</v>
      </c>
      <c r="BC53" s="24">
        <f t="shared" si="28"/>
        <v>0.4</v>
      </c>
      <c r="BD53" s="56">
        <f t="shared" si="29"/>
        <v>0</v>
      </c>
      <c r="BE53" s="285">
        <f t="shared" si="48"/>
        <v>5.5561816552494037E-2</v>
      </c>
      <c r="BF53" s="24">
        <f t="shared" si="49"/>
        <v>5.5561816552493981E-2</v>
      </c>
      <c r="BG53" s="56">
        <f t="shared" si="50"/>
        <v>0</v>
      </c>
      <c r="BH53" s="50">
        <f t="shared" si="30"/>
        <v>2056602</v>
      </c>
      <c r="BI53" s="41">
        <f>'Data By District'!AE429</f>
        <v>949664</v>
      </c>
      <c r="BJ53" s="41">
        <f>SUMIF('Data By District'!$B$7:$B$441,'Data By State'!$B53,'Data By District'!$AA$7:$AA$441)</f>
        <v>434776</v>
      </c>
      <c r="BK53" s="41">
        <f>SUMIF('Data By District'!$B$7:$B$441,'Data By State'!$B53,'Data By District'!$AB$7:$AB$441)</f>
        <v>666075</v>
      </c>
      <c r="BL53" s="50">
        <f>SUMIF('Data By District'!$B$7:$B$441,'Data By State'!$B53,'Data By District'!$AC$7:$AC$441)</f>
        <v>0</v>
      </c>
      <c r="BM53" s="64">
        <f t="shared" si="31"/>
        <v>0.31589486758656754</v>
      </c>
      <c r="BN53" s="24">
        <f t="shared" si="33"/>
        <v>0.26563762046915612</v>
      </c>
      <c r="BO53" s="24">
        <f t="shared" si="34"/>
        <v>0.48634943119587598</v>
      </c>
      <c r="BP53" s="56" t="e">
        <f t="shared" si="35"/>
        <v>#DIV/0!</v>
      </c>
    </row>
    <row r="54" spans="1:70" ht="16" thickBot="1">
      <c r="A54" s="17" t="s">
        <v>112</v>
      </c>
      <c r="B54" s="26" t="s">
        <v>47</v>
      </c>
      <c r="C54" s="380">
        <v>670438</v>
      </c>
      <c r="D54" s="380">
        <v>1447153</v>
      </c>
      <c r="E54" s="25">
        <f t="shared" si="36"/>
        <v>36</v>
      </c>
      <c r="F54" s="25">
        <f t="shared" si="37"/>
        <v>18</v>
      </c>
      <c r="G54" s="73">
        <f t="shared" si="18"/>
        <v>13</v>
      </c>
      <c r="H54" s="25">
        <f t="shared" si="19"/>
        <v>26</v>
      </c>
      <c r="I54" s="25">
        <f t="shared" si="20"/>
        <v>50</v>
      </c>
      <c r="J54" s="25">
        <f t="shared" si="21"/>
        <v>8</v>
      </c>
      <c r="K54" s="68">
        <f t="shared" si="22"/>
        <v>49</v>
      </c>
      <c r="L54" s="67">
        <f t="shared" si="38"/>
        <v>29.4</v>
      </c>
      <c r="M54" s="64">
        <f t="shared" si="23"/>
        <v>0.51545483873139142</v>
      </c>
      <c r="N54" s="33">
        <f>AVERAGE('Data By District'!V430:'Data By District'!V432)</f>
        <v>0.24162130753609376</v>
      </c>
      <c r="O54" s="29">
        <f t="shared" si="39"/>
        <v>0.66666666666666663</v>
      </c>
      <c r="P54" s="29">
        <f>SUMIF('Data By District'!$B$7:$B$441,B54,'Data By District'!$T$7:$T$441)/D54</f>
        <v>0.27656923628669533</v>
      </c>
      <c r="Q54" s="29">
        <f t="shared" si="40"/>
        <v>6.7576304713673485E-2</v>
      </c>
      <c r="R54" s="70">
        <f t="shared" si="41"/>
        <v>0.44318327087737097</v>
      </c>
      <c r="S54" s="69">
        <f t="shared" si="42"/>
        <v>3</v>
      </c>
      <c r="T54" s="25">
        <f>COUNTIF('Data By District'!$Z$7:$Z$441,$B54&amp;"-"&amp;T$6)</f>
        <v>0</v>
      </c>
      <c r="U54" s="25">
        <f>COUNTIF('Data By District'!$Z$7:$Z$441,$B54&amp;"-"&amp;U$6)</f>
        <v>1</v>
      </c>
      <c r="V54" s="25">
        <f>COUNTIF('Data By District'!$Z$7:$Z$441,$B54&amp;"-"&amp;V$6)</f>
        <v>0</v>
      </c>
      <c r="W54" s="25">
        <f>COUNTIF('Data By District'!$Z$7:$Z$441,$B54&amp;"-"&amp;W$6)</f>
        <v>2</v>
      </c>
      <c r="X54" s="25">
        <f>COUNTIF('Data By District'!$Z$7:$Z$441,$B54&amp;"-"&amp;X$6)-(Y54)</f>
        <v>0</v>
      </c>
      <c r="Y54" s="25">
        <f>COUNTIF('Data By District'!$X$7:$X$441,$B54&amp;"-"&amp;"Yes")</f>
        <v>0</v>
      </c>
      <c r="Z54" s="385">
        <f t="shared" si="43"/>
        <v>0</v>
      </c>
      <c r="AA54" s="387">
        <f>COUNTIF('Data By District'!$L$7:$L$441, $B54&amp;"-"&amp;1)</f>
        <v>0</v>
      </c>
      <c r="AB54" s="360">
        <f>COUNTIFS('Data By District'!$J$7:$J$441,$B54&amp;"-"&amp;"Yes",'Data By District'!$Z$7:$Z$441,$B54&amp;"-"&amp;X$6)+COUNTIFS('Data By District'!$J$7:$J$441,$B54&amp;"-"&amp;"Yes",'Data By District'!$Z$7:$Z$441,$B54&amp;"-"&amp;W$6)</f>
        <v>2</v>
      </c>
      <c r="AC54" s="357">
        <f t="shared" si="32"/>
        <v>0.66666666666666663</v>
      </c>
      <c r="AD54" s="361">
        <f>COUNTIF('Data By District'!$J$7:$J$441,$B54&amp;"-"&amp;"Yes")</f>
        <v>3</v>
      </c>
      <c r="AE54" s="361">
        <f t="shared" si="24"/>
        <v>0</v>
      </c>
      <c r="AF54" s="361">
        <f>COUNTIF('Data By District'!$I$7:$I$441,$B54&amp;"-"&amp;"Yes")</f>
        <v>3</v>
      </c>
      <c r="AG54" s="361">
        <f>COUNTIFS('Data By District'!$J$7:$J$441,$B54&amp;"-"&amp;"Yes",'Data By District'!$Y$7:$Y$441,$B54&amp;"-"&amp;"Dem")</f>
        <v>1</v>
      </c>
      <c r="AH54" s="361">
        <f>COUNTIFS('Data By District'!$J$7:$J$441,$B54&amp;"-"&amp;"Yes",'Data By District'!$Y$7:$Y$441,$B54&amp;"-"&amp;"Rep")</f>
        <v>2</v>
      </c>
      <c r="AI54" s="361">
        <f>COUNTIFS('Data By District'!$J$7:$J$441,$B54&amp;"-"&amp;"Yes",'Data By District'!$Y$7:$Y$441,$B54&amp;"-"&amp;"Dem",'Data By District'!$J$7:$J$441,$B54&amp;"-"&amp;"Yes",'Data By District'!$Z$7:$Z$441,$B54&amp;"-"&amp;W$6)+COUNTIFS('Data By District'!$J$7:$J$441,$B54&amp;"-"&amp;"Yes",'Data By District'!$Y$7:$Y$441,$B54&amp;"-"&amp;"Dem",'Data By District'!$J$7:$J$441,$B54&amp;"-"&amp;"Yes",'Data By District'!$Z$7:$Z$441,$B54&amp;"-"&amp;X$6)</f>
        <v>0</v>
      </c>
      <c r="AJ54" s="361">
        <f>COUNTIFS('Data By District'!$J$7:$J$441,$B54&amp;"-"&amp;"Yes",'Data By District'!$Y$7:$Y$441,$B54&amp;"-"&amp;"Rep",'Data By District'!$J$7:$J$441,$B54&amp;"-"&amp;"Yes",'Data By District'!$Z$7:$Z$441,$B54&amp;"-"&amp;W$6)+COUNTIFS('Data By District'!$J$7:$J$441,$B54&amp;"-"&amp;"Yes",'Data By District'!$Y$7:$Y$441,$B54&amp;"-"&amp;"Rep",'Data By District'!$J$7:$J$441,$B54&amp;"-"&amp;"Yes",'Data By District'!$Z$7:$Z$441,$B54&amp;"-"&amp;X$6)</f>
        <v>2</v>
      </c>
      <c r="AK54" s="360">
        <f>COUNTIF('Data By District'!$D$7:$D$441,$B54&amp;"-"&amp;"Yes")</f>
        <v>1</v>
      </c>
      <c r="AL54" s="361">
        <f>COUNTIF('Data By District'!$E$7:$E$441,$B54&amp;"-"&amp;"Yes")</f>
        <v>0</v>
      </c>
      <c r="AM54" s="361">
        <f>COUNTIF('Data By District'!$F$7:$F$441,$B54&amp;"-"&amp;"Yes")</f>
        <v>0</v>
      </c>
      <c r="AN54" s="361">
        <f>COUNTIF('Data By District'!$G$7:$G$441,$B54&amp;"-"&amp;"Yes")</f>
        <v>0</v>
      </c>
      <c r="AO54" s="361">
        <f>COUNTIF('Data By District'!$H$7:$H$441,$B54&amp;"-"&amp;"Yes")</f>
        <v>0</v>
      </c>
      <c r="AP54" s="70">
        <f t="shared" si="44"/>
        <v>4.3380595968605599E-2</v>
      </c>
      <c r="AQ54" s="55">
        <f t="shared" si="25"/>
        <v>0.62405161580032242</v>
      </c>
      <c r="AR54" s="50">
        <f t="shared" si="26"/>
        <v>641354</v>
      </c>
      <c r="AS54" s="41">
        <f>SUMIF('Data By District'!$B$7:$B$441,$B54,'Data By District'!$O$7:$O$441)</f>
        <v>257125</v>
      </c>
      <c r="AT54" s="41">
        <f>SUMIF('Data By District'!$B$7:$B$441,$B54,'Data By District'!$P$7:$P$441)</f>
        <v>384229</v>
      </c>
      <c r="AU54" s="41">
        <f>SUMIF('Data By District'!$B$7:$B$441,$B54,'Data By District'!$Q$7:$Q$441)</f>
        <v>0</v>
      </c>
      <c r="AV54" s="289">
        <f t="shared" si="45"/>
        <v>0.4009096380470068</v>
      </c>
      <c r="AW54" s="24">
        <f t="shared" si="46"/>
        <v>0.59909036195299314</v>
      </c>
      <c r="AX54" s="56">
        <f t="shared" si="47"/>
        <v>0</v>
      </c>
      <c r="AY54" s="25">
        <f>COUNTIF('Data By District'!$Y$7:$Y$441,$B54&amp;"-"&amp;AY$6)</f>
        <v>1</v>
      </c>
      <c r="AZ54" s="25">
        <f>COUNTIF('Data By District'!$Y$7:$Y$441,$B54&amp;"-"&amp;AZ$6)</f>
        <v>2</v>
      </c>
      <c r="BA54" s="25">
        <f>COUNTIF('Data By District'!$Y$7:$Y$441,$B54&amp;"-"&amp;BA$6)</f>
        <v>0</v>
      </c>
      <c r="BB54" s="285">
        <f t="shared" si="27"/>
        <v>0.33333333333333331</v>
      </c>
      <c r="BC54" s="24">
        <f t="shared" si="28"/>
        <v>0.66666666666666663</v>
      </c>
      <c r="BD54" s="56">
        <f t="shared" si="29"/>
        <v>0</v>
      </c>
      <c r="BE54" s="285">
        <f t="shared" si="48"/>
        <v>6.7576304713673485E-2</v>
      </c>
      <c r="BF54" s="24">
        <f t="shared" si="49"/>
        <v>6.7576304713673485E-2</v>
      </c>
      <c r="BG54" s="56">
        <f t="shared" si="50"/>
        <v>0</v>
      </c>
      <c r="BH54" s="50">
        <f t="shared" si="30"/>
        <v>400238</v>
      </c>
      <c r="BI54" s="41">
        <f>'Data By District'!AE432</f>
        <v>241116</v>
      </c>
      <c r="BJ54" s="41">
        <f>SUMIF('Data By District'!$B$7:$B$441,'Data By State'!$B54,'Data By District'!$AA$7:$AA$441)</f>
        <v>148902</v>
      </c>
      <c r="BK54" s="41">
        <f>SUMIF('Data By District'!$B$7:$B$441,'Data By State'!$B54,'Data By District'!$AB$7:$AB$441)</f>
        <v>92214</v>
      </c>
      <c r="BL54" s="50">
        <f>SUMIF('Data By District'!$B$7:$B$441,'Data By State'!$B54,'Data By District'!$AC$7:$AC$441)</f>
        <v>0</v>
      </c>
      <c r="BM54" s="64">
        <f t="shared" si="31"/>
        <v>0.37594838419967758</v>
      </c>
      <c r="BN54" s="24">
        <f t="shared" si="33"/>
        <v>0.57910354885755955</v>
      </c>
      <c r="BO54" s="24">
        <f t="shared" si="34"/>
        <v>0.23999750148999685</v>
      </c>
      <c r="BP54" s="56" t="e">
        <f t="shared" si="35"/>
        <v>#DIV/0!</v>
      </c>
    </row>
    <row r="55" spans="1:70" ht="16" thickBot="1">
      <c r="A55" s="17" t="s">
        <v>113</v>
      </c>
      <c r="B55" s="26" t="s">
        <v>48</v>
      </c>
      <c r="C55" s="380">
        <v>3071434</v>
      </c>
      <c r="D55" s="380">
        <v>4233992</v>
      </c>
      <c r="E55" s="25">
        <f t="shared" si="36"/>
        <v>3</v>
      </c>
      <c r="F55" s="25">
        <f t="shared" si="37"/>
        <v>11</v>
      </c>
      <c r="G55" s="73">
        <f t="shared" si="18"/>
        <v>15</v>
      </c>
      <c r="H55" s="25">
        <f t="shared" si="19"/>
        <v>22</v>
      </c>
      <c r="I55" s="25">
        <f t="shared" si="20"/>
        <v>4</v>
      </c>
      <c r="J55" s="25">
        <f t="shared" si="21"/>
        <v>19</v>
      </c>
      <c r="K55" s="68">
        <f t="shared" si="22"/>
        <v>3</v>
      </c>
      <c r="L55" s="67">
        <f t="shared" si="38"/>
        <v>12.8</v>
      </c>
      <c r="M55" s="64">
        <f t="shared" si="23"/>
        <v>0.56557249233556095</v>
      </c>
      <c r="N55" s="33">
        <f>AVERAGE('Data By District'!V433:'Data By District'!V440)</f>
        <v>0.26168316207591441</v>
      </c>
      <c r="O55" s="29">
        <f t="shared" si="39"/>
        <v>0.625</v>
      </c>
      <c r="P55" s="29">
        <f>SUMIF('Data By District'!$B$7:$B$441,B55,'Data By District'!$T$7:$T$441)/D55</f>
        <v>0.42352536329780499</v>
      </c>
      <c r="Q55" s="29">
        <f t="shared" si="40"/>
        <v>0.1325051028418904</v>
      </c>
      <c r="R55" s="70">
        <f t="shared" si="41"/>
        <v>0.67691436356044132</v>
      </c>
      <c r="S55" s="69">
        <f t="shared" si="42"/>
        <v>8</v>
      </c>
      <c r="T55" s="25">
        <f>COUNTIF('Data By District'!$Z$7:$Z$441,$B55&amp;"-"&amp;T$6)</f>
        <v>0</v>
      </c>
      <c r="U55" s="25">
        <f>COUNTIF('Data By District'!$Z$7:$Z$441,$B55&amp;"-"&amp;U$6)</f>
        <v>0</v>
      </c>
      <c r="V55" s="25">
        <f>COUNTIF('Data By District'!$Z$7:$Z$441,$B55&amp;"-"&amp;V$6)</f>
        <v>3</v>
      </c>
      <c r="W55" s="25">
        <f>COUNTIF('Data By District'!$Z$7:$Z$441,$B55&amp;"-"&amp;W$6)</f>
        <v>4</v>
      </c>
      <c r="X55" s="25">
        <f>COUNTIF('Data By District'!$Z$7:$Z$441,$B55&amp;"-"&amp;X$6)-(Y55)</f>
        <v>1</v>
      </c>
      <c r="Y55" s="25">
        <f>COUNTIF('Data By District'!$X$7:$X$441,$B55&amp;"-"&amp;"Yes")</f>
        <v>0</v>
      </c>
      <c r="Z55" s="385">
        <f t="shared" si="43"/>
        <v>0</v>
      </c>
      <c r="AA55" s="387">
        <f>COUNTIF('Data By District'!$L$7:$L$441, $B55&amp;"-"&amp;1)</f>
        <v>0</v>
      </c>
      <c r="AB55" s="360">
        <f>COUNTIFS('Data By District'!$J$7:$J$441,$B55&amp;"-"&amp;"Yes",'Data By District'!$Z$7:$Z$441,$B55&amp;"-"&amp;X$6)+COUNTIFS('Data By District'!$J$7:$J$441,$B55&amp;"-"&amp;"Yes",'Data By District'!$Z$7:$Z$441,$B55&amp;"-"&amp;W$6)</f>
        <v>5</v>
      </c>
      <c r="AC55" s="357">
        <f t="shared" si="32"/>
        <v>0.625</v>
      </c>
      <c r="AD55" s="361">
        <f>COUNTIF('Data By District'!$J$7:$J$441,$B55&amp;"-"&amp;"Yes")</f>
        <v>8</v>
      </c>
      <c r="AE55" s="361">
        <f t="shared" si="24"/>
        <v>0</v>
      </c>
      <c r="AF55" s="361">
        <f>COUNTIF('Data By District'!$I$7:$I$441,$B55&amp;"-"&amp;"Yes")</f>
        <v>8</v>
      </c>
      <c r="AG55" s="361">
        <f>COUNTIFS('Data By District'!$J$7:$J$441,$B55&amp;"-"&amp;"Yes",'Data By District'!$Y$7:$Y$441,$B55&amp;"-"&amp;"Dem")</f>
        <v>3</v>
      </c>
      <c r="AH55" s="361">
        <f>COUNTIFS('Data By District'!$J$7:$J$441,$B55&amp;"-"&amp;"Yes",'Data By District'!$Y$7:$Y$441,$B55&amp;"-"&amp;"Rep")</f>
        <v>5</v>
      </c>
      <c r="AI55" s="361">
        <f>COUNTIFS('Data By District'!$J$7:$J$441,$B55&amp;"-"&amp;"Yes",'Data By District'!$Y$7:$Y$441,$B55&amp;"-"&amp;"Dem",'Data By District'!$J$7:$J$441,$B55&amp;"-"&amp;"Yes",'Data By District'!$Z$7:$Z$441,$B55&amp;"-"&amp;W$6)+COUNTIFS('Data By District'!$J$7:$J$441,$B55&amp;"-"&amp;"Yes",'Data By District'!$Y$7:$Y$441,$B55&amp;"-"&amp;"Dem",'Data By District'!$J$7:$J$441,$B55&amp;"-"&amp;"Yes",'Data By District'!$Z$7:$Z$441,$B55&amp;"-"&amp;X$6)</f>
        <v>3</v>
      </c>
      <c r="AJ55" s="361">
        <f>COUNTIFS('Data By District'!$J$7:$J$441,$B55&amp;"-"&amp;"Yes",'Data By District'!$Y$7:$Y$441,$B55&amp;"-"&amp;"Rep",'Data By District'!$J$7:$J$441,$B55&amp;"-"&amp;"Yes",'Data By District'!$Z$7:$Z$441,$B55&amp;"-"&amp;W$6)+COUNTIFS('Data By District'!$J$7:$J$441,$B55&amp;"-"&amp;"Yes",'Data By District'!$Y$7:$Y$441,$B55&amp;"-"&amp;"Rep",'Data By District'!$J$7:$J$441,$B55&amp;"-"&amp;"Yes",'Data By District'!$Z$7:$Z$441,$B55&amp;"-"&amp;X$6)</f>
        <v>2</v>
      </c>
      <c r="AK55" s="360">
        <f>COUNTIF('Data By District'!$D$7:$D$441,$B55&amp;"-"&amp;"Yes")</f>
        <v>1</v>
      </c>
      <c r="AL55" s="361">
        <f>COUNTIF('Data By District'!$E$7:$E$441,$B55&amp;"-"&amp;"Yes")</f>
        <v>1</v>
      </c>
      <c r="AM55" s="361">
        <f>COUNTIF('Data By District'!$F$7:$F$441,$B55&amp;"-"&amp;"Yes")</f>
        <v>0</v>
      </c>
      <c r="AN55" s="361">
        <f>COUNTIF('Data By District'!$G$7:$G$441,$B55&amp;"-"&amp;"Yes")</f>
        <v>0</v>
      </c>
      <c r="AO55" s="361">
        <f>COUNTIF('Data By District'!$H$7:$H$441,$B55&amp;"-"&amp;"Yes")</f>
        <v>0</v>
      </c>
      <c r="AP55" s="70">
        <f t="shared" si="44"/>
        <v>6.6869091115094773E-2</v>
      </c>
      <c r="AQ55" s="55">
        <f t="shared" si="25"/>
        <v>0.62567052214720609</v>
      </c>
      <c r="AR55" s="50">
        <f t="shared" si="26"/>
        <v>2866050</v>
      </c>
      <c r="AS55" s="41">
        <f>SUMIF('Data By District'!$B$7:$B$441,$B55,'Data By District'!$O$7:$O$441)</f>
        <v>1445015</v>
      </c>
      <c r="AT55" s="41">
        <f>SUMIF('Data By District'!$B$7:$B$441,$B55,'Data By District'!$P$7:$P$441)</f>
        <v>1401995</v>
      </c>
      <c r="AU55" s="41">
        <f>SUMIF('Data By District'!$B$7:$B$441,$B55,'Data By District'!$Q$7:$Q$441)</f>
        <v>19040</v>
      </c>
      <c r="AV55" s="289">
        <f t="shared" si="45"/>
        <v>0.5041834580694684</v>
      </c>
      <c r="AW55" s="24">
        <f t="shared" si="46"/>
        <v>0.4891732523856876</v>
      </c>
      <c r="AX55" s="56">
        <f t="shared" si="47"/>
        <v>6.6432895448439487E-3</v>
      </c>
      <c r="AY55" s="25">
        <f>COUNTIF('Data By District'!$Y$7:$Y$441,$B55&amp;"-"&amp;AY$6)</f>
        <v>3</v>
      </c>
      <c r="AZ55" s="25">
        <f>COUNTIF('Data By District'!$Y$7:$Y$441,$B55&amp;"-"&amp;AZ$6)</f>
        <v>5</v>
      </c>
      <c r="BA55" s="25">
        <f>COUNTIF('Data By District'!$Y$7:$Y$441,$B55&amp;"-"&amp;BA$6)</f>
        <v>0</v>
      </c>
      <c r="BB55" s="285">
        <f t="shared" si="27"/>
        <v>0.375</v>
      </c>
      <c r="BC55" s="24">
        <f t="shared" si="28"/>
        <v>0.625</v>
      </c>
      <c r="BD55" s="56">
        <f t="shared" si="29"/>
        <v>0</v>
      </c>
      <c r="BE55" s="285">
        <f t="shared" si="48"/>
        <v>0.1291834580694684</v>
      </c>
      <c r="BF55" s="24">
        <f t="shared" si="49"/>
        <v>0.1358267476143124</v>
      </c>
      <c r="BG55" s="56">
        <f t="shared" si="50"/>
        <v>6.6432895448439487E-3</v>
      </c>
      <c r="BH55" s="50">
        <f t="shared" si="30"/>
        <v>1793203</v>
      </c>
      <c r="BI55" s="41">
        <f>'Data By District'!AE440</f>
        <v>1072847</v>
      </c>
      <c r="BJ55" s="41">
        <f>SUMIF('Data By District'!$B$7:$B$441,'Data By State'!$B55,'Data By District'!$AA$7:$AA$441)</f>
        <v>726624</v>
      </c>
      <c r="BK55" s="41">
        <f>SUMIF('Data By District'!$B$7:$B$441,'Data By State'!$B55,'Data By District'!$AB$7:$AB$441)</f>
        <v>327183</v>
      </c>
      <c r="BL55" s="50">
        <f>SUMIF('Data By District'!$B$7:$B$441,'Data By State'!$B55,'Data By District'!$AC$7:$AC$441)</f>
        <v>19040</v>
      </c>
      <c r="BM55" s="64">
        <f t="shared" si="31"/>
        <v>0.37432947785279391</v>
      </c>
      <c r="BN55" s="24">
        <f t="shared" si="33"/>
        <v>0.50284875935543927</v>
      </c>
      <c r="BO55" s="24">
        <f t="shared" si="34"/>
        <v>0.23336959118969755</v>
      </c>
      <c r="BP55" s="56">
        <f t="shared" si="35"/>
        <v>1</v>
      </c>
    </row>
    <row r="56" spans="1:70" ht="16" thickBot="1">
      <c r="A56" s="17" t="s">
        <v>114</v>
      </c>
      <c r="B56" s="27" t="s">
        <v>49</v>
      </c>
      <c r="C56" s="380">
        <v>249061</v>
      </c>
      <c r="D56" s="380">
        <v>422784</v>
      </c>
      <c r="E56" s="25">
        <f t="shared" si="36"/>
        <v>31</v>
      </c>
      <c r="F56" s="25">
        <f t="shared" si="37"/>
        <v>48</v>
      </c>
      <c r="G56" s="73">
        <f t="shared" si="18"/>
        <v>43</v>
      </c>
      <c r="H56" s="25">
        <f t="shared" si="19"/>
        <v>41</v>
      </c>
      <c r="I56" s="25">
        <f t="shared" si="20"/>
        <v>11</v>
      </c>
      <c r="J56" s="25">
        <f t="shared" si="21"/>
        <v>35</v>
      </c>
      <c r="K56" s="68">
        <f t="shared" si="22"/>
        <v>25</v>
      </c>
      <c r="L56" s="67">
        <f t="shared" si="38"/>
        <v>28.2</v>
      </c>
      <c r="M56" s="64">
        <f t="shared" si="23"/>
        <v>0.40534118479138093</v>
      </c>
      <c r="N56" s="33">
        <f>('Data By District'!V441)</f>
        <v>0.4860127217944426</v>
      </c>
      <c r="O56" s="29">
        <f t="shared" si="39"/>
        <v>1</v>
      </c>
      <c r="P56" s="29">
        <f>SUMIF('Data By District'!$B$7:$B$441,B56,'Data By District'!$T$7:$T$441)/D56</f>
        <v>0.3937045867393279</v>
      </c>
      <c r="Q56" s="29">
        <f t="shared" si="40"/>
        <v>0.27469052772730845</v>
      </c>
      <c r="R56" s="70">
        <f t="shared" si="41"/>
        <v>0.57149986754465643</v>
      </c>
      <c r="S56" s="69">
        <f t="shared" si="42"/>
        <v>1</v>
      </c>
      <c r="T56" s="25">
        <f>COUNTIF('Data By District'!$Z$7:$Z$441,$B56&amp;"-"&amp;T$6)</f>
        <v>0</v>
      </c>
      <c r="U56" s="25">
        <f>COUNTIF('Data By District'!$Z$7:$Z$441,$B56&amp;"-"&amp;U$6)</f>
        <v>0</v>
      </c>
      <c r="V56" s="25">
        <f>COUNTIF('Data By District'!$Z$7:$Z$441,$B56&amp;"-"&amp;V$6)</f>
        <v>0</v>
      </c>
      <c r="W56" s="25">
        <f>COUNTIF('Data By District'!$Z$7:$Z$441,$B56&amp;"-"&amp;W$6)</f>
        <v>0</v>
      </c>
      <c r="X56" s="25">
        <f>COUNTIF('Data By District'!$Z$7:$Z$441,$B56&amp;"-"&amp;X$6)-(Y56)</f>
        <v>1</v>
      </c>
      <c r="Y56" s="25">
        <f>COUNTIF('Data By District'!$X$7:$X$441,$B56&amp;"-"&amp;"Yes")</f>
        <v>0</v>
      </c>
      <c r="Z56" s="385">
        <f t="shared" si="43"/>
        <v>0</v>
      </c>
      <c r="AA56" s="387">
        <f>COUNTIF('Data By District'!$L$7:$L$441, $B56&amp;"-"&amp;1)</f>
        <v>0</v>
      </c>
      <c r="AB56" s="360">
        <f>COUNTIFS('Data By District'!$J$7:$J$441,$B56&amp;"-"&amp;"Yes",'Data By District'!$Z$7:$Z$441,$B56&amp;"-"&amp;X$6)+COUNTIFS('Data By District'!$J$7:$J$441,$B56&amp;"-"&amp;"Yes",'Data By District'!$Z$7:$Z$441,$B56&amp;"-"&amp;W$6)</f>
        <v>1</v>
      </c>
      <c r="AC56" s="357">
        <f>AB56/AD56</f>
        <v>1</v>
      </c>
      <c r="AD56" s="361">
        <f>COUNTIF('Data By District'!$J$7:$J$441,$B56&amp;"-"&amp;"Yes")</f>
        <v>1</v>
      </c>
      <c r="AE56" s="361">
        <f t="shared" si="24"/>
        <v>0</v>
      </c>
      <c r="AF56" s="361">
        <f>COUNTIF('Data By District'!$I$7:$I$441,$B56&amp;"-"&amp;"Yes")</f>
        <v>1</v>
      </c>
      <c r="AG56" s="361">
        <f>COUNTIFS('Data By District'!$J$7:$J$441,$B56&amp;"-"&amp;"Yes",'Data By District'!$Y$7:$Y$441,$B56&amp;"-"&amp;"Dem")</f>
        <v>0</v>
      </c>
      <c r="AH56" s="361">
        <f>COUNTIFS('Data By District'!$J$7:$J$441,$B56&amp;"-"&amp;"Yes",'Data By District'!$Y$7:$Y$441,$B56&amp;"-"&amp;"Rep")</f>
        <v>1</v>
      </c>
      <c r="AI56" s="361">
        <f>COUNTIFS('Data By District'!$J$7:$J$441,$B56&amp;"-"&amp;"Yes",'Data By District'!$Y$7:$Y$441,$B56&amp;"-"&amp;"Dem",'Data By District'!$J$7:$J$441,$B56&amp;"-"&amp;"Yes",'Data By District'!$Z$7:$Z$441,$B56&amp;"-"&amp;W$6)+COUNTIFS('Data By District'!$J$7:$J$441,$B56&amp;"-"&amp;"Yes",'Data By District'!$Y$7:$Y$441,$B56&amp;"-"&amp;"Dem",'Data By District'!$J$7:$J$441,$B56&amp;"-"&amp;"Yes",'Data By District'!$Z$7:$Z$441,$B56&amp;"-"&amp;X$6)</f>
        <v>0</v>
      </c>
      <c r="AJ56" s="361">
        <f>COUNTIFS('Data By District'!$J$7:$J$441,$B56&amp;"-"&amp;"Yes",'Data By District'!$Y$7:$Y$441,$B56&amp;"-"&amp;"Rep",'Data By District'!$J$7:$J$441,$B56&amp;"-"&amp;"Yes",'Data By District'!$Z$7:$Z$441,$B56&amp;"-"&amp;W$6)+COUNTIFS('Data By District'!$J$7:$J$441,$B56&amp;"-"&amp;"Yes",'Data By District'!$Y$7:$Y$441,$B56&amp;"-"&amp;"Rep",'Data By District'!$J$7:$J$441,$B56&amp;"-"&amp;"Yes",'Data By District'!$Z$7:$Z$441,$B56&amp;"-"&amp;X$6)</f>
        <v>1</v>
      </c>
      <c r="AK56" s="360">
        <f>COUNTIF('Data By District'!$D$7:$D$441,$B56&amp;"-"&amp;"Yes")</f>
        <v>1</v>
      </c>
      <c r="AL56" s="361">
        <f>COUNTIF('Data By District'!$E$7:$E$441,$B56&amp;"-"&amp;"Yes")</f>
        <v>0</v>
      </c>
      <c r="AM56" s="361">
        <f>COUNTIF('Data By District'!$F$7:$F$441,$B56&amp;"-"&amp;"Yes")</f>
        <v>0</v>
      </c>
      <c r="AN56" s="361">
        <f>COUNTIF('Data By District'!$G$7:$G$441,$B56&amp;"-"&amp;"Yes")</f>
        <v>0</v>
      </c>
      <c r="AO56" s="361">
        <f>COUNTIF('Data By District'!$H$7:$H$441,$B56&amp;"-"&amp;"Yes")</f>
        <v>0</v>
      </c>
      <c r="AP56" s="70">
        <f t="shared" si="44"/>
        <v>2.9872199983136661E-2</v>
      </c>
      <c r="AQ56" s="55">
        <f t="shared" si="25"/>
        <v>0.68889707434370362</v>
      </c>
      <c r="AR56" s="50">
        <f t="shared" si="26"/>
        <v>241621</v>
      </c>
      <c r="AS56" s="41">
        <f>SUMIF('Data By District'!$B$7:$B$441,$B56,'Data By District'!$O$7:$O$441)</f>
        <v>57573</v>
      </c>
      <c r="AT56" s="41">
        <f>SUMIF('Data By District'!$B$7:$B$441,$B56,'Data By District'!$P$7:$P$441)</f>
        <v>166452</v>
      </c>
      <c r="AU56" s="41">
        <f>SUMIF('Data By District'!$B$7:$B$441,$B56,'Data By District'!$Q$7:$Q$441)</f>
        <v>17596</v>
      </c>
      <c r="AV56" s="289">
        <f t="shared" si="45"/>
        <v>0.2382781297983205</v>
      </c>
      <c r="AW56" s="24">
        <f t="shared" si="46"/>
        <v>0.68889707434370362</v>
      </c>
      <c r="AX56" s="56">
        <f t="shared" si="47"/>
        <v>7.2824795857975924E-2</v>
      </c>
      <c r="AY56" s="25">
        <f>COUNTIF('Data By District'!$Y$7:$Y$441,$B56&amp;"-"&amp;AY$6)</f>
        <v>0</v>
      </c>
      <c r="AZ56" s="25">
        <f>COUNTIF('Data By District'!$Y$7:$Y$441,$B56&amp;"-"&amp;AZ$6)</f>
        <v>1</v>
      </c>
      <c r="BA56" s="25">
        <f>COUNTIF('Data By District'!$Y$7:$Y$441,$B56&amp;"-"&amp;BA$6)</f>
        <v>0</v>
      </c>
      <c r="BB56" s="285">
        <f t="shared" si="27"/>
        <v>0</v>
      </c>
      <c r="BC56" s="24">
        <f t="shared" si="28"/>
        <v>1</v>
      </c>
      <c r="BD56" s="56">
        <f t="shared" si="29"/>
        <v>0</v>
      </c>
      <c r="BE56" s="285">
        <f t="shared" si="48"/>
        <v>0.2382781297983205</v>
      </c>
      <c r="BF56" s="24">
        <f t="shared" si="49"/>
        <v>0.31110292565629638</v>
      </c>
      <c r="BG56" s="56">
        <f t="shared" si="50"/>
        <v>7.2824795857975924E-2</v>
      </c>
      <c r="BH56" s="50">
        <f t="shared" si="30"/>
        <v>166452</v>
      </c>
      <c r="BI56" s="41">
        <f>'Data By District'!AE441</f>
        <v>75169</v>
      </c>
      <c r="BJ56" s="41">
        <f>SUMIF('Data By District'!$B$7:$B$441,'Data By State'!$B56,'Data By District'!$AA$7:$AA$441)</f>
        <v>57573</v>
      </c>
      <c r="BK56" s="41">
        <f>SUMIF('Data By District'!$B$7:$B$441,'Data By State'!$B56,'Data By District'!$AB$7:$AB$441)</f>
        <v>0</v>
      </c>
      <c r="BL56" s="50">
        <f>SUMIF('Data By District'!$B$7:$B$441,'Data By State'!$B56,'Data By District'!$AC$7:$AC$441)</f>
        <v>17596</v>
      </c>
      <c r="BM56" s="64">
        <f t="shared" si="31"/>
        <v>0.31110292565629644</v>
      </c>
      <c r="BN56" s="24">
        <f t="shared" si="33"/>
        <v>1</v>
      </c>
      <c r="BO56" s="24">
        <f t="shared" si="34"/>
        <v>0</v>
      </c>
      <c r="BP56" s="56">
        <f t="shared" si="35"/>
        <v>1</v>
      </c>
    </row>
    <row r="57" spans="1:70" ht="16" thickBot="1">
      <c r="A57" s="53" t="s">
        <v>120</v>
      </c>
      <c r="B57" s="192"/>
      <c r="C57" s="34">
        <f>SUM(C7:C56)</f>
        <v>128772593</v>
      </c>
      <c r="D57" s="347">
        <f>SUM(D7:D56)</f>
        <v>216955355</v>
      </c>
      <c r="E57" s="74"/>
      <c r="F57" s="72"/>
      <c r="G57" s="35"/>
      <c r="H57" s="35"/>
      <c r="I57" s="35"/>
      <c r="J57" s="35"/>
      <c r="K57" s="346"/>
      <c r="L57" s="74"/>
      <c r="M57" s="35">
        <f>AVERAGE(M7:M56)</f>
        <v>0.50366118401127014</v>
      </c>
      <c r="N57" s="348">
        <f>('Data By District'!V442)</f>
        <v>0.36509935553663331</v>
      </c>
      <c r="O57" s="35">
        <f t="shared" si="39"/>
        <v>0.67356321839080457</v>
      </c>
      <c r="P57" s="36">
        <f>BH57/D57</f>
        <v>0.36238244499657546</v>
      </c>
      <c r="Q57" s="35">
        <f t="shared" si="40"/>
        <v>4.354791326720911E-2</v>
      </c>
      <c r="R57" s="71">
        <f>AVERAGE(R7:R56)</f>
        <v>0.57061494933746149</v>
      </c>
      <c r="S57" s="39">
        <f>SUM(S7:S56)</f>
        <v>435</v>
      </c>
      <c r="T57" s="38">
        <f t="shared" ref="T57:Y57" si="51">SUM(T7:T56)</f>
        <v>28</v>
      </c>
      <c r="U57" s="38">
        <f t="shared" si="51"/>
        <v>33</v>
      </c>
      <c r="V57" s="38">
        <f t="shared" si="51"/>
        <v>81</v>
      </c>
      <c r="W57" s="38">
        <f t="shared" si="51"/>
        <v>147</v>
      </c>
      <c r="X57" s="38">
        <f t="shared" si="51"/>
        <v>102</v>
      </c>
      <c r="Y57" s="38">
        <f t="shared" si="51"/>
        <v>44</v>
      </c>
      <c r="Z57" s="40">
        <f t="shared" si="43"/>
        <v>0.10114942528735632</v>
      </c>
      <c r="AA57" s="388">
        <f>SUM(AA7:AA56)</f>
        <v>0</v>
      </c>
      <c r="AB57" s="83">
        <f>SUM(AB7:AB56)</f>
        <v>288</v>
      </c>
      <c r="AC57" s="362">
        <f t="shared" si="32"/>
        <v>0.71464019851116622</v>
      </c>
      <c r="AD57" s="101">
        <f t="shared" ref="AD57:AO57" si="52">SUM(AD7:AD56)</f>
        <v>403</v>
      </c>
      <c r="AE57" s="108">
        <f t="shared" si="52"/>
        <v>32</v>
      </c>
      <c r="AF57" s="108">
        <f t="shared" si="52"/>
        <v>435</v>
      </c>
      <c r="AG57" s="108">
        <f>SUM(AG7:AG56)</f>
        <v>179</v>
      </c>
      <c r="AH57" s="108">
        <f>SUM(AH7:AH56)</f>
        <v>224</v>
      </c>
      <c r="AI57" s="108">
        <f>SUM(AI7:AI56)</f>
        <v>145</v>
      </c>
      <c r="AJ57" s="108">
        <f>SUM(AJ7:AJ56)</f>
        <v>143</v>
      </c>
      <c r="AK57" s="381">
        <f t="shared" si="52"/>
        <v>77</v>
      </c>
      <c r="AL57" s="108">
        <f t="shared" si="52"/>
        <v>41</v>
      </c>
      <c r="AM57" s="108">
        <f t="shared" si="52"/>
        <v>27</v>
      </c>
      <c r="AN57" s="108">
        <f t="shared" si="52"/>
        <v>10</v>
      </c>
      <c r="AO57" s="108">
        <f t="shared" si="52"/>
        <v>1</v>
      </c>
      <c r="AP57" s="71">
        <f t="shared" si="44"/>
        <v>5.7688432196127321E-2</v>
      </c>
      <c r="AQ57" s="40">
        <f>BH57/AR57</f>
        <v>0.64791727815185507</v>
      </c>
      <c r="AR57" s="54">
        <f>SUM(AR7:AR56)</f>
        <v>121343904</v>
      </c>
      <c r="AS57" s="127">
        <f>SUM(AS7:AS56)</f>
        <v>59646196</v>
      </c>
      <c r="AT57" s="128">
        <f>SUM(AT7:AT56)</f>
        <v>58283048</v>
      </c>
      <c r="AU57" s="54">
        <f>SUM(AU7:AU56)</f>
        <v>3414660</v>
      </c>
      <c r="AV57" s="44">
        <f t="shared" si="45"/>
        <v>0.4915467034915903</v>
      </c>
      <c r="AW57" s="44">
        <f t="shared" si="46"/>
        <v>0.4803129459226893</v>
      </c>
      <c r="AX57" s="44">
        <f t="shared" si="47"/>
        <v>2.8140350585720401E-2</v>
      </c>
      <c r="AY57" s="43">
        <f>SUM(AY7:AY56)</f>
        <v>201</v>
      </c>
      <c r="AZ57" s="38">
        <f>SUM(AZ7:AZ56)</f>
        <v>234</v>
      </c>
      <c r="BA57" s="39">
        <f>SUM(BA7:BA56)</f>
        <v>0</v>
      </c>
      <c r="BB57" s="44">
        <f>AY57/$S57</f>
        <v>0.46206896551724136</v>
      </c>
      <c r="BC57" s="44">
        <f t="shared" si="28"/>
        <v>0.53793103448275859</v>
      </c>
      <c r="BD57" s="44">
        <f t="shared" si="29"/>
        <v>0</v>
      </c>
      <c r="BE57" s="372">
        <f t="shared" si="48"/>
        <v>2.9477737974348939E-2</v>
      </c>
      <c r="BF57" s="44">
        <f t="shared" si="49"/>
        <v>5.761808856006928E-2</v>
      </c>
      <c r="BG57" s="44">
        <f t="shared" si="50"/>
        <v>2.8140350585720401E-2</v>
      </c>
      <c r="BH57" s="345">
        <f>SUM(BH7:BH56)</f>
        <v>78620812</v>
      </c>
      <c r="BI57" s="45">
        <f>SUM(BI7:BI56)</f>
        <v>42723092</v>
      </c>
      <c r="BJ57" s="45">
        <f>SUM(BJ7:BJ56)</f>
        <v>23246178</v>
      </c>
      <c r="BK57" s="45">
        <f>SUM(BK7:BK56)</f>
        <v>16067900</v>
      </c>
      <c r="BL57" s="51">
        <f>SUM(BL7:BL56)</f>
        <v>3409014</v>
      </c>
      <c r="BM57" s="291">
        <f t="shared" si="31"/>
        <v>0.35208272184814493</v>
      </c>
      <c r="BN57" s="44">
        <f t="shared" si="33"/>
        <v>0.38973446018250685</v>
      </c>
      <c r="BO57" s="44">
        <f t="shared" si="34"/>
        <v>0.27568736624755796</v>
      </c>
      <c r="BP57" s="40">
        <f>BL57/AU57</f>
        <v>0.9983465410904746</v>
      </c>
    </row>
    <row r="58" spans="1:70">
      <c r="N58" s="9"/>
      <c r="AB58" s="5"/>
      <c r="BI58" s="194"/>
    </row>
    <row r="59" spans="1:70">
      <c r="BM59"/>
      <c r="BN59"/>
      <c r="BO59"/>
    </row>
    <row r="60" spans="1:70">
      <c r="C60" s="7" t="s">
        <v>251</v>
      </c>
    </row>
    <row r="61" spans="1:70">
      <c r="C61" s="7" t="s">
        <v>340</v>
      </c>
    </row>
    <row r="62" spans="1:70">
      <c r="C62" s="7" t="s">
        <v>333</v>
      </c>
    </row>
    <row r="64" spans="1:70">
      <c r="C64" s="7" t="s">
        <v>256</v>
      </c>
      <c r="S64" s="5"/>
      <c r="Y64" s="7"/>
      <c r="BP64"/>
      <c r="BR64" s="7"/>
    </row>
    <row r="65" spans="3:70">
      <c r="C65" s="7" t="s">
        <v>257</v>
      </c>
      <c r="K65" s="5"/>
      <c r="L65" s="5"/>
      <c r="M65" s="5"/>
      <c r="N65" s="5"/>
      <c r="O65" s="5"/>
      <c r="P65" s="5"/>
      <c r="T65" s="7"/>
      <c r="U65" s="7"/>
      <c r="V65" s="7"/>
      <c r="W65" s="7"/>
      <c r="X65" s="7"/>
      <c r="Y65" s="7"/>
      <c r="BH65"/>
      <c r="BI65"/>
      <c r="BQ65" s="7"/>
      <c r="BR65" s="7"/>
    </row>
    <row r="66" spans="3:70">
      <c r="C66" s="7" t="s">
        <v>334</v>
      </c>
      <c r="L66" s="5"/>
      <c r="M66" s="5"/>
      <c r="N66" s="5"/>
      <c r="O66" s="5"/>
      <c r="P66" s="5"/>
      <c r="Q66" s="5"/>
      <c r="T66" s="7"/>
      <c r="U66" s="7"/>
      <c r="V66" s="7"/>
      <c r="W66" s="7"/>
      <c r="X66" s="7"/>
      <c r="Y66" s="7"/>
      <c r="BI66"/>
      <c r="BJ66"/>
      <c r="BQ66" s="7"/>
      <c r="BR66" s="7"/>
    </row>
    <row r="67" spans="3:70">
      <c r="L67" s="5"/>
      <c r="M67" s="5"/>
      <c r="N67" s="5"/>
      <c r="O67" s="5"/>
      <c r="P67" s="5"/>
      <c r="Q67" s="5"/>
      <c r="T67" s="7"/>
      <c r="U67" s="7"/>
      <c r="V67" s="7"/>
      <c r="W67" s="7"/>
      <c r="X67" s="7"/>
      <c r="Y67" s="7"/>
      <c r="BI67"/>
      <c r="BJ67"/>
      <c r="BQ67" s="7"/>
      <c r="BR67" s="7"/>
    </row>
    <row r="68" spans="3:70">
      <c r="L68" s="5"/>
      <c r="M68" s="5"/>
      <c r="N68" s="5"/>
      <c r="O68" s="5"/>
      <c r="P68" s="5"/>
      <c r="Q68" s="5"/>
      <c r="T68" s="7"/>
      <c r="U68" s="7"/>
      <c r="V68" s="7"/>
      <c r="W68" s="7"/>
      <c r="X68" s="7"/>
      <c r="Y68" s="7"/>
      <c r="BI68"/>
      <c r="BJ68"/>
      <c r="BQ68" s="7"/>
      <c r="BR68" s="7"/>
    </row>
    <row r="69" spans="3:70">
      <c r="L69" s="5"/>
      <c r="M69" s="5"/>
      <c r="N69" s="5"/>
      <c r="O69" s="5"/>
      <c r="P69" s="5"/>
      <c r="Q69" s="5"/>
      <c r="T69" s="7"/>
      <c r="U69" s="7"/>
      <c r="V69" s="7"/>
      <c r="W69" s="7"/>
      <c r="X69" s="7"/>
      <c r="Y69" s="7"/>
      <c r="BI69"/>
      <c r="BJ69"/>
      <c r="BQ69" s="7"/>
      <c r="BR69" s="7"/>
    </row>
    <row r="70" spans="3:70">
      <c r="L70" s="5"/>
      <c r="M70" s="5"/>
      <c r="N70" s="5"/>
      <c r="O70" s="5"/>
      <c r="P70" s="5"/>
      <c r="Q70" s="5"/>
      <c r="T70" s="7"/>
      <c r="U70" s="7"/>
      <c r="V70" s="7"/>
      <c r="W70" s="7"/>
      <c r="X70" s="7"/>
      <c r="Y70" s="7"/>
      <c r="BI70"/>
      <c r="BJ70"/>
      <c r="BQ70" s="7"/>
      <c r="BR70" s="7"/>
    </row>
    <row r="71" spans="3:70">
      <c r="L71" s="5"/>
      <c r="M71" s="5"/>
      <c r="N71" s="5"/>
      <c r="O71" s="5"/>
      <c r="P71" s="5"/>
      <c r="Q71" s="5"/>
      <c r="T71" s="7"/>
      <c r="U71" s="7"/>
      <c r="V71" s="7"/>
      <c r="W71" s="7"/>
      <c r="X71" s="7"/>
      <c r="Y71" s="7"/>
      <c r="BI71"/>
      <c r="BJ71"/>
      <c r="BQ71" s="7"/>
      <c r="BR71" s="7"/>
    </row>
    <row r="72" spans="3:70">
      <c r="L72" s="5"/>
      <c r="M72" s="5"/>
      <c r="N72" s="5"/>
      <c r="O72" s="5"/>
      <c r="P72" s="5"/>
      <c r="Q72" s="5"/>
      <c r="T72" s="7"/>
      <c r="U72" s="7"/>
      <c r="V72" s="7"/>
      <c r="W72" s="7"/>
      <c r="X72" s="7"/>
      <c r="Y72" s="7"/>
      <c r="BI72"/>
      <c r="BJ72"/>
      <c r="BQ72" s="7"/>
      <c r="BR72" s="7"/>
    </row>
  </sheetData>
  <phoneticPr fontId="0" type="noConversion"/>
  <pageMargins left="0.5" right="0.5" top="1" bottom="1" header="0.5" footer="0.5"/>
  <pageSetup scale="55" orientation="landscape"/>
  <headerFooter alignWithMargins="0">
    <oddHeader>&amp;L&amp;"Times New Roman,Regular"&amp;12&amp;D&amp;C&amp;"Times New Roman,Bold"&amp;12Dubious Democracy 2003 State Data&amp;R&amp;"Times New Roman,Regular"&amp;12&amp;P of 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60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D2" sqref="D2"/>
    </sheetView>
  </sheetViews>
  <sheetFormatPr baseColWidth="10" defaultColWidth="8.83203125" defaultRowHeight="15" x14ac:dyDescent="0"/>
  <cols>
    <col min="1" max="1" width="16.5" style="7" bestFit="1" customWidth="1"/>
    <col min="2" max="2" width="11.83203125" style="7" bestFit="1" customWidth="1"/>
    <col min="3" max="3" width="7.33203125" style="7" bestFit="1" customWidth="1"/>
    <col min="4" max="4" width="10.33203125" style="7" bestFit="1" customWidth="1"/>
    <col min="5" max="5" width="7.33203125" style="7" bestFit="1" customWidth="1"/>
    <col min="6" max="6" width="9.5" style="7" bestFit="1" customWidth="1"/>
    <col min="7" max="7" width="11.5" style="7" bestFit="1" customWidth="1"/>
    <col min="8" max="8" width="5.6640625" style="7" customWidth="1"/>
    <col min="9" max="9" width="16.6640625" style="7" customWidth="1"/>
    <col min="10" max="10" width="11.83203125" style="7" bestFit="1" customWidth="1"/>
    <col min="11" max="11" width="6.5" style="7" bestFit="1" customWidth="1"/>
    <col min="12" max="12" width="10.33203125" style="7" bestFit="1" customWidth="1"/>
    <col min="13" max="13" width="7" style="7" bestFit="1" customWidth="1"/>
    <col min="14" max="14" width="9.5" style="7" bestFit="1" customWidth="1"/>
    <col min="15" max="15" width="9.1640625" style="7" bestFit="1"/>
    <col min="16" max="16" width="5.6640625" style="7" customWidth="1"/>
    <col min="17" max="17" width="8.83203125" style="7" customWidth="1"/>
    <col min="18" max="19" width="16.5" style="7" bestFit="1" customWidth="1"/>
    <col min="20" max="20" width="5.6640625" style="102" customWidth="1"/>
    <col min="21" max="21" width="5.5" style="7" customWidth="1"/>
    <col min="22" max="22" width="16.1640625" style="7" customWidth="1"/>
    <col min="23" max="23" width="7.6640625" style="7" bestFit="1" customWidth="1"/>
    <col min="24" max="24" width="5.6640625" style="7" customWidth="1"/>
    <col min="25" max="25" width="5.83203125" style="7" customWidth="1"/>
    <col min="26" max="26" width="16" style="7" customWidth="1"/>
    <col min="27" max="27" width="10.33203125" style="7" bestFit="1" customWidth="1"/>
    <col min="28" max="28" width="5.6640625" style="7" customWidth="1"/>
    <col min="29" max="29" width="6.6640625" style="7" customWidth="1"/>
    <col min="30" max="30" width="16.1640625" style="7" customWidth="1"/>
    <col min="31" max="31" width="10.5" style="7" customWidth="1"/>
    <col min="32" max="32" width="5.6640625" style="7" customWidth="1"/>
    <col min="33" max="33" width="8.83203125" style="7"/>
    <col min="34" max="34" width="16.1640625" style="7" customWidth="1"/>
    <col min="35" max="35" width="9.5" style="7" bestFit="1" customWidth="1"/>
    <col min="36" max="36" width="5.6640625" style="7" customWidth="1"/>
    <col min="37" max="37" width="8.83203125" style="7"/>
    <col min="38" max="38" width="16.5" style="7" customWidth="1"/>
    <col min="39" max="39" width="8.5" style="7" bestFit="1" customWidth="1"/>
    <col min="40" max="16384" width="8.83203125" style="7"/>
  </cols>
  <sheetData>
    <row r="1" spans="1:39">
      <c r="A1" s="8" t="s">
        <v>210</v>
      </c>
      <c r="D1" s="75"/>
      <c r="H1" s="124"/>
      <c r="P1" s="124"/>
      <c r="T1" s="124"/>
      <c r="U1" s="124"/>
      <c r="V1" s="124"/>
      <c r="X1" s="124"/>
      <c r="AB1" s="124"/>
      <c r="AF1" s="124"/>
      <c r="AJ1" s="124"/>
    </row>
    <row r="2" spans="1:39">
      <c r="A2" s="7" t="s">
        <v>214</v>
      </c>
      <c r="D2" s="75"/>
      <c r="H2" s="124"/>
      <c r="P2" s="124"/>
      <c r="T2" s="124"/>
      <c r="U2" s="124"/>
      <c r="V2" s="124"/>
      <c r="X2" s="124"/>
      <c r="AB2" s="124"/>
      <c r="AF2" s="124"/>
      <c r="AJ2" s="124"/>
    </row>
    <row r="3" spans="1:39">
      <c r="D3" s="75"/>
      <c r="H3" s="124"/>
      <c r="P3" s="124"/>
      <c r="T3" s="124"/>
      <c r="U3" s="124"/>
      <c r="V3" s="124"/>
      <c r="X3" s="124"/>
      <c r="AB3" s="124"/>
      <c r="AF3" s="124"/>
      <c r="AJ3" s="124"/>
    </row>
    <row r="4" spans="1:39">
      <c r="A4" s="8" t="s">
        <v>216</v>
      </c>
      <c r="B4" s="8" t="s">
        <v>258</v>
      </c>
      <c r="C4" s="8"/>
      <c r="G4" s="98">
        <f ca="1">NOW()</f>
        <v>41498.896346412039</v>
      </c>
      <c r="H4" s="125"/>
      <c r="I4" s="8" t="s">
        <v>217</v>
      </c>
      <c r="L4" s="8"/>
      <c r="P4" s="124"/>
      <c r="Q4" s="8"/>
      <c r="T4" s="124"/>
      <c r="U4" s="125"/>
      <c r="V4" s="124"/>
      <c r="X4" s="124"/>
      <c r="Y4" s="8"/>
      <c r="AB4" s="124"/>
      <c r="AF4" s="124"/>
      <c r="AJ4" s="124"/>
    </row>
    <row r="5" spans="1:39" ht="16" thickBot="1">
      <c r="H5" s="124"/>
      <c r="P5" s="124"/>
      <c r="T5" s="124"/>
      <c r="X5" s="124"/>
      <c r="AB5" s="124"/>
      <c r="AF5" s="124"/>
      <c r="AJ5" s="124"/>
    </row>
    <row r="6" spans="1:39">
      <c r="A6" s="94"/>
      <c r="B6" s="46"/>
      <c r="C6" s="21"/>
      <c r="D6" s="46"/>
      <c r="E6" s="52"/>
      <c r="F6" s="46" t="s">
        <v>145</v>
      </c>
      <c r="G6" s="47" t="s">
        <v>140</v>
      </c>
      <c r="H6" s="59"/>
      <c r="I6" s="94"/>
      <c r="J6" s="46"/>
      <c r="K6" s="21"/>
      <c r="L6" s="46"/>
      <c r="M6" s="52"/>
      <c r="N6" s="46" t="s">
        <v>145</v>
      </c>
      <c r="O6" s="47" t="s">
        <v>140</v>
      </c>
      <c r="P6" s="89"/>
      <c r="Q6" s="20"/>
      <c r="R6" s="21"/>
      <c r="S6" s="47" t="s">
        <v>129</v>
      </c>
      <c r="T6" s="103"/>
      <c r="U6" s="21"/>
      <c r="V6" s="21"/>
      <c r="W6" s="22"/>
      <c r="X6" s="59"/>
      <c r="Y6" s="20"/>
      <c r="Z6" s="21"/>
      <c r="AA6" s="47" t="s">
        <v>61</v>
      </c>
      <c r="AB6" s="59"/>
      <c r="AC6" s="20"/>
      <c r="AD6" s="21"/>
      <c r="AE6" s="65" t="s">
        <v>198</v>
      </c>
      <c r="AF6" s="90"/>
      <c r="AG6" s="20"/>
      <c r="AH6" s="21"/>
      <c r="AI6" s="47" t="s">
        <v>145</v>
      </c>
      <c r="AJ6" s="92"/>
      <c r="AK6" s="20"/>
      <c r="AL6" s="21"/>
      <c r="AM6" s="47" t="s">
        <v>140</v>
      </c>
    </row>
    <row r="7" spans="1:39" ht="16" thickBot="1">
      <c r="A7" s="18" t="s">
        <v>51</v>
      </c>
      <c r="B7" s="28" t="s">
        <v>129</v>
      </c>
      <c r="C7" s="28" t="s">
        <v>127</v>
      </c>
      <c r="D7" s="28" t="s">
        <v>61</v>
      </c>
      <c r="E7" s="58" t="s">
        <v>211</v>
      </c>
      <c r="F7" s="28" t="s">
        <v>144</v>
      </c>
      <c r="G7" s="42" t="s">
        <v>213</v>
      </c>
      <c r="H7" s="59"/>
      <c r="I7" s="18" t="s">
        <v>51</v>
      </c>
      <c r="J7" s="28" t="s">
        <v>129</v>
      </c>
      <c r="K7" s="28" t="s">
        <v>127</v>
      </c>
      <c r="L7" s="28" t="s">
        <v>61</v>
      </c>
      <c r="M7" s="58" t="s">
        <v>211</v>
      </c>
      <c r="N7" s="28" t="s">
        <v>144</v>
      </c>
      <c r="O7" s="42" t="s">
        <v>213</v>
      </c>
      <c r="P7" s="89"/>
      <c r="Q7" s="18" t="s">
        <v>195</v>
      </c>
      <c r="R7" s="19" t="s">
        <v>51</v>
      </c>
      <c r="S7" s="42" t="s">
        <v>197</v>
      </c>
      <c r="T7" s="103"/>
      <c r="U7" s="19" t="s">
        <v>195</v>
      </c>
      <c r="V7" s="19" t="s">
        <v>51</v>
      </c>
      <c r="W7" s="42" t="s">
        <v>127</v>
      </c>
      <c r="X7" s="89"/>
      <c r="Y7" s="18" t="s">
        <v>195</v>
      </c>
      <c r="Z7" s="19" t="s">
        <v>51</v>
      </c>
      <c r="AA7" s="49" t="s">
        <v>197</v>
      </c>
      <c r="AB7" s="100"/>
      <c r="AC7" s="18" t="s">
        <v>195</v>
      </c>
      <c r="AD7" s="19" t="s">
        <v>51</v>
      </c>
      <c r="AE7" s="30" t="s">
        <v>197</v>
      </c>
      <c r="AF7" s="91"/>
      <c r="AG7" s="48" t="s">
        <v>195</v>
      </c>
      <c r="AH7" s="19" t="s">
        <v>51</v>
      </c>
      <c r="AI7" s="42" t="s">
        <v>144</v>
      </c>
      <c r="AJ7" s="91"/>
      <c r="AK7" s="18" t="s">
        <v>195</v>
      </c>
      <c r="AL7" s="19" t="s">
        <v>51</v>
      </c>
      <c r="AM7" s="42" t="s">
        <v>193</v>
      </c>
    </row>
    <row r="8" spans="1:39">
      <c r="A8" s="93" t="s">
        <v>65</v>
      </c>
      <c r="B8" s="66">
        <f t="shared" ref="B8:B39" si="0">S8</f>
        <v>24.8</v>
      </c>
      <c r="C8" s="64">
        <f>'Data By State'!N7</f>
        <v>0.4687231703260572</v>
      </c>
      <c r="D8" s="64">
        <f>AA8</f>
        <v>1</v>
      </c>
      <c r="E8" s="64">
        <f>AE8</f>
        <v>0.39528000735875285</v>
      </c>
      <c r="F8" s="64">
        <f>AI8</f>
        <v>0.21747653007925138</v>
      </c>
      <c r="G8" s="115">
        <f>'Data By State'!R7</f>
        <v>0.54896239313909856</v>
      </c>
      <c r="H8" s="97"/>
      <c r="I8" s="93" t="s">
        <v>65</v>
      </c>
      <c r="J8" s="25">
        <f>Q8</f>
        <v>23</v>
      </c>
      <c r="K8" s="105">
        <f>U8</f>
        <v>41</v>
      </c>
      <c r="L8" s="105">
        <f>Y8</f>
        <v>41</v>
      </c>
      <c r="M8" s="105">
        <f>AC8</f>
        <v>9</v>
      </c>
      <c r="N8" s="105">
        <f>AG8</f>
        <v>24</v>
      </c>
      <c r="O8" s="106">
        <f>AK8</f>
        <v>32</v>
      </c>
      <c r="P8" s="24"/>
      <c r="Q8" s="80">
        <f t="shared" ref="Q8:Q39" si="1">RANK(S8,S$8:S$57,1)</f>
        <v>23</v>
      </c>
      <c r="R8" s="81" t="s">
        <v>65</v>
      </c>
      <c r="S8" s="82">
        <f>'Data By State'!L7</f>
        <v>24.8</v>
      </c>
      <c r="T8" s="37"/>
      <c r="U8" s="57">
        <f t="shared" ref="U8:U57" si="2">RANK(W8,W$8:W$57,1)</f>
        <v>41</v>
      </c>
      <c r="V8" s="85" t="s">
        <v>65</v>
      </c>
      <c r="W8" s="87">
        <f>'Data By State'!N7</f>
        <v>0.4687231703260572</v>
      </c>
      <c r="X8" s="33"/>
      <c r="Y8" s="80">
        <f t="shared" ref="Y8:Y57" si="3">RANK(AA8,AA$8:AA$57,1)</f>
        <v>41</v>
      </c>
      <c r="Z8" s="81" t="s">
        <v>65</v>
      </c>
      <c r="AA8" s="56">
        <f>'Data By State'!O7</f>
        <v>1</v>
      </c>
      <c r="AB8" s="29"/>
      <c r="AC8" s="84">
        <f>RANK(AE8,AE$8:AE$57)</f>
        <v>9</v>
      </c>
      <c r="AD8" s="85" t="s">
        <v>65</v>
      </c>
      <c r="AE8" s="55">
        <f>'Data By State'!P7</f>
        <v>0.39528000735875285</v>
      </c>
      <c r="AF8" s="29"/>
      <c r="AG8" s="80">
        <f t="shared" ref="AG8:AG57" si="4">RANK(AI8,AI$8:AI$57,1)</f>
        <v>24</v>
      </c>
      <c r="AH8" s="85" t="s">
        <v>65</v>
      </c>
      <c r="AI8" s="56">
        <f>'Data By State'!Q7</f>
        <v>0.21747653007925138</v>
      </c>
      <c r="AJ8" s="29"/>
      <c r="AK8" s="80">
        <f>RANK(AM8,AM$8:AM$57)</f>
        <v>32</v>
      </c>
      <c r="AL8" s="81" t="s">
        <v>65</v>
      </c>
      <c r="AM8" s="56">
        <f>'Data By State'!R7</f>
        <v>0.54896239313909856</v>
      </c>
    </row>
    <row r="9" spans="1:39">
      <c r="A9" s="93" t="s">
        <v>66</v>
      </c>
      <c r="B9" s="66">
        <f t="shared" si="0"/>
        <v>33</v>
      </c>
      <c r="C9" s="64">
        <f>'Data By State'!N8</f>
        <v>0.38165630837027398</v>
      </c>
      <c r="D9" s="64">
        <f>'Data By State'!O8</f>
        <v>1</v>
      </c>
      <c r="E9" s="64">
        <f>'Data By State'!P8</f>
        <v>0.36347872142177584</v>
      </c>
      <c r="F9" s="64">
        <f>'Data By State'!Q8</f>
        <v>0.32338235497094592</v>
      </c>
      <c r="G9" s="115">
        <f>'Data By State'!R8</f>
        <v>0.56848279176515593</v>
      </c>
      <c r="H9" s="97"/>
      <c r="I9" s="93" t="s">
        <v>66</v>
      </c>
      <c r="J9" s="25">
        <f t="shared" ref="J9:J57" si="5">Q9</f>
        <v>43</v>
      </c>
      <c r="K9" s="105">
        <f t="shared" ref="K9:K57" si="6">U9</f>
        <v>33</v>
      </c>
      <c r="L9" s="105">
        <f t="shared" ref="L9:L57" si="7">Y9</f>
        <v>41</v>
      </c>
      <c r="M9" s="105">
        <f t="shared" ref="M9:M57" si="8">AC9</f>
        <v>27</v>
      </c>
      <c r="N9" s="105">
        <f t="shared" ref="N9:N57" si="9">AG9</f>
        <v>37</v>
      </c>
      <c r="O9" s="107">
        <f t="shared" ref="O9:O57" si="10">AK9</f>
        <v>26</v>
      </c>
      <c r="P9" s="24"/>
      <c r="Q9" s="80">
        <f t="shared" si="1"/>
        <v>43</v>
      </c>
      <c r="R9" s="81" t="s">
        <v>66</v>
      </c>
      <c r="S9" s="82">
        <f>'Data By State'!L8</f>
        <v>33</v>
      </c>
      <c r="T9" s="37"/>
      <c r="U9" s="57">
        <f t="shared" si="2"/>
        <v>33</v>
      </c>
      <c r="V9" s="81" t="s">
        <v>66</v>
      </c>
      <c r="W9" s="87">
        <f>'Data By State'!N8</f>
        <v>0.38165630837027398</v>
      </c>
      <c r="X9" s="33"/>
      <c r="Y9" s="80">
        <f t="shared" si="3"/>
        <v>41</v>
      </c>
      <c r="Z9" s="81" t="s">
        <v>66</v>
      </c>
      <c r="AA9" s="56">
        <f>'Data By State'!O8</f>
        <v>1</v>
      </c>
      <c r="AB9" s="29"/>
      <c r="AC9" s="80">
        <f t="shared" ref="AC9:AC57" si="11">RANK(AE9,AE$8:AE$57)</f>
        <v>27</v>
      </c>
      <c r="AD9" s="81" t="s">
        <v>66</v>
      </c>
      <c r="AE9" s="56">
        <f>'Data By State'!P8</f>
        <v>0.36347872142177584</v>
      </c>
      <c r="AF9" s="29"/>
      <c r="AG9" s="80">
        <f t="shared" si="4"/>
        <v>37</v>
      </c>
      <c r="AH9" s="81" t="s">
        <v>66</v>
      </c>
      <c r="AI9" s="56">
        <f>'Data By State'!Q8</f>
        <v>0.32338235497094592</v>
      </c>
      <c r="AJ9" s="29"/>
      <c r="AK9" s="80">
        <f t="shared" ref="AK9:AK57" si="12">RANK(AM9,AM$8:AM$57)</f>
        <v>26</v>
      </c>
      <c r="AL9" s="81" t="s">
        <v>66</v>
      </c>
      <c r="AM9" s="56">
        <f>'Data By State'!R8</f>
        <v>0.56848279176515593</v>
      </c>
    </row>
    <row r="10" spans="1:39">
      <c r="A10" s="93" t="s">
        <v>67</v>
      </c>
      <c r="B10" s="66">
        <f t="shared" si="0"/>
        <v>31.4</v>
      </c>
      <c r="C10" s="64">
        <f>'Data By State'!N9</f>
        <v>0.32506526489138032</v>
      </c>
      <c r="D10" s="64">
        <f>'Data By State'!O9</f>
        <v>0.66666666666666663</v>
      </c>
      <c r="E10" s="64">
        <f>'Data By State'!P9</f>
        <v>0.29674757962934589</v>
      </c>
      <c r="F10" s="64">
        <f>'Data By State'!Q9</f>
        <v>9.8041074235067138E-2</v>
      </c>
      <c r="G10" s="115">
        <f>'Data By State'!R9</f>
        <v>0.4984585131084871</v>
      </c>
      <c r="H10" s="97"/>
      <c r="I10" s="93" t="s">
        <v>67</v>
      </c>
      <c r="J10" s="25">
        <f t="shared" si="5"/>
        <v>39</v>
      </c>
      <c r="K10" s="105">
        <f t="shared" si="6"/>
        <v>24</v>
      </c>
      <c r="L10" s="105">
        <f t="shared" si="7"/>
        <v>26</v>
      </c>
      <c r="M10" s="105">
        <f t="shared" si="8"/>
        <v>48</v>
      </c>
      <c r="N10" s="105">
        <f t="shared" si="9"/>
        <v>11</v>
      </c>
      <c r="O10" s="107">
        <f t="shared" si="10"/>
        <v>43</v>
      </c>
      <c r="P10" s="24"/>
      <c r="Q10" s="80">
        <f t="shared" si="1"/>
        <v>39</v>
      </c>
      <c r="R10" s="81" t="s">
        <v>67</v>
      </c>
      <c r="S10" s="82">
        <f>'Data By State'!L9</f>
        <v>31.4</v>
      </c>
      <c r="T10" s="37"/>
      <c r="U10" s="57">
        <f t="shared" si="2"/>
        <v>24</v>
      </c>
      <c r="V10" s="81" t="s">
        <v>67</v>
      </c>
      <c r="W10" s="87">
        <f>'Data By State'!N9</f>
        <v>0.32506526489138032</v>
      </c>
      <c r="X10" s="33"/>
      <c r="Y10" s="80">
        <f t="shared" si="3"/>
        <v>26</v>
      </c>
      <c r="Z10" s="81" t="s">
        <v>67</v>
      </c>
      <c r="AA10" s="56">
        <f>'Data By State'!O9</f>
        <v>0.66666666666666663</v>
      </c>
      <c r="AB10" s="29"/>
      <c r="AC10" s="80">
        <f t="shared" si="11"/>
        <v>48</v>
      </c>
      <c r="AD10" s="81" t="s">
        <v>67</v>
      </c>
      <c r="AE10" s="56">
        <f>'Data By State'!P9</f>
        <v>0.29674757962934589</v>
      </c>
      <c r="AF10" s="29"/>
      <c r="AG10" s="80">
        <f t="shared" si="4"/>
        <v>11</v>
      </c>
      <c r="AH10" s="81" t="s">
        <v>67</v>
      </c>
      <c r="AI10" s="56">
        <f>'Data By State'!Q9</f>
        <v>9.8041074235067138E-2</v>
      </c>
      <c r="AJ10" s="29"/>
      <c r="AK10" s="80">
        <f t="shared" si="12"/>
        <v>43</v>
      </c>
      <c r="AL10" s="81" t="s">
        <v>67</v>
      </c>
      <c r="AM10" s="56">
        <f>'Data By State'!R9</f>
        <v>0.4984585131084871</v>
      </c>
    </row>
    <row r="11" spans="1:39">
      <c r="A11" s="93" t="s">
        <v>68</v>
      </c>
      <c r="B11" s="66">
        <f t="shared" si="0"/>
        <v>34</v>
      </c>
      <c r="C11" s="64">
        <f>'Data By State'!N10</f>
        <v>0.34727071682137661</v>
      </c>
      <c r="D11" s="64">
        <f>'Data By State'!O10</f>
        <v>0.5</v>
      </c>
      <c r="E11" s="64">
        <f>'Data By State'!P10</f>
        <v>0.30122390474084743</v>
      </c>
      <c r="F11" s="64">
        <f>'Data By State'!Q10</f>
        <v>0.33968993905904699</v>
      </c>
      <c r="G11" s="115">
        <f>'Data By State'!R10</f>
        <v>0.49041890367313157</v>
      </c>
      <c r="H11" s="97"/>
      <c r="I11" s="93" t="s">
        <v>68</v>
      </c>
      <c r="J11" s="25">
        <f t="shared" si="5"/>
        <v>46</v>
      </c>
      <c r="K11" s="105">
        <f t="shared" si="6"/>
        <v>28</v>
      </c>
      <c r="L11" s="105">
        <f t="shared" si="7"/>
        <v>10</v>
      </c>
      <c r="M11" s="105">
        <f t="shared" si="8"/>
        <v>46</v>
      </c>
      <c r="N11" s="105">
        <f t="shared" si="9"/>
        <v>40</v>
      </c>
      <c r="O11" s="107">
        <f t="shared" si="10"/>
        <v>44</v>
      </c>
      <c r="P11" s="24"/>
      <c r="Q11" s="80">
        <f t="shared" si="1"/>
        <v>46</v>
      </c>
      <c r="R11" s="81" t="s">
        <v>68</v>
      </c>
      <c r="S11" s="82">
        <f>'Data By State'!L10</f>
        <v>34</v>
      </c>
      <c r="T11" s="37"/>
      <c r="U11" s="57">
        <f t="shared" si="2"/>
        <v>28</v>
      </c>
      <c r="V11" s="81" t="s">
        <v>68</v>
      </c>
      <c r="W11" s="87">
        <f>'Data By State'!N10</f>
        <v>0.34727071682137661</v>
      </c>
      <c r="X11" s="33"/>
      <c r="Y11" s="80">
        <f t="shared" si="3"/>
        <v>10</v>
      </c>
      <c r="Z11" s="81" t="s">
        <v>68</v>
      </c>
      <c r="AA11" s="56">
        <f>'Data By State'!O10</f>
        <v>0.5</v>
      </c>
      <c r="AB11" s="29"/>
      <c r="AC11" s="80">
        <f t="shared" si="11"/>
        <v>46</v>
      </c>
      <c r="AD11" s="81" t="s">
        <v>68</v>
      </c>
      <c r="AE11" s="56">
        <f>'Data By State'!P10</f>
        <v>0.30122390474084743</v>
      </c>
      <c r="AF11" s="29"/>
      <c r="AG11" s="80">
        <f t="shared" si="4"/>
        <v>40</v>
      </c>
      <c r="AH11" s="81" t="s">
        <v>68</v>
      </c>
      <c r="AI11" s="56">
        <f>'Data By State'!Q10</f>
        <v>0.33968993905904699</v>
      </c>
      <c r="AJ11" s="29"/>
      <c r="AK11" s="80">
        <f t="shared" si="12"/>
        <v>44</v>
      </c>
      <c r="AL11" s="81" t="s">
        <v>68</v>
      </c>
      <c r="AM11" s="56">
        <f>'Data By State'!R10</f>
        <v>0.49041890367313157</v>
      </c>
    </row>
    <row r="12" spans="1:39">
      <c r="A12" s="112" t="s">
        <v>69</v>
      </c>
      <c r="B12" s="113">
        <f t="shared" si="0"/>
        <v>28.8</v>
      </c>
      <c r="C12" s="114">
        <f>'Data By State'!N11</f>
        <v>0.45071689761730283</v>
      </c>
      <c r="D12" s="114">
        <f>'Data By State'!O11</f>
        <v>0.67924528301886788</v>
      </c>
      <c r="E12" s="114">
        <f>'Data By State'!P11</f>
        <v>0.35750520637745781</v>
      </c>
      <c r="F12" s="114">
        <f>'Data By State'!Q11</f>
        <v>9.969961531879204E-2</v>
      </c>
      <c r="G12" s="115">
        <f>'Data By State'!R11</f>
        <v>0.5166943620404173</v>
      </c>
      <c r="H12" s="97"/>
      <c r="I12" s="112" t="s">
        <v>69</v>
      </c>
      <c r="J12" s="116">
        <f t="shared" si="5"/>
        <v>35</v>
      </c>
      <c r="K12" s="117">
        <f t="shared" si="6"/>
        <v>40</v>
      </c>
      <c r="L12" s="117">
        <f t="shared" si="7"/>
        <v>30</v>
      </c>
      <c r="M12" s="117">
        <f t="shared" si="8"/>
        <v>31</v>
      </c>
      <c r="N12" s="117">
        <f t="shared" si="9"/>
        <v>12</v>
      </c>
      <c r="O12" s="118">
        <f t="shared" si="10"/>
        <v>41</v>
      </c>
      <c r="P12" s="24"/>
      <c r="Q12" s="119">
        <f t="shared" si="1"/>
        <v>35</v>
      </c>
      <c r="R12" s="120" t="s">
        <v>69</v>
      </c>
      <c r="S12" s="121">
        <f>'Data By State'!L11</f>
        <v>28.8</v>
      </c>
      <c r="T12" s="37"/>
      <c r="U12" s="122">
        <f t="shared" si="2"/>
        <v>40</v>
      </c>
      <c r="V12" s="120" t="s">
        <v>69</v>
      </c>
      <c r="W12" s="123">
        <f>'Data By State'!N11</f>
        <v>0.45071689761730283</v>
      </c>
      <c r="X12" s="33"/>
      <c r="Y12" s="119">
        <f t="shared" si="3"/>
        <v>30</v>
      </c>
      <c r="Z12" s="120" t="s">
        <v>69</v>
      </c>
      <c r="AA12" s="115">
        <f>'Data By State'!O11</f>
        <v>0.67924528301886788</v>
      </c>
      <c r="AB12" s="29"/>
      <c r="AC12" s="119">
        <f t="shared" si="11"/>
        <v>31</v>
      </c>
      <c r="AD12" s="120" t="s">
        <v>69</v>
      </c>
      <c r="AE12" s="115">
        <f>'Data By State'!P11</f>
        <v>0.35750520637745781</v>
      </c>
      <c r="AF12" s="29"/>
      <c r="AG12" s="119">
        <f t="shared" si="4"/>
        <v>12</v>
      </c>
      <c r="AH12" s="120" t="s">
        <v>69</v>
      </c>
      <c r="AI12" s="115">
        <f>'Data By State'!Q11</f>
        <v>9.969961531879204E-2</v>
      </c>
      <c r="AJ12" s="29"/>
      <c r="AK12" s="119">
        <f t="shared" si="12"/>
        <v>41</v>
      </c>
      <c r="AL12" s="120" t="s">
        <v>69</v>
      </c>
      <c r="AM12" s="115">
        <f>'Data By State'!R11</f>
        <v>0.5166943620404173</v>
      </c>
    </row>
    <row r="13" spans="1:39">
      <c r="A13" s="93" t="s">
        <v>70</v>
      </c>
      <c r="B13" s="66">
        <f t="shared" si="0"/>
        <v>13.4</v>
      </c>
      <c r="C13" s="64">
        <f>'Data By State'!N12</f>
        <v>0.31801965384740044</v>
      </c>
      <c r="D13" s="64">
        <f>'Data By State'!O12</f>
        <v>0.42857142857142855</v>
      </c>
      <c r="E13" s="64">
        <f>'Data By State'!P12</f>
        <v>0.38409242360178925</v>
      </c>
      <c r="F13" s="64">
        <f>'Data By State'!Q12</f>
        <v>5.8459298459616782E-2</v>
      </c>
      <c r="G13" s="115">
        <f>'Data By State'!R12</f>
        <v>0.67055906536454801</v>
      </c>
      <c r="H13" s="97"/>
      <c r="I13" s="93" t="s">
        <v>70</v>
      </c>
      <c r="J13" s="25">
        <f t="shared" si="5"/>
        <v>4</v>
      </c>
      <c r="K13" s="105">
        <f t="shared" si="6"/>
        <v>22</v>
      </c>
      <c r="L13" s="105">
        <f t="shared" si="7"/>
        <v>9</v>
      </c>
      <c r="M13" s="105">
        <f t="shared" si="8"/>
        <v>15</v>
      </c>
      <c r="N13" s="105">
        <f t="shared" si="9"/>
        <v>6</v>
      </c>
      <c r="O13" s="107">
        <f t="shared" si="10"/>
        <v>5</v>
      </c>
      <c r="P13" s="24"/>
      <c r="Q13" s="80">
        <f t="shared" si="1"/>
        <v>4</v>
      </c>
      <c r="R13" s="81" t="s">
        <v>70</v>
      </c>
      <c r="S13" s="82">
        <f>'Data By State'!L12</f>
        <v>13.4</v>
      </c>
      <c r="T13" s="37"/>
      <c r="U13" s="57">
        <f t="shared" si="2"/>
        <v>22</v>
      </c>
      <c r="V13" s="81" t="s">
        <v>70</v>
      </c>
      <c r="W13" s="87">
        <f>'Data By State'!N12</f>
        <v>0.31801965384740044</v>
      </c>
      <c r="X13" s="33"/>
      <c r="Y13" s="80">
        <f t="shared" si="3"/>
        <v>9</v>
      </c>
      <c r="Z13" s="81" t="s">
        <v>70</v>
      </c>
      <c r="AA13" s="56">
        <f>'Data By State'!O12</f>
        <v>0.42857142857142855</v>
      </c>
      <c r="AB13" s="29"/>
      <c r="AC13" s="80">
        <f t="shared" si="11"/>
        <v>15</v>
      </c>
      <c r="AD13" s="81" t="s">
        <v>70</v>
      </c>
      <c r="AE13" s="56">
        <f>'Data By State'!P12</f>
        <v>0.38409242360178925</v>
      </c>
      <c r="AF13" s="29"/>
      <c r="AG13" s="80">
        <f t="shared" si="4"/>
        <v>6</v>
      </c>
      <c r="AH13" s="81" t="s">
        <v>70</v>
      </c>
      <c r="AI13" s="56">
        <f>'Data By State'!Q12</f>
        <v>5.8459298459616782E-2</v>
      </c>
      <c r="AJ13" s="29"/>
      <c r="AK13" s="80">
        <f t="shared" si="12"/>
        <v>5</v>
      </c>
      <c r="AL13" s="81" t="s">
        <v>70</v>
      </c>
      <c r="AM13" s="56">
        <f>'Data By State'!R12</f>
        <v>0.67055906536454801</v>
      </c>
    </row>
    <row r="14" spans="1:39">
      <c r="A14" s="93" t="s">
        <v>71</v>
      </c>
      <c r="B14" s="66">
        <f t="shared" si="0"/>
        <v>26.4</v>
      </c>
      <c r="C14" s="64">
        <f>'Data By State'!N13</f>
        <v>0.33139940771833787</v>
      </c>
      <c r="D14" s="64">
        <f>'Data By State'!O13</f>
        <v>0.6</v>
      </c>
      <c r="E14" s="64">
        <f>'Data By State'!P13</f>
        <v>0.37181635899580606</v>
      </c>
      <c r="F14" s="64">
        <f>'Data By State'!Q13</f>
        <v>0.34623674830942286</v>
      </c>
      <c r="G14" s="115">
        <f>'Data By State'!R13</f>
        <v>0.57319843500216927</v>
      </c>
      <c r="H14" s="97"/>
      <c r="I14" s="93" t="s">
        <v>71</v>
      </c>
      <c r="J14" s="25">
        <f t="shared" si="5"/>
        <v>26</v>
      </c>
      <c r="K14" s="105">
        <f t="shared" si="6"/>
        <v>25</v>
      </c>
      <c r="L14" s="105">
        <f t="shared" si="7"/>
        <v>20</v>
      </c>
      <c r="M14" s="105">
        <f t="shared" si="8"/>
        <v>22</v>
      </c>
      <c r="N14" s="105">
        <f t="shared" si="9"/>
        <v>43</v>
      </c>
      <c r="O14" s="107">
        <f t="shared" si="10"/>
        <v>24</v>
      </c>
      <c r="P14" s="24"/>
      <c r="Q14" s="80">
        <f t="shared" si="1"/>
        <v>26</v>
      </c>
      <c r="R14" s="81" t="s">
        <v>71</v>
      </c>
      <c r="S14" s="82">
        <f>'Data By State'!L13</f>
        <v>26.4</v>
      </c>
      <c r="T14" s="37"/>
      <c r="U14" s="57">
        <f t="shared" si="2"/>
        <v>25</v>
      </c>
      <c r="V14" s="81" t="s">
        <v>71</v>
      </c>
      <c r="W14" s="87">
        <f>'Data By State'!N13</f>
        <v>0.33139940771833787</v>
      </c>
      <c r="X14" s="33"/>
      <c r="Y14" s="80">
        <f t="shared" si="3"/>
        <v>20</v>
      </c>
      <c r="Z14" s="81" t="s">
        <v>71</v>
      </c>
      <c r="AA14" s="56">
        <f>'Data By State'!O13</f>
        <v>0.6</v>
      </c>
      <c r="AB14" s="29"/>
      <c r="AC14" s="80">
        <f t="shared" si="11"/>
        <v>22</v>
      </c>
      <c r="AD14" s="81" t="s">
        <v>71</v>
      </c>
      <c r="AE14" s="56">
        <f>'Data By State'!P13</f>
        <v>0.37181635899580606</v>
      </c>
      <c r="AF14" s="29"/>
      <c r="AG14" s="80">
        <f t="shared" si="4"/>
        <v>43</v>
      </c>
      <c r="AH14" s="81" t="s">
        <v>71</v>
      </c>
      <c r="AI14" s="56">
        <f>'Data By State'!Q13</f>
        <v>0.34623674830942286</v>
      </c>
      <c r="AJ14" s="29"/>
      <c r="AK14" s="80">
        <f t="shared" si="12"/>
        <v>24</v>
      </c>
      <c r="AL14" s="81" t="s">
        <v>71</v>
      </c>
      <c r="AM14" s="56">
        <f>'Data By State'!R13</f>
        <v>0.57319843500216927</v>
      </c>
    </row>
    <row r="15" spans="1:39">
      <c r="A15" s="93" t="s">
        <v>72</v>
      </c>
      <c r="B15" s="66">
        <f t="shared" si="0"/>
        <v>25</v>
      </c>
      <c r="C15" s="64">
        <f>'Data By State'!N14</f>
        <v>2.6203311851370571E-2</v>
      </c>
      <c r="D15" s="64">
        <f>'Data By State'!O14</f>
        <v>1</v>
      </c>
      <c r="E15" s="64">
        <f>'Data By State'!P14</f>
        <v>0.37835387084077626</v>
      </c>
      <c r="F15" s="64">
        <f>'Data By State'!Q14</f>
        <v>0.34515756624636973</v>
      </c>
      <c r="G15" s="115">
        <f>'Data By State'!R14</f>
        <v>0.58745193617729874</v>
      </c>
      <c r="H15" s="97"/>
      <c r="I15" s="93" t="s">
        <v>72</v>
      </c>
      <c r="J15" s="25">
        <f t="shared" si="5"/>
        <v>24</v>
      </c>
      <c r="K15" s="105">
        <f t="shared" si="6"/>
        <v>2</v>
      </c>
      <c r="L15" s="105">
        <f t="shared" si="7"/>
        <v>41</v>
      </c>
      <c r="M15" s="105">
        <f t="shared" si="8"/>
        <v>20</v>
      </c>
      <c r="N15" s="105">
        <f t="shared" si="9"/>
        <v>42</v>
      </c>
      <c r="O15" s="107">
        <f t="shared" si="10"/>
        <v>19</v>
      </c>
      <c r="P15" s="24"/>
      <c r="Q15" s="80">
        <f t="shared" si="1"/>
        <v>24</v>
      </c>
      <c r="R15" s="81" t="s">
        <v>72</v>
      </c>
      <c r="S15" s="82">
        <f>'Data By State'!L14</f>
        <v>25</v>
      </c>
      <c r="T15" s="37"/>
      <c r="U15" s="57">
        <f t="shared" si="2"/>
        <v>2</v>
      </c>
      <c r="V15" s="81" t="s">
        <v>72</v>
      </c>
      <c r="W15" s="87">
        <f>'Data By State'!N14</f>
        <v>2.6203311851370571E-2</v>
      </c>
      <c r="X15" s="33"/>
      <c r="Y15" s="80">
        <f t="shared" si="3"/>
        <v>41</v>
      </c>
      <c r="Z15" s="81" t="s">
        <v>72</v>
      </c>
      <c r="AA15" s="56">
        <f>'Data By State'!O14</f>
        <v>1</v>
      </c>
      <c r="AB15" s="29"/>
      <c r="AC15" s="80">
        <f t="shared" si="11"/>
        <v>20</v>
      </c>
      <c r="AD15" s="81" t="s">
        <v>72</v>
      </c>
      <c r="AE15" s="56">
        <f>'Data By State'!P14</f>
        <v>0.37835387084077626</v>
      </c>
      <c r="AF15" s="29"/>
      <c r="AG15" s="80">
        <f t="shared" si="4"/>
        <v>42</v>
      </c>
      <c r="AH15" s="81" t="s">
        <v>72</v>
      </c>
      <c r="AI15" s="56">
        <f>'Data By State'!Q14</f>
        <v>0.34515756624636973</v>
      </c>
      <c r="AJ15" s="29"/>
      <c r="AK15" s="80">
        <f t="shared" si="12"/>
        <v>19</v>
      </c>
      <c r="AL15" s="81" t="s">
        <v>72</v>
      </c>
      <c r="AM15" s="56">
        <f>'Data By State'!R14</f>
        <v>0.58745193617729874</v>
      </c>
    </row>
    <row r="16" spans="1:39">
      <c r="A16" s="93" t="s">
        <v>73</v>
      </c>
      <c r="B16" s="66">
        <f t="shared" si="0"/>
        <v>27</v>
      </c>
      <c r="C16" s="64">
        <f>'Data By State'!N15</f>
        <v>0.37915662546322132</v>
      </c>
      <c r="D16" s="64">
        <f>'Data By State'!O15</f>
        <v>0.62962962962962965</v>
      </c>
      <c r="E16" s="64">
        <f>'Data By State'!P15</f>
        <v>0.35177838430744574</v>
      </c>
      <c r="F16" s="64">
        <f>'Data By State'!Q15</f>
        <v>0.10074043551383649</v>
      </c>
      <c r="G16" s="115">
        <f>'Data By State'!R15</f>
        <v>0.56286219542397886</v>
      </c>
      <c r="H16" s="97"/>
      <c r="I16" s="93" t="s">
        <v>73</v>
      </c>
      <c r="J16" s="25">
        <f t="shared" si="5"/>
        <v>28</v>
      </c>
      <c r="K16" s="105">
        <f t="shared" si="6"/>
        <v>32</v>
      </c>
      <c r="L16" s="105">
        <f t="shared" si="7"/>
        <v>24</v>
      </c>
      <c r="M16" s="105">
        <f t="shared" si="8"/>
        <v>33</v>
      </c>
      <c r="N16" s="105">
        <f t="shared" si="9"/>
        <v>13</v>
      </c>
      <c r="O16" s="107">
        <f t="shared" si="10"/>
        <v>28</v>
      </c>
      <c r="P16" s="24"/>
      <c r="Q16" s="80">
        <f t="shared" si="1"/>
        <v>28</v>
      </c>
      <c r="R16" s="81" t="s">
        <v>73</v>
      </c>
      <c r="S16" s="82">
        <f>'Data By State'!L15</f>
        <v>27</v>
      </c>
      <c r="T16" s="37"/>
      <c r="U16" s="57">
        <f t="shared" si="2"/>
        <v>32</v>
      </c>
      <c r="V16" s="81" t="s">
        <v>73</v>
      </c>
      <c r="W16" s="87">
        <f>'Data By State'!N15</f>
        <v>0.37915662546322132</v>
      </c>
      <c r="X16" s="33"/>
      <c r="Y16" s="80">
        <f t="shared" si="3"/>
        <v>24</v>
      </c>
      <c r="Z16" s="81" t="s">
        <v>73</v>
      </c>
      <c r="AA16" s="56">
        <f>'Data By State'!O15</f>
        <v>0.62962962962962965</v>
      </c>
      <c r="AB16" s="29"/>
      <c r="AC16" s="80">
        <f t="shared" si="11"/>
        <v>33</v>
      </c>
      <c r="AD16" s="81" t="s">
        <v>73</v>
      </c>
      <c r="AE16" s="56">
        <f>'Data By State'!P15</f>
        <v>0.35177838430744574</v>
      </c>
      <c r="AF16" s="29"/>
      <c r="AG16" s="80">
        <f t="shared" si="4"/>
        <v>13</v>
      </c>
      <c r="AH16" s="81" t="s">
        <v>73</v>
      </c>
      <c r="AI16" s="56">
        <f>'Data By State'!Q15</f>
        <v>0.10074043551383649</v>
      </c>
      <c r="AJ16" s="29"/>
      <c r="AK16" s="80">
        <f t="shared" si="12"/>
        <v>28</v>
      </c>
      <c r="AL16" s="81" t="s">
        <v>73</v>
      </c>
      <c r="AM16" s="56">
        <f>'Data By State'!R15</f>
        <v>0.56286219542397886</v>
      </c>
    </row>
    <row r="17" spans="1:39">
      <c r="A17" s="112" t="s">
        <v>74</v>
      </c>
      <c r="B17" s="113">
        <f t="shared" si="0"/>
        <v>21.6</v>
      </c>
      <c r="C17" s="114">
        <f>'Data By State'!N16</f>
        <v>0.54620214367986075</v>
      </c>
      <c r="D17" s="114">
        <f>'Data By State'!O16</f>
        <v>0.9285714285714286</v>
      </c>
      <c r="E17" s="114">
        <f>'Data By State'!P16</f>
        <v>0.39518555651991738</v>
      </c>
      <c r="F17" s="114">
        <f>'Data By State'!Q16</f>
        <v>5.0664469824135361E-2</v>
      </c>
      <c r="G17" s="115">
        <f>'Data By State'!R16</f>
        <v>0.53176682728279412</v>
      </c>
      <c r="H17" s="97"/>
      <c r="I17" s="112" t="s">
        <v>74</v>
      </c>
      <c r="J17" s="116">
        <f t="shared" si="5"/>
        <v>12</v>
      </c>
      <c r="K17" s="117">
        <f t="shared" si="6"/>
        <v>45</v>
      </c>
      <c r="L17" s="117">
        <f t="shared" si="7"/>
        <v>40</v>
      </c>
      <c r="M17" s="117">
        <f t="shared" si="8"/>
        <v>10</v>
      </c>
      <c r="N17" s="117">
        <f t="shared" si="9"/>
        <v>3</v>
      </c>
      <c r="O17" s="118">
        <f t="shared" si="10"/>
        <v>38</v>
      </c>
      <c r="P17" s="24"/>
      <c r="Q17" s="119">
        <f t="shared" si="1"/>
        <v>12</v>
      </c>
      <c r="R17" s="120" t="s">
        <v>74</v>
      </c>
      <c r="S17" s="121">
        <f>'Data By State'!L16</f>
        <v>21.6</v>
      </c>
      <c r="T17" s="37"/>
      <c r="U17" s="122">
        <f t="shared" si="2"/>
        <v>45</v>
      </c>
      <c r="V17" s="120" t="s">
        <v>74</v>
      </c>
      <c r="W17" s="123">
        <f>'Data By State'!N16</f>
        <v>0.54620214367986075</v>
      </c>
      <c r="X17" s="33"/>
      <c r="Y17" s="119">
        <f t="shared" si="3"/>
        <v>40</v>
      </c>
      <c r="Z17" s="120" t="s">
        <v>74</v>
      </c>
      <c r="AA17" s="115">
        <f>'Data By State'!O16</f>
        <v>0.9285714285714286</v>
      </c>
      <c r="AB17" s="29"/>
      <c r="AC17" s="119">
        <f t="shared" si="11"/>
        <v>10</v>
      </c>
      <c r="AD17" s="120" t="s">
        <v>74</v>
      </c>
      <c r="AE17" s="115">
        <f>'Data By State'!P16</f>
        <v>0.39518555651991738</v>
      </c>
      <c r="AF17" s="29"/>
      <c r="AG17" s="119">
        <f t="shared" si="4"/>
        <v>3</v>
      </c>
      <c r="AH17" s="120" t="s">
        <v>74</v>
      </c>
      <c r="AI17" s="115">
        <f>'Data By State'!Q16</f>
        <v>5.0664469824135361E-2</v>
      </c>
      <c r="AJ17" s="29"/>
      <c r="AK17" s="119">
        <f t="shared" si="12"/>
        <v>38</v>
      </c>
      <c r="AL17" s="120" t="s">
        <v>74</v>
      </c>
      <c r="AM17" s="115">
        <f>'Data By State'!R16</f>
        <v>0.53176682728279412</v>
      </c>
    </row>
    <row r="18" spans="1:39">
      <c r="A18" s="93" t="s">
        <v>75</v>
      </c>
      <c r="B18" s="66">
        <f t="shared" si="0"/>
        <v>31.2</v>
      </c>
      <c r="C18" s="64">
        <f>'Data By State'!N17</f>
        <v>0.22253299446639024</v>
      </c>
      <c r="D18" s="64">
        <f>'Data By State'!O17</f>
        <v>0.5</v>
      </c>
      <c r="E18" s="64">
        <f>'Data By State'!P17</f>
        <v>0.28995374095954701</v>
      </c>
      <c r="F18" s="64">
        <f>'Data By State'!Q17</f>
        <v>0.3254871147988706</v>
      </c>
      <c r="G18" s="115">
        <f>'Data By State'!R17</f>
        <v>0.42987131502030129</v>
      </c>
      <c r="H18" s="97"/>
      <c r="I18" s="93" t="s">
        <v>75</v>
      </c>
      <c r="J18" s="25">
        <f t="shared" si="5"/>
        <v>38</v>
      </c>
      <c r="K18" s="105">
        <f t="shared" si="6"/>
        <v>10</v>
      </c>
      <c r="L18" s="105">
        <f t="shared" si="7"/>
        <v>10</v>
      </c>
      <c r="M18" s="105">
        <f t="shared" si="8"/>
        <v>49</v>
      </c>
      <c r="N18" s="105">
        <f t="shared" si="9"/>
        <v>38</v>
      </c>
      <c r="O18" s="107">
        <f t="shared" si="10"/>
        <v>50</v>
      </c>
      <c r="P18" s="24"/>
      <c r="Q18" s="80">
        <f t="shared" si="1"/>
        <v>38</v>
      </c>
      <c r="R18" s="81" t="s">
        <v>75</v>
      </c>
      <c r="S18" s="82">
        <f>'Data By State'!L17</f>
        <v>31.2</v>
      </c>
      <c r="T18" s="37"/>
      <c r="U18" s="57">
        <f t="shared" si="2"/>
        <v>10</v>
      </c>
      <c r="V18" s="81" t="s">
        <v>75</v>
      </c>
      <c r="W18" s="87">
        <f>'Data By State'!N17</f>
        <v>0.22253299446639024</v>
      </c>
      <c r="X18" s="33"/>
      <c r="Y18" s="80">
        <f t="shared" si="3"/>
        <v>10</v>
      </c>
      <c r="Z18" s="81" t="s">
        <v>75</v>
      </c>
      <c r="AA18" s="56">
        <f>'Data By State'!O17</f>
        <v>0.5</v>
      </c>
      <c r="AB18" s="29"/>
      <c r="AC18" s="80">
        <f t="shared" si="11"/>
        <v>49</v>
      </c>
      <c r="AD18" s="81" t="s">
        <v>75</v>
      </c>
      <c r="AE18" s="56">
        <f>'Data By State'!P17</f>
        <v>0.28995374095954701</v>
      </c>
      <c r="AF18" s="29"/>
      <c r="AG18" s="80">
        <f t="shared" si="4"/>
        <v>38</v>
      </c>
      <c r="AH18" s="81" t="s">
        <v>75</v>
      </c>
      <c r="AI18" s="56">
        <f>'Data By State'!Q17</f>
        <v>0.3254871147988706</v>
      </c>
      <c r="AJ18" s="29"/>
      <c r="AK18" s="80">
        <f t="shared" si="12"/>
        <v>50</v>
      </c>
      <c r="AL18" s="81" t="s">
        <v>75</v>
      </c>
      <c r="AM18" s="56">
        <f>'Data By State'!R17</f>
        <v>0.42987131502030129</v>
      </c>
    </row>
    <row r="19" spans="1:39">
      <c r="A19" s="93" t="s">
        <v>76</v>
      </c>
      <c r="B19" s="66">
        <f t="shared" si="0"/>
        <v>33.4</v>
      </c>
      <c r="C19" s="64">
        <f>'Data By State'!N18</f>
        <v>0.4471567427836361</v>
      </c>
      <c r="D19" s="64">
        <f>'Data By State'!O18</f>
        <v>1</v>
      </c>
      <c r="E19" s="64">
        <f>'Data By State'!P18</f>
        <v>0.37169275187530265</v>
      </c>
      <c r="F19" s="64">
        <f>'Data By State'!Q18</f>
        <v>0.3437403083995183</v>
      </c>
      <c r="G19" s="115">
        <f>'Data By State'!R18</f>
        <v>0.58037533463074131</v>
      </c>
      <c r="H19" s="97"/>
      <c r="I19" s="93" t="s">
        <v>76</v>
      </c>
      <c r="J19" s="25">
        <f t="shared" si="5"/>
        <v>44</v>
      </c>
      <c r="K19" s="105">
        <f t="shared" si="6"/>
        <v>39</v>
      </c>
      <c r="L19" s="105">
        <f t="shared" si="7"/>
        <v>41</v>
      </c>
      <c r="M19" s="105">
        <f t="shared" si="8"/>
        <v>23</v>
      </c>
      <c r="N19" s="105">
        <f t="shared" si="9"/>
        <v>41</v>
      </c>
      <c r="O19" s="107">
        <f t="shared" si="10"/>
        <v>22</v>
      </c>
      <c r="P19" s="24"/>
      <c r="Q19" s="80">
        <f t="shared" si="1"/>
        <v>44</v>
      </c>
      <c r="R19" s="81" t="s">
        <v>76</v>
      </c>
      <c r="S19" s="82">
        <f>'Data By State'!L18</f>
        <v>33.4</v>
      </c>
      <c r="T19" s="37"/>
      <c r="U19" s="57">
        <f t="shared" si="2"/>
        <v>39</v>
      </c>
      <c r="V19" s="81" t="s">
        <v>76</v>
      </c>
      <c r="W19" s="87">
        <f>'Data By State'!N18</f>
        <v>0.4471567427836361</v>
      </c>
      <c r="X19" s="33"/>
      <c r="Y19" s="80">
        <f t="shared" si="3"/>
        <v>41</v>
      </c>
      <c r="Z19" s="81" t="s">
        <v>76</v>
      </c>
      <c r="AA19" s="56">
        <f>'Data By State'!O18</f>
        <v>1</v>
      </c>
      <c r="AB19" s="29"/>
      <c r="AC19" s="80">
        <f t="shared" si="11"/>
        <v>23</v>
      </c>
      <c r="AD19" s="81" t="s">
        <v>76</v>
      </c>
      <c r="AE19" s="56">
        <f>'Data By State'!P18</f>
        <v>0.37169275187530265</v>
      </c>
      <c r="AF19" s="29"/>
      <c r="AG19" s="80">
        <f t="shared" si="4"/>
        <v>41</v>
      </c>
      <c r="AH19" s="81" t="s">
        <v>76</v>
      </c>
      <c r="AI19" s="56">
        <f>'Data By State'!Q18</f>
        <v>0.3437403083995183</v>
      </c>
      <c r="AJ19" s="29"/>
      <c r="AK19" s="80">
        <f t="shared" si="12"/>
        <v>22</v>
      </c>
      <c r="AL19" s="81" t="s">
        <v>76</v>
      </c>
      <c r="AM19" s="56">
        <f>'Data By State'!R18</f>
        <v>0.58037533463074131</v>
      </c>
    </row>
    <row r="20" spans="1:39">
      <c r="A20" s="93" t="s">
        <v>77</v>
      </c>
      <c r="B20" s="66">
        <f t="shared" si="0"/>
        <v>21.6</v>
      </c>
      <c r="C20" s="64">
        <f>'Data By State'!N19</f>
        <v>0.31156290402647641</v>
      </c>
      <c r="D20" s="64">
        <f>'Data By State'!O19</f>
        <v>0.55555555555555558</v>
      </c>
      <c r="E20" s="64">
        <f>'Data By State'!P19</f>
        <v>0.35926166918323382</v>
      </c>
      <c r="F20" s="64">
        <f>'Data By State'!Q19</f>
        <v>0.11369415684930917</v>
      </c>
      <c r="G20" s="115">
        <f>'Data By State'!R19</f>
        <v>0.56813797954195444</v>
      </c>
      <c r="H20" s="97"/>
      <c r="I20" s="93" t="s">
        <v>77</v>
      </c>
      <c r="J20" s="25">
        <f t="shared" si="5"/>
        <v>12</v>
      </c>
      <c r="K20" s="105">
        <f t="shared" si="6"/>
        <v>21</v>
      </c>
      <c r="L20" s="105">
        <f t="shared" si="7"/>
        <v>16</v>
      </c>
      <c r="M20" s="105">
        <f t="shared" si="8"/>
        <v>28</v>
      </c>
      <c r="N20" s="105">
        <f t="shared" si="9"/>
        <v>15</v>
      </c>
      <c r="O20" s="107">
        <f t="shared" si="10"/>
        <v>27</v>
      </c>
      <c r="P20" s="24"/>
      <c r="Q20" s="80">
        <f t="shared" si="1"/>
        <v>12</v>
      </c>
      <c r="R20" s="81" t="s">
        <v>77</v>
      </c>
      <c r="S20" s="82">
        <f>'Data By State'!L19</f>
        <v>21.6</v>
      </c>
      <c r="T20" s="37"/>
      <c r="U20" s="57">
        <f t="shared" si="2"/>
        <v>21</v>
      </c>
      <c r="V20" s="81" t="s">
        <v>77</v>
      </c>
      <c r="W20" s="87">
        <f>'Data By State'!N19</f>
        <v>0.31156290402647641</v>
      </c>
      <c r="X20" s="33"/>
      <c r="Y20" s="80">
        <f t="shared" si="3"/>
        <v>16</v>
      </c>
      <c r="Z20" s="81" t="s">
        <v>77</v>
      </c>
      <c r="AA20" s="56">
        <f>'Data By State'!O19</f>
        <v>0.55555555555555558</v>
      </c>
      <c r="AB20" s="29"/>
      <c r="AC20" s="80">
        <f t="shared" si="11"/>
        <v>28</v>
      </c>
      <c r="AD20" s="81" t="s">
        <v>77</v>
      </c>
      <c r="AE20" s="56">
        <f>'Data By State'!P19</f>
        <v>0.35926166918323382</v>
      </c>
      <c r="AF20" s="29"/>
      <c r="AG20" s="80">
        <f t="shared" si="4"/>
        <v>15</v>
      </c>
      <c r="AH20" s="81" t="s">
        <v>77</v>
      </c>
      <c r="AI20" s="56">
        <f>'Data By State'!Q19</f>
        <v>0.11369415684930917</v>
      </c>
      <c r="AJ20" s="29"/>
      <c r="AK20" s="80">
        <f t="shared" si="12"/>
        <v>27</v>
      </c>
      <c r="AL20" s="81" t="s">
        <v>77</v>
      </c>
      <c r="AM20" s="56">
        <f>'Data By State'!R19</f>
        <v>0.56813797954195444</v>
      </c>
    </row>
    <row r="21" spans="1:39">
      <c r="A21" s="93" t="s">
        <v>78</v>
      </c>
      <c r="B21" s="66">
        <f t="shared" si="0"/>
        <v>31.4</v>
      </c>
      <c r="C21" s="64">
        <f>'Data By State'!N20</f>
        <v>0.2495869250746639</v>
      </c>
      <c r="D21" s="64">
        <f>'Data By State'!O20</f>
        <v>0.66666666666666663</v>
      </c>
      <c r="E21" s="64">
        <f>'Data By State'!P20</f>
        <v>0.31823369964909332</v>
      </c>
      <c r="F21" s="64">
        <f>'Data By State'!Q20</f>
        <v>0.23681716540677458</v>
      </c>
      <c r="G21" s="115">
        <f>'Data By State'!R20</f>
        <v>0.53660271900149192</v>
      </c>
      <c r="H21" s="97"/>
      <c r="I21" s="93" t="s">
        <v>78</v>
      </c>
      <c r="J21" s="25">
        <f t="shared" si="5"/>
        <v>39</v>
      </c>
      <c r="K21" s="105">
        <f t="shared" si="6"/>
        <v>14</v>
      </c>
      <c r="L21" s="105">
        <f t="shared" si="7"/>
        <v>26</v>
      </c>
      <c r="M21" s="105">
        <f t="shared" si="8"/>
        <v>43</v>
      </c>
      <c r="N21" s="105">
        <f t="shared" si="9"/>
        <v>31</v>
      </c>
      <c r="O21" s="107">
        <f t="shared" si="10"/>
        <v>36</v>
      </c>
      <c r="P21" s="24"/>
      <c r="Q21" s="80">
        <f t="shared" si="1"/>
        <v>39</v>
      </c>
      <c r="R21" s="81" t="s">
        <v>78</v>
      </c>
      <c r="S21" s="82">
        <f>'Data By State'!L20</f>
        <v>31.4</v>
      </c>
      <c r="T21" s="37"/>
      <c r="U21" s="57">
        <f t="shared" si="2"/>
        <v>14</v>
      </c>
      <c r="V21" s="81" t="s">
        <v>78</v>
      </c>
      <c r="W21" s="87">
        <f>'Data By State'!N20</f>
        <v>0.2495869250746639</v>
      </c>
      <c r="X21" s="33"/>
      <c r="Y21" s="80">
        <f t="shared" si="3"/>
        <v>26</v>
      </c>
      <c r="Z21" s="81" t="s">
        <v>78</v>
      </c>
      <c r="AA21" s="56">
        <f>'Data By State'!O20</f>
        <v>0.66666666666666663</v>
      </c>
      <c r="AB21" s="29"/>
      <c r="AC21" s="80">
        <f t="shared" si="11"/>
        <v>43</v>
      </c>
      <c r="AD21" s="81" t="s">
        <v>78</v>
      </c>
      <c r="AE21" s="56">
        <f>'Data By State'!P20</f>
        <v>0.31823369964909332</v>
      </c>
      <c r="AF21" s="29"/>
      <c r="AG21" s="80">
        <f t="shared" si="4"/>
        <v>31</v>
      </c>
      <c r="AH21" s="81" t="s">
        <v>78</v>
      </c>
      <c r="AI21" s="56">
        <f>'Data By State'!Q20</f>
        <v>0.23681716540677458</v>
      </c>
      <c r="AJ21" s="29"/>
      <c r="AK21" s="80">
        <f t="shared" si="12"/>
        <v>36</v>
      </c>
      <c r="AL21" s="81" t="s">
        <v>78</v>
      </c>
      <c r="AM21" s="56">
        <f>'Data By State'!R20</f>
        <v>0.53660271900149192</v>
      </c>
    </row>
    <row r="22" spans="1:39">
      <c r="A22" s="112" t="s">
        <v>79</v>
      </c>
      <c r="B22" s="113">
        <f t="shared" si="0"/>
        <v>10.8</v>
      </c>
      <c r="C22" s="114">
        <f>'Data By State'!N21</f>
        <v>0.15236366407894414</v>
      </c>
      <c r="D22" s="114">
        <f>'Data By State'!O21</f>
        <v>0</v>
      </c>
      <c r="E22" s="114">
        <f>'Data By State'!P21</f>
        <v>0.36951366874689345</v>
      </c>
      <c r="F22" s="114">
        <f>'Data By State'!Q21</f>
        <v>1.4927296045349925E-2</v>
      </c>
      <c r="G22" s="115">
        <f>'Data By State'!R21</f>
        <v>0.67900767658916439</v>
      </c>
      <c r="H22" s="97"/>
      <c r="I22" s="112" t="s">
        <v>79</v>
      </c>
      <c r="J22" s="116">
        <f t="shared" si="5"/>
        <v>2</v>
      </c>
      <c r="K22" s="117">
        <f t="shared" si="6"/>
        <v>4</v>
      </c>
      <c r="L22" s="117">
        <f t="shared" si="7"/>
        <v>1</v>
      </c>
      <c r="M22" s="117">
        <f t="shared" si="8"/>
        <v>24</v>
      </c>
      <c r="N22" s="117">
        <f t="shared" si="9"/>
        <v>1</v>
      </c>
      <c r="O22" s="118">
        <f t="shared" si="10"/>
        <v>2</v>
      </c>
      <c r="P22" s="24"/>
      <c r="Q22" s="119">
        <f t="shared" si="1"/>
        <v>2</v>
      </c>
      <c r="R22" s="120" t="s">
        <v>79</v>
      </c>
      <c r="S22" s="121">
        <f>'Data By State'!L21</f>
        <v>10.8</v>
      </c>
      <c r="T22" s="37"/>
      <c r="U22" s="122">
        <f t="shared" si="2"/>
        <v>4</v>
      </c>
      <c r="V22" s="120" t="s">
        <v>79</v>
      </c>
      <c r="W22" s="123">
        <f>'Data By State'!N21</f>
        <v>0.15236366407894414</v>
      </c>
      <c r="X22" s="33"/>
      <c r="Y22" s="119">
        <f t="shared" si="3"/>
        <v>1</v>
      </c>
      <c r="Z22" s="120" t="s">
        <v>79</v>
      </c>
      <c r="AA22" s="115">
        <f>'Data By State'!O21</f>
        <v>0</v>
      </c>
      <c r="AB22" s="29"/>
      <c r="AC22" s="119">
        <f t="shared" si="11"/>
        <v>24</v>
      </c>
      <c r="AD22" s="120" t="s">
        <v>79</v>
      </c>
      <c r="AE22" s="115">
        <f>'Data By State'!P21</f>
        <v>0.36951366874689345</v>
      </c>
      <c r="AF22" s="29"/>
      <c r="AG22" s="119">
        <f t="shared" si="4"/>
        <v>1</v>
      </c>
      <c r="AH22" s="120" t="s">
        <v>79</v>
      </c>
      <c r="AI22" s="115">
        <f>'Data By State'!Q21</f>
        <v>1.4927296045349925E-2</v>
      </c>
      <c r="AJ22" s="29"/>
      <c r="AK22" s="119">
        <f t="shared" si="12"/>
        <v>2</v>
      </c>
      <c r="AL22" s="120" t="s">
        <v>79</v>
      </c>
      <c r="AM22" s="115">
        <f>'Data By State'!R21</f>
        <v>0.67900767658916439</v>
      </c>
    </row>
    <row r="23" spans="1:39">
      <c r="A23" s="93" t="s">
        <v>80</v>
      </c>
      <c r="B23" s="66">
        <f t="shared" si="0"/>
        <v>28.6</v>
      </c>
      <c r="C23" s="64">
        <f>'Data By State'!N22</f>
        <v>0.34097162352454247</v>
      </c>
      <c r="D23" s="64">
        <f>'Data By State'!O22</f>
        <v>0.75</v>
      </c>
      <c r="E23" s="64">
        <f>'Data By State'!P22</f>
        <v>0.36413775276525734</v>
      </c>
      <c r="F23" s="64">
        <f>'Data By State'!Q22</f>
        <v>0.2421500010872247</v>
      </c>
      <c r="G23" s="115">
        <f>'Data By State'!R22</f>
        <v>0.51980105086658157</v>
      </c>
      <c r="H23" s="97"/>
      <c r="I23" s="93" t="s">
        <v>80</v>
      </c>
      <c r="J23" s="25">
        <f t="shared" si="5"/>
        <v>33</v>
      </c>
      <c r="K23" s="105">
        <f t="shared" si="6"/>
        <v>27</v>
      </c>
      <c r="L23" s="105">
        <f t="shared" si="7"/>
        <v>32</v>
      </c>
      <c r="M23" s="105">
        <f t="shared" si="8"/>
        <v>26</v>
      </c>
      <c r="N23" s="105">
        <f t="shared" si="9"/>
        <v>32</v>
      </c>
      <c r="O23" s="107">
        <f t="shared" si="10"/>
        <v>39</v>
      </c>
      <c r="P23" s="24"/>
      <c r="Q23" s="80">
        <f t="shared" si="1"/>
        <v>33</v>
      </c>
      <c r="R23" s="81" t="s">
        <v>80</v>
      </c>
      <c r="S23" s="82">
        <f>'Data By State'!L22</f>
        <v>28.6</v>
      </c>
      <c r="T23" s="37"/>
      <c r="U23" s="57">
        <f t="shared" si="2"/>
        <v>27</v>
      </c>
      <c r="V23" s="81" t="s">
        <v>80</v>
      </c>
      <c r="W23" s="87">
        <f>'Data By State'!N22</f>
        <v>0.34097162352454247</v>
      </c>
      <c r="X23" s="33"/>
      <c r="Y23" s="80">
        <f t="shared" si="3"/>
        <v>32</v>
      </c>
      <c r="Z23" s="81" t="s">
        <v>80</v>
      </c>
      <c r="AA23" s="56">
        <f>'Data By State'!O22</f>
        <v>0.75</v>
      </c>
      <c r="AB23" s="29"/>
      <c r="AC23" s="80">
        <f t="shared" si="11"/>
        <v>26</v>
      </c>
      <c r="AD23" s="81" t="s">
        <v>80</v>
      </c>
      <c r="AE23" s="56">
        <f>'Data By State'!P22</f>
        <v>0.36413775276525734</v>
      </c>
      <c r="AF23" s="29"/>
      <c r="AG23" s="80">
        <f t="shared" si="4"/>
        <v>32</v>
      </c>
      <c r="AH23" s="81" t="s">
        <v>80</v>
      </c>
      <c r="AI23" s="56">
        <f>'Data By State'!Q22</f>
        <v>0.2421500010872247</v>
      </c>
      <c r="AJ23" s="29"/>
      <c r="AK23" s="80">
        <f t="shared" si="12"/>
        <v>39</v>
      </c>
      <c r="AL23" s="81" t="s">
        <v>80</v>
      </c>
      <c r="AM23" s="56">
        <f>'Data By State'!R22</f>
        <v>0.51980105086658157</v>
      </c>
    </row>
    <row r="24" spans="1:39">
      <c r="A24" s="93" t="s">
        <v>81</v>
      </c>
      <c r="B24" s="66">
        <f t="shared" si="0"/>
        <v>34.4</v>
      </c>
      <c r="C24" s="64">
        <f>'Data By State'!N23</f>
        <v>0.4394821835218885</v>
      </c>
      <c r="D24" s="64">
        <f>'Data By State'!O23</f>
        <v>0.83333333333333337</v>
      </c>
      <c r="E24" s="64">
        <f>'Data By State'!P23</f>
        <v>0.3455687477430523</v>
      </c>
      <c r="F24" s="64">
        <f>'Data By State'!Q23</f>
        <v>0.23511948755851197</v>
      </c>
      <c r="G24" s="115">
        <f>'Data By State'!R23</f>
        <v>0.53731748546856617</v>
      </c>
      <c r="H24" s="97"/>
      <c r="I24" s="93" t="s">
        <v>81</v>
      </c>
      <c r="J24" s="25">
        <f t="shared" si="5"/>
        <v>47</v>
      </c>
      <c r="K24" s="105">
        <f t="shared" si="6"/>
        <v>38</v>
      </c>
      <c r="L24" s="105">
        <f t="shared" si="7"/>
        <v>36</v>
      </c>
      <c r="M24" s="105">
        <f t="shared" si="8"/>
        <v>34</v>
      </c>
      <c r="N24" s="105">
        <f t="shared" si="9"/>
        <v>30</v>
      </c>
      <c r="O24" s="107">
        <f t="shared" si="10"/>
        <v>35</v>
      </c>
      <c r="P24" s="24"/>
      <c r="Q24" s="80">
        <f t="shared" si="1"/>
        <v>47</v>
      </c>
      <c r="R24" s="81" t="s">
        <v>81</v>
      </c>
      <c r="S24" s="82">
        <f>'Data By State'!L23</f>
        <v>34.4</v>
      </c>
      <c r="T24" s="37"/>
      <c r="U24" s="57">
        <f t="shared" si="2"/>
        <v>38</v>
      </c>
      <c r="V24" s="81" t="s">
        <v>81</v>
      </c>
      <c r="W24" s="87">
        <f>'Data By State'!N23</f>
        <v>0.4394821835218885</v>
      </c>
      <c r="X24" s="33"/>
      <c r="Y24" s="80">
        <f t="shared" si="3"/>
        <v>36</v>
      </c>
      <c r="Z24" s="81" t="s">
        <v>81</v>
      </c>
      <c r="AA24" s="56">
        <f>'Data By State'!O23</f>
        <v>0.83333333333333337</v>
      </c>
      <c r="AB24" s="29"/>
      <c r="AC24" s="80">
        <f t="shared" si="11"/>
        <v>34</v>
      </c>
      <c r="AD24" s="81" t="s">
        <v>81</v>
      </c>
      <c r="AE24" s="56">
        <f>'Data By State'!P23</f>
        <v>0.3455687477430523</v>
      </c>
      <c r="AF24" s="29"/>
      <c r="AG24" s="80">
        <f t="shared" si="4"/>
        <v>30</v>
      </c>
      <c r="AH24" s="81" t="s">
        <v>81</v>
      </c>
      <c r="AI24" s="56">
        <f>'Data By State'!Q23</f>
        <v>0.23511948755851197</v>
      </c>
      <c r="AJ24" s="29"/>
      <c r="AK24" s="80">
        <f t="shared" si="12"/>
        <v>35</v>
      </c>
      <c r="AL24" s="81" t="s">
        <v>81</v>
      </c>
      <c r="AM24" s="56">
        <f>'Data By State'!R23</f>
        <v>0.53731748546856617</v>
      </c>
    </row>
    <row r="25" spans="1:39">
      <c r="A25" s="93" t="s">
        <v>82</v>
      </c>
      <c r="B25" s="66">
        <f t="shared" si="0"/>
        <v>23.4</v>
      </c>
      <c r="C25" s="64">
        <f>'Data By State'!N24</f>
        <v>0.62339283544287005</v>
      </c>
      <c r="D25" s="64">
        <f>'Data By State'!O24</f>
        <v>1</v>
      </c>
      <c r="E25" s="64">
        <f>'Data By State'!P24</f>
        <v>0.40069413785982438</v>
      </c>
      <c r="F25" s="64">
        <f>'Data By State'!Q24</f>
        <v>0.10355226290544715</v>
      </c>
      <c r="G25" s="115">
        <f>'Data By State'!R24</f>
        <v>0.51646018760253554</v>
      </c>
      <c r="H25" s="97"/>
      <c r="I25" s="93" t="s">
        <v>82</v>
      </c>
      <c r="J25" s="25">
        <f t="shared" si="5"/>
        <v>19</v>
      </c>
      <c r="K25" s="105">
        <f t="shared" si="6"/>
        <v>48</v>
      </c>
      <c r="L25" s="105">
        <f t="shared" si="7"/>
        <v>41</v>
      </c>
      <c r="M25" s="105">
        <f t="shared" si="8"/>
        <v>7</v>
      </c>
      <c r="N25" s="105">
        <f t="shared" si="9"/>
        <v>14</v>
      </c>
      <c r="O25" s="107">
        <f t="shared" si="10"/>
        <v>42</v>
      </c>
      <c r="P25" s="24"/>
      <c r="Q25" s="80">
        <f t="shared" si="1"/>
        <v>19</v>
      </c>
      <c r="R25" s="81" t="s">
        <v>82</v>
      </c>
      <c r="S25" s="82">
        <f>'Data By State'!L24</f>
        <v>23.4</v>
      </c>
      <c r="T25" s="37"/>
      <c r="U25" s="57">
        <f t="shared" si="2"/>
        <v>48</v>
      </c>
      <c r="V25" s="81" t="s">
        <v>82</v>
      </c>
      <c r="W25" s="87">
        <f>'Data By State'!N24</f>
        <v>0.62339283544287005</v>
      </c>
      <c r="X25" s="33"/>
      <c r="Y25" s="80">
        <f t="shared" si="3"/>
        <v>41</v>
      </c>
      <c r="Z25" s="81" t="s">
        <v>82</v>
      </c>
      <c r="AA25" s="56">
        <f>'Data By State'!O24</f>
        <v>1</v>
      </c>
      <c r="AB25" s="29"/>
      <c r="AC25" s="80">
        <f t="shared" si="11"/>
        <v>7</v>
      </c>
      <c r="AD25" s="81" t="s">
        <v>82</v>
      </c>
      <c r="AE25" s="56">
        <f>'Data By State'!P24</f>
        <v>0.40069413785982438</v>
      </c>
      <c r="AF25" s="29"/>
      <c r="AG25" s="80">
        <f t="shared" si="4"/>
        <v>14</v>
      </c>
      <c r="AH25" s="81" t="s">
        <v>82</v>
      </c>
      <c r="AI25" s="56">
        <f>'Data By State'!Q24</f>
        <v>0.10355226290544715</v>
      </c>
      <c r="AJ25" s="29"/>
      <c r="AK25" s="80">
        <f t="shared" si="12"/>
        <v>42</v>
      </c>
      <c r="AL25" s="81" t="s">
        <v>82</v>
      </c>
      <c r="AM25" s="56">
        <f>'Data By State'!R24</f>
        <v>0.51646018760253554</v>
      </c>
    </row>
    <row r="26" spans="1:39">
      <c r="A26" s="93" t="s">
        <v>83</v>
      </c>
      <c r="B26" s="66">
        <f t="shared" si="0"/>
        <v>23.2</v>
      </c>
      <c r="C26" s="64">
        <f>'Data By State'!N25</f>
        <v>0.64791956206500489</v>
      </c>
      <c r="D26" s="64">
        <f>'Data By State'!O25</f>
        <v>0.5</v>
      </c>
      <c r="E26" s="64">
        <f>'Data By State'!P25</f>
        <v>0.40826280345185278</v>
      </c>
      <c r="F26" s="64">
        <f>'Data By State'!Q25</f>
        <v>0.38336929465365432</v>
      </c>
      <c r="G26" s="115">
        <f>'Data By State'!R25</f>
        <v>0.66208639938314784</v>
      </c>
      <c r="H26" s="97"/>
      <c r="I26" s="93" t="s">
        <v>83</v>
      </c>
      <c r="J26" s="25">
        <f t="shared" si="5"/>
        <v>18</v>
      </c>
      <c r="K26" s="105">
        <f t="shared" si="6"/>
        <v>49</v>
      </c>
      <c r="L26" s="105">
        <f t="shared" si="7"/>
        <v>10</v>
      </c>
      <c r="M26" s="105">
        <f t="shared" si="8"/>
        <v>6</v>
      </c>
      <c r="N26" s="105">
        <f t="shared" si="9"/>
        <v>45</v>
      </c>
      <c r="O26" s="107">
        <f t="shared" si="10"/>
        <v>6</v>
      </c>
      <c r="P26" s="24"/>
      <c r="Q26" s="80">
        <f t="shared" si="1"/>
        <v>18</v>
      </c>
      <c r="R26" s="81" t="s">
        <v>83</v>
      </c>
      <c r="S26" s="82">
        <f>'Data By State'!L25</f>
        <v>23.2</v>
      </c>
      <c r="T26" s="37"/>
      <c r="U26" s="57">
        <f t="shared" si="2"/>
        <v>49</v>
      </c>
      <c r="V26" s="81" t="s">
        <v>83</v>
      </c>
      <c r="W26" s="87">
        <f>'Data By State'!N25</f>
        <v>0.64791956206500489</v>
      </c>
      <c r="X26" s="33"/>
      <c r="Y26" s="80">
        <f t="shared" si="3"/>
        <v>10</v>
      </c>
      <c r="Z26" s="81" t="s">
        <v>83</v>
      </c>
      <c r="AA26" s="56">
        <f>'Data By State'!O25</f>
        <v>0.5</v>
      </c>
      <c r="AB26" s="29"/>
      <c r="AC26" s="80">
        <f t="shared" si="11"/>
        <v>6</v>
      </c>
      <c r="AD26" s="81" t="s">
        <v>83</v>
      </c>
      <c r="AE26" s="56">
        <f>'Data By State'!P25</f>
        <v>0.40826280345185278</v>
      </c>
      <c r="AF26" s="29"/>
      <c r="AG26" s="80">
        <f t="shared" si="4"/>
        <v>45</v>
      </c>
      <c r="AH26" s="81" t="s">
        <v>83</v>
      </c>
      <c r="AI26" s="56">
        <f>'Data By State'!Q25</f>
        <v>0.38336929465365432</v>
      </c>
      <c r="AJ26" s="29"/>
      <c r="AK26" s="80">
        <f t="shared" si="12"/>
        <v>6</v>
      </c>
      <c r="AL26" s="81" t="s">
        <v>83</v>
      </c>
      <c r="AM26" s="56">
        <f>'Data By State'!R25</f>
        <v>0.66208639938314784</v>
      </c>
    </row>
    <row r="27" spans="1:39">
      <c r="A27" s="112" t="s">
        <v>84</v>
      </c>
      <c r="B27" s="113">
        <f t="shared" si="0"/>
        <v>21.6</v>
      </c>
      <c r="C27" s="114">
        <f>'Data By State'!N26</f>
        <v>0.3870614123740127</v>
      </c>
      <c r="D27" s="114">
        <f>'Data By State'!O26</f>
        <v>1</v>
      </c>
      <c r="E27" s="114">
        <f>'Data By State'!P26</f>
        <v>0.42725139458919431</v>
      </c>
      <c r="F27" s="114">
        <f>'Data By State'!Q26</f>
        <v>0.22639009109987415</v>
      </c>
      <c r="G27" s="115">
        <f>'Data By State'!R26</f>
        <v>0.63186364429507569</v>
      </c>
      <c r="H27" s="97"/>
      <c r="I27" s="112" t="s">
        <v>84</v>
      </c>
      <c r="J27" s="116">
        <f t="shared" si="5"/>
        <v>12</v>
      </c>
      <c r="K27" s="117">
        <f t="shared" si="6"/>
        <v>34</v>
      </c>
      <c r="L27" s="117">
        <f t="shared" si="7"/>
        <v>41</v>
      </c>
      <c r="M27" s="117">
        <f t="shared" si="8"/>
        <v>3</v>
      </c>
      <c r="N27" s="117">
        <f t="shared" si="9"/>
        <v>27</v>
      </c>
      <c r="O27" s="118">
        <f t="shared" si="10"/>
        <v>8</v>
      </c>
      <c r="P27" s="24"/>
      <c r="Q27" s="119">
        <f t="shared" si="1"/>
        <v>12</v>
      </c>
      <c r="R27" s="120" t="s">
        <v>84</v>
      </c>
      <c r="S27" s="121">
        <f>'Data By State'!L26</f>
        <v>21.6</v>
      </c>
      <c r="T27" s="37"/>
      <c r="U27" s="122">
        <f t="shared" si="2"/>
        <v>34</v>
      </c>
      <c r="V27" s="120" t="s">
        <v>84</v>
      </c>
      <c r="W27" s="123">
        <f>'Data By State'!N26</f>
        <v>0.3870614123740127</v>
      </c>
      <c r="X27" s="33"/>
      <c r="Y27" s="119">
        <f t="shared" si="3"/>
        <v>41</v>
      </c>
      <c r="Z27" s="120" t="s">
        <v>84</v>
      </c>
      <c r="AA27" s="115">
        <f>'Data By State'!O26</f>
        <v>1</v>
      </c>
      <c r="AB27" s="29"/>
      <c r="AC27" s="119">
        <f t="shared" si="11"/>
        <v>3</v>
      </c>
      <c r="AD27" s="120" t="s">
        <v>84</v>
      </c>
      <c r="AE27" s="115">
        <f>'Data By State'!P26</f>
        <v>0.42725139458919431</v>
      </c>
      <c r="AF27" s="29"/>
      <c r="AG27" s="119">
        <f t="shared" si="4"/>
        <v>27</v>
      </c>
      <c r="AH27" s="120" t="s">
        <v>84</v>
      </c>
      <c r="AI27" s="115">
        <f>'Data By State'!Q26</f>
        <v>0.22639009109987415</v>
      </c>
      <c r="AJ27" s="29"/>
      <c r="AK27" s="119">
        <f t="shared" si="12"/>
        <v>8</v>
      </c>
      <c r="AL27" s="120" t="s">
        <v>84</v>
      </c>
      <c r="AM27" s="115">
        <f>'Data By State'!R26</f>
        <v>0.63186364429507569</v>
      </c>
    </row>
    <row r="28" spans="1:39">
      <c r="A28" s="93" t="s">
        <v>85</v>
      </c>
      <c r="B28" s="66">
        <f t="shared" si="0"/>
        <v>23.6</v>
      </c>
      <c r="C28" s="64">
        <f>'Data By State'!N27</f>
        <v>0.52378310840030773</v>
      </c>
      <c r="D28" s="64">
        <f>'Data By State'!O27</f>
        <v>0.88888888888888884</v>
      </c>
      <c r="E28" s="64">
        <f>'Data By State'!P27</f>
        <v>0.43514135233019641</v>
      </c>
      <c r="F28" s="64">
        <f>'Data By State'!Q27</f>
        <v>0.26085274642270928</v>
      </c>
      <c r="G28" s="115">
        <f>'Data By State'!R27</f>
        <v>0.60472273828219691</v>
      </c>
      <c r="H28" s="97"/>
      <c r="I28" s="93" t="s">
        <v>85</v>
      </c>
      <c r="J28" s="25">
        <f t="shared" si="5"/>
        <v>21</v>
      </c>
      <c r="K28" s="105">
        <f t="shared" si="6"/>
        <v>44</v>
      </c>
      <c r="L28" s="105">
        <f t="shared" si="7"/>
        <v>38</v>
      </c>
      <c r="M28" s="105">
        <f t="shared" si="8"/>
        <v>1</v>
      </c>
      <c r="N28" s="105">
        <f t="shared" si="9"/>
        <v>34</v>
      </c>
      <c r="O28" s="107">
        <f t="shared" si="10"/>
        <v>14</v>
      </c>
      <c r="P28" s="24"/>
      <c r="Q28" s="80">
        <f t="shared" si="1"/>
        <v>21</v>
      </c>
      <c r="R28" s="81" t="s">
        <v>85</v>
      </c>
      <c r="S28" s="82">
        <f>'Data By State'!L27</f>
        <v>23.6</v>
      </c>
      <c r="T28" s="37"/>
      <c r="U28" s="57">
        <f t="shared" si="2"/>
        <v>44</v>
      </c>
      <c r="V28" s="81" t="s">
        <v>85</v>
      </c>
      <c r="W28" s="87">
        <f>'Data By State'!N27</f>
        <v>0.52378310840030773</v>
      </c>
      <c r="X28" s="33"/>
      <c r="Y28" s="80">
        <f t="shared" si="3"/>
        <v>38</v>
      </c>
      <c r="Z28" s="81" t="s">
        <v>85</v>
      </c>
      <c r="AA28" s="56">
        <f>'Data By State'!O27</f>
        <v>0.88888888888888884</v>
      </c>
      <c r="AB28" s="29"/>
      <c r="AC28" s="80">
        <f t="shared" si="11"/>
        <v>1</v>
      </c>
      <c r="AD28" s="81" t="s">
        <v>85</v>
      </c>
      <c r="AE28" s="56">
        <f>'Data By State'!P27</f>
        <v>0.43514135233019641</v>
      </c>
      <c r="AF28" s="29"/>
      <c r="AG28" s="80">
        <f t="shared" si="4"/>
        <v>34</v>
      </c>
      <c r="AH28" s="81" t="s">
        <v>85</v>
      </c>
      <c r="AI28" s="56">
        <f>'Data By State'!Q27</f>
        <v>0.26085274642270928</v>
      </c>
      <c r="AJ28" s="29"/>
      <c r="AK28" s="80">
        <f t="shared" si="12"/>
        <v>14</v>
      </c>
      <c r="AL28" s="81" t="s">
        <v>85</v>
      </c>
      <c r="AM28" s="56">
        <f>'Data By State'!R27</f>
        <v>0.60472273828219691</v>
      </c>
    </row>
    <row r="29" spans="1:39">
      <c r="A29" s="93" t="s">
        <v>86</v>
      </c>
      <c r="B29" s="66">
        <f t="shared" si="0"/>
        <v>18.2</v>
      </c>
      <c r="C29" s="64">
        <f>'Data By State'!N28</f>
        <v>0.27913815679538223</v>
      </c>
      <c r="D29" s="64">
        <f>'Data By State'!O28</f>
        <v>0.6428571428571429</v>
      </c>
      <c r="E29" s="64">
        <f>'Data By State'!P28</f>
        <v>0.38696575365024577</v>
      </c>
      <c r="F29" s="64">
        <f>'Data By State'!Q28</f>
        <v>0.16921784247188784</v>
      </c>
      <c r="G29" s="115">
        <f>'Data By State'!R28</f>
        <v>0.62518485435847659</v>
      </c>
      <c r="H29" s="97"/>
      <c r="I29" s="93" t="s">
        <v>86</v>
      </c>
      <c r="J29" s="25">
        <f t="shared" si="5"/>
        <v>9</v>
      </c>
      <c r="K29" s="105">
        <f t="shared" si="6"/>
        <v>17</v>
      </c>
      <c r="L29" s="105">
        <f t="shared" si="7"/>
        <v>25</v>
      </c>
      <c r="M29" s="105">
        <f t="shared" si="8"/>
        <v>14</v>
      </c>
      <c r="N29" s="105">
        <f t="shared" si="9"/>
        <v>21</v>
      </c>
      <c r="O29" s="107">
        <f t="shared" si="10"/>
        <v>10</v>
      </c>
      <c r="P29" s="24"/>
      <c r="Q29" s="80">
        <f t="shared" si="1"/>
        <v>9</v>
      </c>
      <c r="R29" s="81" t="s">
        <v>86</v>
      </c>
      <c r="S29" s="82">
        <f>'Data By State'!L28</f>
        <v>18.2</v>
      </c>
      <c r="T29" s="37"/>
      <c r="U29" s="57">
        <f t="shared" si="2"/>
        <v>17</v>
      </c>
      <c r="V29" s="81" t="s">
        <v>86</v>
      </c>
      <c r="W29" s="87">
        <f>'Data By State'!N28</f>
        <v>0.27913815679538223</v>
      </c>
      <c r="X29" s="33"/>
      <c r="Y29" s="80">
        <f t="shared" si="3"/>
        <v>25</v>
      </c>
      <c r="Z29" s="81" t="s">
        <v>86</v>
      </c>
      <c r="AA29" s="56">
        <f>'Data By State'!O28</f>
        <v>0.6428571428571429</v>
      </c>
      <c r="AB29" s="29"/>
      <c r="AC29" s="80">
        <f t="shared" si="11"/>
        <v>14</v>
      </c>
      <c r="AD29" s="81" t="s">
        <v>86</v>
      </c>
      <c r="AE29" s="56">
        <f>'Data By State'!P28</f>
        <v>0.38696575365024577</v>
      </c>
      <c r="AF29" s="29"/>
      <c r="AG29" s="80">
        <f t="shared" si="4"/>
        <v>21</v>
      </c>
      <c r="AH29" s="81" t="s">
        <v>86</v>
      </c>
      <c r="AI29" s="56">
        <f>'Data By State'!Q28</f>
        <v>0.16921784247188784</v>
      </c>
      <c r="AJ29" s="29"/>
      <c r="AK29" s="80">
        <f t="shared" si="12"/>
        <v>10</v>
      </c>
      <c r="AL29" s="81" t="s">
        <v>86</v>
      </c>
      <c r="AM29" s="56">
        <f>'Data By State'!R28</f>
        <v>0.62518485435847659</v>
      </c>
    </row>
    <row r="30" spans="1:39">
      <c r="A30" s="93" t="s">
        <v>87</v>
      </c>
      <c r="B30" s="66">
        <f t="shared" si="0"/>
        <v>5.2</v>
      </c>
      <c r="C30" s="64">
        <f>'Data By State'!N29</f>
        <v>0.20975983531975018</v>
      </c>
      <c r="D30" s="64">
        <f>'Data By State'!O29</f>
        <v>0.375</v>
      </c>
      <c r="E30" s="64">
        <f>'Data By State'!P29</f>
        <v>0.42740082419509939</v>
      </c>
      <c r="F30" s="64">
        <f>'Data By State'!Q29</f>
        <v>6.2695116519862371E-2</v>
      </c>
      <c r="G30" s="115">
        <f>'Data By State'!R29</f>
        <v>0.72570620973433431</v>
      </c>
      <c r="H30" s="97"/>
      <c r="I30" s="93" t="s">
        <v>87</v>
      </c>
      <c r="J30" s="25">
        <f t="shared" si="5"/>
        <v>1</v>
      </c>
      <c r="K30" s="105">
        <f t="shared" si="6"/>
        <v>8</v>
      </c>
      <c r="L30" s="105">
        <f t="shared" si="7"/>
        <v>7</v>
      </c>
      <c r="M30" s="105">
        <f t="shared" si="8"/>
        <v>2</v>
      </c>
      <c r="N30" s="105">
        <f t="shared" si="9"/>
        <v>7</v>
      </c>
      <c r="O30" s="107">
        <f t="shared" si="10"/>
        <v>1</v>
      </c>
      <c r="P30" s="24"/>
      <c r="Q30" s="80">
        <f t="shared" si="1"/>
        <v>1</v>
      </c>
      <c r="R30" s="81" t="s">
        <v>87</v>
      </c>
      <c r="S30" s="82">
        <f>'Data By State'!L29</f>
        <v>5.2</v>
      </c>
      <c r="T30" s="37"/>
      <c r="U30" s="57">
        <f t="shared" si="2"/>
        <v>8</v>
      </c>
      <c r="V30" s="81" t="s">
        <v>87</v>
      </c>
      <c r="W30" s="87">
        <f>'Data By State'!N29</f>
        <v>0.20975983531975018</v>
      </c>
      <c r="X30" s="33"/>
      <c r="Y30" s="80">
        <f t="shared" si="3"/>
        <v>7</v>
      </c>
      <c r="Z30" s="81" t="s">
        <v>87</v>
      </c>
      <c r="AA30" s="56">
        <f>'Data By State'!O29</f>
        <v>0.375</v>
      </c>
      <c r="AB30" s="29"/>
      <c r="AC30" s="80">
        <f t="shared" si="11"/>
        <v>2</v>
      </c>
      <c r="AD30" s="81" t="s">
        <v>87</v>
      </c>
      <c r="AE30" s="56">
        <f>'Data By State'!P29</f>
        <v>0.42740082419509939</v>
      </c>
      <c r="AF30" s="29"/>
      <c r="AG30" s="80">
        <f t="shared" si="4"/>
        <v>7</v>
      </c>
      <c r="AH30" s="81" t="s">
        <v>87</v>
      </c>
      <c r="AI30" s="56">
        <f>'Data By State'!Q29</f>
        <v>6.2695116519862371E-2</v>
      </c>
      <c r="AJ30" s="29"/>
      <c r="AK30" s="80">
        <f t="shared" si="12"/>
        <v>1</v>
      </c>
      <c r="AL30" s="81" t="s">
        <v>87</v>
      </c>
      <c r="AM30" s="56">
        <f>'Data By State'!R29</f>
        <v>0.72570620973433431</v>
      </c>
    </row>
    <row r="31" spans="1:39">
      <c r="A31" s="93" t="s">
        <v>88</v>
      </c>
      <c r="B31" s="66">
        <f t="shared" si="0"/>
        <v>28.6</v>
      </c>
      <c r="C31" s="64">
        <f>'Data By State'!N30</f>
        <v>0.59448786971305112</v>
      </c>
      <c r="D31" s="64">
        <f>'Data By State'!O30</f>
        <v>1</v>
      </c>
      <c r="E31" s="64">
        <f>'Data By State'!P30</f>
        <v>0.38063954827873236</v>
      </c>
      <c r="F31" s="64">
        <f>'Data By State'!Q30</f>
        <v>0.12905849732033853</v>
      </c>
      <c r="G31" s="115">
        <f>'Data By State'!R30</f>
        <v>0.56120263912836676</v>
      </c>
      <c r="H31" s="97"/>
      <c r="I31" s="93" t="s">
        <v>88</v>
      </c>
      <c r="J31" s="25">
        <f t="shared" si="5"/>
        <v>33</v>
      </c>
      <c r="K31" s="105">
        <f t="shared" si="6"/>
        <v>47</v>
      </c>
      <c r="L31" s="105">
        <f t="shared" si="7"/>
        <v>41</v>
      </c>
      <c r="M31" s="105">
        <f t="shared" si="8"/>
        <v>19</v>
      </c>
      <c r="N31" s="105">
        <f t="shared" si="9"/>
        <v>17</v>
      </c>
      <c r="O31" s="107">
        <f t="shared" si="10"/>
        <v>29</v>
      </c>
      <c r="P31" s="24"/>
      <c r="Q31" s="80">
        <f t="shared" si="1"/>
        <v>33</v>
      </c>
      <c r="R31" s="81" t="s">
        <v>88</v>
      </c>
      <c r="S31" s="82">
        <f>'Data By State'!L30</f>
        <v>28.6</v>
      </c>
      <c r="T31" s="37"/>
      <c r="U31" s="57">
        <f t="shared" si="2"/>
        <v>47</v>
      </c>
      <c r="V31" s="81" t="s">
        <v>88</v>
      </c>
      <c r="W31" s="87">
        <f>'Data By State'!N30</f>
        <v>0.59448786971305112</v>
      </c>
      <c r="X31" s="33"/>
      <c r="Y31" s="80">
        <f t="shared" si="3"/>
        <v>41</v>
      </c>
      <c r="Z31" s="81" t="s">
        <v>88</v>
      </c>
      <c r="AA31" s="56">
        <f>'Data By State'!O30</f>
        <v>1</v>
      </c>
      <c r="AB31" s="29"/>
      <c r="AC31" s="80">
        <f t="shared" si="11"/>
        <v>19</v>
      </c>
      <c r="AD31" s="81" t="s">
        <v>88</v>
      </c>
      <c r="AE31" s="56">
        <f>'Data By State'!P30</f>
        <v>0.38063954827873236</v>
      </c>
      <c r="AF31" s="29"/>
      <c r="AG31" s="80">
        <f t="shared" si="4"/>
        <v>17</v>
      </c>
      <c r="AH31" s="81" t="s">
        <v>88</v>
      </c>
      <c r="AI31" s="56">
        <f>'Data By State'!Q30</f>
        <v>0.12905849732033853</v>
      </c>
      <c r="AJ31" s="29"/>
      <c r="AK31" s="80">
        <f t="shared" si="12"/>
        <v>29</v>
      </c>
      <c r="AL31" s="81" t="s">
        <v>88</v>
      </c>
      <c r="AM31" s="56">
        <f>'Data By State'!R30</f>
        <v>0.56120263912836676</v>
      </c>
    </row>
    <row r="32" spans="1:39">
      <c r="A32" s="112" t="s">
        <v>89</v>
      </c>
      <c r="B32" s="113">
        <f t="shared" si="0"/>
        <v>19.600000000000001</v>
      </c>
      <c r="C32" s="114">
        <f>'Data By State'!N31</f>
        <v>0.30040115137086953</v>
      </c>
      <c r="D32" s="114">
        <f>'Data By State'!O31</f>
        <v>1</v>
      </c>
      <c r="E32" s="114">
        <f>'Data By State'!P31</f>
        <v>0.39648518311703534</v>
      </c>
      <c r="F32" s="114">
        <f>'Data By State'!Q31</f>
        <v>0.18571658133712021</v>
      </c>
      <c r="G32" s="115">
        <f>'Data By State'!R31</f>
        <v>0.6066682037982567</v>
      </c>
      <c r="H32" s="97"/>
      <c r="I32" s="112" t="s">
        <v>89</v>
      </c>
      <c r="J32" s="116">
        <f t="shared" si="5"/>
        <v>10</v>
      </c>
      <c r="K32" s="117">
        <f t="shared" si="6"/>
        <v>19</v>
      </c>
      <c r="L32" s="117">
        <f t="shared" si="7"/>
        <v>41</v>
      </c>
      <c r="M32" s="117">
        <f t="shared" si="8"/>
        <v>8</v>
      </c>
      <c r="N32" s="117">
        <f t="shared" si="9"/>
        <v>22</v>
      </c>
      <c r="O32" s="118">
        <f t="shared" si="10"/>
        <v>13</v>
      </c>
      <c r="P32" s="24"/>
      <c r="Q32" s="119">
        <f t="shared" si="1"/>
        <v>10</v>
      </c>
      <c r="R32" s="120" t="s">
        <v>89</v>
      </c>
      <c r="S32" s="121">
        <f>'Data By State'!L31</f>
        <v>19.600000000000001</v>
      </c>
      <c r="T32" s="37"/>
      <c r="U32" s="122">
        <f t="shared" si="2"/>
        <v>19</v>
      </c>
      <c r="V32" s="120" t="s">
        <v>89</v>
      </c>
      <c r="W32" s="123">
        <f>'Data By State'!N31</f>
        <v>0.30040115137086953</v>
      </c>
      <c r="X32" s="33"/>
      <c r="Y32" s="119">
        <f t="shared" si="3"/>
        <v>41</v>
      </c>
      <c r="Z32" s="120" t="s">
        <v>89</v>
      </c>
      <c r="AA32" s="115">
        <f>'Data By State'!O31</f>
        <v>1</v>
      </c>
      <c r="AB32" s="29"/>
      <c r="AC32" s="119">
        <f t="shared" si="11"/>
        <v>8</v>
      </c>
      <c r="AD32" s="120" t="s">
        <v>89</v>
      </c>
      <c r="AE32" s="115">
        <f>'Data By State'!P31</f>
        <v>0.39648518311703534</v>
      </c>
      <c r="AF32" s="29"/>
      <c r="AG32" s="119">
        <f t="shared" si="4"/>
        <v>22</v>
      </c>
      <c r="AH32" s="120" t="s">
        <v>89</v>
      </c>
      <c r="AI32" s="115">
        <f>'Data By State'!Q31</f>
        <v>0.18571658133712021</v>
      </c>
      <c r="AJ32" s="29"/>
      <c r="AK32" s="119">
        <f t="shared" si="12"/>
        <v>13</v>
      </c>
      <c r="AL32" s="120" t="s">
        <v>89</v>
      </c>
      <c r="AM32" s="115">
        <f>'Data By State'!R31</f>
        <v>0.6066682037982567</v>
      </c>
    </row>
    <row r="33" spans="1:39">
      <c r="A33" s="93" t="s">
        <v>90</v>
      </c>
      <c r="B33" s="66">
        <f t="shared" si="0"/>
        <v>25.4</v>
      </c>
      <c r="C33" s="64">
        <f>'Data By State'!N32</f>
        <v>1.5913942615771372E-2</v>
      </c>
      <c r="D33" s="64">
        <f>'Data By State'!O32</f>
        <v>0</v>
      </c>
      <c r="E33" s="64">
        <f>'Data By State'!P32</f>
        <v>0.33042616733945807</v>
      </c>
      <c r="F33" s="64">
        <f>'Data By State'!Q32</f>
        <v>0.4473370992621003</v>
      </c>
      <c r="G33" s="115">
        <f>'Data By State'!R32</f>
        <v>0.62050295739361339</v>
      </c>
      <c r="H33" s="97"/>
      <c r="I33" s="93" t="s">
        <v>90</v>
      </c>
      <c r="J33" s="25">
        <f t="shared" si="5"/>
        <v>25</v>
      </c>
      <c r="K33" s="105">
        <f t="shared" si="6"/>
        <v>1</v>
      </c>
      <c r="L33" s="105">
        <f t="shared" si="7"/>
        <v>1</v>
      </c>
      <c r="M33" s="105">
        <f t="shared" si="8"/>
        <v>38</v>
      </c>
      <c r="N33" s="105">
        <f t="shared" si="9"/>
        <v>49</v>
      </c>
      <c r="O33" s="107">
        <f t="shared" si="10"/>
        <v>11</v>
      </c>
      <c r="P33" s="24"/>
      <c r="Q33" s="80">
        <f t="shared" si="1"/>
        <v>25</v>
      </c>
      <c r="R33" s="81" t="s">
        <v>90</v>
      </c>
      <c r="S33" s="82">
        <f>'Data By State'!L32</f>
        <v>25.4</v>
      </c>
      <c r="T33" s="37"/>
      <c r="U33" s="57">
        <f t="shared" si="2"/>
        <v>1</v>
      </c>
      <c r="V33" s="81" t="s">
        <v>90</v>
      </c>
      <c r="W33" s="87">
        <f>'Data By State'!N32</f>
        <v>1.5913942615771372E-2</v>
      </c>
      <c r="X33" s="33"/>
      <c r="Y33" s="80">
        <f t="shared" si="3"/>
        <v>1</v>
      </c>
      <c r="Z33" s="81" t="s">
        <v>90</v>
      </c>
      <c r="AA33" s="56">
        <f>'Data By State'!O32</f>
        <v>0</v>
      </c>
      <c r="AB33" s="29"/>
      <c r="AC33" s="80">
        <f t="shared" si="11"/>
        <v>38</v>
      </c>
      <c r="AD33" s="81" t="s">
        <v>90</v>
      </c>
      <c r="AE33" s="56">
        <f>'Data By State'!P32</f>
        <v>0.33042616733945807</v>
      </c>
      <c r="AF33" s="29"/>
      <c r="AG33" s="80">
        <f t="shared" si="4"/>
        <v>49</v>
      </c>
      <c r="AH33" s="81" t="s">
        <v>90</v>
      </c>
      <c r="AI33" s="56">
        <f>'Data By State'!Q32</f>
        <v>0.4473370992621003</v>
      </c>
      <c r="AJ33" s="29"/>
      <c r="AK33" s="80">
        <f t="shared" si="12"/>
        <v>11</v>
      </c>
      <c r="AL33" s="81" t="s">
        <v>90</v>
      </c>
      <c r="AM33" s="56">
        <f>'Data By State'!R32</f>
        <v>0.62050295739361339</v>
      </c>
    </row>
    <row r="34" spans="1:39">
      <c r="A34" s="93" t="s">
        <v>91</v>
      </c>
      <c r="B34" s="66">
        <f t="shared" si="0"/>
        <v>28.4</v>
      </c>
      <c r="C34" s="64">
        <f>'Data By State'!N33</f>
        <v>0.34939534279388956</v>
      </c>
      <c r="D34" s="64">
        <f>'Data By State'!O33</f>
        <v>0.66666666666666663</v>
      </c>
      <c r="E34" s="64">
        <f>'Data By State'!P33</f>
        <v>0.37541264860645046</v>
      </c>
      <c r="F34" s="64">
        <f>'Data By State'!Q33</f>
        <v>0.35758399513278061</v>
      </c>
      <c r="G34" s="115">
        <f>'Data By State'!R33</f>
        <v>0.58437623870227873</v>
      </c>
      <c r="H34" s="97"/>
      <c r="I34" s="93" t="s">
        <v>91</v>
      </c>
      <c r="J34" s="25">
        <f t="shared" si="5"/>
        <v>32</v>
      </c>
      <c r="K34" s="105">
        <f t="shared" si="6"/>
        <v>30</v>
      </c>
      <c r="L34" s="105">
        <f t="shared" si="7"/>
        <v>26</v>
      </c>
      <c r="M34" s="105">
        <f t="shared" si="8"/>
        <v>21</v>
      </c>
      <c r="N34" s="105">
        <f t="shared" si="9"/>
        <v>44</v>
      </c>
      <c r="O34" s="107">
        <f t="shared" si="10"/>
        <v>21</v>
      </c>
      <c r="P34" s="24"/>
      <c r="Q34" s="80">
        <f t="shared" si="1"/>
        <v>32</v>
      </c>
      <c r="R34" s="81" t="s">
        <v>91</v>
      </c>
      <c r="S34" s="82">
        <f>'Data By State'!L33</f>
        <v>28.4</v>
      </c>
      <c r="T34" s="37"/>
      <c r="U34" s="57">
        <f t="shared" si="2"/>
        <v>30</v>
      </c>
      <c r="V34" s="81" t="s">
        <v>91</v>
      </c>
      <c r="W34" s="87">
        <f>'Data By State'!N33</f>
        <v>0.34939534279388956</v>
      </c>
      <c r="X34" s="33"/>
      <c r="Y34" s="80">
        <f t="shared" si="3"/>
        <v>26</v>
      </c>
      <c r="Z34" s="81" t="s">
        <v>91</v>
      </c>
      <c r="AA34" s="56">
        <f>'Data By State'!O33</f>
        <v>0.66666666666666663</v>
      </c>
      <c r="AB34" s="29"/>
      <c r="AC34" s="80">
        <f t="shared" si="11"/>
        <v>21</v>
      </c>
      <c r="AD34" s="81" t="s">
        <v>91</v>
      </c>
      <c r="AE34" s="56">
        <f>'Data By State'!P33</f>
        <v>0.37541264860645046</v>
      </c>
      <c r="AF34" s="29"/>
      <c r="AG34" s="80">
        <f t="shared" si="4"/>
        <v>44</v>
      </c>
      <c r="AH34" s="81" t="s">
        <v>91</v>
      </c>
      <c r="AI34" s="56">
        <f>'Data By State'!Q33</f>
        <v>0.35758399513278061</v>
      </c>
      <c r="AJ34" s="29"/>
      <c r="AK34" s="80">
        <f t="shared" si="12"/>
        <v>21</v>
      </c>
      <c r="AL34" s="81" t="s">
        <v>91</v>
      </c>
      <c r="AM34" s="56">
        <f>'Data By State'!R33</f>
        <v>0.58437623870227873</v>
      </c>
    </row>
    <row r="35" spans="1:39">
      <c r="A35" s="93" t="s">
        <v>92</v>
      </c>
      <c r="B35" s="66">
        <f t="shared" si="0"/>
        <v>21.8</v>
      </c>
      <c r="C35" s="64">
        <f>'Data By State'!N34</f>
        <v>6.8821985022584867E-2</v>
      </c>
      <c r="D35" s="64">
        <f>'Data By State'!O34</f>
        <v>0.5</v>
      </c>
      <c r="E35" s="64">
        <f>'Data By State'!P34</f>
        <v>0.30056524335975565</v>
      </c>
      <c r="F35" s="64">
        <f>'Data By State'!Q34</f>
        <v>3.2448533595141216E-2</v>
      </c>
      <c r="G35" s="115">
        <f>'Data By State'!R34</f>
        <v>0.54815376916161485</v>
      </c>
      <c r="H35" s="97"/>
      <c r="I35" s="93" t="s">
        <v>92</v>
      </c>
      <c r="J35" s="25">
        <f t="shared" si="5"/>
        <v>15</v>
      </c>
      <c r="K35" s="105">
        <f t="shared" si="6"/>
        <v>3</v>
      </c>
      <c r="L35" s="105">
        <f t="shared" si="7"/>
        <v>10</v>
      </c>
      <c r="M35" s="105">
        <f t="shared" si="8"/>
        <v>47</v>
      </c>
      <c r="N35" s="105">
        <f t="shared" si="9"/>
        <v>2</v>
      </c>
      <c r="O35" s="107">
        <f t="shared" si="10"/>
        <v>33</v>
      </c>
      <c r="P35" s="24"/>
      <c r="Q35" s="80">
        <f t="shared" si="1"/>
        <v>15</v>
      </c>
      <c r="R35" s="81" t="s">
        <v>92</v>
      </c>
      <c r="S35" s="82">
        <f>'Data By State'!L34</f>
        <v>21.8</v>
      </c>
      <c r="T35" s="37"/>
      <c r="U35" s="57">
        <f t="shared" si="2"/>
        <v>3</v>
      </c>
      <c r="V35" s="81" t="s">
        <v>92</v>
      </c>
      <c r="W35" s="87">
        <f>'Data By State'!N34</f>
        <v>6.8821985022584867E-2</v>
      </c>
      <c r="X35" s="33"/>
      <c r="Y35" s="80">
        <f t="shared" si="3"/>
        <v>10</v>
      </c>
      <c r="Z35" s="81" t="s">
        <v>92</v>
      </c>
      <c r="AA35" s="56">
        <f>'Data By State'!O34</f>
        <v>0.5</v>
      </c>
      <c r="AB35" s="29"/>
      <c r="AC35" s="80">
        <f t="shared" si="11"/>
        <v>47</v>
      </c>
      <c r="AD35" s="81" t="s">
        <v>92</v>
      </c>
      <c r="AE35" s="56">
        <f>'Data By State'!P34</f>
        <v>0.30056524335975565</v>
      </c>
      <c r="AF35" s="29"/>
      <c r="AG35" s="80">
        <f t="shared" si="4"/>
        <v>2</v>
      </c>
      <c r="AH35" s="81" t="s">
        <v>92</v>
      </c>
      <c r="AI35" s="56">
        <f>'Data By State'!Q34</f>
        <v>3.2448533595141216E-2</v>
      </c>
      <c r="AJ35" s="29"/>
      <c r="AK35" s="80">
        <f t="shared" si="12"/>
        <v>33</v>
      </c>
      <c r="AL35" s="81" t="s">
        <v>92</v>
      </c>
      <c r="AM35" s="56">
        <f>'Data By State'!R34</f>
        <v>0.54815376916161485</v>
      </c>
    </row>
    <row r="36" spans="1:39">
      <c r="A36" s="93" t="s">
        <v>93</v>
      </c>
      <c r="B36" s="66">
        <f t="shared" si="0"/>
        <v>26.4</v>
      </c>
      <c r="C36" s="64">
        <f>'Data By State'!N35</f>
        <v>0.22007092911697598</v>
      </c>
      <c r="D36" s="64">
        <f>'Data By State'!O35</f>
        <v>0</v>
      </c>
      <c r="E36" s="64">
        <f>'Data By State'!P35</f>
        <v>0.33630384881345432</v>
      </c>
      <c r="F36" s="64">
        <f>'Data By State'!Q35</f>
        <v>0.47854021593866497</v>
      </c>
      <c r="G36" s="115">
        <f>'Data By State'!R35</f>
        <v>0.67316602564165795</v>
      </c>
      <c r="H36" s="97"/>
      <c r="I36" s="93" t="s">
        <v>93</v>
      </c>
      <c r="J36" s="25">
        <f t="shared" si="5"/>
        <v>26</v>
      </c>
      <c r="K36" s="105">
        <f t="shared" si="6"/>
        <v>9</v>
      </c>
      <c r="L36" s="105">
        <f t="shared" si="7"/>
        <v>1</v>
      </c>
      <c r="M36" s="105">
        <f t="shared" si="8"/>
        <v>36</v>
      </c>
      <c r="N36" s="105">
        <f t="shared" si="9"/>
        <v>50</v>
      </c>
      <c r="O36" s="107">
        <f t="shared" si="10"/>
        <v>4</v>
      </c>
      <c r="P36" s="24"/>
      <c r="Q36" s="80">
        <f t="shared" si="1"/>
        <v>26</v>
      </c>
      <c r="R36" s="81" t="s">
        <v>93</v>
      </c>
      <c r="S36" s="82">
        <f>'Data By State'!L35</f>
        <v>26.4</v>
      </c>
      <c r="T36" s="37"/>
      <c r="U36" s="57">
        <f t="shared" si="2"/>
        <v>9</v>
      </c>
      <c r="V36" s="81" t="s">
        <v>93</v>
      </c>
      <c r="W36" s="87">
        <f>'Data By State'!N35</f>
        <v>0.22007092911697598</v>
      </c>
      <c r="X36" s="33"/>
      <c r="Y36" s="80">
        <f t="shared" si="3"/>
        <v>1</v>
      </c>
      <c r="Z36" s="81" t="s">
        <v>93</v>
      </c>
      <c r="AA36" s="56">
        <f>'Data By State'!O35</f>
        <v>0</v>
      </c>
      <c r="AB36" s="29"/>
      <c r="AC36" s="80">
        <f t="shared" si="11"/>
        <v>36</v>
      </c>
      <c r="AD36" s="81" t="s">
        <v>93</v>
      </c>
      <c r="AE36" s="56">
        <f>'Data By State'!P35</f>
        <v>0.33630384881345432</v>
      </c>
      <c r="AF36" s="29"/>
      <c r="AG36" s="80">
        <f t="shared" si="4"/>
        <v>50</v>
      </c>
      <c r="AH36" s="81" t="s">
        <v>93</v>
      </c>
      <c r="AI36" s="56">
        <f>'Data By State'!Q35</f>
        <v>0.47854021593866497</v>
      </c>
      <c r="AJ36" s="29"/>
      <c r="AK36" s="80">
        <f t="shared" si="12"/>
        <v>4</v>
      </c>
      <c r="AL36" s="81" t="s">
        <v>93</v>
      </c>
      <c r="AM36" s="56">
        <f>'Data By State'!R35</f>
        <v>0.67316602564165795</v>
      </c>
    </row>
    <row r="37" spans="1:39">
      <c r="A37" s="112" t="s">
        <v>94</v>
      </c>
      <c r="B37" s="113">
        <f t="shared" si="0"/>
        <v>20.399999999999999</v>
      </c>
      <c r="C37" s="114">
        <f>'Data By State'!N36</f>
        <v>0.30684906519912958</v>
      </c>
      <c r="D37" s="114">
        <f>'Data By State'!O36</f>
        <v>0.58333333333333337</v>
      </c>
      <c r="E37" s="114">
        <f>'Data By State'!P36</f>
        <v>0.35845186465213003</v>
      </c>
      <c r="F37" s="114">
        <f>'Data By State'!Q36</f>
        <v>5.5452058534421228E-2</v>
      </c>
      <c r="G37" s="115">
        <f>'Data By State'!R36</f>
        <v>0.55786376074414068</v>
      </c>
      <c r="H37" s="97"/>
      <c r="I37" s="112" t="s">
        <v>94</v>
      </c>
      <c r="J37" s="116">
        <f t="shared" si="5"/>
        <v>11</v>
      </c>
      <c r="K37" s="117">
        <f t="shared" si="6"/>
        <v>20</v>
      </c>
      <c r="L37" s="117">
        <f t="shared" si="7"/>
        <v>18</v>
      </c>
      <c r="M37" s="117">
        <f t="shared" si="8"/>
        <v>30</v>
      </c>
      <c r="N37" s="117">
        <f t="shared" si="9"/>
        <v>4</v>
      </c>
      <c r="O37" s="118">
        <f t="shared" si="10"/>
        <v>30</v>
      </c>
      <c r="P37" s="24"/>
      <c r="Q37" s="119">
        <f t="shared" si="1"/>
        <v>11</v>
      </c>
      <c r="R37" s="120" t="s">
        <v>94</v>
      </c>
      <c r="S37" s="121">
        <f>'Data By State'!L36</f>
        <v>20.399999999999999</v>
      </c>
      <c r="T37" s="37"/>
      <c r="U37" s="122">
        <f t="shared" si="2"/>
        <v>20</v>
      </c>
      <c r="V37" s="120" t="s">
        <v>94</v>
      </c>
      <c r="W37" s="123">
        <f>'Data By State'!N36</f>
        <v>0.30684906519912958</v>
      </c>
      <c r="X37" s="33"/>
      <c r="Y37" s="119">
        <f t="shared" si="3"/>
        <v>18</v>
      </c>
      <c r="Z37" s="120" t="s">
        <v>94</v>
      </c>
      <c r="AA37" s="115">
        <f>'Data By State'!O36</f>
        <v>0.58333333333333337</v>
      </c>
      <c r="AB37" s="29"/>
      <c r="AC37" s="119">
        <f t="shared" si="11"/>
        <v>30</v>
      </c>
      <c r="AD37" s="120" t="s">
        <v>94</v>
      </c>
      <c r="AE37" s="115">
        <f>'Data By State'!P36</f>
        <v>0.35845186465213003</v>
      </c>
      <c r="AF37" s="29"/>
      <c r="AG37" s="119">
        <f t="shared" si="4"/>
        <v>4</v>
      </c>
      <c r="AH37" s="120" t="s">
        <v>94</v>
      </c>
      <c r="AI37" s="115">
        <f>'Data By State'!Q36</f>
        <v>5.5452058534421228E-2</v>
      </c>
      <c r="AJ37" s="29"/>
      <c r="AK37" s="119">
        <f t="shared" si="12"/>
        <v>30</v>
      </c>
      <c r="AL37" s="120" t="s">
        <v>94</v>
      </c>
      <c r="AM37" s="115">
        <f>'Data By State'!R36</f>
        <v>0.55786376074414068</v>
      </c>
    </row>
    <row r="38" spans="1:39">
      <c r="A38" s="93" t="s">
        <v>95</v>
      </c>
      <c r="B38" s="66">
        <f t="shared" si="0"/>
        <v>22</v>
      </c>
      <c r="C38" s="64">
        <f>'Data By State'!N37</f>
        <v>0.16167708137043046</v>
      </c>
      <c r="D38" s="64">
        <f>'Data By State'!O37</f>
        <v>0.33333333333333331</v>
      </c>
      <c r="E38" s="64">
        <f>'Data By State'!P37</f>
        <v>0.32338389039183174</v>
      </c>
      <c r="F38" s="64">
        <f>'Data By State'!Q37</f>
        <v>0.11515835824337434</v>
      </c>
      <c r="G38" s="115">
        <f>'Data By State'!R37</f>
        <v>0.53483899118596734</v>
      </c>
      <c r="H38" s="97"/>
      <c r="I38" s="93" t="s">
        <v>95</v>
      </c>
      <c r="J38" s="25">
        <f t="shared" si="5"/>
        <v>16</v>
      </c>
      <c r="K38" s="105">
        <f t="shared" si="6"/>
        <v>6</v>
      </c>
      <c r="L38" s="105">
        <f t="shared" si="7"/>
        <v>6</v>
      </c>
      <c r="M38" s="105">
        <f t="shared" si="8"/>
        <v>41</v>
      </c>
      <c r="N38" s="105">
        <f t="shared" si="9"/>
        <v>16</v>
      </c>
      <c r="O38" s="107">
        <f t="shared" si="10"/>
        <v>37</v>
      </c>
      <c r="P38" s="24"/>
      <c r="Q38" s="80">
        <f t="shared" si="1"/>
        <v>16</v>
      </c>
      <c r="R38" s="81" t="s">
        <v>95</v>
      </c>
      <c r="S38" s="82">
        <f>'Data By State'!L37</f>
        <v>22</v>
      </c>
      <c r="T38" s="37"/>
      <c r="U38" s="57">
        <f t="shared" si="2"/>
        <v>6</v>
      </c>
      <c r="V38" s="81" t="s">
        <v>95</v>
      </c>
      <c r="W38" s="87">
        <f>'Data By State'!N37</f>
        <v>0.16167708137043046</v>
      </c>
      <c r="X38" s="33"/>
      <c r="Y38" s="80">
        <f t="shared" si="3"/>
        <v>6</v>
      </c>
      <c r="Z38" s="81" t="s">
        <v>95</v>
      </c>
      <c r="AA38" s="56">
        <f>'Data By State'!O37</f>
        <v>0.33333333333333331</v>
      </c>
      <c r="AB38" s="29"/>
      <c r="AC38" s="80">
        <f t="shared" si="11"/>
        <v>41</v>
      </c>
      <c r="AD38" s="81" t="s">
        <v>95</v>
      </c>
      <c r="AE38" s="56">
        <f>'Data By State'!P37</f>
        <v>0.32338389039183174</v>
      </c>
      <c r="AF38" s="29"/>
      <c r="AG38" s="80">
        <f t="shared" si="4"/>
        <v>16</v>
      </c>
      <c r="AH38" s="81" t="s">
        <v>95</v>
      </c>
      <c r="AI38" s="56">
        <f>'Data By State'!Q37</f>
        <v>0.11515835824337434</v>
      </c>
      <c r="AJ38" s="29"/>
      <c r="AK38" s="80">
        <f t="shared" si="12"/>
        <v>37</v>
      </c>
      <c r="AL38" s="81" t="s">
        <v>95</v>
      </c>
      <c r="AM38" s="56">
        <f>'Data By State'!R37</f>
        <v>0.53483899118596734</v>
      </c>
    </row>
    <row r="39" spans="1:39">
      <c r="A39" s="93" t="s">
        <v>96</v>
      </c>
      <c r="B39" s="66">
        <f t="shared" si="0"/>
        <v>31.4</v>
      </c>
      <c r="C39" s="64">
        <f>'Data By State'!N38</f>
        <v>0.40606433636222683</v>
      </c>
      <c r="D39" s="64">
        <f>'Data By State'!O38</f>
        <v>0.59259259259259256</v>
      </c>
      <c r="E39" s="64">
        <f>'Data By State'!P38</f>
        <v>0.32152821215908761</v>
      </c>
      <c r="F39" s="64">
        <f>'Data By State'!Q38</f>
        <v>0.13126276175150917</v>
      </c>
      <c r="G39" s="115">
        <f>'Data By State'!R38</f>
        <v>0.4857549873616186</v>
      </c>
      <c r="H39" s="97"/>
      <c r="I39" s="93" t="s">
        <v>96</v>
      </c>
      <c r="J39" s="25">
        <f t="shared" si="5"/>
        <v>39</v>
      </c>
      <c r="K39" s="105">
        <f t="shared" si="6"/>
        <v>36</v>
      </c>
      <c r="L39" s="105">
        <f t="shared" si="7"/>
        <v>19</v>
      </c>
      <c r="M39" s="105">
        <f t="shared" si="8"/>
        <v>42</v>
      </c>
      <c r="N39" s="105">
        <f t="shared" si="9"/>
        <v>18</v>
      </c>
      <c r="O39" s="107">
        <f t="shared" si="10"/>
        <v>46</v>
      </c>
      <c r="P39" s="24"/>
      <c r="Q39" s="80">
        <f t="shared" si="1"/>
        <v>39</v>
      </c>
      <c r="R39" s="81" t="s">
        <v>96</v>
      </c>
      <c r="S39" s="82">
        <f>'Data By State'!L38</f>
        <v>31.4</v>
      </c>
      <c r="T39" s="37"/>
      <c r="U39" s="57">
        <f t="shared" si="2"/>
        <v>36</v>
      </c>
      <c r="V39" s="81" t="s">
        <v>96</v>
      </c>
      <c r="W39" s="87">
        <f>'Data By State'!N38</f>
        <v>0.40606433636222683</v>
      </c>
      <c r="X39" s="33"/>
      <c r="Y39" s="80">
        <f t="shared" si="3"/>
        <v>19</v>
      </c>
      <c r="Z39" s="81" t="s">
        <v>96</v>
      </c>
      <c r="AA39" s="56">
        <f>'Data By State'!O38</f>
        <v>0.59259259259259256</v>
      </c>
      <c r="AB39" s="29"/>
      <c r="AC39" s="80">
        <f t="shared" si="11"/>
        <v>42</v>
      </c>
      <c r="AD39" s="81" t="s">
        <v>96</v>
      </c>
      <c r="AE39" s="56">
        <f>'Data By State'!P38</f>
        <v>0.32152821215908761</v>
      </c>
      <c r="AF39" s="29"/>
      <c r="AG39" s="80">
        <f t="shared" si="4"/>
        <v>18</v>
      </c>
      <c r="AH39" s="81" t="s">
        <v>96</v>
      </c>
      <c r="AI39" s="56">
        <f>'Data By State'!Q38</f>
        <v>0.13126276175150917</v>
      </c>
      <c r="AJ39" s="29"/>
      <c r="AK39" s="80">
        <f t="shared" si="12"/>
        <v>46</v>
      </c>
      <c r="AL39" s="81" t="s">
        <v>96</v>
      </c>
      <c r="AM39" s="56">
        <f>'Data By State'!R38</f>
        <v>0.4857549873616186</v>
      </c>
    </row>
    <row r="40" spans="1:39">
      <c r="A40" s="93" t="s">
        <v>97</v>
      </c>
      <c r="B40" s="66">
        <f t="shared" ref="B40:B58" si="13">S40</f>
        <v>14</v>
      </c>
      <c r="C40" s="64">
        <f>'Data By State'!N39</f>
        <v>0.19183309679459667</v>
      </c>
      <c r="D40" s="64">
        <f>'Data By State'!O39</f>
        <v>0.38461538461538464</v>
      </c>
      <c r="E40" s="64">
        <f>'Data By State'!P39</f>
        <v>0.38302747950470445</v>
      </c>
      <c r="F40" s="64">
        <f>'Data By State'!Q39</f>
        <v>0.2015672641434483</v>
      </c>
      <c r="G40" s="115">
        <f>'Data By State'!R39</f>
        <v>0.62891909587156147</v>
      </c>
      <c r="H40" s="97"/>
      <c r="I40" s="93" t="s">
        <v>97</v>
      </c>
      <c r="J40" s="25">
        <f t="shared" si="5"/>
        <v>6</v>
      </c>
      <c r="K40" s="105">
        <f t="shared" si="6"/>
        <v>7</v>
      </c>
      <c r="L40" s="105">
        <f t="shared" si="7"/>
        <v>8</v>
      </c>
      <c r="M40" s="105">
        <f t="shared" si="8"/>
        <v>16</v>
      </c>
      <c r="N40" s="105">
        <f t="shared" si="9"/>
        <v>23</v>
      </c>
      <c r="O40" s="107">
        <f t="shared" si="10"/>
        <v>9</v>
      </c>
      <c r="P40" s="24"/>
      <c r="Q40" s="80">
        <f t="shared" ref="Q40:Q57" si="14">RANK(S40,S$8:S$57,1)</f>
        <v>6</v>
      </c>
      <c r="R40" s="81" t="s">
        <v>97</v>
      </c>
      <c r="S40" s="82">
        <f>'Data By State'!L39</f>
        <v>14</v>
      </c>
      <c r="T40" s="37"/>
      <c r="U40" s="57">
        <f t="shared" si="2"/>
        <v>7</v>
      </c>
      <c r="V40" s="81" t="s">
        <v>97</v>
      </c>
      <c r="W40" s="87">
        <f>'Data By State'!N39</f>
        <v>0.19183309679459667</v>
      </c>
      <c r="X40" s="33"/>
      <c r="Y40" s="80">
        <f t="shared" si="3"/>
        <v>8</v>
      </c>
      <c r="Z40" s="81" t="s">
        <v>97</v>
      </c>
      <c r="AA40" s="56">
        <f>'Data By State'!O39</f>
        <v>0.38461538461538464</v>
      </c>
      <c r="AB40" s="29"/>
      <c r="AC40" s="80">
        <f t="shared" si="11"/>
        <v>16</v>
      </c>
      <c r="AD40" s="81" t="s">
        <v>97</v>
      </c>
      <c r="AE40" s="56">
        <f>'Data By State'!P39</f>
        <v>0.38302747950470445</v>
      </c>
      <c r="AF40" s="29"/>
      <c r="AG40" s="80">
        <f t="shared" si="4"/>
        <v>23</v>
      </c>
      <c r="AH40" s="81" t="s">
        <v>97</v>
      </c>
      <c r="AI40" s="56">
        <f>'Data By State'!Q39</f>
        <v>0.2015672641434483</v>
      </c>
      <c r="AJ40" s="29"/>
      <c r="AK40" s="80">
        <f t="shared" si="12"/>
        <v>9</v>
      </c>
      <c r="AL40" s="81" t="s">
        <v>97</v>
      </c>
      <c r="AM40" s="56">
        <f>'Data By State'!R39</f>
        <v>0.62891909587156147</v>
      </c>
    </row>
    <row r="41" spans="1:39">
      <c r="A41" s="93" t="s">
        <v>98</v>
      </c>
      <c r="B41" s="66">
        <f t="shared" si="13"/>
        <v>27.6</v>
      </c>
      <c r="C41" s="64">
        <f>'Data By State'!N40</f>
        <v>0.23051166049646798</v>
      </c>
      <c r="D41" s="64">
        <f>'Data By State'!O40</f>
        <v>0</v>
      </c>
      <c r="E41" s="64">
        <f>'Data By State'!P40</f>
        <v>0.32564487383922708</v>
      </c>
      <c r="F41" s="64">
        <f>'Data By State'!Q40</f>
        <v>0.43404200819672134</v>
      </c>
      <c r="G41" s="115">
        <f>'Data By State'!R40</f>
        <v>0.59323515617671885</v>
      </c>
      <c r="H41" s="97"/>
      <c r="I41" s="93" t="s">
        <v>98</v>
      </c>
      <c r="J41" s="25">
        <f t="shared" si="5"/>
        <v>30</v>
      </c>
      <c r="K41" s="105">
        <f t="shared" si="6"/>
        <v>11</v>
      </c>
      <c r="L41" s="105">
        <f t="shared" si="7"/>
        <v>1</v>
      </c>
      <c r="M41" s="105">
        <f t="shared" si="8"/>
        <v>39</v>
      </c>
      <c r="N41" s="105">
        <f t="shared" si="9"/>
        <v>48</v>
      </c>
      <c r="O41" s="107">
        <f t="shared" si="10"/>
        <v>17</v>
      </c>
      <c r="P41" s="24"/>
      <c r="Q41" s="80">
        <f t="shared" si="14"/>
        <v>30</v>
      </c>
      <c r="R41" s="81" t="s">
        <v>98</v>
      </c>
      <c r="S41" s="82">
        <f>'Data By State'!L40</f>
        <v>27.6</v>
      </c>
      <c r="T41" s="37"/>
      <c r="U41" s="57">
        <f t="shared" si="2"/>
        <v>11</v>
      </c>
      <c r="V41" s="81" t="s">
        <v>98</v>
      </c>
      <c r="W41" s="87">
        <f>'Data By State'!N40</f>
        <v>0.23051166049646798</v>
      </c>
      <c r="X41" s="33"/>
      <c r="Y41" s="80">
        <f t="shared" si="3"/>
        <v>1</v>
      </c>
      <c r="Z41" s="81" t="s">
        <v>98</v>
      </c>
      <c r="AA41" s="56">
        <f>'Data By State'!O40</f>
        <v>0</v>
      </c>
      <c r="AB41" s="29"/>
      <c r="AC41" s="80">
        <f t="shared" si="11"/>
        <v>39</v>
      </c>
      <c r="AD41" s="81" t="s">
        <v>98</v>
      </c>
      <c r="AE41" s="56">
        <f>'Data By State'!P40</f>
        <v>0.32564487383922708</v>
      </c>
      <c r="AF41" s="29"/>
      <c r="AG41" s="80">
        <f t="shared" si="4"/>
        <v>48</v>
      </c>
      <c r="AH41" s="81" t="s">
        <v>98</v>
      </c>
      <c r="AI41" s="56">
        <f>'Data By State'!Q40</f>
        <v>0.43404200819672134</v>
      </c>
      <c r="AJ41" s="29"/>
      <c r="AK41" s="80">
        <f t="shared" si="12"/>
        <v>17</v>
      </c>
      <c r="AL41" s="81" t="s">
        <v>98</v>
      </c>
      <c r="AM41" s="56">
        <f>'Data By State'!R40</f>
        <v>0.59323515617671885</v>
      </c>
    </row>
    <row r="42" spans="1:39">
      <c r="A42" s="112" t="s">
        <v>99</v>
      </c>
      <c r="B42" s="113">
        <f t="shared" si="13"/>
        <v>23.6</v>
      </c>
      <c r="C42" s="114">
        <f>'Data By State'!N41</f>
        <v>0.35171896727351037</v>
      </c>
      <c r="D42" s="114">
        <f>'Data By State'!O41</f>
        <v>0.625</v>
      </c>
      <c r="E42" s="114">
        <f>'Data By State'!P41</f>
        <v>0.38161700727753678</v>
      </c>
      <c r="F42" s="114">
        <f>'Data By State'!Q41</f>
        <v>0.22978968232205899</v>
      </c>
      <c r="G42" s="115">
        <f>'Data By State'!R41</f>
        <v>0.59481214367958757</v>
      </c>
      <c r="H42" s="97"/>
      <c r="I42" s="112" t="s">
        <v>99</v>
      </c>
      <c r="J42" s="116">
        <f t="shared" si="5"/>
        <v>21</v>
      </c>
      <c r="K42" s="117">
        <f t="shared" si="6"/>
        <v>31</v>
      </c>
      <c r="L42" s="117">
        <f t="shared" si="7"/>
        <v>22</v>
      </c>
      <c r="M42" s="117">
        <f t="shared" si="8"/>
        <v>18</v>
      </c>
      <c r="N42" s="117">
        <f t="shared" si="9"/>
        <v>29</v>
      </c>
      <c r="O42" s="118">
        <f t="shared" si="10"/>
        <v>16</v>
      </c>
      <c r="P42" s="24"/>
      <c r="Q42" s="119">
        <f t="shared" si="14"/>
        <v>21</v>
      </c>
      <c r="R42" s="120" t="s">
        <v>99</v>
      </c>
      <c r="S42" s="121">
        <f>'Data By State'!L41</f>
        <v>23.6</v>
      </c>
      <c r="T42" s="37"/>
      <c r="U42" s="122">
        <f t="shared" si="2"/>
        <v>31</v>
      </c>
      <c r="V42" s="120" t="s">
        <v>99</v>
      </c>
      <c r="W42" s="123">
        <f>'Data By State'!N41</f>
        <v>0.35171896727351037</v>
      </c>
      <c r="X42" s="33"/>
      <c r="Y42" s="119">
        <f t="shared" si="3"/>
        <v>22</v>
      </c>
      <c r="Z42" s="120" t="s">
        <v>99</v>
      </c>
      <c r="AA42" s="115">
        <f>'Data By State'!O41</f>
        <v>0.625</v>
      </c>
      <c r="AB42" s="29"/>
      <c r="AC42" s="119">
        <f t="shared" si="11"/>
        <v>18</v>
      </c>
      <c r="AD42" s="120" t="s">
        <v>99</v>
      </c>
      <c r="AE42" s="115">
        <f>'Data By State'!P41</f>
        <v>0.38161700727753678</v>
      </c>
      <c r="AF42" s="29"/>
      <c r="AG42" s="119">
        <f t="shared" si="4"/>
        <v>29</v>
      </c>
      <c r="AH42" s="120" t="s">
        <v>99</v>
      </c>
      <c r="AI42" s="115">
        <f>'Data By State'!Q41</f>
        <v>0.22978968232205899</v>
      </c>
      <c r="AJ42" s="29"/>
      <c r="AK42" s="119">
        <f t="shared" si="12"/>
        <v>16</v>
      </c>
      <c r="AL42" s="120" t="s">
        <v>99</v>
      </c>
      <c r="AM42" s="115">
        <f>'Data By State'!R41</f>
        <v>0.59481214367958757</v>
      </c>
    </row>
    <row r="43" spans="1:39">
      <c r="A43" s="93" t="s">
        <v>100</v>
      </c>
      <c r="B43" s="66">
        <f t="shared" si="13"/>
        <v>39.200000000000003</v>
      </c>
      <c r="C43" s="64">
        <f>'Data By State'!N42</f>
        <v>0.40169972502127826</v>
      </c>
      <c r="D43" s="64">
        <f>'Data By State'!O42</f>
        <v>0.8</v>
      </c>
      <c r="E43" s="64">
        <f>'Data By State'!P42</f>
        <v>0.31554665853561531</v>
      </c>
      <c r="F43" s="64">
        <f>'Data By State'!Q42</f>
        <v>0.33161014680206796</v>
      </c>
      <c r="G43" s="115">
        <f>'Data By State'!R42</f>
        <v>0.48828104861101906</v>
      </c>
      <c r="H43" s="97"/>
      <c r="I43" s="93" t="s">
        <v>100</v>
      </c>
      <c r="J43" s="25">
        <f t="shared" si="5"/>
        <v>50</v>
      </c>
      <c r="K43" s="105">
        <f t="shared" si="6"/>
        <v>35</v>
      </c>
      <c r="L43" s="105">
        <f t="shared" si="7"/>
        <v>34</v>
      </c>
      <c r="M43" s="105">
        <f t="shared" si="8"/>
        <v>44</v>
      </c>
      <c r="N43" s="105">
        <f t="shared" si="9"/>
        <v>39</v>
      </c>
      <c r="O43" s="107">
        <f t="shared" si="10"/>
        <v>45</v>
      </c>
      <c r="P43" s="24"/>
      <c r="Q43" s="80">
        <f t="shared" si="14"/>
        <v>50</v>
      </c>
      <c r="R43" s="81" t="s">
        <v>100</v>
      </c>
      <c r="S43" s="82">
        <f>'Data By State'!L42</f>
        <v>39.200000000000003</v>
      </c>
      <c r="T43" s="37"/>
      <c r="U43" s="57">
        <f t="shared" si="2"/>
        <v>35</v>
      </c>
      <c r="V43" s="81" t="s">
        <v>100</v>
      </c>
      <c r="W43" s="87">
        <f>'Data By State'!N42</f>
        <v>0.40169972502127826</v>
      </c>
      <c r="X43" s="33"/>
      <c r="Y43" s="80">
        <f t="shared" si="3"/>
        <v>34</v>
      </c>
      <c r="Z43" s="81" t="s">
        <v>100</v>
      </c>
      <c r="AA43" s="56">
        <f>'Data By State'!O42</f>
        <v>0.8</v>
      </c>
      <c r="AB43" s="29"/>
      <c r="AC43" s="80">
        <f t="shared" si="11"/>
        <v>44</v>
      </c>
      <c r="AD43" s="81" t="s">
        <v>100</v>
      </c>
      <c r="AE43" s="56">
        <f>'Data By State'!P42</f>
        <v>0.31554665853561531</v>
      </c>
      <c r="AF43" s="29"/>
      <c r="AG43" s="80">
        <f t="shared" si="4"/>
        <v>39</v>
      </c>
      <c r="AH43" s="81" t="s">
        <v>100</v>
      </c>
      <c r="AI43" s="56">
        <f>'Data By State'!Q42</f>
        <v>0.33161014680206796</v>
      </c>
      <c r="AJ43" s="29"/>
      <c r="AK43" s="80">
        <f t="shared" si="12"/>
        <v>45</v>
      </c>
      <c r="AL43" s="81" t="s">
        <v>100</v>
      </c>
      <c r="AM43" s="56">
        <f>'Data By State'!R42</f>
        <v>0.48828104861101906</v>
      </c>
    </row>
    <row r="44" spans="1:39">
      <c r="A44" s="93" t="s">
        <v>101</v>
      </c>
      <c r="B44" s="66">
        <f t="shared" si="13"/>
        <v>23.4</v>
      </c>
      <c r="C44" s="64">
        <f>'Data By State'!N43</f>
        <v>0.32497049809361511</v>
      </c>
      <c r="D44" s="64">
        <f>'Data By State'!O43</f>
        <v>0.8</v>
      </c>
      <c r="E44" s="64">
        <f>'Data By State'!P43</f>
        <v>0.38205339180616876</v>
      </c>
      <c r="F44" s="64">
        <f>'Data By State'!Q43</f>
        <v>0.22336204635609616</v>
      </c>
      <c r="G44" s="115">
        <f>'Data By State'!R43</f>
        <v>0.60373202589430497</v>
      </c>
      <c r="H44" s="97"/>
      <c r="I44" s="93" t="s">
        <v>101</v>
      </c>
      <c r="J44" s="25">
        <f t="shared" si="5"/>
        <v>19</v>
      </c>
      <c r="K44" s="105">
        <f t="shared" si="6"/>
        <v>23</v>
      </c>
      <c r="L44" s="105">
        <f t="shared" si="7"/>
        <v>34</v>
      </c>
      <c r="M44" s="105">
        <f t="shared" si="8"/>
        <v>17</v>
      </c>
      <c r="N44" s="105">
        <f t="shared" si="9"/>
        <v>26</v>
      </c>
      <c r="O44" s="107">
        <f t="shared" si="10"/>
        <v>15</v>
      </c>
      <c r="P44" s="24"/>
      <c r="Q44" s="80">
        <f t="shared" si="14"/>
        <v>19</v>
      </c>
      <c r="R44" s="81" t="s">
        <v>101</v>
      </c>
      <c r="S44" s="82">
        <f>'Data By State'!L43</f>
        <v>23.4</v>
      </c>
      <c r="T44" s="37"/>
      <c r="U44" s="57">
        <f t="shared" si="2"/>
        <v>23</v>
      </c>
      <c r="V44" s="81" t="s">
        <v>101</v>
      </c>
      <c r="W44" s="87">
        <f>'Data By State'!N43</f>
        <v>0.32497049809361511</v>
      </c>
      <c r="X44" s="33"/>
      <c r="Y44" s="80">
        <f t="shared" si="3"/>
        <v>34</v>
      </c>
      <c r="Z44" s="81" t="s">
        <v>101</v>
      </c>
      <c r="AA44" s="56">
        <f>'Data By State'!O43</f>
        <v>0.8</v>
      </c>
      <c r="AB44" s="29"/>
      <c r="AC44" s="80">
        <f t="shared" si="11"/>
        <v>17</v>
      </c>
      <c r="AD44" s="81" t="s">
        <v>101</v>
      </c>
      <c r="AE44" s="56">
        <f>'Data By State'!P43</f>
        <v>0.38205339180616876</v>
      </c>
      <c r="AF44" s="29"/>
      <c r="AG44" s="80">
        <f t="shared" si="4"/>
        <v>26</v>
      </c>
      <c r="AH44" s="81" t="s">
        <v>101</v>
      </c>
      <c r="AI44" s="56">
        <f>'Data By State'!Q43</f>
        <v>0.22336204635609616</v>
      </c>
      <c r="AJ44" s="29"/>
      <c r="AK44" s="80">
        <f t="shared" si="12"/>
        <v>15</v>
      </c>
      <c r="AL44" s="81" t="s">
        <v>101</v>
      </c>
      <c r="AM44" s="56">
        <f>'Data By State'!R43</f>
        <v>0.60373202589430497</v>
      </c>
    </row>
    <row r="45" spans="1:39">
      <c r="A45" s="93" t="s">
        <v>102</v>
      </c>
      <c r="B45" s="66">
        <f t="shared" si="13"/>
        <v>22</v>
      </c>
      <c r="C45" s="64">
        <f>'Data By State'!N44</f>
        <v>0.27186896869970884</v>
      </c>
      <c r="D45" s="64">
        <f>'Data By State'!O44</f>
        <v>0.55555555555555558</v>
      </c>
      <c r="E45" s="64">
        <f>'Data By State'!P44</f>
        <v>0.36549622461555414</v>
      </c>
      <c r="F45" s="64">
        <f>'Data By State'!Q44</f>
        <v>0.2297332951786521</v>
      </c>
      <c r="G45" s="115">
        <f>'Data By State'!R44</f>
        <v>0.57433453868201778</v>
      </c>
      <c r="H45" s="97"/>
      <c r="I45" s="93" t="s">
        <v>102</v>
      </c>
      <c r="J45" s="25">
        <f t="shared" si="5"/>
        <v>16</v>
      </c>
      <c r="K45" s="105">
        <f t="shared" si="6"/>
        <v>16</v>
      </c>
      <c r="L45" s="105">
        <f t="shared" si="7"/>
        <v>16</v>
      </c>
      <c r="M45" s="105">
        <f t="shared" si="8"/>
        <v>25</v>
      </c>
      <c r="N45" s="105">
        <f t="shared" si="9"/>
        <v>28</v>
      </c>
      <c r="O45" s="107">
        <f t="shared" si="10"/>
        <v>23</v>
      </c>
      <c r="P45" s="24"/>
      <c r="Q45" s="80">
        <f t="shared" si="14"/>
        <v>16</v>
      </c>
      <c r="R45" s="81" t="s">
        <v>102</v>
      </c>
      <c r="S45" s="82">
        <f>'Data By State'!L44</f>
        <v>22</v>
      </c>
      <c r="T45" s="37"/>
      <c r="U45" s="57">
        <f t="shared" si="2"/>
        <v>16</v>
      </c>
      <c r="V45" s="81" t="s">
        <v>102</v>
      </c>
      <c r="W45" s="87">
        <f>'Data By State'!N44</f>
        <v>0.27186896869970884</v>
      </c>
      <c r="X45" s="33"/>
      <c r="Y45" s="80">
        <f t="shared" si="3"/>
        <v>16</v>
      </c>
      <c r="Z45" s="81" t="s">
        <v>102</v>
      </c>
      <c r="AA45" s="56">
        <f>'Data By State'!O44</f>
        <v>0.55555555555555558</v>
      </c>
      <c r="AB45" s="29"/>
      <c r="AC45" s="80">
        <f t="shared" si="11"/>
        <v>25</v>
      </c>
      <c r="AD45" s="81" t="s">
        <v>102</v>
      </c>
      <c r="AE45" s="56">
        <f>'Data By State'!P44</f>
        <v>0.36549622461555414</v>
      </c>
      <c r="AF45" s="29"/>
      <c r="AG45" s="80">
        <f t="shared" si="4"/>
        <v>28</v>
      </c>
      <c r="AH45" s="81" t="s">
        <v>102</v>
      </c>
      <c r="AI45" s="56">
        <f>'Data By State'!Q44</f>
        <v>0.2297332951786521</v>
      </c>
      <c r="AJ45" s="29"/>
      <c r="AK45" s="80">
        <f t="shared" si="12"/>
        <v>23</v>
      </c>
      <c r="AL45" s="81" t="s">
        <v>102</v>
      </c>
      <c r="AM45" s="56">
        <f>'Data By State'!R44</f>
        <v>0.57433453868201778</v>
      </c>
    </row>
    <row r="46" spans="1:39">
      <c r="A46" s="93" t="s">
        <v>103</v>
      </c>
      <c r="B46" s="66">
        <f t="shared" si="13"/>
        <v>38.4</v>
      </c>
      <c r="C46" s="64">
        <f>'Data By State'!N45</f>
        <v>0.55568745757051008</v>
      </c>
      <c r="D46" s="64">
        <f>'Data By State'!O45</f>
        <v>0.5</v>
      </c>
      <c r="E46" s="64">
        <f>'Data By State'!P45</f>
        <v>0.30265809036336555</v>
      </c>
      <c r="F46" s="64">
        <f>'Data By State'!Q45</f>
        <v>0.41730115130617734</v>
      </c>
      <c r="G46" s="115">
        <f>'Data By State'!R45</f>
        <v>0.55642995115669536</v>
      </c>
      <c r="H46" s="97"/>
      <c r="I46" s="93" t="s">
        <v>103</v>
      </c>
      <c r="J46" s="25">
        <f t="shared" si="5"/>
        <v>49</v>
      </c>
      <c r="K46" s="105">
        <f t="shared" si="6"/>
        <v>46</v>
      </c>
      <c r="L46" s="105">
        <f t="shared" si="7"/>
        <v>10</v>
      </c>
      <c r="M46" s="105">
        <f t="shared" si="8"/>
        <v>45</v>
      </c>
      <c r="N46" s="105">
        <f t="shared" si="9"/>
        <v>46</v>
      </c>
      <c r="O46" s="107">
        <f t="shared" si="10"/>
        <v>31</v>
      </c>
      <c r="P46" s="24"/>
      <c r="Q46" s="80">
        <f t="shared" si="14"/>
        <v>49</v>
      </c>
      <c r="R46" s="81" t="s">
        <v>103</v>
      </c>
      <c r="S46" s="82">
        <f>'Data By State'!L45</f>
        <v>38.4</v>
      </c>
      <c r="T46" s="37"/>
      <c r="U46" s="57">
        <f t="shared" si="2"/>
        <v>46</v>
      </c>
      <c r="V46" s="81" t="s">
        <v>103</v>
      </c>
      <c r="W46" s="87">
        <f>'Data By State'!N45</f>
        <v>0.55568745757051008</v>
      </c>
      <c r="X46" s="33"/>
      <c r="Y46" s="80">
        <f t="shared" si="3"/>
        <v>10</v>
      </c>
      <c r="Z46" s="81" t="s">
        <v>103</v>
      </c>
      <c r="AA46" s="56">
        <f>'Data By State'!O45</f>
        <v>0.5</v>
      </c>
      <c r="AB46" s="29"/>
      <c r="AC46" s="80">
        <f t="shared" si="11"/>
        <v>45</v>
      </c>
      <c r="AD46" s="81" t="s">
        <v>103</v>
      </c>
      <c r="AE46" s="56">
        <f>'Data By State'!P45</f>
        <v>0.30265809036336555</v>
      </c>
      <c r="AF46" s="29"/>
      <c r="AG46" s="80">
        <f t="shared" si="4"/>
        <v>46</v>
      </c>
      <c r="AH46" s="81" t="s">
        <v>103</v>
      </c>
      <c r="AI46" s="56">
        <f>'Data By State'!Q45</f>
        <v>0.41730115130617734</v>
      </c>
      <c r="AJ46" s="29"/>
      <c r="AK46" s="80">
        <f t="shared" si="12"/>
        <v>31</v>
      </c>
      <c r="AL46" s="81" t="s">
        <v>103</v>
      </c>
      <c r="AM46" s="56">
        <f>'Data By State'!R45</f>
        <v>0.55642995115669536</v>
      </c>
    </row>
    <row r="47" spans="1:39">
      <c r="A47" s="112" t="s">
        <v>104</v>
      </c>
      <c r="B47" s="113">
        <f t="shared" si="13"/>
        <v>30.2</v>
      </c>
      <c r="C47" s="114">
        <f>'Data By State'!N46</f>
        <v>0.33583227421728185</v>
      </c>
      <c r="D47" s="114">
        <f>'Data By State'!O46</f>
        <v>0.7142857142857143</v>
      </c>
      <c r="E47" s="114">
        <f>'Data By State'!P46</f>
        <v>0.35865139611882541</v>
      </c>
      <c r="F47" s="114">
        <f>'Data By State'!Q46</f>
        <v>0.2785611029850058</v>
      </c>
      <c r="G47" s="115">
        <f>'Data By State'!R46</f>
        <v>0.5193839767576669</v>
      </c>
      <c r="H47" s="97"/>
      <c r="I47" s="112" t="s">
        <v>104</v>
      </c>
      <c r="J47" s="116">
        <f t="shared" si="5"/>
        <v>37</v>
      </c>
      <c r="K47" s="117">
        <f t="shared" si="6"/>
        <v>26</v>
      </c>
      <c r="L47" s="117">
        <f t="shared" si="7"/>
        <v>31</v>
      </c>
      <c r="M47" s="117">
        <f t="shared" si="8"/>
        <v>29</v>
      </c>
      <c r="N47" s="117">
        <f t="shared" si="9"/>
        <v>36</v>
      </c>
      <c r="O47" s="118">
        <f t="shared" si="10"/>
        <v>40</v>
      </c>
      <c r="P47" s="24"/>
      <c r="Q47" s="119">
        <f t="shared" si="14"/>
        <v>37</v>
      </c>
      <c r="R47" s="120" t="s">
        <v>104</v>
      </c>
      <c r="S47" s="121">
        <f>'Data By State'!L46</f>
        <v>30.2</v>
      </c>
      <c r="T47" s="37"/>
      <c r="U47" s="122">
        <f t="shared" si="2"/>
        <v>26</v>
      </c>
      <c r="V47" s="120" t="s">
        <v>104</v>
      </c>
      <c r="W47" s="123">
        <f>'Data By State'!N46</f>
        <v>0.33583227421728185</v>
      </c>
      <c r="X47" s="33"/>
      <c r="Y47" s="119">
        <f t="shared" si="3"/>
        <v>31</v>
      </c>
      <c r="Z47" s="120" t="s">
        <v>104</v>
      </c>
      <c r="AA47" s="115">
        <f>'Data By State'!O46</f>
        <v>0.7142857142857143</v>
      </c>
      <c r="AB47" s="29"/>
      <c r="AC47" s="119">
        <f t="shared" si="11"/>
        <v>29</v>
      </c>
      <c r="AD47" s="120" t="s">
        <v>104</v>
      </c>
      <c r="AE47" s="115">
        <f>'Data By State'!P46</f>
        <v>0.35865139611882541</v>
      </c>
      <c r="AF47" s="29"/>
      <c r="AG47" s="119">
        <f t="shared" si="4"/>
        <v>36</v>
      </c>
      <c r="AH47" s="120" t="s">
        <v>104</v>
      </c>
      <c r="AI47" s="115">
        <f>'Data By State'!Q46</f>
        <v>0.2785611029850058</v>
      </c>
      <c r="AJ47" s="29"/>
      <c r="AK47" s="119">
        <f t="shared" si="12"/>
        <v>40</v>
      </c>
      <c r="AL47" s="120" t="s">
        <v>104</v>
      </c>
      <c r="AM47" s="115">
        <f>'Data By State'!R46</f>
        <v>0.5193839767576669</v>
      </c>
    </row>
    <row r="48" spans="1:39">
      <c r="A48" s="93" t="s">
        <v>105</v>
      </c>
      <c r="B48" s="66">
        <f t="shared" si="13"/>
        <v>33.6</v>
      </c>
      <c r="C48" s="64">
        <f>'Data By State'!N47</f>
        <v>1</v>
      </c>
      <c r="D48" s="64">
        <f>'Data By State'!O47</f>
        <v>0</v>
      </c>
      <c r="E48" s="64">
        <f>'Data By State'!P47</f>
        <v>0.33910927471378877</v>
      </c>
      <c r="F48" s="64">
        <f>'Data By State'!Q47</f>
        <v>0.42550265750673022</v>
      </c>
      <c r="G48" s="115">
        <f>'Data By State'!R47</f>
        <v>0.59027126782185491</v>
      </c>
      <c r="H48" s="97"/>
      <c r="I48" s="93" t="s">
        <v>105</v>
      </c>
      <c r="J48" s="25">
        <f t="shared" si="5"/>
        <v>45</v>
      </c>
      <c r="K48" s="105">
        <f t="shared" si="6"/>
        <v>50</v>
      </c>
      <c r="L48" s="105">
        <f t="shared" si="7"/>
        <v>1</v>
      </c>
      <c r="M48" s="105">
        <f t="shared" si="8"/>
        <v>35</v>
      </c>
      <c r="N48" s="105">
        <f t="shared" si="9"/>
        <v>47</v>
      </c>
      <c r="O48" s="107">
        <f t="shared" si="10"/>
        <v>18</v>
      </c>
      <c r="P48" s="24"/>
      <c r="Q48" s="80">
        <f t="shared" si="14"/>
        <v>45</v>
      </c>
      <c r="R48" s="81" t="s">
        <v>105</v>
      </c>
      <c r="S48" s="82">
        <f>'Data By State'!L47</f>
        <v>33.6</v>
      </c>
      <c r="T48" s="37"/>
      <c r="U48" s="57">
        <f t="shared" si="2"/>
        <v>50</v>
      </c>
      <c r="V48" s="81" t="s">
        <v>105</v>
      </c>
      <c r="W48" s="87">
        <f>'Data By State'!N47</f>
        <v>1</v>
      </c>
      <c r="X48" s="33"/>
      <c r="Y48" s="80">
        <f t="shared" si="3"/>
        <v>1</v>
      </c>
      <c r="Z48" s="81" t="s">
        <v>105</v>
      </c>
      <c r="AA48" s="56">
        <f>'Data By State'!O47</f>
        <v>0</v>
      </c>
      <c r="AB48" s="29"/>
      <c r="AC48" s="80">
        <f t="shared" si="11"/>
        <v>35</v>
      </c>
      <c r="AD48" s="81" t="s">
        <v>105</v>
      </c>
      <c r="AE48" s="56">
        <f>'Data By State'!P47</f>
        <v>0.33910927471378877</v>
      </c>
      <c r="AF48" s="29"/>
      <c r="AG48" s="80">
        <f t="shared" si="4"/>
        <v>47</v>
      </c>
      <c r="AH48" s="81" t="s">
        <v>105</v>
      </c>
      <c r="AI48" s="56">
        <f>'Data By State'!Q47</f>
        <v>0.42550265750673022</v>
      </c>
      <c r="AJ48" s="29"/>
      <c r="AK48" s="80">
        <f t="shared" si="12"/>
        <v>18</v>
      </c>
      <c r="AL48" s="81" t="s">
        <v>105</v>
      </c>
      <c r="AM48" s="56">
        <f>'Data By State'!R47</f>
        <v>0.59027126782185491</v>
      </c>
    </row>
    <row r="49" spans="1:39">
      <c r="A49" s="93" t="s">
        <v>106</v>
      </c>
      <c r="B49" s="66">
        <f t="shared" si="13"/>
        <v>34.799999999999997</v>
      </c>
      <c r="C49" s="64">
        <f>'Data By State'!N48</f>
        <v>0.46940811459423049</v>
      </c>
      <c r="D49" s="64">
        <f>'Data By State'!O48</f>
        <v>0.88888888888888884</v>
      </c>
      <c r="E49" s="64">
        <f>'Data By State'!P48</f>
        <v>0.33609852917643473</v>
      </c>
      <c r="F49" s="64">
        <f>'Data By State'!Q48</f>
        <v>0.15231422631124963</v>
      </c>
      <c r="G49" s="115">
        <f>'Data By State'!R48</f>
        <v>0.48468435084645256</v>
      </c>
      <c r="H49" s="97"/>
      <c r="I49" s="93" t="s">
        <v>106</v>
      </c>
      <c r="J49" s="25">
        <f t="shared" si="5"/>
        <v>48</v>
      </c>
      <c r="K49" s="105">
        <f t="shared" si="6"/>
        <v>42</v>
      </c>
      <c r="L49" s="105">
        <f t="shared" si="7"/>
        <v>38</v>
      </c>
      <c r="M49" s="105">
        <f t="shared" si="8"/>
        <v>37</v>
      </c>
      <c r="N49" s="105">
        <f t="shared" si="9"/>
        <v>20</v>
      </c>
      <c r="O49" s="107">
        <f t="shared" si="10"/>
        <v>47</v>
      </c>
      <c r="P49" s="24"/>
      <c r="Q49" s="80">
        <f t="shared" si="14"/>
        <v>48</v>
      </c>
      <c r="R49" s="81" t="s">
        <v>106</v>
      </c>
      <c r="S49" s="82">
        <f>'Data By State'!L48</f>
        <v>34.799999999999997</v>
      </c>
      <c r="T49" s="37"/>
      <c r="U49" s="57">
        <f t="shared" si="2"/>
        <v>42</v>
      </c>
      <c r="V49" s="81" t="s">
        <v>106</v>
      </c>
      <c r="W49" s="87">
        <f>'Data By State'!N48</f>
        <v>0.46940811459423049</v>
      </c>
      <c r="X49" s="33"/>
      <c r="Y49" s="80">
        <f t="shared" si="3"/>
        <v>38</v>
      </c>
      <c r="Z49" s="81" t="s">
        <v>106</v>
      </c>
      <c r="AA49" s="56">
        <f>'Data By State'!O48</f>
        <v>0.88888888888888884</v>
      </c>
      <c r="AB49" s="29"/>
      <c r="AC49" s="80">
        <f t="shared" si="11"/>
        <v>37</v>
      </c>
      <c r="AD49" s="81" t="s">
        <v>106</v>
      </c>
      <c r="AE49" s="56">
        <f>'Data By State'!P48</f>
        <v>0.33609852917643473</v>
      </c>
      <c r="AF49" s="29"/>
      <c r="AG49" s="80">
        <f t="shared" si="4"/>
        <v>20</v>
      </c>
      <c r="AH49" s="81" t="s">
        <v>106</v>
      </c>
      <c r="AI49" s="56">
        <f>'Data By State'!Q48</f>
        <v>0.15231422631124963</v>
      </c>
      <c r="AJ49" s="29"/>
      <c r="AK49" s="80">
        <f t="shared" si="12"/>
        <v>47</v>
      </c>
      <c r="AL49" s="81" t="s">
        <v>106</v>
      </c>
      <c r="AM49" s="56">
        <f>'Data By State'!R48</f>
        <v>0.48468435084645256</v>
      </c>
    </row>
    <row r="50" spans="1:39">
      <c r="A50" s="93" t="s">
        <v>107</v>
      </c>
      <c r="B50" s="66">
        <f t="shared" si="13"/>
        <v>32.6</v>
      </c>
      <c r="C50" s="64">
        <f>'Data By State'!N49</f>
        <v>0.4300842808857202</v>
      </c>
      <c r="D50" s="64">
        <f>'Data By State'!O49</f>
        <v>0.86111111111111116</v>
      </c>
      <c r="E50" s="64">
        <f>'Data By State'!P49</f>
        <v>0.32388351048645619</v>
      </c>
      <c r="F50" s="64">
        <f>'Data By State'!Q49</f>
        <v>7.0155063641279047E-2</v>
      </c>
      <c r="G50" s="115">
        <f>'Data By State'!R49</f>
        <v>0.47603196880336113</v>
      </c>
      <c r="H50" s="97"/>
      <c r="I50" s="93" t="s">
        <v>107</v>
      </c>
      <c r="J50" s="25">
        <f t="shared" si="5"/>
        <v>42</v>
      </c>
      <c r="K50" s="105">
        <f t="shared" si="6"/>
        <v>37</v>
      </c>
      <c r="L50" s="105">
        <f t="shared" si="7"/>
        <v>37</v>
      </c>
      <c r="M50" s="105">
        <f t="shared" si="8"/>
        <v>40</v>
      </c>
      <c r="N50" s="105">
        <f t="shared" si="9"/>
        <v>9</v>
      </c>
      <c r="O50" s="107">
        <f t="shared" si="10"/>
        <v>48</v>
      </c>
      <c r="P50" s="24"/>
      <c r="Q50" s="80">
        <f t="shared" si="14"/>
        <v>42</v>
      </c>
      <c r="R50" s="81" t="s">
        <v>107</v>
      </c>
      <c r="S50" s="82">
        <f>'Data By State'!L49</f>
        <v>32.6</v>
      </c>
      <c r="T50" s="37"/>
      <c r="U50" s="57">
        <f t="shared" si="2"/>
        <v>37</v>
      </c>
      <c r="V50" s="81" t="s">
        <v>107</v>
      </c>
      <c r="W50" s="87">
        <f>'Data By State'!N49</f>
        <v>0.4300842808857202</v>
      </c>
      <c r="X50" s="33"/>
      <c r="Y50" s="80">
        <f t="shared" si="3"/>
        <v>37</v>
      </c>
      <c r="Z50" s="81" t="s">
        <v>107</v>
      </c>
      <c r="AA50" s="56">
        <f>'Data By State'!O49</f>
        <v>0.86111111111111116</v>
      </c>
      <c r="AB50" s="29"/>
      <c r="AC50" s="80">
        <f t="shared" si="11"/>
        <v>40</v>
      </c>
      <c r="AD50" s="81" t="s">
        <v>107</v>
      </c>
      <c r="AE50" s="56">
        <f>'Data By State'!P49</f>
        <v>0.32388351048645619</v>
      </c>
      <c r="AF50" s="29"/>
      <c r="AG50" s="80">
        <f t="shared" si="4"/>
        <v>9</v>
      </c>
      <c r="AH50" s="81" t="s">
        <v>107</v>
      </c>
      <c r="AI50" s="56">
        <f>'Data By State'!Q49</f>
        <v>7.0155063641279047E-2</v>
      </c>
      <c r="AJ50" s="29"/>
      <c r="AK50" s="80">
        <f t="shared" si="12"/>
        <v>48</v>
      </c>
      <c r="AL50" s="81" t="s">
        <v>107</v>
      </c>
      <c r="AM50" s="56">
        <f>'Data By State'!R49</f>
        <v>0.47603196880336113</v>
      </c>
    </row>
    <row r="51" spans="1:39">
      <c r="A51" s="93" t="s">
        <v>108</v>
      </c>
      <c r="B51" s="66">
        <f t="shared" si="13"/>
        <v>27</v>
      </c>
      <c r="C51" s="64">
        <f>'Data By State'!N50</f>
        <v>0.34913354472135855</v>
      </c>
      <c r="D51" s="64">
        <f>'Data By State'!O50</f>
        <v>0.75</v>
      </c>
      <c r="E51" s="64">
        <f>'Data By State'!P50</f>
        <v>0.35335458629184174</v>
      </c>
      <c r="F51" s="64">
        <f>'Data By State'!Q50</f>
        <v>8.8039357411224595E-2</v>
      </c>
      <c r="G51" s="115">
        <f>'Data By State'!R50</f>
        <v>0.54416053900873029</v>
      </c>
      <c r="H51" s="97"/>
      <c r="I51" s="93" t="s">
        <v>108</v>
      </c>
      <c r="J51" s="25">
        <f t="shared" si="5"/>
        <v>28</v>
      </c>
      <c r="K51" s="105">
        <f t="shared" si="6"/>
        <v>29</v>
      </c>
      <c r="L51" s="105">
        <f t="shared" si="7"/>
        <v>32</v>
      </c>
      <c r="M51" s="105">
        <f t="shared" si="8"/>
        <v>32</v>
      </c>
      <c r="N51" s="105">
        <f t="shared" si="9"/>
        <v>10</v>
      </c>
      <c r="O51" s="107">
        <f t="shared" si="10"/>
        <v>34</v>
      </c>
      <c r="P51" s="24"/>
      <c r="Q51" s="80">
        <f t="shared" si="14"/>
        <v>28</v>
      </c>
      <c r="R51" s="81" t="s">
        <v>108</v>
      </c>
      <c r="S51" s="82">
        <f>'Data By State'!L50</f>
        <v>27</v>
      </c>
      <c r="T51" s="37"/>
      <c r="U51" s="57">
        <f t="shared" si="2"/>
        <v>29</v>
      </c>
      <c r="V51" s="81" t="s">
        <v>108</v>
      </c>
      <c r="W51" s="87">
        <f>'Data By State'!N50</f>
        <v>0.34913354472135855</v>
      </c>
      <c r="X51" s="33"/>
      <c r="Y51" s="80">
        <f t="shared" si="3"/>
        <v>32</v>
      </c>
      <c r="Z51" s="81" t="s">
        <v>108</v>
      </c>
      <c r="AA51" s="56">
        <f>'Data By State'!O50</f>
        <v>0.75</v>
      </c>
      <c r="AB51" s="29"/>
      <c r="AC51" s="80">
        <f t="shared" si="11"/>
        <v>32</v>
      </c>
      <c r="AD51" s="81" t="s">
        <v>108</v>
      </c>
      <c r="AE51" s="56">
        <f>'Data By State'!P50</f>
        <v>0.35335458629184174</v>
      </c>
      <c r="AF51" s="29"/>
      <c r="AG51" s="80">
        <f t="shared" si="4"/>
        <v>10</v>
      </c>
      <c r="AH51" s="81" t="s">
        <v>108</v>
      </c>
      <c r="AI51" s="56">
        <f>'Data By State'!Q50</f>
        <v>8.8039357411224595E-2</v>
      </c>
      <c r="AJ51" s="29"/>
      <c r="AK51" s="80">
        <f t="shared" si="12"/>
        <v>34</v>
      </c>
      <c r="AL51" s="81" t="s">
        <v>108</v>
      </c>
      <c r="AM51" s="56">
        <f>'Data By State'!R50</f>
        <v>0.54416053900873029</v>
      </c>
    </row>
    <row r="52" spans="1:39">
      <c r="A52" s="112" t="s">
        <v>109</v>
      </c>
      <c r="B52" s="182">
        <f t="shared" si="13"/>
        <v>17.8</v>
      </c>
      <c r="C52" s="183">
        <f>'Data By State'!N51</f>
        <v>0.1546764554545951</v>
      </c>
      <c r="D52" s="183">
        <f>'Data By State'!O51</f>
        <v>1</v>
      </c>
      <c r="E52" s="183">
        <f>'Data By State'!P51</f>
        <v>0.42211403887340532</v>
      </c>
      <c r="F52" s="183">
        <f>'Data By State'!Q51</f>
        <v>0.25611144944141095</v>
      </c>
      <c r="G52" s="115">
        <f>'Data By State'!R51</f>
        <v>0.58613214053796792</v>
      </c>
      <c r="H52" s="185"/>
      <c r="I52" s="112" t="s">
        <v>109</v>
      </c>
      <c r="J52" s="179">
        <f t="shared" si="5"/>
        <v>8</v>
      </c>
      <c r="K52" s="180">
        <f t="shared" si="6"/>
        <v>5</v>
      </c>
      <c r="L52" s="180">
        <f t="shared" si="7"/>
        <v>41</v>
      </c>
      <c r="M52" s="180">
        <f t="shared" si="8"/>
        <v>5</v>
      </c>
      <c r="N52" s="180">
        <f t="shared" si="9"/>
        <v>33</v>
      </c>
      <c r="O52" s="181">
        <f t="shared" si="10"/>
        <v>20</v>
      </c>
      <c r="P52" s="177"/>
      <c r="Q52" s="186">
        <f t="shared" si="14"/>
        <v>8</v>
      </c>
      <c r="R52" s="120" t="s">
        <v>109</v>
      </c>
      <c r="S52" s="187">
        <f>'Data By State'!L51</f>
        <v>17.8</v>
      </c>
      <c r="T52" s="188"/>
      <c r="U52" s="189">
        <f t="shared" si="2"/>
        <v>5</v>
      </c>
      <c r="V52" s="120" t="s">
        <v>109</v>
      </c>
      <c r="W52" s="190">
        <f>'Data By State'!N51</f>
        <v>0.1546764554545951</v>
      </c>
      <c r="X52" s="172"/>
      <c r="Y52" s="186">
        <f t="shared" si="3"/>
        <v>41</v>
      </c>
      <c r="Z52" s="120" t="s">
        <v>109</v>
      </c>
      <c r="AA52" s="184">
        <f>'Data By State'!O51</f>
        <v>1</v>
      </c>
      <c r="AB52" s="173"/>
      <c r="AC52" s="186">
        <f t="shared" si="11"/>
        <v>5</v>
      </c>
      <c r="AD52" s="120" t="s">
        <v>109</v>
      </c>
      <c r="AE52" s="184">
        <f>'Data By State'!P51</f>
        <v>0.42211403887340532</v>
      </c>
      <c r="AF52" s="173"/>
      <c r="AG52" s="186">
        <f t="shared" si="4"/>
        <v>33</v>
      </c>
      <c r="AH52" s="120" t="s">
        <v>109</v>
      </c>
      <c r="AI52" s="184">
        <f>'Data By State'!Q51</f>
        <v>0.25611144944141095</v>
      </c>
      <c r="AJ52" s="173"/>
      <c r="AK52" s="186">
        <f t="shared" si="12"/>
        <v>20</v>
      </c>
      <c r="AL52" s="120" t="s">
        <v>109</v>
      </c>
      <c r="AM52" s="184">
        <f>'Data By State'!R51</f>
        <v>0.58613214053796792</v>
      </c>
    </row>
    <row r="53" spans="1:39">
      <c r="A53" s="93" t="s">
        <v>110</v>
      </c>
      <c r="B53" s="66">
        <f t="shared" si="13"/>
        <v>15.2</v>
      </c>
      <c r="C53" s="64">
        <f>'Data By State'!N52</f>
        <v>0.23479140370432686</v>
      </c>
      <c r="D53" s="64">
        <f>'Data By State'!O52</f>
        <v>0.54545454545454541</v>
      </c>
      <c r="E53" s="64">
        <f>'Data By State'!P52</f>
        <v>0.39271821494678388</v>
      </c>
      <c r="F53" s="64">
        <f>'Data By State'!Q52</f>
        <v>0.21782846700249028</v>
      </c>
      <c r="G53" s="115">
        <f>'Data By State'!R52</f>
        <v>0.6439265606751724</v>
      </c>
      <c r="H53" s="97"/>
      <c r="I53" s="93" t="s">
        <v>110</v>
      </c>
      <c r="J53" s="25">
        <f t="shared" si="5"/>
        <v>7</v>
      </c>
      <c r="K53" s="105">
        <f t="shared" si="6"/>
        <v>12</v>
      </c>
      <c r="L53" s="105">
        <f t="shared" si="7"/>
        <v>15</v>
      </c>
      <c r="M53" s="105">
        <f t="shared" si="8"/>
        <v>12</v>
      </c>
      <c r="N53" s="105">
        <f t="shared" si="9"/>
        <v>25</v>
      </c>
      <c r="O53" s="107">
        <f t="shared" si="10"/>
        <v>7</v>
      </c>
      <c r="P53" s="24"/>
      <c r="Q53" s="80">
        <f t="shared" si="14"/>
        <v>7</v>
      </c>
      <c r="R53" s="81" t="s">
        <v>110</v>
      </c>
      <c r="S53" s="82">
        <f>'Data By State'!L52</f>
        <v>15.2</v>
      </c>
      <c r="T53" s="37"/>
      <c r="U53" s="57">
        <f t="shared" si="2"/>
        <v>12</v>
      </c>
      <c r="V53" s="81" t="s">
        <v>110</v>
      </c>
      <c r="W53" s="87">
        <f>'Data By State'!N52</f>
        <v>0.23479140370432686</v>
      </c>
      <c r="X53" s="33"/>
      <c r="Y53" s="80">
        <f t="shared" si="3"/>
        <v>15</v>
      </c>
      <c r="Z53" s="81" t="s">
        <v>110</v>
      </c>
      <c r="AA53" s="56">
        <f>'Data By State'!O52</f>
        <v>0.54545454545454541</v>
      </c>
      <c r="AB53" s="29"/>
      <c r="AC53" s="80">
        <f t="shared" si="11"/>
        <v>12</v>
      </c>
      <c r="AD53" s="81" t="s">
        <v>110</v>
      </c>
      <c r="AE53" s="56">
        <f>'Data By State'!P52</f>
        <v>0.39271821494678388</v>
      </c>
      <c r="AF53" s="29"/>
      <c r="AG53" s="80">
        <f t="shared" si="4"/>
        <v>25</v>
      </c>
      <c r="AH53" s="81" t="s">
        <v>110</v>
      </c>
      <c r="AI53" s="56">
        <f>'Data By State'!Q52</f>
        <v>0.21782846700249028</v>
      </c>
      <c r="AJ53" s="29"/>
      <c r="AK53" s="80">
        <f t="shared" si="12"/>
        <v>7</v>
      </c>
      <c r="AL53" s="81" t="s">
        <v>110</v>
      </c>
      <c r="AM53" s="56">
        <f>'Data By State'!R52</f>
        <v>0.6439265606751724</v>
      </c>
    </row>
    <row r="54" spans="1:39">
      <c r="A54" s="93" t="s">
        <v>111</v>
      </c>
      <c r="B54" s="66">
        <f t="shared" si="13"/>
        <v>13.8</v>
      </c>
      <c r="C54" s="64">
        <f>'Data By State'!N53</f>
        <v>0.28475439000201724</v>
      </c>
      <c r="D54" s="64">
        <f>'Data By State'!O53</f>
        <v>0.6</v>
      </c>
      <c r="E54" s="64">
        <f>'Data By State'!P53</f>
        <v>0.39061646353226109</v>
      </c>
      <c r="F54" s="64">
        <f>'Data By State'!Q53</f>
        <v>5.5561816552494009E-2</v>
      </c>
      <c r="G54" s="115">
        <f>'Data By State'!R53</f>
        <v>0.61629460949833836</v>
      </c>
      <c r="H54" s="97"/>
      <c r="I54" s="93" t="s">
        <v>111</v>
      </c>
      <c r="J54" s="25">
        <f t="shared" si="5"/>
        <v>5</v>
      </c>
      <c r="K54" s="105">
        <f t="shared" si="6"/>
        <v>18</v>
      </c>
      <c r="L54" s="105">
        <f t="shared" si="7"/>
        <v>20</v>
      </c>
      <c r="M54" s="105">
        <f t="shared" si="8"/>
        <v>13</v>
      </c>
      <c r="N54" s="105">
        <f t="shared" si="9"/>
        <v>5</v>
      </c>
      <c r="O54" s="107">
        <f t="shared" si="10"/>
        <v>12</v>
      </c>
      <c r="P54" s="24"/>
      <c r="Q54" s="80">
        <f t="shared" si="14"/>
        <v>5</v>
      </c>
      <c r="R54" s="81" t="s">
        <v>111</v>
      </c>
      <c r="S54" s="82">
        <f>'Data By State'!L53</f>
        <v>13.8</v>
      </c>
      <c r="T54" s="37"/>
      <c r="U54" s="57">
        <f t="shared" si="2"/>
        <v>18</v>
      </c>
      <c r="V54" s="81" t="s">
        <v>111</v>
      </c>
      <c r="W54" s="87">
        <f>'Data By State'!N53</f>
        <v>0.28475439000201724</v>
      </c>
      <c r="X54" s="33"/>
      <c r="Y54" s="80">
        <f t="shared" si="3"/>
        <v>20</v>
      </c>
      <c r="Z54" s="81" t="s">
        <v>111</v>
      </c>
      <c r="AA54" s="56">
        <f>'Data By State'!O53</f>
        <v>0.6</v>
      </c>
      <c r="AB54" s="29"/>
      <c r="AC54" s="80">
        <f t="shared" si="11"/>
        <v>13</v>
      </c>
      <c r="AD54" s="81" t="s">
        <v>111</v>
      </c>
      <c r="AE54" s="56">
        <f>'Data By State'!P53</f>
        <v>0.39061646353226109</v>
      </c>
      <c r="AF54" s="29"/>
      <c r="AG54" s="80">
        <f t="shared" si="4"/>
        <v>5</v>
      </c>
      <c r="AH54" s="81" t="s">
        <v>111</v>
      </c>
      <c r="AI54" s="56">
        <f>'Data By State'!Q53</f>
        <v>5.5561816552494009E-2</v>
      </c>
      <c r="AJ54" s="29"/>
      <c r="AK54" s="80">
        <f t="shared" si="12"/>
        <v>12</v>
      </c>
      <c r="AL54" s="81" t="s">
        <v>111</v>
      </c>
      <c r="AM54" s="56">
        <f>'Data By State'!R53</f>
        <v>0.61629460949833836</v>
      </c>
    </row>
    <row r="55" spans="1:39">
      <c r="A55" s="93" t="s">
        <v>112</v>
      </c>
      <c r="B55" s="66">
        <f t="shared" si="13"/>
        <v>29.4</v>
      </c>
      <c r="C55" s="64">
        <f>'Data By State'!N54</f>
        <v>0.24162130753609376</v>
      </c>
      <c r="D55" s="64">
        <f>'Data By State'!O54</f>
        <v>0.66666666666666663</v>
      </c>
      <c r="E55" s="64">
        <f>'Data By State'!P54</f>
        <v>0.27656923628669533</v>
      </c>
      <c r="F55" s="64">
        <f>'Data By State'!Q54</f>
        <v>6.7576304713673485E-2</v>
      </c>
      <c r="G55" s="115">
        <f>'Data By State'!R54</f>
        <v>0.44318327087737097</v>
      </c>
      <c r="H55" s="97"/>
      <c r="I55" s="93" t="s">
        <v>112</v>
      </c>
      <c r="J55" s="25">
        <f t="shared" si="5"/>
        <v>36</v>
      </c>
      <c r="K55" s="105">
        <f t="shared" si="6"/>
        <v>13</v>
      </c>
      <c r="L55" s="105">
        <f t="shared" si="7"/>
        <v>26</v>
      </c>
      <c r="M55" s="105">
        <f t="shared" si="8"/>
        <v>50</v>
      </c>
      <c r="N55" s="105">
        <f t="shared" si="9"/>
        <v>8</v>
      </c>
      <c r="O55" s="107">
        <f t="shared" si="10"/>
        <v>49</v>
      </c>
      <c r="P55" s="24"/>
      <c r="Q55" s="80">
        <f t="shared" si="14"/>
        <v>36</v>
      </c>
      <c r="R55" s="81" t="s">
        <v>112</v>
      </c>
      <c r="S55" s="82">
        <f>'Data By State'!L54</f>
        <v>29.4</v>
      </c>
      <c r="T55" s="37"/>
      <c r="U55" s="57">
        <f t="shared" si="2"/>
        <v>13</v>
      </c>
      <c r="V55" s="81" t="s">
        <v>112</v>
      </c>
      <c r="W55" s="87">
        <f>'Data By State'!N54</f>
        <v>0.24162130753609376</v>
      </c>
      <c r="X55" s="33"/>
      <c r="Y55" s="80">
        <f t="shared" si="3"/>
        <v>26</v>
      </c>
      <c r="Z55" s="81" t="s">
        <v>112</v>
      </c>
      <c r="AA55" s="56">
        <f>'Data By State'!O54</f>
        <v>0.66666666666666663</v>
      </c>
      <c r="AB55" s="29"/>
      <c r="AC55" s="80">
        <f t="shared" si="11"/>
        <v>50</v>
      </c>
      <c r="AD55" s="81" t="s">
        <v>112</v>
      </c>
      <c r="AE55" s="56">
        <f>'Data By State'!P54</f>
        <v>0.27656923628669533</v>
      </c>
      <c r="AF55" s="29"/>
      <c r="AG55" s="80">
        <f t="shared" si="4"/>
        <v>8</v>
      </c>
      <c r="AH55" s="81" t="s">
        <v>112</v>
      </c>
      <c r="AI55" s="56">
        <f>'Data By State'!Q54</f>
        <v>6.7576304713673485E-2</v>
      </c>
      <c r="AJ55" s="29"/>
      <c r="AK55" s="80">
        <f t="shared" si="12"/>
        <v>49</v>
      </c>
      <c r="AL55" s="81" t="s">
        <v>112</v>
      </c>
      <c r="AM55" s="56">
        <f>'Data By State'!R54</f>
        <v>0.44318327087737097</v>
      </c>
    </row>
    <row r="56" spans="1:39">
      <c r="A56" s="93" t="s">
        <v>113</v>
      </c>
      <c r="B56" s="66">
        <f t="shared" si="13"/>
        <v>12.8</v>
      </c>
      <c r="C56" s="64">
        <f>'Data By State'!N55</f>
        <v>0.26168316207591441</v>
      </c>
      <c r="D56" s="64">
        <f>'Data By State'!O55</f>
        <v>0.625</v>
      </c>
      <c r="E56" s="64">
        <f>'Data By State'!P55</f>
        <v>0.42352536329780499</v>
      </c>
      <c r="F56" s="64">
        <f>'Data By State'!Q55</f>
        <v>0.1325051028418904</v>
      </c>
      <c r="G56" s="115">
        <f>'Data By State'!R55</f>
        <v>0.67691436356044132</v>
      </c>
      <c r="H56" s="97"/>
      <c r="I56" s="93" t="s">
        <v>113</v>
      </c>
      <c r="J56" s="25">
        <f t="shared" si="5"/>
        <v>3</v>
      </c>
      <c r="K56" s="105">
        <f t="shared" si="6"/>
        <v>15</v>
      </c>
      <c r="L56" s="105">
        <f t="shared" si="7"/>
        <v>22</v>
      </c>
      <c r="M56" s="105">
        <f t="shared" si="8"/>
        <v>4</v>
      </c>
      <c r="N56" s="105">
        <f t="shared" si="9"/>
        <v>19</v>
      </c>
      <c r="O56" s="107">
        <f t="shared" si="10"/>
        <v>3</v>
      </c>
      <c r="P56" s="24"/>
      <c r="Q56" s="80">
        <f t="shared" si="14"/>
        <v>3</v>
      </c>
      <c r="R56" s="81" t="s">
        <v>113</v>
      </c>
      <c r="S56" s="82">
        <f>'Data By State'!L55</f>
        <v>12.8</v>
      </c>
      <c r="T56" s="37"/>
      <c r="U56" s="57">
        <f t="shared" si="2"/>
        <v>15</v>
      </c>
      <c r="V56" s="81" t="s">
        <v>113</v>
      </c>
      <c r="W56" s="87">
        <f>'Data By State'!N55</f>
        <v>0.26168316207591441</v>
      </c>
      <c r="X56" s="33"/>
      <c r="Y56" s="80">
        <f t="shared" si="3"/>
        <v>22</v>
      </c>
      <c r="Z56" s="81" t="s">
        <v>113</v>
      </c>
      <c r="AA56" s="56">
        <f>'Data By State'!O55</f>
        <v>0.625</v>
      </c>
      <c r="AB56" s="29"/>
      <c r="AC56" s="80">
        <f t="shared" si="11"/>
        <v>4</v>
      </c>
      <c r="AD56" s="81" t="s">
        <v>113</v>
      </c>
      <c r="AE56" s="56">
        <f>'Data By State'!P55</f>
        <v>0.42352536329780499</v>
      </c>
      <c r="AF56" s="29"/>
      <c r="AG56" s="80">
        <f t="shared" si="4"/>
        <v>19</v>
      </c>
      <c r="AH56" s="81" t="s">
        <v>113</v>
      </c>
      <c r="AI56" s="56">
        <f>'Data By State'!Q55</f>
        <v>0.1325051028418904</v>
      </c>
      <c r="AJ56" s="29"/>
      <c r="AK56" s="80">
        <f t="shared" si="12"/>
        <v>3</v>
      </c>
      <c r="AL56" s="81" t="s">
        <v>113</v>
      </c>
      <c r="AM56" s="56">
        <f>'Data By State'!R55</f>
        <v>0.67691436356044132</v>
      </c>
    </row>
    <row r="57" spans="1:39" ht="16" thickBot="1">
      <c r="A57" s="93" t="s">
        <v>114</v>
      </c>
      <c r="B57" s="66">
        <f t="shared" si="13"/>
        <v>28.2</v>
      </c>
      <c r="C57" s="64">
        <f>'Data By State'!N56</f>
        <v>0.4860127217944426</v>
      </c>
      <c r="D57" s="64">
        <f>'Data By State'!O56</f>
        <v>1</v>
      </c>
      <c r="E57" s="64">
        <f>'Data By State'!P56</f>
        <v>0.3937045867393279</v>
      </c>
      <c r="F57" s="64">
        <f>'Data By State'!Q56</f>
        <v>0.27469052772730845</v>
      </c>
      <c r="G57" s="115">
        <f>'Data By State'!R56</f>
        <v>0.57149986754465643</v>
      </c>
      <c r="H57" s="97"/>
      <c r="I57" s="93" t="s">
        <v>114</v>
      </c>
      <c r="J57" s="25">
        <f t="shared" si="5"/>
        <v>31</v>
      </c>
      <c r="K57" s="105">
        <f t="shared" si="6"/>
        <v>43</v>
      </c>
      <c r="L57" s="105">
        <f t="shared" si="7"/>
        <v>41</v>
      </c>
      <c r="M57" s="105">
        <f t="shared" si="8"/>
        <v>11</v>
      </c>
      <c r="N57" s="105">
        <f t="shared" si="9"/>
        <v>35</v>
      </c>
      <c r="O57" s="107">
        <f t="shared" si="10"/>
        <v>25</v>
      </c>
      <c r="P57" s="24"/>
      <c r="Q57" s="80">
        <f t="shared" si="14"/>
        <v>31</v>
      </c>
      <c r="R57" s="81" t="s">
        <v>114</v>
      </c>
      <c r="S57" s="82">
        <f>'Data By State'!L56</f>
        <v>28.2</v>
      </c>
      <c r="T57" s="37"/>
      <c r="U57" s="57">
        <f t="shared" si="2"/>
        <v>43</v>
      </c>
      <c r="V57" s="88" t="s">
        <v>114</v>
      </c>
      <c r="W57" s="87">
        <f>'Data By State'!N56</f>
        <v>0.4860127217944426</v>
      </c>
      <c r="X57" s="33"/>
      <c r="Y57" s="80">
        <f t="shared" si="3"/>
        <v>41</v>
      </c>
      <c r="Z57" s="81" t="s">
        <v>114</v>
      </c>
      <c r="AA57" s="56">
        <f>'Data By State'!O56</f>
        <v>1</v>
      </c>
      <c r="AB57" s="29"/>
      <c r="AC57" s="80">
        <f t="shared" si="11"/>
        <v>11</v>
      </c>
      <c r="AD57" s="81" t="s">
        <v>114</v>
      </c>
      <c r="AE57" s="56">
        <f>'Data By State'!P56</f>
        <v>0.3937045867393279</v>
      </c>
      <c r="AF57" s="29"/>
      <c r="AG57" s="80">
        <f t="shared" si="4"/>
        <v>35</v>
      </c>
      <c r="AH57" s="81" t="s">
        <v>114</v>
      </c>
      <c r="AI57" s="56">
        <f>'Data By State'!Q56</f>
        <v>0.27469052772730845</v>
      </c>
      <c r="AJ57" s="29"/>
      <c r="AK57" s="80">
        <f t="shared" si="12"/>
        <v>25</v>
      </c>
      <c r="AL57" s="81" t="s">
        <v>114</v>
      </c>
      <c r="AM57" s="56">
        <f>'Data By State'!R56</f>
        <v>0.57149986754465643</v>
      </c>
    </row>
    <row r="58" spans="1:39" ht="16" thickBot="1">
      <c r="A58" s="53" t="s">
        <v>120</v>
      </c>
      <c r="B58" s="95" t="str">
        <f t="shared" si="13"/>
        <v>n/a</v>
      </c>
      <c r="C58" s="96">
        <f>'Data By State'!N57</f>
        <v>0.36509935553663331</v>
      </c>
      <c r="D58" s="96">
        <f>'Data By State'!O57</f>
        <v>0.67356321839080457</v>
      </c>
      <c r="E58" s="96">
        <f>'Data By State'!P57</f>
        <v>0.36238244499657546</v>
      </c>
      <c r="F58" s="96">
        <f>'Data By State'!Q57</f>
        <v>4.354791326720911E-2</v>
      </c>
      <c r="G58" s="379">
        <f>'Data By State'!R57</f>
        <v>0.57061494933746149</v>
      </c>
      <c r="H58" s="99"/>
      <c r="I58" s="53" t="s">
        <v>120</v>
      </c>
      <c r="J58" s="108"/>
      <c r="K58" s="109"/>
      <c r="L58" s="109"/>
      <c r="M58" s="109"/>
      <c r="N58" s="109"/>
      <c r="O58" s="110"/>
      <c r="P58" s="111"/>
      <c r="Q58" s="83" t="s">
        <v>196</v>
      </c>
      <c r="R58" s="79" t="s">
        <v>208</v>
      </c>
      <c r="S58" s="40" t="s">
        <v>209</v>
      </c>
      <c r="T58" s="104"/>
      <c r="U58" s="101" t="s">
        <v>196</v>
      </c>
      <c r="V58" s="79" t="s">
        <v>208</v>
      </c>
      <c r="W58" s="86">
        <f>'Data By State'!N57</f>
        <v>0.36509935553663331</v>
      </c>
      <c r="X58" s="62"/>
      <c r="Y58" s="83" t="s">
        <v>196</v>
      </c>
      <c r="Z58" s="79" t="s">
        <v>208</v>
      </c>
      <c r="AA58" s="40">
        <f>'Data By State'!O57</f>
        <v>0.67356321839080457</v>
      </c>
      <c r="AB58" s="61"/>
      <c r="AC58" s="83" t="s">
        <v>196</v>
      </c>
      <c r="AD58" s="79" t="s">
        <v>208</v>
      </c>
      <c r="AE58" s="40">
        <f>'Data By State'!P57</f>
        <v>0.36238244499657546</v>
      </c>
      <c r="AF58" s="63"/>
      <c r="AG58" s="83" t="s">
        <v>196</v>
      </c>
      <c r="AH58" s="79" t="s">
        <v>208</v>
      </c>
      <c r="AI58" s="40">
        <v>2.2639920668159674E-2</v>
      </c>
      <c r="AJ58" s="61"/>
      <c r="AK58" s="83" t="s">
        <v>196</v>
      </c>
      <c r="AL58" s="79" t="s">
        <v>208</v>
      </c>
      <c r="AM58" s="40">
        <f>'Data By State'!R57</f>
        <v>0.57061494933746149</v>
      </c>
    </row>
    <row r="60" spans="1:39">
      <c r="A60" s="8"/>
    </row>
  </sheetData>
  <phoneticPr fontId="0" type="noConversion"/>
  <pageMargins left="0.75" right="0.75" top="1" bottom="0.5" header="0.5" footer="0.5"/>
  <pageSetup scale="61" fitToWidth="0" orientation="landscape"/>
  <headerFooter alignWithMargins="0">
    <oddHeader>&amp;L&amp;"Times New Roman,Regular"&amp;12&amp;D&amp;C&amp;"Times New Roman,Regular"&amp;12Dubious Democracy 2003 Summary&amp;R&amp;"Times New Roman,Regular"&amp;12&amp;P of &amp;N</oddHeader>
  </headerFooter>
  <colBreaks count="1" manualBreakCount="1">
    <brk id="16" min="7" max="57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74"/>
  <sheetViews>
    <sheetView workbookViewId="0">
      <selection activeCell="C31" sqref="C31"/>
    </sheetView>
  </sheetViews>
  <sheetFormatPr baseColWidth="10" defaultColWidth="8.83203125" defaultRowHeight="15" x14ac:dyDescent="0"/>
  <cols>
    <col min="1" max="1" width="14.33203125" style="7" bestFit="1" customWidth="1"/>
    <col min="2" max="7" width="8.83203125" style="7"/>
    <col min="8" max="8" width="8.33203125" style="7" customWidth="1"/>
    <col min="9" max="9" width="17.1640625" style="7" customWidth="1"/>
    <col min="10" max="16384" width="8.83203125" style="7"/>
  </cols>
  <sheetData>
    <row r="1" spans="1:9">
      <c r="A1" s="8" t="s">
        <v>831</v>
      </c>
    </row>
    <row r="3" spans="1:9">
      <c r="A3" s="8" t="s">
        <v>248</v>
      </c>
    </row>
    <row r="4" spans="1:9">
      <c r="A4" s="7" t="s">
        <v>249</v>
      </c>
      <c r="E4" s="377" t="s">
        <v>332</v>
      </c>
      <c r="F4" s="193"/>
    </row>
    <row r="5" spans="1:9">
      <c r="A5" s="7" t="s">
        <v>255</v>
      </c>
      <c r="I5" s="11"/>
    </row>
    <row r="6" spans="1:9">
      <c r="H6" s="11"/>
    </row>
    <row r="7" spans="1:9">
      <c r="I7" s="11"/>
    </row>
    <row r="8" spans="1:9">
      <c r="I8" s="11"/>
    </row>
    <row r="9" spans="1:9">
      <c r="A9" s="8"/>
    </row>
    <row r="11" spans="1:9" ht="16" thickBot="1"/>
    <row r="12" spans="1:9" ht="16" thickTop="1">
      <c r="A12" s="8" t="s">
        <v>132</v>
      </c>
      <c r="H12" s="12" t="s">
        <v>58</v>
      </c>
      <c r="I12" s="13"/>
    </row>
    <row r="13" spans="1:9">
      <c r="A13" s="10">
        <v>1</v>
      </c>
      <c r="B13" s="7" t="s">
        <v>134</v>
      </c>
      <c r="H13" s="14" t="s">
        <v>59</v>
      </c>
      <c r="I13" s="15"/>
    </row>
    <row r="14" spans="1:9">
      <c r="A14" s="10">
        <v>2</v>
      </c>
      <c r="B14" s="7" t="s">
        <v>135</v>
      </c>
      <c r="H14" s="134">
        <v>0.4</v>
      </c>
      <c r="I14" s="31" t="s">
        <v>60</v>
      </c>
    </row>
    <row r="15" spans="1:9">
      <c r="A15" s="10">
        <v>3</v>
      </c>
      <c r="B15" s="7" t="s">
        <v>136</v>
      </c>
      <c r="H15" s="134">
        <v>0.2</v>
      </c>
      <c r="I15" s="31" t="s">
        <v>61</v>
      </c>
    </row>
    <row r="16" spans="1:9">
      <c r="H16" s="134">
        <v>0.1</v>
      </c>
      <c r="I16" s="31" t="s">
        <v>62</v>
      </c>
    </row>
    <row r="17" spans="1:14">
      <c r="A17" s="8" t="s">
        <v>133</v>
      </c>
      <c r="H17" s="134">
        <v>0.05</v>
      </c>
      <c r="I17" s="31" t="s">
        <v>63</v>
      </c>
    </row>
    <row r="18" spans="1:14" ht="16" thickBot="1">
      <c r="A18" s="10">
        <v>1</v>
      </c>
      <c r="B18" s="7" t="s">
        <v>207</v>
      </c>
      <c r="H18" s="16"/>
      <c r="I18" s="32" t="s">
        <v>64</v>
      </c>
    </row>
    <row r="19" spans="1:14" ht="16" thickTop="1">
      <c r="A19" s="10">
        <v>2</v>
      </c>
      <c r="B19" s="7" t="s">
        <v>259</v>
      </c>
      <c r="K19" s="23"/>
    </row>
    <row r="20" spans="1:14">
      <c r="K20" s="23"/>
    </row>
    <row r="21" spans="1:14">
      <c r="A21" s="7" t="s">
        <v>57</v>
      </c>
      <c r="K21" s="23"/>
    </row>
    <row r="22" spans="1:14">
      <c r="K22" s="23"/>
      <c r="L22" s="23"/>
      <c r="M22" s="23"/>
      <c r="N22" s="23"/>
    </row>
    <row r="23" spans="1:14">
      <c r="A23" s="8" t="s">
        <v>247</v>
      </c>
      <c r="K23" s="23"/>
      <c r="L23" s="23"/>
      <c r="M23" s="23"/>
      <c r="N23" s="23"/>
    </row>
    <row r="24" spans="1:14">
      <c r="K24" s="23"/>
      <c r="L24" s="23"/>
      <c r="M24" s="23"/>
      <c r="N24" s="23"/>
    </row>
    <row r="25" spans="1:14">
      <c r="A25" s="8" t="s">
        <v>150</v>
      </c>
      <c r="K25" s="23"/>
      <c r="N25" s="23"/>
    </row>
    <row r="26" spans="1:14">
      <c r="A26" s="8"/>
      <c r="K26" s="23"/>
      <c r="N26" s="23"/>
    </row>
    <row r="27" spans="1:14">
      <c r="A27" s="8" t="s">
        <v>151</v>
      </c>
      <c r="B27" s="8" t="s">
        <v>152</v>
      </c>
      <c r="K27" s="23"/>
      <c r="N27" s="23"/>
    </row>
    <row r="28" spans="1:14">
      <c r="A28" s="7" t="s">
        <v>153</v>
      </c>
      <c r="B28" s="7" t="s">
        <v>260</v>
      </c>
      <c r="K28" s="23"/>
      <c r="N28" s="23"/>
    </row>
    <row r="29" spans="1:14">
      <c r="A29" s="7" t="s">
        <v>154</v>
      </c>
      <c r="B29" s="7" t="s">
        <v>156</v>
      </c>
      <c r="N29" s="23"/>
    </row>
    <row r="30" spans="1:14">
      <c r="A30" s="7" t="s">
        <v>155</v>
      </c>
      <c r="B30" s="7" t="s">
        <v>261</v>
      </c>
      <c r="N30" s="23"/>
    </row>
    <row r="31" spans="1:14">
      <c r="A31" s="7" t="s">
        <v>169</v>
      </c>
      <c r="B31" s="7" t="s">
        <v>184</v>
      </c>
      <c r="N31" s="23"/>
    </row>
    <row r="32" spans="1:14">
      <c r="A32" s="7" t="s">
        <v>158</v>
      </c>
      <c r="B32" s="7" t="s">
        <v>157</v>
      </c>
    </row>
    <row r="33" spans="1:2">
      <c r="A33" s="7" t="s">
        <v>160</v>
      </c>
      <c r="B33" s="7" t="s">
        <v>159</v>
      </c>
    </row>
    <row r="34" spans="1:2">
      <c r="A34" s="7" t="s">
        <v>162</v>
      </c>
      <c r="B34" s="7" t="s">
        <v>161</v>
      </c>
    </row>
    <row r="35" spans="1:2">
      <c r="A35" s="7" t="s">
        <v>163</v>
      </c>
      <c r="B35" s="7" t="s">
        <v>185</v>
      </c>
    </row>
    <row r="36" spans="1:2">
      <c r="A36" s="7" t="s">
        <v>164</v>
      </c>
      <c r="B36" s="7" t="s">
        <v>186</v>
      </c>
    </row>
    <row r="37" spans="1:2">
      <c r="A37" s="7" t="s">
        <v>219</v>
      </c>
      <c r="B37" s="7" t="s">
        <v>187</v>
      </c>
    </row>
    <row r="38" spans="1:2">
      <c r="A38" s="7" t="s">
        <v>218</v>
      </c>
      <c r="B38" s="7" t="s">
        <v>165</v>
      </c>
    </row>
    <row r="40" spans="1:2">
      <c r="A40" s="8" t="s">
        <v>133</v>
      </c>
    </row>
    <row r="42" spans="1:2">
      <c r="A42" s="8" t="s">
        <v>151</v>
      </c>
      <c r="B42" s="8" t="s">
        <v>152</v>
      </c>
    </row>
    <row r="43" spans="1:2">
      <c r="A43" s="7" t="s">
        <v>166</v>
      </c>
      <c r="B43" s="7" t="s">
        <v>262</v>
      </c>
    </row>
    <row r="44" spans="1:2">
      <c r="A44" s="7" t="s">
        <v>167</v>
      </c>
      <c r="B44" s="7" t="s">
        <v>254</v>
      </c>
    </row>
    <row r="45" spans="1:2">
      <c r="A45" s="7" t="s">
        <v>220</v>
      </c>
      <c r="B45" s="7" t="s">
        <v>263</v>
      </c>
    </row>
    <row r="46" spans="1:2">
      <c r="A46" s="7" t="s">
        <v>229</v>
      </c>
      <c r="B46" s="7" t="s">
        <v>252</v>
      </c>
    </row>
    <row r="47" spans="1:2">
      <c r="A47" s="7" t="s">
        <v>221</v>
      </c>
      <c r="B47" s="7" t="s">
        <v>222</v>
      </c>
    </row>
    <row r="48" spans="1:2">
      <c r="A48" s="7" t="s">
        <v>223</v>
      </c>
      <c r="B48" s="7" t="s">
        <v>224</v>
      </c>
    </row>
    <row r="49" spans="1:11">
      <c r="A49" s="7" t="s">
        <v>164</v>
      </c>
      <c r="B49" s="7" t="s">
        <v>315</v>
      </c>
      <c r="K49" s="8"/>
    </row>
    <row r="50" spans="1:11">
      <c r="A50" s="7" t="s">
        <v>219</v>
      </c>
      <c r="B50" s="7" t="s">
        <v>168</v>
      </c>
    </row>
    <row r="51" spans="1:11">
      <c r="A51" s="7" t="s">
        <v>225</v>
      </c>
      <c r="B51" s="7" t="s">
        <v>264</v>
      </c>
    </row>
    <row r="52" spans="1:11">
      <c r="A52" s="7" t="s">
        <v>226</v>
      </c>
      <c r="B52" s="7" t="s">
        <v>188</v>
      </c>
    </row>
    <row r="53" spans="1:11">
      <c r="A53" s="7" t="s">
        <v>170</v>
      </c>
      <c r="B53" s="7" t="s">
        <v>265</v>
      </c>
    </row>
    <row r="54" spans="1:11">
      <c r="A54" s="7" t="s">
        <v>171</v>
      </c>
      <c r="B54" s="7" t="s">
        <v>172</v>
      </c>
    </row>
    <row r="55" spans="1:11">
      <c r="A55" s="7" t="s">
        <v>227</v>
      </c>
      <c r="B55" s="7" t="s">
        <v>173</v>
      </c>
    </row>
    <row r="56" spans="1:11">
      <c r="A56" s="7" t="s">
        <v>228</v>
      </c>
      <c r="B56" s="7" t="s">
        <v>174</v>
      </c>
    </row>
    <row r="57" spans="1:11">
      <c r="A57" s="7" t="s">
        <v>230</v>
      </c>
      <c r="B57" s="7" t="s">
        <v>266</v>
      </c>
    </row>
    <row r="58" spans="1:11">
      <c r="A58" s="7" t="s">
        <v>231</v>
      </c>
      <c r="B58" s="7" t="s">
        <v>175</v>
      </c>
    </row>
    <row r="59" spans="1:11">
      <c r="A59" s="7" t="s">
        <v>232</v>
      </c>
      <c r="B59" s="7" t="s">
        <v>176</v>
      </c>
    </row>
    <row r="60" spans="1:11">
      <c r="A60" s="7" t="s">
        <v>233</v>
      </c>
      <c r="B60" s="7" t="s">
        <v>189</v>
      </c>
    </row>
    <row r="61" spans="1:11">
      <c r="A61" s="7" t="s">
        <v>234</v>
      </c>
      <c r="B61" s="7" t="s">
        <v>190</v>
      </c>
    </row>
    <row r="62" spans="1:11">
      <c r="A62" s="7" t="s">
        <v>235</v>
      </c>
      <c r="B62" s="7" t="s">
        <v>177</v>
      </c>
    </row>
    <row r="63" spans="1:11">
      <c r="A63" s="7" t="s">
        <v>236</v>
      </c>
      <c r="B63" s="7" t="s">
        <v>191</v>
      </c>
    </row>
    <row r="64" spans="1:11">
      <c r="A64" s="7" t="s">
        <v>237</v>
      </c>
      <c r="B64" s="7" t="s">
        <v>240</v>
      </c>
    </row>
    <row r="65" spans="1:2">
      <c r="B65" s="7" t="s">
        <v>178</v>
      </c>
    </row>
    <row r="66" spans="1:2">
      <c r="B66" s="7" t="s">
        <v>179</v>
      </c>
    </row>
    <row r="67" spans="1:2">
      <c r="B67" s="7" t="s">
        <v>192</v>
      </c>
    </row>
    <row r="68" spans="1:2">
      <c r="B68" s="7" t="s">
        <v>180</v>
      </c>
    </row>
    <row r="69" spans="1:2">
      <c r="A69" s="7" t="s">
        <v>238</v>
      </c>
      <c r="B69" s="7" t="s">
        <v>239</v>
      </c>
    </row>
    <row r="70" spans="1:2">
      <c r="A70" s="7" t="s">
        <v>241</v>
      </c>
      <c r="B70" s="7" t="s">
        <v>181</v>
      </c>
    </row>
    <row r="71" spans="1:2">
      <c r="B71" s="7" t="s">
        <v>182</v>
      </c>
    </row>
    <row r="72" spans="1:2">
      <c r="A72" s="7" t="s">
        <v>242</v>
      </c>
      <c r="B72" s="7" t="s">
        <v>243</v>
      </c>
    </row>
    <row r="73" spans="1:2">
      <c r="A73" s="7" t="s">
        <v>244</v>
      </c>
      <c r="B73" s="7" t="s">
        <v>245</v>
      </c>
    </row>
    <row r="74" spans="1:2">
      <c r="A74" s="7" t="s">
        <v>246</v>
      </c>
      <c r="B74" s="7" t="s">
        <v>183</v>
      </c>
    </row>
  </sheetData>
  <phoneticPr fontId="0" type="noConversion"/>
  <hyperlinks>
    <hyperlink ref="E4" r:id="rId1"/>
  </hyperlinks>
  <pageMargins left="0.75" right="0.5" top="1" bottom="1" header="0.5" footer="0.5"/>
  <pageSetup scale="64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B7" sqref="B7"/>
    </sheetView>
  </sheetViews>
  <sheetFormatPr baseColWidth="10" defaultColWidth="8.83203125" defaultRowHeight="12" x14ac:dyDescent="0"/>
  <cols>
    <col min="1" max="1" width="20.6640625" customWidth="1"/>
    <col min="2" max="2" width="13.6640625" customWidth="1"/>
    <col min="3" max="3" width="5" customWidth="1"/>
    <col min="4" max="4" width="4.83203125" customWidth="1"/>
    <col min="5" max="5" width="15.5" bestFit="1" customWidth="1"/>
    <col min="6" max="6" width="5.5" customWidth="1"/>
  </cols>
  <sheetData>
    <row r="1" spans="1:8">
      <c r="A1" s="315" t="s">
        <v>274</v>
      </c>
      <c r="B1" s="295">
        <f>SUM('Data By State'!C7:'Data By State'!C56)</f>
        <v>128772593</v>
      </c>
      <c r="C1" s="280"/>
      <c r="D1" s="276"/>
      <c r="E1" s="282"/>
    </row>
    <row r="2" spans="1:8">
      <c r="A2" s="333" t="s">
        <v>193</v>
      </c>
      <c r="B2" s="323"/>
      <c r="C2" s="269"/>
      <c r="D2" s="269"/>
      <c r="E2" s="282"/>
    </row>
    <row r="3" spans="1:8">
      <c r="A3" s="334" t="s">
        <v>275</v>
      </c>
      <c r="B3" s="337">
        <f>SUM('Data By State'!D7:'Data By State'!D56)</f>
        <v>216955355</v>
      </c>
      <c r="C3" s="277"/>
      <c r="D3" s="277"/>
      <c r="E3" s="277"/>
      <c r="F3" s="277"/>
      <c r="G3" s="277"/>
      <c r="H3" s="275"/>
    </row>
    <row r="4" spans="1:8">
      <c r="A4" s="334" t="s">
        <v>331</v>
      </c>
      <c r="B4" s="296">
        <f>'Data By District'!V442</f>
        <v>0.36509935553663331</v>
      </c>
    </row>
    <row r="5" spans="1:8">
      <c r="A5" s="334" t="s">
        <v>198</v>
      </c>
      <c r="B5" s="296">
        <f>'Data By State'!P57</f>
        <v>0.36238244499657546</v>
      </c>
    </row>
    <row r="6" spans="1:8">
      <c r="A6" s="334" t="s">
        <v>61</v>
      </c>
      <c r="B6" s="296">
        <f>'Data By State'!O57</f>
        <v>0.67356321839080457</v>
      </c>
    </row>
    <row r="7" spans="1:8">
      <c r="A7" s="335" t="s">
        <v>299</v>
      </c>
      <c r="B7" s="296">
        <f>'Data By State'!Q57</f>
        <v>4.354791326720911E-2</v>
      </c>
    </row>
    <row r="8" spans="1:8">
      <c r="A8" s="334" t="s">
        <v>300</v>
      </c>
      <c r="B8" s="338">
        <f>'Data By State'!R57</f>
        <v>0.57061494933746149</v>
      </c>
    </row>
    <row r="9" spans="1:8">
      <c r="A9" s="334" t="s">
        <v>298</v>
      </c>
      <c r="B9" s="339">
        <f>SUM('Data By State'!S7:'Data By State'!S56)</f>
        <v>435</v>
      </c>
    </row>
    <row r="10" spans="1:8">
      <c r="A10" s="336" t="s">
        <v>293</v>
      </c>
      <c r="B10" s="339">
        <f>SUM('Data By State'!T7:'Data By State'!T56)</f>
        <v>28</v>
      </c>
    </row>
    <row r="11" spans="1:8">
      <c r="A11" s="336" t="s">
        <v>294</v>
      </c>
      <c r="B11" s="339">
        <f>SUM('Data By State'!U7:'Data By State'!U56)</f>
        <v>33</v>
      </c>
    </row>
    <row r="12" spans="1:8">
      <c r="A12" s="336" t="s">
        <v>326</v>
      </c>
      <c r="B12" s="339">
        <f>SUM('Data By State'!V7:'Data By State'!V56)</f>
        <v>81</v>
      </c>
    </row>
    <row r="13" spans="1:8">
      <c r="A13" s="336" t="s">
        <v>295</v>
      </c>
      <c r="B13" s="339">
        <f>SUM('Data By State'!W7:'Data By State'!W56)</f>
        <v>147</v>
      </c>
    </row>
    <row r="14" spans="1:8">
      <c r="A14" s="336" t="s">
        <v>296</v>
      </c>
      <c r="B14" s="339">
        <f>SUM('Data By State'!X7:'Data By State'!X56)</f>
        <v>102</v>
      </c>
    </row>
    <row r="15" spans="1:8">
      <c r="A15" s="336" t="s">
        <v>297</v>
      </c>
      <c r="B15" s="339">
        <f>SUM('Data By State'!Y7:'Data By State'!Y56)</f>
        <v>44</v>
      </c>
    </row>
    <row r="16" spans="1:8">
      <c r="A16" s="336" t="s">
        <v>277</v>
      </c>
      <c r="B16" s="296">
        <f>'Data By State'!Y57/'Data By State'!S57</f>
        <v>0.10114942528735632</v>
      </c>
    </row>
    <row r="17" spans="1:27">
      <c r="A17" s="334" t="s">
        <v>301</v>
      </c>
      <c r="B17" s="296">
        <f>('Data By State'!C57-'Data By State'!AR57)/'Data By State'!C57</f>
        <v>5.7688432196127321E-2</v>
      </c>
    </row>
    <row r="18" spans="1:27" ht="13" thickBot="1">
      <c r="A18" s="335" t="s">
        <v>302</v>
      </c>
      <c r="B18" s="296">
        <f>'Data By State'!BH57/'Data By State'!AR57</f>
        <v>0.64791727815185507</v>
      </c>
    </row>
    <row r="19" spans="1:27">
      <c r="A19" s="340" t="s">
        <v>303</v>
      </c>
      <c r="B19" s="279">
        <f>SUM('Data By State'!AR7:'Data By State'!AR56)</f>
        <v>121343904</v>
      </c>
    </row>
    <row r="20" spans="1:27">
      <c r="A20" s="329" t="s">
        <v>309</v>
      </c>
      <c r="B20" s="279">
        <f>SUM('Data By State'!AS7:'Data By State'!AS56)</f>
        <v>59646196</v>
      </c>
    </row>
    <row r="21" spans="1:27">
      <c r="A21" s="329" t="s">
        <v>310</v>
      </c>
      <c r="B21" s="341">
        <f>SUM('Data By State'!AT7:'Data By State'!AT56)</f>
        <v>58283048</v>
      </c>
    </row>
    <row r="22" spans="1:27">
      <c r="A22" s="329" t="s">
        <v>304</v>
      </c>
      <c r="B22" s="279">
        <f>SUM('Data By State'!AU7:'Data By State'!AU56)</f>
        <v>3414660</v>
      </c>
    </row>
    <row r="23" spans="1:27">
      <c r="A23" s="329" t="s">
        <v>305</v>
      </c>
      <c r="B23" s="293">
        <f>('Data By State'!AS57)/('Data By State'!AR57)</f>
        <v>0.4915467034915903</v>
      </c>
    </row>
    <row r="24" spans="1:27">
      <c r="A24" s="329" t="s">
        <v>306</v>
      </c>
      <c r="B24" s="293">
        <f>('Data By State'!AT57)/('Data By State'!AR57)</f>
        <v>0.4803129459226893</v>
      </c>
    </row>
    <row r="25" spans="1:27" ht="13" thickBot="1">
      <c r="A25" s="330" t="s">
        <v>307</v>
      </c>
      <c r="B25" s="293">
        <f>('Data By State'!AU57)/('Data By State'!AR57)</f>
        <v>2.8140350585720401E-2</v>
      </c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</row>
    <row r="26" spans="1:27">
      <c r="A26" s="315" t="s">
        <v>308</v>
      </c>
      <c r="B26" s="294">
        <f>SUM(B27:B29)</f>
        <v>435</v>
      </c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</row>
    <row r="27" spans="1:27">
      <c r="A27" s="331" t="s">
        <v>309</v>
      </c>
      <c r="B27" s="342">
        <f>SUM('Data By State'!AY7:'Data By State'!AY56)</f>
        <v>201</v>
      </c>
    </row>
    <row r="28" spans="1:27">
      <c r="A28" s="331" t="s">
        <v>310</v>
      </c>
      <c r="B28" s="342">
        <f>SUM('Data By State'!AZ7:'Data By State'!AZ56)</f>
        <v>234</v>
      </c>
      <c r="F28" s="378"/>
    </row>
    <row r="29" spans="1:27">
      <c r="A29" s="331" t="s">
        <v>311</v>
      </c>
      <c r="B29" s="342">
        <f>SUM('Data By State'!BA7:'Data By State'!BA56)</f>
        <v>0</v>
      </c>
    </row>
    <row r="30" spans="1:27">
      <c r="A30" s="331" t="s">
        <v>305</v>
      </c>
      <c r="B30" s="296">
        <f>('Data By State'!AY57)/('Data By State'!$S57)</f>
        <v>0.46206896551724136</v>
      </c>
    </row>
    <row r="31" spans="1:27">
      <c r="A31" s="331" t="s">
        <v>306</v>
      </c>
      <c r="B31" s="296">
        <f>('Data By State'!AZ57)/('Data By State'!$S57)</f>
        <v>0.53793103448275859</v>
      </c>
    </row>
    <row r="32" spans="1:27" ht="13" thickBot="1">
      <c r="A32" s="332" t="s">
        <v>307</v>
      </c>
      <c r="B32" s="296">
        <f>('Data By State'!BA57)/('Data By State'!$S57)</f>
        <v>0</v>
      </c>
    </row>
    <row r="33" spans="1:2">
      <c r="A33" s="331" t="s">
        <v>314</v>
      </c>
      <c r="B33" s="343">
        <f>ABS(('Data By State'!AS57/'Data By State'!$AR57)-('Data By State'!AY57/'Data By State'!$S57))</f>
        <v>2.9477737974348939E-2</v>
      </c>
    </row>
    <row r="34" spans="1:2">
      <c r="A34" s="331" t="s">
        <v>313</v>
      </c>
      <c r="B34" s="343">
        <f>ABS(('Data By State'!AT57/'Data By State'!$AR57)-('Data By State'!AZ57/'Data By State'!$S57))</f>
        <v>5.761808856006928E-2</v>
      </c>
    </row>
    <row r="35" spans="1:2" ht="13" thickBot="1">
      <c r="A35" s="331" t="s">
        <v>312</v>
      </c>
      <c r="B35" s="343">
        <f>ABS(('Data By State'!AU57/'Data By State'!$AR57)-('Data By State'!BA57/'Data By State'!$S57))</f>
        <v>2.8140350585720401E-2</v>
      </c>
    </row>
    <row r="36" spans="1:2">
      <c r="A36" s="315" t="s">
        <v>276</v>
      </c>
      <c r="B36" s="344">
        <f>('Data By State'!BI57)/('Data By State'!AR57)</f>
        <v>0.35208272184814493</v>
      </c>
    </row>
    <row r="37" spans="1:2">
      <c r="A37" s="331" t="s">
        <v>117</v>
      </c>
      <c r="B37" s="296">
        <f>'Data By State'!BJ57/'Data By State'!AS57</f>
        <v>0.38973446018250685</v>
      </c>
    </row>
    <row r="38" spans="1:2">
      <c r="A38" s="331" t="s">
        <v>118</v>
      </c>
      <c r="B38" s="296">
        <f>'Data By State'!BK57/'Data By State'!AT57</f>
        <v>0.27568736624755796</v>
      </c>
    </row>
    <row r="39" spans="1:2" ht="13" thickBot="1">
      <c r="A39" s="332" t="s">
        <v>119</v>
      </c>
      <c r="B39" s="296">
        <f>'Data By State'!BL57/'Data By State'!AU57</f>
        <v>0.9983465410904746</v>
      </c>
    </row>
    <row r="40" spans="1:2">
      <c r="B40" s="282"/>
    </row>
    <row r="41" spans="1:2">
      <c r="B41" s="282"/>
    </row>
    <row r="42" spans="1:2">
      <c r="B42" s="282"/>
    </row>
    <row r="43" spans="1:2">
      <c r="B43" s="282"/>
    </row>
    <row r="44" spans="1:2">
      <c r="B44" s="282"/>
    </row>
    <row r="45" spans="1:2">
      <c r="B45" s="282"/>
    </row>
    <row r="46" spans="1:2">
      <c r="B46" s="282"/>
    </row>
    <row r="47" spans="1:2">
      <c r="B47" s="282"/>
    </row>
    <row r="48" spans="1:2">
      <c r="B48" s="282"/>
    </row>
    <row r="49" spans="2:2">
      <c r="B49" s="282"/>
    </row>
    <row r="50" spans="2:2">
      <c r="B50" s="282"/>
    </row>
    <row r="51" spans="2:2">
      <c r="B51" s="282"/>
    </row>
    <row r="52" spans="2:2">
      <c r="B52" s="282"/>
    </row>
    <row r="53" spans="2:2">
      <c r="B53" s="282"/>
    </row>
    <row r="54" spans="2:2">
      <c r="B54" s="282"/>
    </row>
    <row r="55" spans="2:2">
      <c r="B55" s="282"/>
    </row>
    <row r="56" spans="2:2">
      <c r="B56" s="282"/>
    </row>
    <row r="57" spans="2:2">
      <c r="B57" s="282"/>
    </row>
    <row r="58" spans="2:2">
      <c r="B58" s="282"/>
    </row>
    <row r="59" spans="2:2">
      <c r="B59" s="282"/>
    </row>
    <row r="60" spans="2:2">
      <c r="B60" s="282"/>
    </row>
    <row r="61" spans="2:2">
      <c r="B61" s="282"/>
    </row>
    <row r="62" spans="2:2">
      <c r="B62" s="282"/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38" sqref="G38"/>
    </sheetView>
  </sheetViews>
  <sheetFormatPr baseColWidth="10" defaultColWidth="8.83203125" defaultRowHeight="12" x14ac:dyDescent="0"/>
  <cols>
    <col min="1" max="1" width="24.6640625" customWidth="1"/>
    <col min="2" max="2" width="15.6640625" customWidth="1"/>
    <col min="3" max="3" width="17.6640625" customWidth="1"/>
    <col min="4" max="4" width="18" customWidth="1"/>
    <col min="5" max="5" width="12" customWidth="1"/>
    <col min="6" max="6" width="12.6640625" customWidth="1"/>
  </cols>
  <sheetData>
    <row r="1" spans="1:8" ht="13" thickBot="1">
      <c r="A1" s="302"/>
      <c r="B1" s="312" t="s">
        <v>282</v>
      </c>
      <c r="C1" s="313" t="s">
        <v>281</v>
      </c>
      <c r="D1" s="313" t="s">
        <v>280</v>
      </c>
      <c r="E1" s="313" t="s">
        <v>279</v>
      </c>
      <c r="F1" s="303" t="s">
        <v>285</v>
      </c>
    </row>
    <row r="2" spans="1:8">
      <c r="A2" s="304" t="s">
        <v>283</v>
      </c>
      <c r="B2" s="271">
        <f>SUM('Data By State'!AY7:'Data By State'!AY56)</f>
        <v>201</v>
      </c>
      <c r="C2" s="309">
        <f>B2/B5</f>
        <v>0.46206896551724136</v>
      </c>
      <c r="D2" s="272">
        <f>SUM('Data By State'!AS7:'Data By State'!AS56)</f>
        <v>59646196</v>
      </c>
      <c r="E2" s="309">
        <f>D2/D5</f>
        <v>0.4915467034915903</v>
      </c>
      <c r="F2" s="310">
        <f>D2/B2</f>
        <v>296747.24378109456</v>
      </c>
    </row>
    <row r="3" spans="1:8">
      <c r="A3" s="305" t="s">
        <v>284</v>
      </c>
      <c r="B3" s="278">
        <f>SUM('Data By State'!AZ7:'Data By State'!AZ56)</f>
        <v>234</v>
      </c>
      <c r="C3" s="308">
        <f>B3/B5</f>
        <v>0.53793103448275859</v>
      </c>
      <c r="D3" s="279">
        <f>SUM('Data By State'!AT7:'Data By State'!AT56)</f>
        <v>58283048</v>
      </c>
      <c r="E3" s="308">
        <f>D3/D5</f>
        <v>0.4803129459226893</v>
      </c>
      <c r="F3" s="300">
        <f>D3/B3</f>
        <v>249072.85470085469</v>
      </c>
    </row>
    <row r="4" spans="1:8">
      <c r="A4" s="306" t="s">
        <v>292</v>
      </c>
      <c r="B4" s="278">
        <f>SUM('Data By State'!BA7:'Data By State'!BA56)</f>
        <v>0</v>
      </c>
      <c r="C4" s="308">
        <v>0</v>
      </c>
      <c r="D4" s="279">
        <f>SUM('Data By State'!AU7:'Data By State'!AU56)</f>
        <v>3414660</v>
      </c>
      <c r="E4" s="308">
        <f>D4/D5</f>
        <v>2.8140350585720401E-2</v>
      </c>
      <c r="F4" s="316" t="s">
        <v>288</v>
      </c>
    </row>
    <row r="5" spans="1:8" ht="13" thickBot="1">
      <c r="A5" s="307" t="s">
        <v>120</v>
      </c>
      <c r="B5" s="270">
        <f>SUM(B2:B4)</f>
        <v>435</v>
      </c>
      <c r="C5" s="270"/>
      <c r="D5" s="273">
        <f>SUM(D2:D4)</f>
        <v>121343904</v>
      </c>
      <c r="E5" s="270"/>
      <c r="F5" s="274"/>
    </row>
    <row r="6" spans="1:8">
      <c r="A6" s="298"/>
      <c r="B6" s="269"/>
      <c r="C6" s="269"/>
      <c r="D6" s="279"/>
      <c r="E6" s="269"/>
      <c r="F6" s="269"/>
    </row>
    <row r="7" spans="1:8" ht="13" thickBot="1">
      <c r="A7" s="298"/>
      <c r="B7" s="269"/>
      <c r="C7" s="269"/>
      <c r="D7" s="269"/>
      <c r="E7" s="269"/>
      <c r="F7" s="269"/>
      <c r="G7" s="275"/>
      <c r="H7" s="275"/>
    </row>
    <row r="8" spans="1:8">
      <c r="A8" s="318" t="s">
        <v>278</v>
      </c>
      <c r="B8" s="268"/>
      <c r="C8" s="314"/>
      <c r="D8" s="268"/>
      <c r="E8" s="268"/>
      <c r="F8" s="311"/>
      <c r="G8" s="275"/>
      <c r="H8" s="275"/>
    </row>
    <row r="9" spans="1:8">
      <c r="A9" s="319" t="s">
        <v>290</v>
      </c>
      <c r="B9" s="269" t="s">
        <v>286</v>
      </c>
      <c r="C9" s="269">
        <f>E2*B5</f>
        <v>213.82281601884179</v>
      </c>
      <c r="D9" s="323" t="s">
        <v>269</v>
      </c>
      <c r="E9" s="321">
        <f>ROUND(C9,0)</f>
        <v>214</v>
      </c>
      <c r="F9" s="325" t="s">
        <v>291</v>
      </c>
      <c r="G9" s="269"/>
      <c r="H9" s="275"/>
    </row>
    <row r="10" spans="1:8">
      <c r="A10" s="319"/>
      <c r="B10" s="269" t="s">
        <v>287</v>
      </c>
      <c r="C10" s="269">
        <f>E3*B5</f>
        <v>208.93613147636984</v>
      </c>
      <c r="D10" s="269"/>
      <c r="E10" s="301">
        <f>ROUND(C10,0)</f>
        <v>209</v>
      </c>
      <c r="F10" s="326" t="s">
        <v>291</v>
      </c>
      <c r="G10" s="269"/>
      <c r="H10" s="275"/>
    </row>
    <row r="11" spans="1:8" ht="13" thickBot="1">
      <c r="A11" s="320"/>
      <c r="B11" s="317" t="s">
        <v>289</v>
      </c>
      <c r="C11" s="317">
        <f>E4*B5</f>
        <v>12.241052504788374</v>
      </c>
      <c r="D11" s="317"/>
      <c r="E11" s="322">
        <f>ROUND(C11,0)</f>
        <v>12</v>
      </c>
      <c r="F11" s="327" t="s">
        <v>291</v>
      </c>
    </row>
    <row r="12" spans="1:8" ht="13" thickBot="1">
      <c r="A12" s="324"/>
      <c r="B12" s="275"/>
      <c r="C12" s="275"/>
      <c r="D12" s="370" t="s">
        <v>327</v>
      </c>
      <c r="E12" s="371">
        <f>SUM(E9:E11)</f>
        <v>435</v>
      </c>
      <c r="F12" s="275"/>
      <c r="G12" s="275"/>
    </row>
    <row r="13" spans="1:8">
      <c r="A13" s="281"/>
      <c r="B13" s="275"/>
      <c r="C13" s="275"/>
      <c r="D13" s="275"/>
      <c r="E13" s="297"/>
      <c r="F13" s="275"/>
      <c r="G13" s="275"/>
    </row>
    <row r="14" spans="1:8">
      <c r="A14" s="281"/>
      <c r="B14" s="301"/>
      <c r="C14" s="301"/>
      <c r="D14" s="301"/>
      <c r="E14" s="301"/>
      <c r="F14" s="281"/>
    </row>
    <row r="15" spans="1:8">
      <c r="A15" s="328"/>
      <c r="B15" s="292"/>
      <c r="C15" s="292"/>
      <c r="D15" s="292"/>
      <c r="E15" s="281"/>
      <c r="F15" s="281"/>
    </row>
    <row r="16" spans="1:8">
      <c r="A16" s="298"/>
      <c r="B16" s="281"/>
      <c r="C16" s="281"/>
      <c r="D16" s="281"/>
      <c r="E16" s="281"/>
      <c r="F16" s="281"/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4:N31"/>
  <sheetViews>
    <sheetView workbookViewId="0">
      <selection activeCell="P19" sqref="P19"/>
    </sheetView>
  </sheetViews>
  <sheetFormatPr baseColWidth="10" defaultColWidth="8.83203125" defaultRowHeight="12" x14ac:dyDescent="0"/>
  <cols>
    <col min="13" max="13" width="14.83203125" customWidth="1"/>
  </cols>
  <sheetData>
    <row r="4" spans="13:14">
      <c r="M4" t="s">
        <v>387</v>
      </c>
      <c r="N4" s="378">
        <f>SUM('National Averages'!B10:B12)</f>
        <v>142</v>
      </c>
    </row>
    <row r="5" spans="13:14">
      <c r="M5" t="s">
        <v>388</v>
      </c>
      <c r="N5" s="378">
        <f>SUM('National Averages'!B13:B15)</f>
        <v>293</v>
      </c>
    </row>
    <row r="30" spans="14:14">
      <c r="N30" s="378"/>
    </row>
    <row r="31" spans="14:14">
      <c r="N31" s="378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By District</vt:lpstr>
      <vt:lpstr>Data By State</vt:lpstr>
      <vt:lpstr>State rankings</vt:lpstr>
      <vt:lpstr>Instructions</vt:lpstr>
      <vt:lpstr>National Averages</vt:lpstr>
      <vt:lpstr>Seats to Votes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Grossmann</dc:creator>
  <cp:lastModifiedBy>David Cheng</cp:lastModifiedBy>
  <cp:lastPrinted>2006-11-10T20:17:13Z</cp:lastPrinted>
  <dcterms:created xsi:type="dcterms:W3CDTF">2001-07-08T18:26:34Z</dcterms:created>
  <dcterms:modified xsi:type="dcterms:W3CDTF">2013-08-13T01:30:46Z</dcterms:modified>
</cp:coreProperties>
</file>