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OILER-FREE VERSION" sheetId="1" r:id="rId3"/>
    <sheet state="visible" name="Normal Version" sheetId="2" r:id="rId4"/>
    <sheet state="visible" name="BANS &amp; PICKS (Main Event ONLY)" sheetId="3" r:id="rId5"/>
    <sheet state="hidden" name="DETAILED GAMES" sheetId="4" r:id="rId6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I95">
      <text>
        <t xml:space="preserve">This is wrong. It is MVP !
	-Anonymous
_Marked as resolved_
	-Anonymous
_Re-opened_
	-Anonymous
Thank you, I corrected it
	-Cale Firgren</t>
      </text>
    </comment>
    <comment authorId="0" ref="L2">
      <text>
        <t xml:space="preserve">http://puu.sh/jioqE/d3c95d3427.png
	-Cale Firgren
http://i.imgur.com/DEYbizP.png
imgur mirror
	-Cale Firgren</t>
      </text>
    </comment>
  </commentList>
</comments>
</file>

<file path=xl/sharedStrings.xml><?xml version="1.0" encoding="utf-8"?>
<sst xmlns="http://schemas.openxmlformats.org/spreadsheetml/2006/main" count="2667" uniqueCount="475">
  <si>
    <t>This is the spoiler-free version, you can switch to
 normal mode with Standings Leaderboard
 on the bottom by clicking Normal Version</t>
  </si>
  <si>
    <t>COLOURED CELLS HIDE
POTENTIAL SPOILERS,
SCROLL RIGHT FOR MATCH RESULTS</t>
  </si>
  <si>
    <t>Brought to you by /u/vulpa, credits also to /u/muricanredditor for times and dates
You can contact my on /u/vulpa, or on my twitter @NotVulpa
or on steam at http://steamcommunity.com/id/vulpa</t>
  </si>
  <si>
    <t>If you're confused about coloured cells
and how to view their content,
mouseover this cell for a 
link to my guide (puush.sh link)</t>
  </si>
  <si>
    <t>
</t>
  </si>
  <si>
    <t>CLICK ON 
COLOURED CELLS 
FOR RESULTS
</t>
  </si>
  <si>
    <t>Huge thank you to /u/Zhanger for the downloadable replays!</t>
  </si>
  <si>
    <t>Click the Match ID to download the
corresponding replay file.
put into your replays folder to watch ingame
</t>
  </si>
  <si>
    <t>spoiler</t>
  </si>
  <si>
    <t>Time Zones</t>
  </si>
  <si>
    <t>Match IDs</t>
  </si>
  <si>
    <t>Name</t>
  </si>
  <si>
    <t>Date</t>
  </si>
  <si>
    <t>BST</t>
  </si>
  <si>
    <t>PDT</t>
  </si>
  <si>
    <t>EDT</t>
  </si>
  <si>
    <t>CEST</t>
  </si>
  <si>
    <t>SGT</t>
  </si>
  <si>
    <t>AEST</t>
  </si>
  <si>
    <t>Team 1</t>
  </si>
  <si>
    <t>Team 2</t>
  </si>
  <si>
    <t>Casters</t>
  </si>
  <si>
    <t>Game 1</t>
  </si>
  <si>
    <t>Game 2</t>
  </si>
  <si>
    <t>Game 3</t>
  </si>
  <si>
    <t>VODS</t>
  </si>
  <si>
    <t>(UK)</t>
  </si>
  <si>
    <t>AST</t>
  </si>
  <si>
    <t>RESULTS TO THE RIGHT
Click cells to read</t>
  </si>
  <si>
    <t>Winner</t>
  </si>
  <si>
    <t>Loser</t>
  </si>
  <si>
    <t>Wildcard UB 1A</t>
  </si>
  <si>
    <t>CDEC</t>
  </si>
  <si>
    <t>vs</t>
  </si>
  <si>
    <t>Vega Squadron</t>
  </si>
  <si>
    <t>Appendix</t>
  </si>
  <si>
    <t>Wildcard UB 1B</t>
  </si>
  <si>
    <t>MVP Phoenix</t>
  </si>
  <si>
    <t>Archon</t>
  </si>
  <si>
    <t>OD Pixel &amp; Draskyl</t>
  </si>
  <si>
    <t>A1</t>
  </si>
  <si>
    <t>A5</t>
  </si>
  <si>
    <t>Wildcard LB 1A</t>
  </si>
  <si>
    <t>KotL &amp; Purge</t>
  </si>
  <si>
    <t>N/A</t>
  </si>
  <si>
    <t>A2</t>
  </si>
  <si>
    <t>A6</t>
  </si>
  <si>
    <t>Wildcard UB 2A</t>
  </si>
  <si>
    <t>LD &amp; Godz</t>
  </si>
  <si>
    <t>A3</t>
  </si>
  <si>
    <t>A7</t>
  </si>
  <si>
    <t>Wildcard LB 2A</t>
  </si>
  <si>
    <t>Capitalist &amp; Blitz</t>
  </si>
  <si>
    <t>A4</t>
  </si>
  <si>
    <t>A8</t>
  </si>
  <si>
    <t>Series 1C</t>
  </si>
  <si>
    <t>Complexity</t>
  </si>
  <si>
    <t>These games
are best
of 2s,
tiebreakers
on Day 4
(July 30)</t>
  </si>
  <si>
    <t>B1</t>
  </si>
  <si>
    <t>B5</t>
  </si>
  <si>
    <t>Series 1A</t>
  </si>
  <si>
    <t>Fnatic</t>
  </si>
  <si>
    <t>Team Secret</t>
  </si>
  <si>
    <t>B2</t>
  </si>
  <si>
    <t>B6</t>
  </si>
  <si>
    <t>Series 1B</t>
  </si>
  <si>
    <t>LGD</t>
  </si>
  <si>
    <t>Cloud9</t>
  </si>
  <si>
    <t>Tobi &amp; Waga</t>
  </si>
  <si>
    <t>B3</t>
  </si>
  <si>
    <t>B7</t>
  </si>
  <si>
    <t>Series 2C</t>
  </si>
  <si>
    <t>NaVi</t>
  </si>
  <si>
    <t>B4</t>
  </si>
  <si>
    <t>B8</t>
  </si>
  <si>
    <t>Series 2A</t>
  </si>
  <si>
    <t>Series 2B</t>
  </si>
  <si>
    <t>iG</t>
  </si>
  <si>
    <t>Series 3B</t>
  </si>
  <si>
    <t>Series 3A</t>
  </si>
  <si>
    <t>Newbee</t>
  </si>
  <si>
    <t>Virtus Pro</t>
  </si>
  <si>
    <t>Series 3C</t>
  </si>
  <si>
    <t>Series 4A</t>
  </si>
  <si>
    <t>EG</t>
  </si>
  <si>
    <t>Series 4B</t>
  </si>
  <si>
    <t>Empire</t>
  </si>
  <si>
    <t>VG</t>
  </si>
  <si>
    <t>Series 4C</t>
  </si>
  <si>
    <t>MVP.Hot6</t>
  </si>
  <si>
    <t>Series 5A</t>
  </si>
  <si>
    <t>Series 5B</t>
  </si>
  <si>
    <t>EHOME</t>
  </si>
  <si>
    <t>Series 5C</t>
  </si>
  <si>
    <t>Zyori &amp; Purge</t>
  </si>
  <si>
    <t>VP</t>
  </si>
  <si>
    <t>Series 6A</t>
  </si>
  <si>
    <t>Some replays
may still
be
pending</t>
  </si>
  <si>
    <t>Tiebreaker - Upper Bracket slot from Group B</t>
  </si>
  <si>
    <t>Upper Bracket 1A</t>
  </si>
  <si>
    <t>Tobi &amp; Synderen</t>
  </si>
  <si>
    <t>Upper Bracket 1B</t>
  </si>
  <si>
    <t>LD &amp; Blitz</t>
  </si>
  <si>
    <t>C9</t>
  </si>
  <si>
    <t>Lower Bracket 1A</t>
  </si>
  <si>
    <t>OD Pixel &amp; Synderen</t>
  </si>
  <si>
    <t>These games are Best of 1</t>
  </si>
  <si>
    <t>Lower Bracket 1B</t>
  </si>
  <si>
    <t>Lower Bracket 1C</t>
  </si>
  <si>
    <t>Lower Bracket 1D</t>
  </si>
  <si>
    <t>Upper Bracket 1C</t>
  </si>
  <si>
    <t>coL</t>
  </si>
  <si>
    <t>Upper Bracket 1D</t>
  </si>
  <si>
    <t>Secret</t>
  </si>
  <si>
    <t>Based On:</t>
  </si>
  <si>
    <t>Lower Bracket 2A</t>
  </si>
  <si>
    <t>UB1A Loser</t>
  </si>
  <si>
    <t>LB1A Winner</t>
  </si>
  <si>
    <t>Lower Bracket 2B</t>
  </si>
  <si>
    <t>UB1B Loser</t>
  </si>
  <si>
    <t>LB1B Winner</t>
  </si>
  <si>
    <t>Lower Bracket 2C</t>
  </si>
  <si>
    <t>UB1C Loser</t>
  </si>
  <si>
    <t>LB1C Winner</t>
  </si>
  <si>
    <t>Lower Bracket 2D</t>
  </si>
  <si>
    <t>UB1D Loser</t>
  </si>
  <si>
    <t>LB1D Winner</t>
  </si>
  <si>
    <t>Upper Bracket 2A</t>
  </si>
  <si>
    <t>UB1A Winner</t>
  </si>
  <si>
    <t>UB1B Winner</t>
  </si>
  <si>
    <t>Upper Bracket 2B</t>
  </si>
  <si>
    <t>UB1C Winner</t>
  </si>
  <si>
    <t>UB1D Winner</t>
  </si>
  <si>
    <t>Lower Bracket 3A</t>
  </si>
  <si>
    <t>MVP.P</t>
  </si>
  <si>
    <t>LB2A Winner</t>
  </si>
  <si>
    <t>LB2B Winner</t>
  </si>
  <si>
    <t>Lower Bracket 3B</t>
  </si>
  <si>
    <t>LB2C Winner</t>
  </si>
  <si>
    <t>LB2D Winner</t>
  </si>
  <si>
    <t>Lower Bracket 4A</t>
  </si>
  <si>
    <t>UB2B Loser</t>
  </si>
  <si>
    <t>BL3A Winner</t>
  </si>
  <si>
    <t>All-Star Match</t>
  </si>
  <si>
    <t>Team BDNT</t>
  </si>
  <si>
    <t>Team ChuaN</t>
  </si>
  <si>
    <t>Synderen &amp; OD</t>
  </si>
  <si>
    <t>Lower Bracket 4B</t>
  </si>
  <si>
    <t>UB2A Loser</t>
  </si>
  <si>
    <t>LB3B Winner</t>
  </si>
  <si>
    <t>Upper Bracket Finals</t>
  </si>
  <si>
    <t>UB2A Winner</t>
  </si>
  <si>
    <t>UB2B Winner</t>
  </si>
  <si>
    <t>Lower Bracket 5A</t>
  </si>
  <si>
    <t>LB4A Winner</t>
  </si>
  <si>
    <t>LB4B Winner</t>
  </si>
  <si>
    <t>Lower Bracket Finals</t>
  </si>
  <si>
    <t>NA</t>
  </si>
  <si>
    <t>UB Finals Loser</t>
  </si>
  <si>
    <t>LB5A Winner</t>
  </si>
  <si>
    <t>Grand Finals</t>
  </si>
  <si>
    <t>UB Finals Winner</t>
  </si>
  <si>
    <t>LB Finals Winner</t>
  </si>
  <si>
    <t>Result cells marked with yellow means that potential ties
will be resolved on Day 4 (30th July)</t>
  </si>
  <si>
    <t>This is the NORMAL version, you can switch to SPOILER-FREE
 Version on the bottom by clicking SPOILER-FREE VERSION</t>
  </si>
  <si>
    <t>Click the Match ID to download the
corresponding replay file.
put in to your replays folder to watch ingame</t>
  </si>
  <si>
    <t>MAIN EVENT STANDINGS</t>
  </si>
  <si>
    <t>Standings as of end of Group Stage</t>
  </si>
  <si>
    <t>Prize Pool
$18,429,613*</t>
  </si>
  <si>
    <t>Group Stage Standings - GROUP A</t>
  </si>
  <si>
    <t>Team</t>
  </si>
  <si>
    <t>Matches</t>
  </si>
  <si>
    <t>Win</t>
  </si>
  <si>
    <t>Loss</t>
  </si>
  <si>
    <t>Draw</t>
  </si>
  <si>
    <t>Points</t>
  </si>
  <si>
    <t>#</t>
  </si>
  <si>
    <t>Prize</t>
  </si>
  <si>
    <t>%</t>
  </si>
  <si>
    <t>$6,634,661</t>
  </si>
  <si>
    <t>$2,856,590</t>
  </si>
  <si>
    <t>$2,211,554</t>
  </si>
  <si>
    <t>Vici Gaming</t>
  </si>
  <si>
    <t>$1,566,517</t>
  </si>
  <si>
    <t>MVP P</t>
  </si>
  <si>
    <t>$1,197,925</t>
  </si>
  <si>
    <t>$829,333</t>
  </si>
  <si>
    <t>MVP.Phoenix</t>
  </si>
  <si>
    <t>Invictus Gaming</t>
  </si>
  <si>
    <t>$221,155</t>
  </si>
  <si>
    <t>Group Stage Standings - GROUP B</t>
  </si>
  <si>
    <t>Complexity Gaming</t>
  </si>
  <si>
    <t>Team Empire</t>
  </si>
  <si>
    <t>$55,289</t>
  </si>
  <si>
    <t>Natus Vincere</t>
  </si>
  <si>
    <t>* Final prize pool and prizes will be updated</t>
  </si>
  <si>
    <t>As of 15/08/2015 11:00 PM London</t>
  </si>
  <si>
    <t>Upper Bracket</t>
  </si>
  <si>
    <t>Lower Bracket</t>
  </si>
  <si>
    <t>MAIN EVENT BRACKET FORMAT</t>
  </si>
  <si>
    <t>UPPER BRACKET</t>
  </si>
  <si>
    <t>ALL MATCHES ARE BO3, GRAND FINALS ARE BO5</t>
  </si>
  <si>
    <t>Day 1 Monday 3rd Aug</t>
  </si>
  <si>
    <t>LGD vs Empire
2 - 1</t>
  </si>
  <si>
    <t>Day 2 Tuesday 4th Aug</t>
  </si>
  <si>
    <t>LGD vs CDEC
0 - 2</t>
  </si>
  <si>
    <t>Day 3 Wednesday 5th Aug</t>
  </si>
  <si>
    <t>Day 4 Thursday 6th Aug</t>
  </si>
  <si>
    <t>CDEC vs Cloud9
2 - 0</t>
  </si>
  <si>
    <t>Day 5 Friday 7th Aug</t>
  </si>
  <si>
    <t>Day 6 Saturday 8th Aug</t>
  </si>
  <si>
    <t>CDEC vs EG
2 - 0</t>
  </si>
  <si>
    <t>EG vs coL
2 - 0</t>
  </si>
  <si>
    <t>EG vs EHOME
2 - 1</t>
  </si>
  <si>
    <t>Secret vs EHOME
0 - 2</t>
  </si>
  <si>
    <t>GRAND FINALS</t>
  </si>
  <si>
    <t>LOWER BRACKET</t>
  </si>
  <si>
    <t>CDEC vs EG
1 - 3</t>
  </si>
  <si>
    <t>FIRST ROUND MATCHES ARE BO1, REST ARE BO3</t>
  </si>
  <si>
    <t>MVP.P vs Newbee
1 - 0</t>
  </si>
  <si>
    <t>MVP.P vs Empire
2 - 0</t>
  </si>
  <si>
    <t>MVP Phoenix vs VG
0 - 2</t>
  </si>
  <si>
    <t>EHOME vs VG
0 - 2</t>
  </si>
  <si>
    <t>VG vs NaVi
1 - 0</t>
  </si>
  <si>
    <t>Cloud9 vs VG
0 - 2</t>
  </si>
  <si>
    <t>LOWER BRACKET FINALS</t>
  </si>
  <si>
    <t>ALL-STAR MATCH</t>
  </si>
  <si>
    <t>VG vs LGD
1 - 2</t>
  </si>
  <si>
    <t>LGD vs EG
0 - 2</t>
  </si>
  <si>
    <t>VP vs Fnatic
1 - 0
</t>
  </si>
  <si>
    <t>coL vs VP
1 - 2</t>
  </si>
  <si>
    <t>VP vs Secret
2 - 1</t>
  </si>
  <si>
    <t>LGD vs VP
2 - 0</t>
  </si>
  <si>
    <t>iG vs MVP.Hot6
1 - 0</t>
  </si>
  <si>
    <t>Secret vs iG
2 - 1</t>
  </si>
  <si>
    <t>GMT +1</t>
  </si>
  <si>
    <t>Results</t>
  </si>
  <si>
    <t>2 - 1</t>
  </si>
  <si>
    <t>2 - 0</t>
  </si>
  <si>
    <t>1 - 1</t>
  </si>
  <si>
    <t>0 - 2</t>
  </si>
  <si>
    <t xml:space="preserve">2 - 0 </t>
  </si>
  <si>
    <t>Standings as of end of Group Stage 30th of July 2015</t>
  </si>
  <si>
    <t>Upper
Bracket</t>
  </si>
  <si>
    <t>Lower
Bracket</t>
  </si>
  <si>
    <t>MAIN EVENT</t>
  </si>
  <si>
    <t>1 - 0</t>
  </si>
  <si>
    <t>1 - 2</t>
  </si>
  <si>
    <t>Capitalist &amp; OD</t>
  </si>
  <si>
    <t>SumaiL</t>
  </si>
  <si>
    <t>Mushi</t>
  </si>
  <si>
    <t>iceiceice</t>
  </si>
  <si>
    <t>Puppey</t>
  </si>
  <si>
    <t>BurNIng</t>
  </si>
  <si>
    <t>Fear</t>
  </si>
  <si>
    <t>xiao8</t>
  </si>
  <si>
    <t>Ferrari</t>
  </si>
  <si>
    <t>Arteezy</t>
  </si>
  <si>
    <t>Hao</t>
  </si>
  <si>
    <t>OD P &amp; Synderen</t>
  </si>
  <si>
    <t>1 - 3</t>
  </si>
  <si>
    <t>Pick Check</t>
  </si>
  <si>
    <t>Ban Check</t>
  </si>
  <si>
    <t>Total Games</t>
  </si>
  <si>
    <t>Never Picked</t>
  </si>
  <si>
    <t>Never Banned</t>
  </si>
  <si>
    <t>Never Picked or Banned</t>
  </si>
  <si>
    <t>Hero</t>
  </si>
  <si>
    <t>Picks</t>
  </si>
  <si>
    <t>Bans</t>
  </si>
  <si>
    <t>Pick Ratio</t>
  </si>
  <si>
    <t>Ban Ratio</t>
  </si>
  <si>
    <t>Games Counted</t>
  </si>
  <si>
    <t>X</t>
  </si>
  <si>
    <t>Abaddon</t>
  </si>
  <si>
    <t>Empire vs LGD Game 1, 2, 3</t>
  </si>
  <si>
    <t>Alchemist</t>
  </si>
  <si>
    <t>C9 vs CDEC Game 1, 2</t>
  </si>
  <si>
    <t>Ancient Apparition</t>
  </si>
  <si>
    <t>MVP.P vs Newbee Game 1</t>
  </si>
  <si>
    <t>Anti-Mage</t>
  </si>
  <si>
    <t>NaVi vs VG Game 1</t>
  </si>
  <si>
    <t>Axe</t>
  </si>
  <si>
    <t>iG vs MVP.Hot6 Game 1</t>
  </si>
  <si>
    <t>Bane</t>
  </si>
  <si>
    <t>Fnatic vs Virtus Pro Game 1</t>
  </si>
  <si>
    <t>Batrider</t>
  </si>
  <si>
    <t>coL vs EG Game 1, 2</t>
  </si>
  <si>
    <t>Beastmaster</t>
  </si>
  <si>
    <t>Secret vs EHOME Game 1, 2</t>
  </si>
  <si>
    <t>Bloodseeker</t>
  </si>
  <si>
    <t>MVP.P vs Empire Game 1, 2</t>
  </si>
  <si>
    <t>Bounty Hunter</t>
  </si>
  <si>
    <t>Cloud9 vs VG Game 1, 2</t>
  </si>
  <si>
    <t>Brewmaster</t>
  </si>
  <si>
    <t>Virtus Pro vs coL Game 1, 2</t>
  </si>
  <si>
    <t>Bristleback</t>
  </si>
  <si>
    <t>iG vs Secret Game 1, 2, 3</t>
  </si>
  <si>
    <t>Broodmother</t>
  </si>
  <si>
    <t>CDEC vs LGD Game 1, 2</t>
  </si>
  <si>
    <t>Centaur Warrunner</t>
  </si>
  <si>
    <t>EG vs EHOME Game 1, 2, 3</t>
  </si>
  <si>
    <t>Chaos Knight</t>
  </si>
  <si>
    <t>MVP.P vs VG Game 1, 2</t>
  </si>
  <si>
    <t>Chen</t>
  </si>
  <si>
    <t>VP vs Secret Game 1, 2, 3</t>
  </si>
  <si>
    <t>Clinkz</t>
  </si>
  <si>
    <t>EHOME vs VG Game 1, 2</t>
  </si>
  <si>
    <t>Clockwerk</t>
  </si>
  <si>
    <t>ALL-STAR MATCH not counted</t>
  </si>
  <si>
    <t>Crystal Maiden</t>
  </si>
  <si>
    <t>LGD vs VP Game1, 2</t>
  </si>
  <si>
    <t>Dark Seer</t>
  </si>
  <si>
    <t>EG vs CDEC Game 1, 2</t>
  </si>
  <si>
    <t>Dazzle</t>
  </si>
  <si>
    <t>LGD vs VG Game 1, 2, 3</t>
  </si>
  <si>
    <t>Death Prophet</t>
  </si>
  <si>
    <t>LGD vs EG Game 1, 2</t>
  </si>
  <si>
    <t>Disruptor</t>
  </si>
  <si>
    <t>CDEC vs EG Game 1, 2, 3, 4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</si>
  <si>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</si>
  <si>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</si>
  <si>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</si>
  <si>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</si>
  <si>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</si>
  <si>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</si>
  <si>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</si>
  <si>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</si>
  <si>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</si>
  <si>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</si>
  <si>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Gyrocopter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</si>
  <si>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</si>
  <si>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</si>
  <si>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</si>
  <si>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</si>
  <si>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</si>
  <si>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</si>
  <si>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</si>
  <si>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</si>
  <si>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</si>
  <si>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</si>
  <si>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</si>
  <si>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</si>
  <si>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</si>
  <si>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</si>
  <si>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</si>
  <si>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</si>
  <si>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</si>
  <si>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Medusa</t>
  </si>
  <si>
    <t>Meepo</t>
  </si>
  <si>
    <t>Mirana</t>
  </si>
  <si>
    <t>Morphling</t>
  </si>
  <si>
    <t>Naga Siren</t>
  </si>
  <si>
    <t>Nature's Prophet</t>
  </si>
  <si>
    <t>Necrophos</t>
  </si>
  <si>
    <t>Nighstalker</t>
  </si>
  <si>
    <t>Nyx Assassin</t>
  </si>
  <si>
    <t>Ogre Magi</t>
  </si>
  <si>
    <t>Omniknight</t>
  </si>
  <si>
    <t>Oracle</t>
  </si>
  <si>
    <t>Outworld Devourer</t>
  </si>
  <si>
    <t>Phantom Assassin</t>
  </si>
  <si>
    <t>Phantom Lancer</t>
  </si>
  <si>
    <t>Phoenix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</si>
  <si>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</si>
  <si>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</si>
  <si>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</si>
  <si>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</si>
  <si>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</si>
  <si>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</si>
  <si>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</si>
  <si>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</si>
  <si>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</si>
  <si>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</si>
  <si>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</si>
  <si>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</si>
  <si>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</si>
  <si>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</si>
  <si>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</si>
  <si>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</si>
  <si>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</si>
  <si>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</si>
  <si>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</si>
  <si>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</si>
  <si>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</si>
  <si>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</si>
  <si>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</si>
  <si>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</si>
  <si>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</si>
  <si>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</si>
  <si>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</si>
  <si>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</si>
  <si>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</si>
  <si>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</si>
  <si>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Undying</t>
  </si>
  <si>
    <t>Ursa</t>
  </si>
  <si>
    <t>Vengeful Spirit</t>
  </si>
  <si>
    <t>Venomancer</t>
  </si>
  <si>
    <t>Viper</t>
  </si>
  <si>
    <t>Visage</t>
  </si>
  <si>
    <t>Warlock</t>
  </si>
  <si>
    <t>Weaver</t>
  </si>
  <si>
    <t>Windrunner</t>
  </si>
  <si>
    <t>Winter Wyvern</t>
  </si>
  <si>
    <t>Witch Doctor</t>
  </si>
  <si>
    <t>Wraith King</t>
  </si>
  <si>
    <t>Zeus</t>
  </si>
  <si>
    <t>Day 1</t>
  </si>
  <si>
    <t>Sun 26 July</t>
  </si>
  <si>
    <t>ID</t>
  </si>
  <si>
    <t>Result</t>
  </si>
  <si>
    <t>PI1 1/3</t>
  </si>
  <si>
    <t>PI1 2/3</t>
  </si>
  <si>
    <t>PI1 3/3</t>
  </si>
  <si>
    <t>VOD</t>
  </si>
  <si>
    <t>Player</t>
  </si>
  <si>
    <t>Level</t>
  </si>
  <si>
    <t>K/D/A</t>
  </si>
  <si>
    <t>XPM</t>
  </si>
  <si>
    <t>GPM</t>
  </si>
  <si>
    <t>LVL</t>
  </si>
  <si>
    <t>Radiant</t>
  </si>
  <si>
    <t>Vega.CeMaTheSlayeR</t>
  </si>
  <si>
    <t>3/8/8</t>
  </si>
  <si>
    <t>Vega.Solo</t>
  </si>
  <si>
    <t>7/8/10</t>
  </si>
  <si>
    <t>Vega.No[o]ne-♥</t>
  </si>
  <si>
    <t>6/10/9</t>
  </si>
  <si>
    <t>Vega.Mag</t>
  </si>
  <si>
    <t>3/5/14</t>
  </si>
  <si>
    <t>Vega.9pashaebashu</t>
  </si>
  <si>
    <t>4/6/13</t>
  </si>
  <si>
    <t>Dire
</t>
  </si>
  <si>
    <t>CDEC.Q</t>
  </si>
  <si>
    <t>CDEC.Xz</t>
  </si>
  <si>
    <t>CDEC.garder</t>
  </si>
  <si>
    <t>CDEC.ShiKi</t>
  </si>
  <si>
    <t>CDEC.Agressif</t>
  </si>
  <si>
    <t>Duration:</t>
  </si>
  <si>
    <t>PI2 1/3</t>
  </si>
  <si>
    <t>PI2 2/3</t>
  </si>
  <si>
    <t>PI2 3/3</t>
  </si>
  <si>
    <t>MVP.March</t>
  </si>
  <si>
    <t>2/2/21</t>
  </si>
  <si>
    <t>NAR v2.chad</t>
  </si>
  <si>
    <t>MVP.Febby</t>
  </si>
  <si>
    <t>5/4/12</t>
  </si>
  <si>
    <t>NAR v2.korok</t>
  </si>
  <si>
    <t>MVP.QO</t>
  </si>
  <si>
    <t>9/1/13</t>
  </si>
  <si>
    <t>NAR v2.Fogged</t>
  </si>
  <si>
    <t>MVP.kpii</t>
  </si>
  <si>
    <t>9/0/11</t>
  </si>
  <si>
    <t>NAR v2.MSS</t>
  </si>
  <si>
    <t>MVP.NutZ</t>
  </si>
  <si>
    <t>1/2/11</t>
  </si>
  <si>
    <t>NAR v2.USH!</t>
  </si>
  <si>
    <t>1/6/4</t>
  </si>
  <si>
    <t>2/6/4</t>
  </si>
  <si>
    <t>2/5/3</t>
  </si>
  <si>
    <t>0/40/5</t>
  </si>
  <si>
    <t>4/7/1</t>
  </si>
  <si>
    <t>PI3 1/3</t>
  </si>
  <si>
    <t>PI3 2/3</t>
  </si>
  <si>
    <t>PI3 3/3</t>
  </si>
  <si>
    <t>PI4 1/3</t>
  </si>
  <si>
    <t>PI4 2/3</t>
  </si>
  <si>
    <t>PI4 3/3</t>
  </si>
  <si>
    <t>PI5 1/3</t>
  </si>
  <si>
    <t>PI5 2/3</t>
  </si>
  <si>
    <t>PI5 3/3</t>
  </si>
  <si>
    <t>Day 2</t>
  </si>
  <si>
    <t>Sun 27 July</t>
  </si>
  <si>
    <t>Match ID</t>
  </si>
  <si>
    <t>Format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</si>
</sst>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&quot; &quot;"/>
    <numFmt numFmtId="165" formatCode="hh:mm"/>
  </numFmts>
  <fonts count="123">
    <font>
      <sz val="10.0"/>
      <color rgb="FF000000"/>
      <name val="Arial"/>
    </font>
    <font>
      <b/>
      <sz val="14.0"/>
      <color rgb="FFFFFFFF"/>
      <name val="Arial"/>
    </font>
    <font>
      <b/>
      <sz val="14.0"/>
      <color rgb="FF85200C"/>
    </font>
    <font>
      <b/>
      <sz val="18.0"/>
      <name val="Arial"/>
    </font>
    <font>
      <sz val="11.0"/>
      <color rgb="FFF3F3F3"/>
      <name val="Arial"/>
    </font>
    <font>
      <sz val="11.0"/>
      <color rgb="FFFFFFFF"/>
      <name val="Arial"/>
    </font>
    <font>
      <sz val="11.0"/>
      <name val="Arial"/>
    </font>
    <font/>
    <font>
      <b/>
      <sz val="14.0"/>
    </font>
    <font>
      <name val="Arial"/>
    </font>
    <font>
      <b/>
      <u/>
      <sz val="12.0"/>
      <color rgb="FF0000FF"/>
      <name val="Arial"/>
    </font>
    <font>
      <sz val="11.0"/>
      <color rgb="FFCC0000"/>
      <name val="Arial"/>
    </font>
    <font>
      <b/>
      <sz val="11.0"/>
      <color rgb="FFFFD966"/>
      <name val="Arial"/>
    </font>
    <font>
      <b/>
      <sz val="11.0"/>
      <color rgb="FFFFFFFF"/>
      <name val="Arial"/>
    </font>
    <font>
      <b/>
      <sz val="11.0"/>
      <name val="Arial"/>
    </font>
    <font>
      <b/>
      <sz val="12.0"/>
      <name val="Arial"/>
    </font>
    <font>
      <sz val="12.0"/>
      <color rgb="FFCC0000"/>
      <name val="Arial"/>
    </font>
    <font>
      <b/>
      <sz val="11.0"/>
      <color rgb="FFFFFF00"/>
      <name val="Arial"/>
    </font>
    <font>
      <b/>
      <sz val="11.0"/>
    </font>
    <font>
      <sz val="12.0"/>
      <name val="Arial"/>
    </font>
    <font>
      <sz val="11.0"/>
    </font>
    <font>
      <b/>
      <sz val="11.0"/>
      <color rgb="FFF3F3F3"/>
      <name val="Arial"/>
    </font>
    <font>
      <b/>
      <sz val="11.0"/>
      <color rgb="FF000000"/>
      <name val="Arial"/>
    </font>
    <font>
      <sz val="10.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2.0"/>
      <color rgb="FF76A5AF"/>
      <name val="Arial"/>
    </font>
    <font>
      <u/>
      <sz val="11.0"/>
      <color rgb="FF0000FF"/>
      <name val="Arial"/>
    </font>
    <font>
      <sz val="11.0"/>
      <color rgb="FFB6D7A8"/>
      <name val="Arial"/>
    </font>
    <font>
      <sz val="11.0"/>
      <color rgb="FFA2C4C9"/>
      <name val="Arial"/>
    </font>
    <font>
      <u/>
      <sz val="11.0"/>
      <color rgb="FF0000FF"/>
      <name val="Arial"/>
    </font>
    <font>
      <u/>
      <sz val="11.0"/>
      <color rgb="FF0000FF"/>
    </font>
    <font>
      <sz val="11.0"/>
      <color rgb="FFEA9999"/>
      <name val="Arial"/>
    </font>
    <font>
      <sz val="11.0"/>
      <color rgb="FFCFE2F3"/>
      <name val="Arial"/>
    </font>
    <font>
      <sz val="12.0"/>
      <color rgb="FF76A5AF"/>
      <name val="Arial"/>
    </font>
    <font>
      <sz val="11.0"/>
      <color rgb="FF99CCFF"/>
      <name val="Arial"/>
    </font>
    <font>
      <sz val="11.0"/>
      <color rgb="FFFFFF99"/>
      <name val="Arial"/>
    </font>
    <font>
      <sz val="11.0"/>
      <color rgb="FFFFCC99"/>
      <name val="Arial"/>
    </font>
    <font>
      <u/>
      <sz val="11.0"/>
      <color rgb="FFFFFF00"/>
      <name val="Arial"/>
    </font>
    <font>
      <sz val="12.0"/>
      <color rgb="FFFFFFFF"/>
      <name val="Arial"/>
    </font>
    <font>
      <u/>
      <color rgb="FF0000FF"/>
    </font>
    <font>
      <color rgb="FFA2C4C9"/>
    </font>
    <font>
      <sz val="10.0"/>
    </font>
    <font>
      <sz val="10.0"/>
      <color rgb="FFA2C4C9"/>
    </font>
    <font>
      <u/>
      <sz val="11.0"/>
      <color rgb="FFFFFF00"/>
      <name val="Arial"/>
    </font>
    <font>
      <u/>
      <sz val="11.0"/>
      <color rgb="FF0000FF"/>
      <name val="Arial"/>
    </font>
    <font>
      <b/>
      <color rgb="FFF3F3F3"/>
      <name val="Arial"/>
    </font>
    <font>
      <color rgb="FFFFFF00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</font>
    <font>
      <b/>
    </font>
    <font>
      <sz val="10.0"/>
      <color rgb="FFCFE2F3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2.0"/>
      <color rgb="FF0000FF"/>
      <name val="Arial"/>
    </font>
    <font>
      <u/>
      <color rgb="FF0000FF"/>
    </font>
    <font>
      <color rgb="FFCFE2F3"/>
    </font>
    <font>
      <u/>
      <sz val="12.0"/>
      <color rgb="FF45818E"/>
      <name val="Arial"/>
    </font>
    <font>
      <u/>
      <sz val="10.0"/>
      <color rgb="FF0000FF"/>
    </font>
    <font>
      <color rgb="FF76A5AF"/>
    </font>
    <font>
      <u/>
      <sz val="11.0"/>
      <color rgb="FF0000FF"/>
      <name val="Arial"/>
    </font>
    <font>
      <sz val="12.0"/>
      <color rgb="FF45818E"/>
      <name val="Arial"/>
    </font>
    <font>
      <u/>
      <sz val="11.0"/>
      <color rgb="FF0000FF"/>
    </font>
    <font>
      <strike/>
      <color rgb="FF76A5AF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</font>
    <font>
      <u/>
      <sz val="11.0"/>
      <color rgb="FFFFFF00"/>
      <name val="Arial"/>
    </font>
    <font>
      <u/>
      <sz val="11.0"/>
      <color rgb="FFFFFF00"/>
      <name val="Arial"/>
    </font>
    <font>
      <u/>
      <sz val="12.0"/>
      <color rgb="FF45818E"/>
      <name val="Arial"/>
    </font>
    <font>
      <u/>
      <sz val="12.0"/>
      <color rgb="FF45818E"/>
      <name val="Arial"/>
    </font>
    <font>
      <sz val="12.0"/>
      <color rgb="FFA2C4C9"/>
      <name val="Arial"/>
    </font>
    <font>
      <u/>
      <sz val="11.0"/>
      <color rgb="FF0000FF"/>
    </font>
    <font>
      <u/>
      <sz val="11.0"/>
      <color rgb="FF0000FF"/>
    </font>
    <font>
      <color rgb="FFFFFFFF"/>
    </font>
    <font>
      <sz val="9.0"/>
    </font>
    <font>
      <u/>
      <sz val="12.0"/>
      <color rgb="FF45818E"/>
      <name val="Arial"/>
    </font>
    <font>
      <u/>
      <sz val="9.0"/>
      <color rgb="FF0000FF"/>
    </font>
    <font>
      <u/>
      <sz val="12.0"/>
      <color rgb="FF45818E"/>
      <name val="Arial"/>
    </font>
    <font>
      <u/>
      <color rgb="FF45818E"/>
    </font>
    <font>
      <color rgb="FF45818E"/>
    </font>
    <font>
      <u/>
      <sz val="11.0"/>
      <color rgb="FF0000FF"/>
    </font>
    <font>
      <color rgb="FF000000"/>
    </font>
    <font>
      <b/>
      <color rgb="FFF3F3F3"/>
    </font>
    <font>
      <color rgb="FFF3F3F3"/>
    </font>
    <font>
      <b/>
      <sz val="12.0"/>
    </font>
    <font>
      <b/>
      <sz val="10.0"/>
      <color rgb="FFCC0000"/>
    </font>
    <font>
      <b/>
      <u/>
      <sz val="11.0"/>
      <color rgb="FF0000FF"/>
    </font>
    <font>
      <b/>
      <sz val="10.0"/>
    </font>
    <font>
      <b/>
      <sz val="11.0"/>
      <color rgb="FFCC0000"/>
    </font>
    <font>
      <b/>
      <sz val="14.0"/>
      <color rgb="FFFFFFFF"/>
    </font>
    <font>
      <b/>
      <color rgb="FFFF0000"/>
    </font>
    <font>
      <b/>
      <sz val="12.0"/>
      <color rgb="FFFF0000"/>
    </font>
    <font>
      <sz val="14.0"/>
      <color rgb="FFFFFF00"/>
    </font>
    <font>
      <sz val="14.0"/>
      <color rgb="FFFFFFFF"/>
    </font>
    <font>
      <b/>
      <color rgb="FF000000"/>
    </font>
    <font>
      <b/>
      <color rgb="FFFFFFFF"/>
    </font>
    <font>
      <b/>
      <sz val="11.0"/>
      <color rgb="FFFFFFFF"/>
    </font>
    <font>
      <b/>
      <sz val="9.0"/>
      <name val="Arial"/>
    </font>
    <font>
      <sz val="11.0"/>
      <color rgb="FFFFFF00"/>
      <name val="Arial"/>
    </font>
    <font>
      <u/>
      <sz val="11.0"/>
      <color rgb="FFFFFF00"/>
    </font>
    <font>
      <sz val="11.0"/>
      <color rgb="FFFFFF00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FFFF00"/>
    </font>
    <font>
      <u/>
      <sz val="11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sz val="11.0"/>
      <color rgb="FFFFFFFF"/>
    </font>
    <font>
      <u/>
      <sz val="11.0"/>
      <color rgb="FF0000FF"/>
    </font>
    <font>
      <strike/>
      <sz val="11.0"/>
    </font>
    <font>
      <u/>
      <sz val="11.0"/>
      <color rgb="FFFFFF00"/>
    </font>
    <font>
      <sz val="11.0"/>
      <color rgb="FF000000"/>
    </font>
    <font>
      <u/>
      <sz val="11.0"/>
      <color rgb="FF0000FF"/>
    </font>
    <font>
      <strike/>
    </font>
    <font>
      <b/>
      <color rgb="FFCCCCCC"/>
    </font>
    <font>
      <color rgb="FFCCCCCC"/>
    </font>
    <font>
      <sz val="14.0"/>
    </font>
    <font>
      <u/>
      <color rgb="FF0000FF"/>
    </font>
  </fonts>
  <fills count="3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76A5AF"/>
        <bgColor rgb="FF76A5AF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000000"/>
        <bgColor rgb="FF000000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3C78D8"/>
        <bgColor rgb="FF3C78D8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</fills>
  <borders count="16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4" numFmtId="0" xfId="0" applyAlignment="1" applyFill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4" fontId="12" numFmtId="0" xfId="0" applyAlignment="1" applyFont="1">
      <alignment horizontal="center" vertical="center"/>
    </xf>
    <xf borderId="0" fillId="0" fontId="1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/>
    </xf>
    <xf borderId="0" fillId="0" fontId="16" numFmtId="0" xfId="0" applyAlignment="1" applyFont="1">
      <alignment horizontal="center" vertical="center"/>
    </xf>
    <xf borderId="0" fillId="5" fontId="17" numFmtId="0" xfId="0" applyAlignment="1" applyFill="1" applyFont="1">
      <alignment horizontal="center"/>
    </xf>
    <xf borderId="0" fillId="4" fontId="14" numFmtId="0" xfId="0" applyAlignment="1" applyFont="1">
      <alignment horizontal="center"/>
    </xf>
    <xf borderId="0" fillId="4" fontId="14" numFmtId="164" xfId="0" applyAlignment="1" applyFont="1" applyNumberFormat="1">
      <alignment horizontal="center"/>
    </xf>
    <xf borderId="0" fillId="4" fontId="6" numFmtId="0" xfId="0" applyAlignment="1" applyFont="1">
      <alignment horizontal="center"/>
    </xf>
    <xf borderId="0" fillId="4" fontId="15" numFmtId="0" xfId="0" applyAlignment="1" applyFont="1">
      <alignment horizontal="center"/>
    </xf>
    <xf borderId="1" fillId="0" fontId="14" numFmtId="164" xfId="0" applyAlignment="1" applyBorder="1" applyFont="1" applyNumberFormat="1">
      <alignment horizontal="center"/>
    </xf>
    <xf borderId="0" fillId="6" fontId="14" numFmtId="0" xfId="0" applyAlignment="1" applyFill="1" applyFont="1">
      <alignment horizontal="center"/>
    </xf>
    <xf borderId="0" fillId="7" fontId="14" numFmtId="0" xfId="0" applyAlignment="1" applyFill="1" applyFont="1">
      <alignment horizontal="center"/>
    </xf>
    <xf borderId="0" fillId="3" fontId="14" numFmtId="0" xfId="0" applyAlignment="1" applyFont="1">
      <alignment horizontal="center"/>
    </xf>
    <xf borderId="0" fillId="8" fontId="14" numFmtId="0" xfId="0" applyAlignment="1" applyFill="1" applyFont="1">
      <alignment horizontal="center"/>
    </xf>
    <xf borderId="0" fillId="9" fontId="14" numFmtId="0" xfId="0" applyAlignment="1" applyFill="1" applyFont="1">
      <alignment horizontal="center"/>
    </xf>
    <xf borderId="0" fillId="10" fontId="14" numFmtId="0" xfId="0" applyAlignment="1" applyFill="1" applyFont="1">
      <alignment horizontal="center"/>
    </xf>
    <xf borderId="2" fillId="0" fontId="14" numFmtId="0" xfId="0" applyAlignment="1" applyBorder="1" applyFont="1">
      <alignment horizontal="center"/>
    </xf>
    <xf borderId="3" fillId="0" fontId="1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0" fillId="0" fontId="6" numFmtId="0" xfId="0" applyFont="1"/>
    <xf borderId="1" fillId="4" fontId="6" numFmtId="164" xfId="0" applyAlignment="1" applyBorder="1" applyFont="1" applyNumberFormat="1">
      <alignment horizontal="center"/>
    </xf>
    <xf borderId="0" fillId="7" fontId="6" numFmtId="0" xfId="0" applyAlignment="1" applyFont="1">
      <alignment horizontal="center"/>
    </xf>
    <xf borderId="0" fillId="8" fontId="6" numFmtId="0" xfId="0" applyAlignment="1" applyFont="1">
      <alignment horizontal="center"/>
    </xf>
    <xf borderId="0" fillId="9" fontId="6" numFmtId="0" xfId="0" applyAlignment="1" applyFont="1">
      <alignment horizontal="center"/>
    </xf>
    <xf borderId="0" fillId="10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2" fillId="4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/>
    </xf>
    <xf borderId="0" fillId="4" fontId="19" numFmtId="0" xfId="0" applyAlignment="1" applyFont="1">
      <alignment horizontal="center"/>
    </xf>
    <xf borderId="0" fillId="4" fontId="20" numFmtId="0" xfId="0" applyAlignment="1" applyFont="1">
      <alignment horizontal="center"/>
    </xf>
    <xf borderId="0" fillId="4" fontId="21" numFmtId="0" xfId="0" applyAlignment="1" applyFont="1">
      <alignment horizontal="center" vertical="center"/>
    </xf>
    <xf borderId="4" fillId="0" fontId="22" numFmtId="0" xfId="0" applyAlignment="1" applyBorder="1" applyFont="1">
      <alignment horizontal="center"/>
    </xf>
    <xf borderId="5" fillId="0" fontId="22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0" fillId="0" fontId="6" numFmtId="164" xfId="0" applyAlignment="1" applyFont="1" applyNumberFormat="1">
      <alignment/>
    </xf>
    <xf borderId="3" fillId="6" fontId="6" numFmtId="165" xfId="0" applyAlignment="1" applyBorder="1" applyFont="1" applyNumberFormat="1">
      <alignment horizontal="center"/>
    </xf>
    <xf borderId="0" fillId="7" fontId="6" numFmtId="165" xfId="0" applyAlignment="1" applyFont="1" applyNumberFormat="1">
      <alignment horizontal="center"/>
    </xf>
    <xf borderId="0" fillId="3" fontId="6" numFmtId="165" xfId="0" applyAlignment="1" applyFont="1" applyNumberFormat="1">
      <alignment horizontal="center"/>
    </xf>
    <xf borderId="0" fillId="8" fontId="6" numFmtId="165" xfId="0" applyAlignment="1" applyFont="1" applyNumberFormat="1">
      <alignment horizontal="center"/>
    </xf>
    <xf borderId="0" fillId="9" fontId="6" numFmtId="165" xfId="0" applyAlignment="1" applyFont="1" applyNumberFormat="1">
      <alignment horizontal="center"/>
    </xf>
    <xf borderId="0" fillId="10" fontId="6" numFmtId="165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/>
    </xf>
    <xf borderId="1" fillId="11" fontId="26" numFmtId="0" xfId="0" applyAlignment="1" applyBorder="1" applyFill="1" applyFont="1">
      <alignment horizontal="center"/>
    </xf>
    <xf borderId="3" fillId="0" fontId="27" numFmtId="0" xfId="0" applyAlignment="1" applyBorder="1" applyFont="1">
      <alignment horizontal="center" vertical="center"/>
    </xf>
    <xf borderId="3" fillId="8" fontId="28" numFmtId="0" xfId="0" applyAlignment="1" applyBorder="1" applyFont="1">
      <alignment horizontal="center"/>
    </xf>
    <xf borderId="1" fillId="9" fontId="29" numFmtId="0" xfId="0" applyAlignment="1" applyBorder="1" applyFont="1">
      <alignment horizontal="center"/>
    </xf>
    <xf borderId="6" fillId="0" fontId="14" numFmtId="0" xfId="0" applyAlignment="1" applyBorder="1" applyFont="1">
      <alignment horizontal="center"/>
    </xf>
    <xf borderId="7" fillId="0" fontId="7" numFmtId="0" xfId="0" applyBorder="1" applyFont="1"/>
    <xf borderId="8" fillId="0" fontId="7" numFmtId="0" xfId="0" applyBorder="1" applyFont="1"/>
    <xf borderId="2" fillId="0" fontId="6" numFmtId="0" xfId="0" applyAlignment="1" applyBorder="1" applyFont="1">
      <alignment horizontal="center"/>
    </xf>
    <xf borderId="3" fillId="0" fontId="30" numFmtId="0" xfId="0" applyAlignment="1" applyBorder="1" applyFont="1">
      <alignment horizontal="center"/>
    </xf>
    <xf borderId="3" fillId="0" fontId="31" numFmtId="0" xfId="0" applyAlignment="1" applyBorder="1" applyFont="1">
      <alignment horizontal="center"/>
    </xf>
    <xf borderId="3" fillId="12" fontId="32" numFmtId="0" xfId="0" applyAlignment="1" applyBorder="1" applyFill="1" applyFont="1">
      <alignment horizontal="center"/>
    </xf>
    <xf borderId="0" fillId="13" fontId="33" numFmtId="0" xfId="0" applyAlignment="1" applyFill="1" applyFont="1">
      <alignment horizontal="center"/>
    </xf>
    <xf borderId="1" fillId="11" fontId="34" numFmtId="0" xfId="0" applyAlignment="1" applyBorder="1" applyFont="1">
      <alignment horizontal="center"/>
    </xf>
    <xf borderId="3" fillId="14" fontId="35" numFmtId="0" xfId="0" applyAlignment="1" applyBorder="1" applyFill="1" applyFont="1">
      <alignment horizontal="center"/>
    </xf>
    <xf borderId="3" fillId="15" fontId="36" numFmtId="0" xfId="0" applyAlignment="1" applyBorder="1" applyFill="1" applyFont="1">
      <alignment horizontal="center"/>
    </xf>
    <xf borderId="9" fillId="16" fontId="37" numFmtId="0" xfId="0" applyAlignment="1" applyBorder="1" applyFill="1" applyFont="1">
      <alignment horizontal="center"/>
    </xf>
    <xf borderId="10" fillId="9" fontId="29" numFmtId="0" xfId="0" applyAlignment="1" applyBorder="1" applyFont="1">
      <alignment horizontal="center"/>
    </xf>
    <xf borderId="0" fillId="4" fontId="6" numFmtId="164" xfId="0" applyAlignment="1" applyFont="1" applyNumberFormat="1">
      <alignment horizontal="center"/>
    </xf>
    <xf borderId="2" fillId="4" fontId="9" numFmtId="0" xfId="0" applyAlignment="1" applyBorder="1" applyFont="1">
      <alignment horizontal="center"/>
    </xf>
    <xf borderId="3" fillId="4" fontId="38" numFmtId="0" xfId="0" applyAlignment="1" applyBorder="1" applyFont="1">
      <alignment horizontal="center"/>
    </xf>
    <xf borderId="1" fillId="0" fontId="7" numFmtId="0" xfId="0" applyBorder="1" applyFont="1"/>
    <xf borderId="0" fillId="4" fontId="7" numFmtId="0" xfId="0" applyAlignment="1" applyFont="1">
      <alignment horizontal="center"/>
    </xf>
    <xf borderId="6" fillId="4" fontId="6" numFmtId="0" xfId="0" applyAlignment="1" applyBorder="1" applyFont="1">
      <alignment horizontal="center"/>
    </xf>
    <xf borderId="7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4" fontId="39" numFmtId="0" xfId="0" applyAlignment="1" applyBorder="1" applyFont="1">
      <alignment horizontal="center" vertical="center"/>
    </xf>
    <xf borderId="0" fillId="0" fontId="40" numFmtId="0" xfId="0" applyAlignment="1" applyFont="1">
      <alignment horizontal="center"/>
    </xf>
    <xf borderId="0" fillId="9" fontId="41" numFmtId="0" xfId="0" applyAlignment="1" applyFont="1">
      <alignment horizontal="center"/>
    </xf>
    <xf borderId="0" fillId="9" fontId="41" numFmtId="0" xfId="0" applyAlignment="1" applyFont="1">
      <alignment horizontal="center"/>
    </xf>
    <xf borderId="2" fillId="0" fontId="9" numFmtId="0" xfId="0" applyAlignment="1" applyBorder="1" applyFont="1">
      <alignment horizontal="center"/>
    </xf>
    <xf borderId="2" fillId="0" fontId="42" numFmtId="0" xfId="0" applyAlignment="1" applyBorder="1" applyFont="1">
      <alignment horizontal="center"/>
    </xf>
    <xf borderId="9" fillId="0" fontId="14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9" fontId="43" numFmtId="0" xfId="0" applyAlignment="1" applyFont="1">
      <alignment horizontal="center"/>
    </xf>
    <xf borderId="0" fillId="9" fontId="41" numFmtId="0" xfId="0" applyFont="1"/>
    <xf borderId="0" fillId="0" fontId="6" numFmtId="0" xfId="0" applyFont="1"/>
    <xf borderId="3" fillId="4" fontId="44" numFmtId="0" xfId="0" applyAlignment="1" applyBorder="1" applyFont="1">
      <alignment horizontal="center"/>
    </xf>
    <xf borderId="0" fillId="0" fontId="45" numFmtId="0" xfId="0" applyAlignment="1" applyFont="1">
      <alignment horizontal="center"/>
    </xf>
    <xf borderId="2" fillId="0" fontId="6" numFmtId="0" xfId="0" applyAlignment="1" applyBorder="1" applyFont="1">
      <alignment horizontal="center"/>
    </xf>
    <xf borderId="0" fillId="0" fontId="7" numFmtId="164" xfId="0" applyAlignment="1" applyFont="1" applyNumberFormat="1">
      <alignment/>
    </xf>
    <xf borderId="3" fillId="6" fontId="7" numFmtId="165" xfId="0" applyAlignment="1" applyBorder="1" applyFont="1" applyNumberFormat="1">
      <alignment horizontal="center"/>
    </xf>
    <xf borderId="0" fillId="7" fontId="7" numFmtId="165" xfId="0" applyAlignment="1" applyFont="1" applyNumberFormat="1">
      <alignment horizontal="center"/>
    </xf>
    <xf borderId="0" fillId="3" fontId="7" numFmtId="165" xfId="0" applyAlignment="1" applyFont="1" applyNumberFormat="1">
      <alignment horizontal="center"/>
    </xf>
    <xf borderId="0" fillId="8" fontId="7" numFmtId="165" xfId="0" applyAlignment="1" applyFont="1" applyNumberFormat="1">
      <alignment horizontal="center"/>
    </xf>
    <xf borderId="0" fillId="9" fontId="7" numFmtId="165" xfId="0" applyAlignment="1" applyFont="1" applyNumberFormat="1">
      <alignment horizontal="center"/>
    </xf>
    <xf borderId="0" fillId="10" fontId="7" numFmtId="165" xfId="0" applyAlignment="1" applyFont="1" applyNumberFormat="1">
      <alignment horizontal="center"/>
    </xf>
    <xf borderId="2" fillId="0" fontId="7" numFmtId="0" xfId="0" applyAlignment="1" applyBorder="1" applyFont="1">
      <alignment horizontal="center"/>
    </xf>
    <xf borderId="0" fillId="4" fontId="46" numFmtId="0" xfId="0" applyAlignment="1" applyFont="1">
      <alignment horizontal="center" vertical="center"/>
    </xf>
    <xf borderId="2" fillId="0" fontId="20" numFmtId="0" xfId="0" applyAlignment="1" applyBorder="1" applyFont="1">
      <alignment horizontal="center"/>
    </xf>
    <xf borderId="0" fillId="4" fontId="7" numFmtId="164" xfId="0" applyAlignment="1" applyFont="1" applyNumberFormat="1">
      <alignment horizontal="center"/>
    </xf>
    <xf borderId="3" fillId="4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0" fillId="4" fontId="47" numFmtId="0" xfId="0" applyAlignment="1" applyFont="1">
      <alignment horizontal="center"/>
    </xf>
    <xf borderId="2" fillId="0" fontId="20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1" fillId="0" fontId="7" numFmtId="164" xfId="0" applyAlignment="1" applyBorder="1" applyFont="1" applyNumberFormat="1">
      <alignment/>
    </xf>
    <xf borderId="9" fillId="6" fontId="7" numFmtId="165" xfId="0" applyAlignment="1" applyBorder="1" applyFont="1" applyNumberFormat="1">
      <alignment horizontal="center"/>
    </xf>
    <xf borderId="11" fillId="7" fontId="7" numFmtId="165" xfId="0" applyAlignment="1" applyBorder="1" applyFont="1" applyNumberFormat="1">
      <alignment horizontal="center"/>
    </xf>
    <xf borderId="11" fillId="3" fontId="7" numFmtId="165" xfId="0" applyAlignment="1" applyBorder="1" applyFont="1" applyNumberFormat="1">
      <alignment horizontal="center"/>
    </xf>
    <xf borderId="11" fillId="8" fontId="7" numFmtId="165" xfId="0" applyAlignment="1" applyBorder="1" applyFont="1" applyNumberFormat="1">
      <alignment horizontal="center"/>
    </xf>
    <xf borderId="11" fillId="9" fontId="7" numFmtId="165" xfId="0" applyAlignment="1" applyBorder="1" applyFont="1" applyNumberFormat="1">
      <alignment horizontal="center"/>
    </xf>
    <xf borderId="11" fillId="10" fontId="7" numFmtId="165" xfId="0" applyAlignment="1" applyBorder="1" applyFont="1" applyNumberFormat="1">
      <alignment horizontal="center"/>
    </xf>
    <xf borderId="11" fillId="13" fontId="33" numFmtId="0" xfId="0" applyAlignment="1" applyBorder="1" applyFont="1">
      <alignment horizontal="center"/>
    </xf>
    <xf borderId="12" fillId="0" fontId="20" numFmtId="0" xfId="0" applyAlignment="1" applyBorder="1" applyFont="1">
      <alignment horizontal="center"/>
    </xf>
    <xf borderId="9" fillId="0" fontId="48" numFmtId="0" xfId="0" applyAlignment="1" applyBorder="1" applyFont="1">
      <alignment horizontal="center"/>
    </xf>
    <xf borderId="11" fillId="0" fontId="49" numFmtId="0" xfId="0" applyAlignment="1" applyBorder="1" applyFont="1">
      <alignment horizontal="center"/>
    </xf>
    <xf borderId="11" fillId="0" fontId="50" numFmtId="0" xfId="0" applyAlignment="1" applyBorder="1" applyFont="1">
      <alignment horizontal="center"/>
    </xf>
    <xf borderId="11" fillId="0" fontId="7" numFmtId="0" xfId="0" applyBorder="1" applyFont="1"/>
    <xf borderId="11" fillId="9" fontId="41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0" fillId="0" fontId="51" numFmtId="0" xfId="0" applyAlignment="1" applyFont="1">
      <alignment horizontal="center"/>
    </xf>
    <xf borderId="13" fillId="13" fontId="52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4" fillId="0" fontId="42" numFmtId="0" xfId="0" applyAlignment="1" applyBorder="1" applyFont="1">
      <alignment horizontal="center"/>
    </xf>
    <xf borderId="4" fillId="0" fontId="53" numFmtId="0" xfId="0" applyAlignment="1" applyBorder="1" applyFont="1">
      <alignment horizontal="center"/>
    </xf>
    <xf borderId="13" fillId="0" fontId="54" numFmtId="0" xfId="0" applyAlignment="1" applyBorder="1" applyFont="1">
      <alignment horizontal="center"/>
    </xf>
    <xf borderId="1" fillId="0" fontId="55" numFmtId="0" xfId="0" applyAlignment="1" applyBorder="1" applyFont="1">
      <alignment horizontal="center"/>
    </xf>
    <xf borderId="13" fillId="0" fontId="56" numFmtId="0" xfId="0" applyAlignment="1" applyBorder="1" applyFont="1">
      <alignment horizontal="center"/>
    </xf>
    <xf borderId="13" fillId="4" fontId="46" numFmtId="0" xfId="0" applyAlignment="1" applyBorder="1" applyFont="1">
      <alignment horizontal="center" vertical="center"/>
    </xf>
    <xf borderId="13" fillId="9" fontId="41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0" fillId="17" fontId="7" numFmtId="0" xfId="0" applyAlignment="1" applyFill="1" applyFont="1">
      <alignment horizontal="center" vertical="center"/>
    </xf>
    <xf borderId="4" fillId="0" fontId="51" numFmtId="0" xfId="0" applyAlignment="1" applyBorder="1" applyFont="1">
      <alignment horizontal="center"/>
    </xf>
    <xf borderId="5" fillId="0" fontId="51" numFmtId="0" xfId="0" applyAlignment="1" applyBorder="1" applyFont="1">
      <alignment horizontal="center"/>
    </xf>
    <xf borderId="3" fillId="4" fontId="29" numFmtId="0" xfId="0" applyAlignment="1" applyBorder="1" applyFont="1">
      <alignment horizontal="center"/>
    </xf>
    <xf borderId="0" fillId="4" fontId="29" numFmtId="0" xfId="0" applyAlignment="1" applyFont="1">
      <alignment horizontal="center"/>
    </xf>
    <xf borderId="0" fillId="17" fontId="51" numFmtId="0" xfId="0" applyAlignment="1" applyFont="1">
      <alignment horizontal="center" vertical="center"/>
    </xf>
    <xf borderId="3" fillId="0" fontId="51" numFmtId="0" xfId="0" applyAlignment="1" applyBorder="1" applyFont="1">
      <alignment horizontal="center"/>
    </xf>
    <xf borderId="1" fillId="0" fontId="51" numFmtId="0" xfId="0" applyAlignment="1" applyBorder="1" applyFont="1">
      <alignment horizontal="center"/>
    </xf>
    <xf borderId="0" fillId="0" fontId="42" numFmtId="0" xfId="0" applyAlignment="1" applyFont="1">
      <alignment horizontal="center"/>
    </xf>
    <xf borderId="0" fillId="13" fontId="57" numFmtId="0" xfId="0" applyAlignment="1" applyFont="1">
      <alignment horizontal="center"/>
    </xf>
    <xf borderId="0" fillId="18" fontId="58" numFmtId="0" xfId="0" applyAlignment="1" applyFill="1" applyFont="1">
      <alignment horizontal="center"/>
    </xf>
    <xf borderId="0" fillId="0" fontId="59" numFmtId="0" xfId="0" applyAlignment="1" applyFont="1">
      <alignment horizontal="center"/>
    </xf>
    <xf borderId="3" fillId="11" fontId="60" numFmtId="0" xfId="0" applyAlignment="1" applyBorder="1" applyFont="1">
      <alignment horizontal="center"/>
    </xf>
    <xf borderId="1" fillId="11" fontId="60" numFmtId="0" xfId="0" applyAlignment="1" applyBorder="1" applyFont="1">
      <alignment horizontal="center"/>
    </xf>
    <xf borderId="0" fillId="0" fontId="61" numFmtId="0" xfId="0" applyAlignment="1" applyFont="1">
      <alignment horizontal="center"/>
    </xf>
    <xf borderId="1" fillId="18" fontId="62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0" fillId="0" fontId="63" numFmtId="0" xfId="0" applyAlignment="1" applyFont="1">
      <alignment horizontal="center" vertical="center"/>
    </xf>
    <xf borderId="1" fillId="11" fontId="64" numFmtId="0" xfId="0" applyAlignment="1" applyBorder="1" applyFont="1">
      <alignment horizontal="center"/>
    </xf>
    <xf borderId="3" fillId="0" fontId="65" numFmtId="0" xfId="0" applyAlignment="1" applyBorder="1" applyFont="1">
      <alignment horizontal="center"/>
    </xf>
    <xf borderId="3" fillId="0" fontId="66" numFmtId="0" xfId="0" applyAlignment="1" applyBorder="1" applyFont="1">
      <alignment horizontal="center"/>
    </xf>
    <xf borderId="0" fillId="0" fontId="67" numFmtId="0" xfId="0" applyAlignment="1" applyFont="1">
      <alignment horizontal="center" vertical="center"/>
    </xf>
    <xf borderId="0" fillId="17" fontId="7" numFmtId="0" xfId="0" applyAlignment="1" applyFont="1">
      <alignment horizontal="center" vertical="center"/>
    </xf>
    <xf borderId="7" fillId="4" fontId="20" numFmtId="0" xfId="0" applyAlignment="1" applyBorder="1" applyFont="1">
      <alignment horizontal="center"/>
    </xf>
    <xf borderId="7" fillId="4" fontId="7" numFmtId="164" xfId="0" applyAlignment="1" applyBorder="1" applyFont="1" applyNumberFormat="1">
      <alignment horizontal="center"/>
    </xf>
    <xf borderId="6" fillId="4" fontId="7" numFmtId="0" xfId="0" applyAlignment="1" applyBorder="1" applyFont="1">
      <alignment horizontal="center"/>
    </xf>
    <xf borderId="7" fillId="4" fontId="7" numFmtId="0" xfId="0" applyAlignment="1" applyBorder="1" applyFont="1">
      <alignment horizontal="center"/>
    </xf>
    <xf borderId="14" fillId="4" fontId="7" numFmtId="0" xfId="0" applyAlignment="1" applyBorder="1" applyFont="1">
      <alignment horizontal="center"/>
    </xf>
    <xf borderId="7" fillId="4" fontId="68" numFmtId="0" xfId="0" applyAlignment="1" applyBorder="1" applyFont="1">
      <alignment horizontal="center"/>
    </xf>
    <xf borderId="7" fillId="17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/>
    </xf>
    <xf borderId="0" fillId="13" fontId="57" numFmtId="0" xfId="0" applyAlignment="1" applyFont="1">
      <alignment/>
    </xf>
    <xf borderId="0" fillId="4" fontId="69" numFmtId="0" xfId="0" applyAlignment="1" applyFont="1">
      <alignment horizontal="center"/>
    </xf>
    <xf borderId="0" fillId="17" fontId="7" numFmtId="0" xfId="0" applyAlignment="1" applyFont="1">
      <alignment horizontal="center"/>
    </xf>
    <xf borderId="1" fillId="4" fontId="7" numFmtId="0" xfId="0" applyAlignment="1" applyBorder="1" applyFont="1">
      <alignment horizontal="center"/>
    </xf>
    <xf borderId="0" fillId="4" fontId="7" numFmtId="0" xfId="0" applyFont="1"/>
    <xf borderId="0" fillId="4" fontId="7" numFmtId="0" xfId="0" applyAlignment="1" applyFont="1">
      <alignment horizontal="center"/>
    </xf>
    <xf borderId="1" fillId="18" fontId="70" numFmtId="0" xfId="0" applyAlignment="1" applyBorder="1" applyFont="1">
      <alignment horizontal="center" vertical="center"/>
    </xf>
    <xf borderId="1" fillId="18" fontId="62" numFmtId="0" xfId="0" applyAlignment="1" applyBorder="1" applyFont="1">
      <alignment horizontal="center" vertical="center"/>
    </xf>
    <xf borderId="1" fillId="18" fontId="71" numFmtId="0" xfId="0" applyAlignment="1" applyBorder="1" applyFont="1">
      <alignment horizontal="center" vertical="center"/>
    </xf>
    <xf borderId="0" fillId="0" fontId="20" numFmtId="0" xfId="0" applyAlignment="1" applyFont="1">
      <alignment horizontal="center"/>
    </xf>
    <xf borderId="1" fillId="4" fontId="72" numFmtId="0" xfId="0" applyAlignment="1" applyBorder="1" applyFont="1">
      <alignment horizontal="center"/>
    </xf>
    <xf borderId="0" fillId="0" fontId="73" numFmtId="0" xfId="0" applyAlignment="1" applyFont="1">
      <alignment horizontal="center"/>
    </xf>
    <xf borderId="0" fillId="0" fontId="74" numFmtId="0" xfId="0" applyAlignment="1" applyFont="1">
      <alignment horizontal="center"/>
    </xf>
    <xf borderId="3" fillId="4" fontId="75" numFmtId="0" xfId="0" applyAlignment="1" applyBorder="1" applyFont="1">
      <alignment horizontal="center"/>
    </xf>
    <xf borderId="1" fillId="4" fontId="75" numFmtId="0" xfId="0" applyAlignment="1" applyBorder="1" applyFont="1">
      <alignment horizontal="center"/>
    </xf>
    <xf borderId="1" fillId="18" fontId="62" numFmtId="0" xfId="0" applyAlignment="1" applyBorder="1" applyFont="1">
      <alignment horizontal="center"/>
    </xf>
    <xf borderId="0" fillId="0" fontId="76" numFmtId="0" xfId="0" applyAlignment="1" applyFont="1">
      <alignment horizontal="center"/>
    </xf>
    <xf borderId="1" fillId="18" fontId="77" numFmtId="0" xfId="0" applyAlignment="1" applyBorder="1" applyFont="1">
      <alignment horizontal="center"/>
    </xf>
    <xf borderId="0" fillId="4" fontId="7" numFmtId="165" xfId="0" applyAlignment="1" applyFont="1" applyNumberFormat="1">
      <alignment horizontal="center"/>
    </xf>
    <xf borderId="0" fillId="0" fontId="78" numFmtId="0" xfId="0" applyAlignment="1" applyFont="1">
      <alignment horizontal="center"/>
    </xf>
    <xf borderId="0" fillId="18" fontId="79" numFmtId="0" xfId="0" applyAlignment="1" applyFont="1">
      <alignment horizontal="center"/>
    </xf>
    <xf borderId="7" fillId="18" fontId="80" numFmtId="0" xfId="0" applyAlignment="1" applyBorder="1" applyFont="1">
      <alignment horizontal="center"/>
    </xf>
    <xf borderId="8" fillId="18" fontId="81" numFmtId="0" xfId="0" applyAlignment="1" applyBorder="1" applyFont="1">
      <alignment horizontal="center"/>
    </xf>
    <xf borderId="0" fillId="0" fontId="82" numFmtId="0" xfId="0" applyAlignment="1" applyFont="1">
      <alignment horizontal="center"/>
    </xf>
    <xf borderId="9" fillId="11" fontId="60" numFmtId="0" xfId="0" applyAlignment="1" applyBorder="1" applyFont="1">
      <alignment horizontal="center"/>
    </xf>
    <xf borderId="10" fillId="11" fontId="60" numFmtId="0" xfId="0" applyAlignment="1" applyBorder="1" applyFont="1">
      <alignment horizontal="center"/>
    </xf>
    <xf borderId="0" fillId="17" fontId="20" numFmtId="0" xfId="0" applyAlignment="1" applyFont="1">
      <alignment horizontal="center"/>
    </xf>
    <xf borderId="0" fillId="17" fontId="7" numFmtId="164" xfId="0" applyAlignment="1" applyFont="1" applyNumberFormat="1">
      <alignment horizontal="center"/>
    </xf>
    <xf borderId="2" fillId="17" fontId="7" numFmtId="0" xfId="0" applyAlignment="1" applyBorder="1" applyFont="1">
      <alignment horizontal="center"/>
    </xf>
    <xf borderId="0" fillId="17" fontId="29" numFmtId="0" xfId="0" applyAlignment="1" applyFont="1">
      <alignment horizontal="center"/>
    </xf>
    <xf borderId="0" fillId="17" fontId="72" numFmtId="0" xfId="0" applyAlignment="1" applyFont="1">
      <alignment horizontal="center"/>
    </xf>
    <xf borderId="0" fillId="17" fontId="83" numFmtId="0" xfId="0" applyAlignment="1" applyFont="1">
      <alignment horizontal="center"/>
    </xf>
    <xf borderId="0" fillId="17" fontId="84" numFmtId="0" xfId="0" applyAlignment="1" applyFont="1">
      <alignment horizontal="center" vertical="center"/>
    </xf>
    <xf borderId="0" fillId="17" fontId="75" numFmtId="0" xfId="0" applyAlignment="1" applyFont="1">
      <alignment horizontal="center"/>
    </xf>
    <xf borderId="0" fillId="17" fontId="85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6" fontId="7" numFmtId="0" xfId="0" applyAlignment="1" applyFont="1">
      <alignment horizontal="center"/>
    </xf>
    <xf borderId="0" fillId="7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8" fontId="7" numFmtId="0" xfId="0" applyAlignment="1" applyFont="1">
      <alignment horizontal="center"/>
    </xf>
    <xf borderId="0" fillId="9" fontId="7" numFmtId="0" xfId="0" applyAlignment="1" applyFont="1">
      <alignment horizontal="center"/>
    </xf>
    <xf borderId="0" fillId="10" fontId="7" numFmtId="0" xfId="0" applyAlignment="1" applyFont="1">
      <alignment horizontal="center"/>
    </xf>
    <xf borderId="2" fillId="0" fontId="7" numFmtId="0" xfId="0" applyAlignment="1" applyBorder="1" applyFont="1">
      <alignment horizontal="center"/>
    </xf>
    <xf borderId="0" fillId="0" fontId="29" numFmtId="0" xfId="0" applyAlignment="1" applyFont="1">
      <alignment horizontal="center"/>
    </xf>
    <xf borderId="0" fillId="0" fontId="72" numFmtId="0" xfId="0" applyAlignment="1" applyFont="1">
      <alignment horizontal="center"/>
    </xf>
    <xf borderId="0" fillId="4" fontId="85" numFmtId="0" xfId="0" applyAlignment="1" applyFont="1">
      <alignment horizontal="center"/>
    </xf>
    <xf borderId="0" fillId="0" fontId="75" numFmtId="0" xfId="0" applyAlignment="1" applyFont="1">
      <alignment horizontal="center"/>
    </xf>
    <xf borderId="0" fillId="0" fontId="20" numFmtId="0" xfId="0" applyAlignment="1" applyFont="1">
      <alignment horizontal="center" vertical="center"/>
    </xf>
    <xf borderId="0" fillId="0" fontId="86" numFmtId="0" xfId="0" applyAlignment="1" applyFont="1">
      <alignment horizontal="center" vertical="center"/>
    </xf>
    <xf borderId="0" fillId="0" fontId="87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18" numFmtId="0" xfId="0" applyAlignment="1" applyFont="1">
      <alignment horizontal="center"/>
    </xf>
    <xf borderId="0" fillId="0" fontId="88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19" fontId="18" numFmtId="0" xfId="0" applyAlignment="1" applyFill="1" applyFont="1">
      <alignment horizontal="center"/>
    </xf>
    <xf borderId="0" fillId="0" fontId="89" numFmtId="0" xfId="0" applyAlignment="1" applyFont="1">
      <alignment horizontal="center"/>
    </xf>
    <xf borderId="0" fillId="0" fontId="90" numFmtId="0" xfId="0" applyAlignment="1" applyFont="1">
      <alignment horizontal="center" vertical="center"/>
    </xf>
    <xf borderId="0" fillId="20" fontId="91" numFmtId="0" xfId="0" applyAlignment="1" applyFill="1" applyFont="1">
      <alignment horizontal="center" vertical="center"/>
    </xf>
    <xf borderId="0" fillId="0" fontId="20" numFmtId="0" xfId="0" applyFont="1"/>
    <xf borderId="0" fillId="0" fontId="92" numFmtId="0" xfId="0" applyAlignment="1" applyFont="1">
      <alignment horizontal="center"/>
    </xf>
    <xf borderId="4" fillId="0" fontId="8" numFmtId="0" xfId="0" applyAlignment="1" applyBorder="1" applyFont="1">
      <alignment horizontal="center" vertical="center"/>
    </xf>
    <xf borderId="13" fillId="0" fontId="7" numFmtId="0" xfId="0" applyBorder="1" applyFont="1"/>
    <xf borderId="5" fillId="0" fontId="7" numFmtId="0" xfId="0" applyBorder="1" applyFont="1"/>
    <xf borderId="4" fillId="0" fontId="93" numFmtId="0" xfId="0" applyAlignment="1" applyBorder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4" fillId="0" fontId="51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3" fillId="9" fontId="7" numFmtId="0" xfId="0" applyAlignment="1" applyBorder="1" applyFont="1">
      <alignment horizontal="center"/>
    </xf>
    <xf borderId="0" fillId="9" fontId="7" numFmtId="0" xfId="0" applyAlignment="1" applyFont="1">
      <alignment horizontal="center"/>
    </xf>
    <xf borderId="1" fillId="9" fontId="7" numFmtId="0" xfId="0" applyAlignment="1" applyBorder="1" applyFont="1">
      <alignment horizontal="center"/>
    </xf>
    <xf borderId="3" fillId="3" fontId="89" numFmtId="0" xfId="0" applyAlignment="1" applyBorder="1" applyFont="1">
      <alignment horizontal="center"/>
    </xf>
    <xf borderId="3" fillId="3" fontId="42" numFmtId="0" xfId="0" applyAlignment="1" applyBorder="1" applyFont="1">
      <alignment horizontal="center"/>
    </xf>
    <xf borderId="0" fillId="3" fontId="42" numFmtId="0" xfId="0" applyAlignment="1" applyFont="1">
      <alignment horizontal="center"/>
    </xf>
    <xf borderId="1" fillId="3" fontId="7" numFmtId="9" xfId="0" applyAlignment="1" applyBorder="1" applyFont="1" applyNumberFormat="1">
      <alignment/>
    </xf>
    <xf borderId="3" fillId="21" fontId="89" numFmtId="0" xfId="0" applyAlignment="1" applyBorder="1" applyFill="1" applyFont="1">
      <alignment horizontal="center"/>
    </xf>
    <xf borderId="3" fillId="21" fontId="42" numFmtId="0" xfId="0" applyAlignment="1" applyBorder="1" applyFont="1">
      <alignment horizontal="center"/>
    </xf>
    <xf borderId="0" fillId="21" fontId="42" numFmtId="0" xfId="0" applyAlignment="1" applyFont="1">
      <alignment horizontal="center"/>
    </xf>
    <xf borderId="1" fillId="21" fontId="7" numFmtId="9" xfId="0" applyAlignment="1" applyBorder="1" applyFont="1" applyNumberFormat="1">
      <alignment/>
    </xf>
    <xf borderId="0" fillId="0" fontId="7" numFmtId="0" xfId="0" applyAlignment="1" applyFont="1">
      <alignment horizontal="center" vertical="center"/>
    </xf>
    <xf borderId="3" fillId="22" fontId="89" numFmtId="0" xfId="0" applyAlignment="1" applyBorder="1" applyFill="1" applyFont="1">
      <alignment horizontal="center"/>
    </xf>
    <xf borderId="3" fillId="22" fontId="42" numFmtId="0" xfId="0" applyAlignment="1" applyBorder="1" applyFont="1">
      <alignment horizontal="center"/>
    </xf>
    <xf borderId="0" fillId="22" fontId="42" numFmtId="0" xfId="0" applyAlignment="1" applyFont="1">
      <alignment horizontal="center"/>
    </xf>
    <xf borderId="1" fillId="22" fontId="7" numFmtId="9" xfId="0" applyAlignment="1" applyBorder="1" applyFont="1" applyNumberFormat="1">
      <alignment/>
    </xf>
    <xf borderId="1" fillId="22" fontId="7" numFmtId="10" xfId="0" applyAlignment="1" applyBorder="1" applyFont="1" applyNumberFormat="1">
      <alignment/>
    </xf>
    <xf borderId="3" fillId="23" fontId="7" numFmtId="0" xfId="0" applyAlignment="1" applyBorder="1" applyFill="1" applyFont="1">
      <alignment horizontal="center"/>
    </xf>
    <xf borderId="0" fillId="23" fontId="7" numFmtId="0" xfId="0" applyAlignment="1" applyFont="1">
      <alignment horizontal="center"/>
    </xf>
    <xf borderId="1" fillId="23" fontId="7" numFmtId="0" xfId="0" applyAlignment="1" applyBorder="1" applyFont="1">
      <alignment horizontal="center"/>
    </xf>
    <xf borderId="3" fillId="24" fontId="89" numFmtId="0" xfId="0" applyAlignment="1" applyBorder="1" applyFill="1" applyFont="1">
      <alignment horizontal="center"/>
    </xf>
    <xf borderId="3" fillId="24" fontId="42" numFmtId="0" xfId="0" applyAlignment="1" applyBorder="1" applyFont="1">
      <alignment horizontal="center"/>
    </xf>
    <xf borderId="0" fillId="24" fontId="42" numFmtId="0" xfId="0" applyAlignment="1" applyFont="1">
      <alignment horizontal="center"/>
    </xf>
    <xf borderId="1" fillId="24" fontId="7" numFmtId="10" xfId="0" applyAlignment="1" applyBorder="1" applyFont="1" applyNumberFormat="1">
      <alignment/>
    </xf>
    <xf borderId="3" fillId="25" fontId="89" numFmtId="0" xfId="0" applyAlignment="1" applyBorder="1" applyFill="1" applyFont="1">
      <alignment horizontal="center"/>
    </xf>
    <xf borderId="3" fillId="25" fontId="42" numFmtId="0" xfId="0" applyAlignment="1" applyBorder="1" applyFont="1">
      <alignment horizontal="center"/>
    </xf>
    <xf borderId="0" fillId="25" fontId="42" numFmtId="0" xfId="0" applyAlignment="1" applyFont="1">
      <alignment horizontal="center"/>
    </xf>
    <xf borderId="1" fillId="25" fontId="7" numFmtId="10" xfId="0" applyAlignment="1" applyBorder="1" applyFont="1" applyNumberFormat="1">
      <alignment/>
    </xf>
    <xf borderId="9" fillId="23" fontId="7" numFmtId="0" xfId="0" applyAlignment="1" applyBorder="1" applyFont="1">
      <alignment horizontal="center"/>
    </xf>
    <xf borderId="11" fillId="23" fontId="7" numFmtId="0" xfId="0" applyAlignment="1" applyBorder="1" applyFont="1">
      <alignment horizontal="center"/>
    </xf>
    <xf borderId="10" fillId="23" fontId="7" numFmtId="0" xfId="0" applyAlignment="1" applyBorder="1" applyFont="1">
      <alignment horizontal="center"/>
    </xf>
    <xf borderId="3" fillId="12" fontId="89" numFmtId="0" xfId="0" applyAlignment="1" applyBorder="1" applyFont="1">
      <alignment horizontal="center"/>
    </xf>
    <xf borderId="3" fillId="12" fontId="42" numFmtId="0" xfId="0" applyAlignment="1" applyBorder="1" applyFont="1">
      <alignment horizontal="center"/>
    </xf>
    <xf borderId="0" fillId="12" fontId="42" numFmtId="0" xfId="0" applyAlignment="1" applyFont="1">
      <alignment horizontal="center"/>
    </xf>
    <xf borderId="1" fillId="12" fontId="7" numFmtId="10" xfId="0" applyAlignment="1" applyBorder="1" applyFont="1" applyNumberFormat="1">
      <alignment/>
    </xf>
    <xf borderId="3" fillId="26" fontId="89" numFmtId="0" xfId="0" applyAlignment="1" applyBorder="1" applyFill="1" applyFont="1">
      <alignment horizontal="center"/>
    </xf>
    <xf borderId="3" fillId="26" fontId="42" numFmtId="0" xfId="0" applyAlignment="1" applyBorder="1" applyFont="1">
      <alignment horizontal="center"/>
    </xf>
    <xf borderId="0" fillId="26" fontId="42" numFmtId="0" xfId="0" applyAlignment="1" applyFont="1">
      <alignment horizontal="center"/>
    </xf>
    <xf borderId="1" fillId="26" fontId="7" numFmtId="10" xfId="0" applyAlignment="1" applyBorder="1" applyFont="1" applyNumberFormat="1">
      <alignment/>
    </xf>
    <xf borderId="9" fillId="26" fontId="89" numFmtId="0" xfId="0" applyAlignment="1" applyBorder="1" applyFont="1">
      <alignment horizontal="center"/>
    </xf>
    <xf borderId="9" fillId="26" fontId="42" numFmtId="0" xfId="0" applyAlignment="1" applyBorder="1" applyFont="1">
      <alignment horizontal="center"/>
    </xf>
    <xf borderId="11" fillId="26" fontId="42" numFmtId="0" xfId="0" applyAlignment="1" applyBorder="1" applyFont="1">
      <alignment horizontal="center"/>
    </xf>
    <xf borderId="0" fillId="4" fontId="94" numFmtId="0" xfId="0" applyAlignment="1" applyFont="1">
      <alignment horizontal="center" vertical="center"/>
    </xf>
    <xf borderId="0" fillId="4" fontId="18" numFmtId="0" xfId="0" applyAlignment="1" applyFont="1">
      <alignment horizontal="center"/>
    </xf>
    <xf borderId="0" fillId="4" fontId="20" numFmtId="0" xfId="0" applyFont="1"/>
    <xf borderId="0" fillId="18" fontId="95" numFmtId="0" xfId="0" applyAlignment="1" applyFont="1">
      <alignment horizontal="center" vertical="center"/>
    </xf>
    <xf borderId="0" fillId="0" fontId="91" numFmtId="0" xfId="0" applyAlignment="1" applyFont="1">
      <alignment horizontal="center"/>
    </xf>
    <xf borderId="0" fillId="0" fontId="95" numFmtId="0" xfId="0" applyFont="1"/>
    <xf borderId="0" fillId="0" fontId="95" numFmtId="0" xfId="0" applyAlignment="1" applyFont="1">
      <alignment horizontal="center"/>
    </xf>
    <xf borderId="0" fillId="9" fontId="96" numFmtId="0" xfId="0" applyAlignment="1" applyFont="1">
      <alignment horizontal="center" vertical="center"/>
    </xf>
    <xf borderId="13" fillId="20" fontId="18" numFmtId="0" xfId="0" applyAlignment="1" applyBorder="1" applyFont="1">
      <alignment horizontal="center"/>
    </xf>
    <xf borderId="0" fillId="20" fontId="18" numFmtId="0" xfId="0" applyAlignment="1" applyFont="1">
      <alignment horizontal="center"/>
    </xf>
    <xf borderId="3" fillId="20" fontId="51" numFmtId="0" xfId="0" applyAlignment="1" applyBorder="1" applyFont="1">
      <alignment horizontal="center" vertical="center"/>
    </xf>
    <xf borderId="0" fillId="9" fontId="7" numFmtId="0" xfId="0" applyFont="1"/>
    <xf borderId="0" fillId="27" fontId="18" numFmtId="0" xfId="0" applyAlignment="1" applyFill="1" applyFont="1">
      <alignment horizontal="center"/>
    </xf>
    <xf borderId="0" fillId="9" fontId="18" numFmtId="0" xfId="0" applyAlignment="1" applyFont="1">
      <alignment horizontal="center"/>
    </xf>
    <xf borderId="13" fillId="9" fontId="7" numFmtId="0" xfId="0" applyBorder="1" applyFont="1"/>
    <xf borderId="5" fillId="9" fontId="7" numFmtId="0" xfId="0" applyBorder="1" applyFont="1"/>
    <xf borderId="4" fillId="19" fontId="51" numFmtId="0" xfId="0" applyAlignment="1" applyBorder="1" applyFont="1">
      <alignment horizontal="center" vertical="center"/>
    </xf>
    <xf borderId="0" fillId="9" fontId="51" numFmtId="0" xfId="0" applyAlignment="1" applyFont="1">
      <alignment/>
    </xf>
    <xf borderId="1" fillId="9" fontId="7" numFmtId="0" xfId="0" applyBorder="1" applyFont="1"/>
    <xf borderId="0" fillId="19" fontId="51" numFmtId="0" xfId="0" applyAlignment="1" applyFont="1">
      <alignment/>
    </xf>
    <xf borderId="3" fillId="0" fontId="7" numFmtId="0" xfId="0" applyBorder="1" applyFont="1"/>
    <xf borderId="11" fillId="9" fontId="14" numFmtId="0" xfId="0" applyAlignment="1" applyBorder="1" applyFont="1">
      <alignment horizontal="center"/>
    </xf>
    <xf borderId="0" fillId="2" fontId="18" numFmtId="0" xfId="0" applyAlignment="1" applyFont="1">
      <alignment horizontal="center"/>
    </xf>
    <xf borderId="4" fillId="20" fontId="51" numFmtId="0" xfId="0" applyAlignment="1" applyBorder="1" applyFont="1">
      <alignment horizontal="center" vertical="center"/>
    </xf>
    <xf borderId="4" fillId="9" fontId="7" numFmtId="0" xfId="0" applyBorder="1" applyFont="1"/>
    <xf borderId="3" fillId="9" fontId="7" numFmtId="0" xfId="0" applyBorder="1" applyFont="1"/>
    <xf borderId="0" fillId="28" fontId="18" numFmtId="0" xfId="0" applyAlignment="1" applyFill="1" applyFont="1">
      <alignment horizontal="center"/>
    </xf>
    <xf borderId="11" fillId="29" fontId="18" numFmtId="0" xfId="0" applyAlignment="1" applyBorder="1" applyFill="1" applyFont="1">
      <alignment horizontal="center"/>
    </xf>
    <xf borderId="0" fillId="9" fontId="51" numFmtId="0" xfId="0" applyFont="1"/>
    <xf borderId="0" fillId="30" fontId="51" numFmtId="0" xfId="0" applyAlignment="1" applyFill="1" applyFont="1">
      <alignment/>
    </xf>
    <xf borderId="4" fillId="28" fontId="51" numFmtId="0" xfId="0" applyAlignment="1" applyBorder="1" applyFont="1">
      <alignment horizontal="center" vertical="center"/>
    </xf>
    <xf borderId="0" fillId="9" fontId="7" numFmtId="0" xfId="0" applyAlignment="1" applyFont="1">
      <alignment/>
    </xf>
    <xf borderId="4" fillId="27" fontId="51" numFmtId="0" xfId="0" applyAlignment="1" applyBorder="1" applyFont="1">
      <alignment horizontal="center" vertical="center"/>
    </xf>
    <xf borderId="11" fillId="19" fontId="51" numFmtId="0" xfId="0" applyAlignment="1" applyBorder="1" applyFont="1">
      <alignment/>
    </xf>
    <xf borderId="11" fillId="9" fontId="7" numFmtId="0" xfId="0" applyBorder="1" applyFont="1"/>
    <xf borderId="10" fillId="9" fontId="7" numFmtId="0" xfId="0" applyBorder="1" applyFont="1"/>
    <xf borderId="1" fillId="0" fontId="18" numFmtId="0" xfId="0" applyAlignment="1" applyBorder="1" applyFont="1">
      <alignment horizontal="center"/>
    </xf>
    <xf borderId="0" fillId="0" fontId="7" numFmtId="0" xfId="0" applyAlignment="1" applyFont="1">
      <alignment/>
    </xf>
    <xf borderId="6" fillId="18" fontId="97" numFmtId="0" xfId="0" applyAlignment="1" applyBorder="1" applyFont="1">
      <alignment horizontal="center"/>
    </xf>
    <xf borderId="0" fillId="0" fontId="98" numFmtId="0" xfId="0" applyAlignment="1" applyFont="1">
      <alignment horizontal="center"/>
    </xf>
    <xf borderId="4" fillId="29" fontId="18" numFmtId="0" xfId="0" applyAlignment="1" applyBorder="1" applyFont="1">
      <alignment horizontal="center" vertical="center"/>
    </xf>
    <xf borderId="0" fillId="23" fontId="51" numFmtId="0" xfId="0" applyAlignment="1" applyFont="1">
      <alignment horizontal="center" vertical="center"/>
    </xf>
    <xf borderId="0" fillId="27" fontId="51" numFmtId="0" xfId="0" applyAlignment="1" applyFont="1">
      <alignment/>
    </xf>
    <xf borderId="0" fillId="23" fontId="14" numFmtId="0" xfId="0" applyAlignment="1" applyFont="1">
      <alignment horizontal="center"/>
    </xf>
    <xf borderId="0" fillId="23" fontId="7" numFmtId="0" xfId="0" applyFont="1"/>
    <xf borderId="0" fillId="23" fontId="18" numFmtId="0" xfId="0" applyAlignment="1" applyFont="1">
      <alignment horizontal="center"/>
    </xf>
    <xf borderId="13" fillId="23" fontId="51" numFmtId="0" xfId="0" applyBorder="1" applyFont="1"/>
    <xf borderId="13" fillId="23" fontId="14" numFmtId="0" xfId="0" applyAlignment="1" applyBorder="1" applyFont="1">
      <alignment horizontal="center"/>
    </xf>
    <xf borderId="3" fillId="23" fontId="7" numFmtId="0" xfId="0" applyBorder="1" applyFont="1"/>
    <xf borderId="0" fillId="23" fontId="51" numFmtId="0" xfId="0" applyAlignment="1" applyFont="1">
      <alignment/>
    </xf>
    <xf borderId="0" fillId="23" fontId="51" numFmtId="0" xfId="0" applyFont="1"/>
    <xf borderId="9" fillId="2" fontId="51" numFmtId="0" xfId="0" applyAlignment="1" applyBorder="1" applyFont="1">
      <alignment/>
    </xf>
    <xf borderId="4" fillId="2" fontId="51" numFmtId="0" xfId="0" applyAlignment="1" applyBorder="1" applyFont="1">
      <alignment horizontal="center" vertical="center"/>
    </xf>
    <xf borderId="11" fillId="2" fontId="51" numFmtId="0" xfId="0" applyAlignment="1" applyBorder="1" applyFont="1">
      <alignment/>
    </xf>
    <xf borderId="13" fillId="23" fontId="7" numFmtId="0" xfId="0" applyBorder="1" applyFont="1"/>
    <xf borderId="0" fillId="23" fontId="7" numFmtId="0" xfId="0" applyAlignment="1" applyFont="1">
      <alignment/>
    </xf>
    <xf borderId="3" fillId="0" fontId="18" numFmtId="0" xfId="0" applyAlignment="1" applyBorder="1" applyFont="1">
      <alignment horizontal="right"/>
    </xf>
    <xf borderId="0" fillId="2" fontId="7" numFmtId="0" xfId="0" applyAlignment="1" applyFont="1">
      <alignment/>
    </xf>
    <xf borderId="11" fillId="0" fontId="7" numFmtId="0" xfId="0" applyAlignment="1" applyBorder="1" applyFont="1">
      <alignment/>
    </xf>
    <xf borderId="3" fillId="0" fontId="18" numFmtId="0" xfId="0" applyAlignment="1" applyBorder="1" applyFont="1">
      <alignment horizontal="center"/>
    </xf>
    <xf borderId="13" fillId="23" fontId="18" numFmtId="0" xfId="0" applyAlignment="1" applyBorder="1" applyFont="1">
      <alignment horizontal="center"/>
    </xf>
    <xf borderId="0" fillId="23" fontId="14" numFmtId="164" xfId="0" applyAlignment="1" applyFont="1" applyNumberFormat="1">
      <alignment horizontal="center"/>
    </xf>
    <xf borderId="0" fillId="23" fontId="89" numFmtId="0" xfId="0" applyAlignment="1" applyFont="1">
      <alignment horizontal="center"/>
    </xf>
    <xf borderId="0" fillId="6" fontId="99" numFmtId="0" xfId="0" applyAlignment="1" applyFont="1">
      <alignment horizontal="center"/>
    </xf>
    <xf borderId="1" fillId="10" fontId="14" numFmtId="0" xfId="0" applyAlignment="1" applyBorder="1" applyFont="1">
      <alignment horizontal="center"/>
    </xf>
    <xf borderId="1" fillId="10" fontId="6" numFmtId="0" xfId="0" applyAlignment="1" applyBorder="1" applyFont="1">
      <alignment horizontal="center"/>
    </xf>
    <xf borderId="3" fillId="4" fontId="42" numFmtId="0" xfId="0" applyAlignment="1" applyBorder="1" applyFont="1">
      <alignment horizontal="center"/>
    </xf>
    <xf borderId="0" fillId="4" fontId="20" numFmtId="0" xfId="0" applyAlignment="1" applyFont="1">
      <alignment horizontal="center"/>
    </xf>
    <xf borderId="0" fillId="4" fontId="42" numFmtId="0" xfId="0" applyAlignment="1" applyFont="1">
      <alignment horizontal="center"/>
    </xf>
    <xf borderId="0" fillId="4" fontId="42" numFmtId="0" xfId="0" applyAlignment="1" applyFont="1">
      <alignment horizontal="center"/>
    </xf>
    <xf borderId="4" fillId="0" fontId="18" numFmtId="0" xfId="0" applyAlignment="1" applyBorder="1" applyFont="1">
      <alignment horizontal="center"/>
    </xf>
    <xf borderId="5" fillId="0" fontId="18" numFmtId="0" xfId="0" applyAlignment="1" applyBorder="1" applyFont="1">
      <alignment horizontal="center"/>
    </xf>
    <xf borderId="0" fillId="0" fontId="20" numFmtId="164" xfId="0" applyAlignment="1" applyFont="1" applyNumberFormat="1">
      <alignment horizontal="center"/>
    </xf>
    <xf borderId="3" fillId="6" fontId="23" numFmtId="165" xfId="0" applyAlignment="1" applyBorder="1" applyFont="1" applyNumberFormat="1">
      <alignment horizontal="center"/>
    </xf>
    <xf borderId="0" fillId="7" fontId="23" numFmtId="165" xfId="0" applyAlignment="1" applyFont="1" applyNumberFormat="1">
      <alignment horizontal="center"/>
    </xf>
    <xf borderId="0" fillId="3" fontId="23" numFmtId="165" xfId="0" applyAlignment="1" applyFont="1" applyNumberFormat="1">
      <alignment horizontal="center"/>
    </xf>
    <xf borderId="0" fillId="8" fontId="23" numFmtId="165" xfId="0" applyAlignment="1" applyFont="1" applyNumberFormat="1">
      <alignment horizontal="center"/>
    </xf>
    <xf borderId="0" fillId="9" fontId="23" numFmtId="165" xfId="0" applyAlignment="1" applyFont="1" applyNumberFormat="1">
      <alignment horizontal="center"/>
    </xf>
    <xf borderId="1" fillId="10" fontId="23" numFmtId="165" xfId="0" applyAlignment="1" applyBorder="1" applyFont="1" applyNumberFormat="1">
      <alignment horizontal="center"/>
    </xf>
    <xf borderId="0" fillId="8" fontId="42" numFmtId="0" xfId="0" applyAlignment="1" applyFont="1">
      <alignment horizontal="center"/>
    </xf>
    <xf borderId="0" fillId="0" fontId="42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3" fillId="31" fontId="20" numFmtId="0" xfId="0" applyAlignment="1" applyBorder="1" applyFill="1" applyFont="1">
      <alignment horizontal="center"/>
    </xf>
    <xf borderId="1" fillId="0" fontId="20" numFmtId="0" xfId="0" applyAlignment="1" applyBorder="1" applyFont="1">
      <alignment horizontal="center"/>
    </xf>
    <xf borderId="6" fillId="0" fontId="18" numFmtId="0" xfId="0" applyAlignment="1" applyBorder="1" applyFont="1">
      <alignment horizontal="center"/>
    </xf>
    <xf borderId="1" fillId="10" fontId="6" numFmtId="165" xfId="0" applyAlignment="1" applyBorder="1" applyFont="1" applyNumberFormat="1">
      <alignment horizontal="center"/>
    </xf>
    <xf borderId="0" fillId="8" fontId="20" numFmtId="0" xfId="0" applyAlignment="1" applyFont="1">
      <alignment horizontal="center"/>
    </xf>
    <xf borderId="0" fillId="12" fontId="20" numFmtId="0" xfId="0" applyAlignment="1" applyFont="1">
      <alignment horizontal="center"/>
    </xf>
    <xf borderId="3" fillId="0" fontId="20" numFmtId="0" xfId="0" applyAlignment="1" applyBorder="1" applyFont="1">
      <alignment horizontal="center"/>
    </xf>
    <xf borderId="3" fillId="32" fontId="20" numFmtId="0" xfId="0" applyAlignment="1" applyBorder="1" applyFill="1" applyFont="1">
      <alignment horizontal="center"/>
    </xf>
    <xf borderId="13" fillId="0" fontId="20" numFmtId="0" xfId="0" applyAlignment="1" applyBorder="1" applyFont="1">
      <alignment horizontal="center"/>
    </xf>
    <xf borderId="0" fillId="12" fontId="20" numFmtId="0" xfId="0" applyAlignment="1" applyFont="1">
      <alignment horizontal="center"/>
    </xf>
    <xf borderId="0" fillId="8" fontId="20" numFmtId="0" xfId="0" applyAlignment="1" applyFont="1">
      <alignment horizontal="center"/>
    </xf>
    <xf borderId="3" fillId="14" fontId="20" numFmtId="0" xfId="0" applyAlignment="1" applyBorder="1" applyFont="1">
      <alignment horizontal="center"/>
    </xf>
    <xf borderId="3" fillId="21" fontId="20" numFmtId="0" xfId="0" applyAlignment="1" applyBorder="1" applyFont="1">
      <alignment horizontal="center"/>
    </xf>
    <xf borderId="0" fillId="8" fontId="20" numFmtId="0" xfId="0" applyAlignment="1" applyFont="1">
      <alignment horizontal="center"/>
    </xf>
    <xf borderId="9" fillId="16" fontId="20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0" fillId="4" fontId="100" numFmtId="0" xfId="0" applyAlignment="1" applyFont="1">
      <alignment horizontal="center"/>
    </xf>
    <xf borderId="6" fillId="4" fontId="20" numFmtId="0" xfId="0" applyAlignment="1" applyBorder="1" applyFont="1">
      <alignment horizontal="center"/>
    </xf>
    <xf borderId="1" fillId="4" fontId="5" numFmtId="0" xfId="0" applyAlignment="1" applyBorder="1" applyFont="1">
      <alignment horizontal="center" vertical="center"/>
    </xf>
    <xf borderId="0" fillId="13" fontId="20" numFmtId="0" xfId="0" applyAlignment="1" applyFont="1">
      <alignment horizontal="center"/>
    </xf>
    <xf borderId="0" fillId="3" fontId="20" numFmtId="0" xfId="0" applyAlignment="1" applyFont="1">
      <alignment horizontal="center"/>
    </xf>
    <xf borderId="0" fillId="19" fontId="20" numFmtId="0" xfId="0" applyAlignment="1" applyFont="1">
      <alignment horizontal="center"/>
    </xf>
    <xf borderId="0" fillId="13" fontId="20" numFmtId="0" xfId="0" applyAlignment="1" applyFont="1">
      <alignment horizontal="center"/>
    </xf>
    <xf borderId="3" fillId="0" fontId="20" numFmtId="0" xfId="0" applyAlignment="1" applyBorder="1" applyFont="1">
      <alignment horizontal="center"/>
    </xf>
    <xf borderId="9" fillId="0" fontId="18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11" fillId="0" fontId="18" numFmtId="0" xfId="0" applyAlignment="1" applyBorder="1" applyFont="1">
      <alignment horizontal="center"/>
    </xf>
    <xf borderId="0" fillId="13" fontId="20" numFmtId="0" xfId="0" applyFont="1"/>
    <xf borderId="3" fillId="4" fontId="101" numFmtId="0" xfId="0" applyAlignment="1" applyBorder="1" applyFont="1">
      <alignment horizontal="center"/>
    </xf>
    <xf borderId="0" fillId="4" fontId="102" numFmtId="0" xfId="0" applyAlignment="1" applyFont="1">
      <alignment horizontal="center"/>
    </xf>
    <xf borderId="3" fillId="6" fontId="20" numFmtId="165" xfId="0" applyAlignment="1" applyBorder="1" applyFont="1" applyNumberFormat="1">
      <alignment horizontal="center"/>
    </xf>
    <xf borderId="0" fillId="7" fontId="20" numFmtId="165" xfId="0" applyAlignment="1" applyFont="1" applyNumberFormat="1">
      <alignment horizontal="center"/>
    </xf>
    <xf borderId="0" fillId="3" fontId="20" numFmtId="165" xfId="0" applyAlignment="1" applyFont="1" applyNumberFormat="1">
      <alignment horizontal="center"/>
    </xf>
    <xf borderId="0" fillId="8" fontId="20" numFmtId="165" xfId="0" applyAlignment="1" applyFont="1" applyNumberFormat="1">
      <alignment horizontal="center"/>
    </xf>
    <xf borderId="0" fillId="9" fontId="20" numFmtId="165" xfId="0" applyAlignment="1" applyFont="1" applyNumberFormat="1">
      <alignment horizontal="center"/>
    </xf>
    <xf borderId="1" fillId="10" fontId="20" numFmtId="165" xfId="0" applyAlignment="1" applyBorder="1" applyFont="1" applyNumberFormat="1">
      <alignment horizontal="center"/>
    </xf>
    <xf borderId="0" fillId="4" fontId="20" numFmtId="164" xfId="0" applyAlignment="1" applyFont="1" applyNumberFormat="1">
      <alignment horizontal="center"/>
    </xf>
    <xf borderId="3" fillId="4" fontId="20" numFmtId="0" xfId="0" applyAlignment="1" applyBorder="1" applyFont="1">
      <alignment horizontal="center"/>
    </xf>
    <xf borderId="1" fillId="4" fontId="20" numFmtId="0" xfId="0" applyAlignment="1" applyBorder="1" applyFont="1">
      <alignment horizontal="center"/>
    </xf>
    <xf borderId="0" fillId="4" fontId="102" numFmtId="0" xfId="0" applyAlignment="1" applyFont="1">
      <alignment horizontal="center"/>
    </xf>
    <xf borderId="11" fillId="0" fontId="20" numFmtId="164" xfId="0" applyAlignment="1" applyBorder="1" applyFont="1" applyNumberFormat="1">
      <alignment horizontal="center"/>
    </xf>
    <xf borderId="9" fillId="6" fontId="20" numFmtId="165" xfId="0" applyAlignment="1" applyBorder="1" applyFont="1" applyNumberFormat="1">
      <alignment horizontal="center"/>
    </xf>
    <xf borderId="11" fillId="7" fontId="20" numFmtId="165" xfId="0" applyAlignment="1" applyBorder="1" applyFont="1" applyNumberFormat="1">
      <alignment horizontal="center"/>
    </xf>
    <xf borderId="11" fillId="3" fontId="20" numFmtId="165" xfId="0" applyAlignment="1" applyBorder="1" applyFont="1" applyNumberFormat="1">
      <alignment horizontal="center"/>
    </xf>
    <xf borderId="11" fillId="8" fontId="20" numFmtId="165" xfId="0" applyAlignment="1" applyBorder="1" applyFont="1" applyNumberFormat="1">
      <alignment horizontal="center"/>
    </xf>
    <xf borderId="11" fillId="9" fontId="20" numFmtId="165" xfId="0" applyAlignment="1" applyBorder="1" applyFont="1" applyNumberFormat="1">
      <alignment horizontal="center"/>
    </xf>
    <xf borderId="10" fillId="10" fontId="20" numFmtId="165" xfId="0" applyAlignment="1" applyBorder="1" applyFont="1" applyNumberFormat="1">
      <alignment horizontal="center"/>
    </xf>
    <xf borderId="11" fillId="3" fontId="20" numFmtId="0" xfId="0" applyAlignment="1" applyBorder="1" applyFont="1">
      <alignment horizontal="center"/>
    </xf>
    <xf borderId="9" fillId="0" fontId="20" numFmtId="0" xfId="0" applyAlignment="1" applyBorder="1" applyFont="1">
      <alignment horizontal="center"/>
    </xf>
    <xf borderId="9" fillId="0" fontId="103" numFmtId="0" xfId="0" applyAlignment="1" applyBorder="1" applyFont="1">
      <alignment horizontal="center"/>
    </xf>
    <xf borderId="11" fillId="0" fontId="104" numFmtId="0" xfId="0" applyAlignment="1" applyBorder="1" applyFont="1">
      <alignment horizontal="center"/>
    </xf>
    <xf borderId="11" fillId="13" fontId="20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13" fillId="0" fontId="18" numFmtId="0" xfId="0" applyAlignment="1" applyBorder="1" applyFont="1">
      <alignment horizontal="center"/>
    </xf>
    <xf borderId="13" fillId="8" fontId="20" numFmtId="0" xfId="0" applyAlignment="1" applyBorder="1" applyFont="1">
      <alignment horizontal="center"/>
    </xf>
    <xf borderId="13" fillId="12" fontId="20" numFmtId="0" xfId="0" applyAlignment="1" applyBorder="1" applyFont="1">
      <alignment horizontal="center"/>
    </xf>
    <xf borderId="4" fillId="0" fontId="105" numFmtId="0" xfId="0" applyAlignment="1" applyBorder="1" applyFont="1">
      <alignment horizontal="center"/>
    </xf>
    <xf borderId="13" fillId="0" fontId="106" numFmtId="0" xfId="0" applyAlignment="1" applyBorder="1" applyFont="1">
      <alignment horizontal="center"/>
    </xf>
    <xf borderId="1" fillId="0" fontId="107" numFmtId="0" xfId="0" applyAlignment="1" applyBorder="1" applyFont="1">
      <alignment horizontal="center"/>
    </xf>
    <xf borderId="13" fillId="13" fontId="20" numFmtId="0" xfId="0" applyAlignment="1" applyBorder="1" applyFont="1">
      <alignment horizontal="center"/>
    </xf>
    <xf borderId="13" fillId="0" fontId="20" numFmtId="0" xfId="0" applyAlignment="1" applyBorder="1" applyFont="1">
      <alignment horizontal="center"/>
    </xf>
    <xf borderId="0" fillId="4" fontId="108" numFmtId="0" xfId="0" applyAlignment="1" applyFont="1">
      <alignment horizontal="center"/>
    </xf>
    <xf borderId="0" fillId="33" fontId="20" numFmtId="0" xfId="0" applyAlignment="1" applyFill="1" applyFont="1">
      <alignment horizontal="center"/>
    </xf>
    <xf borderId="0" fillId="33" fontId="20" numFmtId="164" xfId="0" applyAlignment="1" applyFont="1" applyNumberFormat="1">
      <alignment horizontal="center"/>
    </xf>
    <xf borderId="1" fillId="33" fontId="5" numFmtId="0" xfId="0" applyAlignment="1" applyBorder="1" applyFont="1">
      <alignment horizontal="center" vertical="center"/>
    </xf>
    <xf borderId="0" fillId="33" fontId="5" numFmtId="0" xfId="0" applyAlignment="1" applyFont="1">
      <alignment horizontal="center" vertical="center"/>
    </xf>
    <xf borderId="0" fillId="33" fontId="18" numFmtId="0" xfId="0" applyAlignment="1" applyFont="1">
      <alignment horizontal="center"/>
    </xf>
    <xf borderId="3" fillId="9" fontId="20" numFmtId="0" xfId="0" applyAlignment="1" applyBorder="1" applyFont="1">
      <alignment horizontal="center"/>
    </xf>
    <xf borderId="0" fillId="9" fontId="20" numFmtId="0" xfId="0" applyAlignment="1" applyFont="1">
      <alignment horizontal="center"/>
    </xf>
    <xf borderId="1" fillId="9" fontId="20" numFmtId="0" xfId="0" applyAlignment="1" applyBorder="1" applyFont="1">
      <alignment horizontal="center"/>
    </xf>
    <xf borderId="1" fillId="4" fontId="20" numFmtId="0" xfId="0" applyBorder="1" applyFont="1"/>
    <xf borderId="3" fillId="23" fontId="20" numFmtId="0" xfId="0" applyAlignment="1" applyBorder="1" applyFont="1">
      <alignment horizontal="center"/>
    </xf>
    <xf borderId="0" fillId="23" fontId="20" numFmtId="0" xfId="0" applyAlignment="1" applyFont="1">
      <alignment horizontal="center"/>
    </xf>
    <xf borderId="1" fillId="23" fontId="20" numFmtId="0" xfId="0" applyAlignment="1" applyBorder="1" applyFont="1">
      <alignment horizontal="center"/>
    </xf>
    <xf borderId="9" fillId="23" fontId="20" numFmtId="0" xfId="0" applyAlignment="1" applyBorder="1" applyFont="1">
      <alignment horizontal="center"/>
    </xf>
    <xf borderId="11" fillId="23" fontId="20" numFmtId="0" xfId="0" applyAlignment="1" applyBorder="1" applyFont="1">
      <alignment horizontal="center"/>
    </xf>
    <xf borderId="10" fillId="23" fontId="20" numFmtId="0" xfId="0" applyAlignment="1" applyBorder="1" applyFont="1">
      <alignment horizontal="center"/>
    </xf>
    <xf borderId="0" fillId="0" fontId="20" numFmtId="164" xfId="0" applyAlignment="1" applyFont="1" applyNumberFormat="1">
      <alignment horizontal="center"/>
    </xf>
    <xf borderId="0" fillId="0" fontId="5" numFmtId="0" xfId="0" applyAlignment="1" applyFont="1">
      <alignment horizontal="center" vertical="center"/>
    </xf>
    <xf borderId="0" fillId="4" fontId="102" numFmtId="0" xfId="0" applyAlignment="1" applyFont="1">
      <alignment horizontal="center" vertical="center"/>
    </xf>
    <xf borderId="3" fillId="20" fontId="20" numFmtId="164" xfId="0" applyAlignment="1" applyBorder="1" applyFont="1" applyNumberFormat="1">
      <alignment horizontal="center"/>
    </xf>
    <xf borderId="0" fillId="2" fontId="20" numFmtId="0" xfId="0" applyAlignment="1" applyFont="1">
      <alignment horizontal="center"/>
    </xf>
    <xf borderId="0" fillId="26" fontId="20" numFmtId="0" xfId="0" applyAlignment="1" applyFont="1">
      <alignment horizontal="center"/>
    </xf>
    <xf borderId="1" fillId="0" fontId="109" numFmtId="0" xfId="0" applyAlignment="1" applyBorder="1" applyFont="1">
      <alignment horizontal="center" vertical="center"/>
    </xf>
    <xf borderId="1" fillId="0" fontId="110" numFmtId="0" xfId="0" applyAlignment="1" applyBorder="1" applyFont="1">
      <alignment horizontal="center" vertical="center"/>
    </xf>
    <xf borderId="0" fillId="0" fontId="111" numFmtId="0" xfId="0" applyAlignment="1" applyFont="1">
      <alignment horizontal="center" vertical="center"/>
    </xf>
    <xf borderId="0" fillId="4" fontId="112" numFmtId="0" xfId="0" applyAlignment="1" applyFont="1">
      <alignment horizontal="center" vertical="center"/>
    </xf>
    <xf borderId="0" fillId="0" fontId="113" numFmtId="0" xfId="0" applyAlignment="1" applyFont="1">
      <alignment horizontal="center" vertical="center"/>
    </xf>
    <xf borderId="1" fillId="0" fontId="114" numFmtId="0" xfId="0" applyAlignment="1" applyBorder="1" applyFont="1">
      <alignment horizontal="center"/>
    </xf>
    <xf borderId="3" fillId="4" fontId="20" numFmtId="164" xfId="0" applyAlignment="1" applyBorder="1" applyFont="1" applyNumberFormat="1">
      <alignment horizontal="center"/>
    </xf>
    <xf borderId="0" fillId="4" fontId="115" numFmtId="0" xfId="0" applyAlignment="1" applyFont="1">
      <alignment horizontal="center"/>
    </xf>
    <xf borderId="0" fillId="4" fontId="102" numFmtId="0" xfId="0" applyAlignment="1" applyFont="1">
      <alignment horizontal="center"/>
    </xf>
    <xf borderId="3" fillId="27" fontId="20" numFmtId="164" xfId="0" applyAlignment="1" applyBorder="1" applyFont="1" applyNumberFormat="1">
      <alignment horizontal="center"/>
    </xf>
    <xf borderId="1" fillId="0" fontId="116" numFmtId="0" xfId="0" applyAlignment="1" applyBorder="1" applyFont="1">
      <alignment horizontal="center" vertical="center"/>
    </xf>
    <xf borderId="0" fillId="2" fontId="20" numFmtId="0" xfId="0" applyAlignment="1" applyFont="1">
      <alignment/>
    </xf>
    <xf borderId="0" fillId="0" fontId="114" numFmtId="0" xfId="0" applyAlignment="1" applyFont="1">
      <alignment horizontal="center"/>
    </xf>
    <xf borderId="3" fillId="19" fontId="20" numFmtId="164" xfId="0" applyAlignment="1" applyBorder="1" applyFont="1" applyNumberFormat="1">
      <alignment horizontal="center"/>
    </xf>
    <xf borderId="1" fillId="0" fontId="117" numFmtId="0" xfId="0" applyAlignment="1" applyBorder="1" applyFont="1">
      <alignment horizontal="center" vertical="center"/>
    </xf>
    <xf borderId="3" fillId="34" fontId="20" numFmtId="164" xfId="0" applyAlignment="1" applyBorder="1" applyFill="1" applyFont="1" applyNumberFormat="1">
      <alignment horizontal="center"/>
    </xf>
    <xf borderId="0" fillId="35" fontId="18" numFmtId="0" xfId="0" applyAlignment="1" applyFill="1" applyFont="1">
      <alignment horizontal="center"/>
    </xf>
    <xf borderId="0" fillId="6" fontId="18" numFmtId="0" xfId="0" applyAlignment="1" applyFont="1">
      <alignment horizontal="center"/>
    </xf>
    <xf borderId="15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center"/>
    </xf>
    <xf borderId="0" fillId="4" fontId="20" numFmtId="0" xfId="0" applyAlignment="1" applyFont="1">
      <alignment horizontal="center"/>
    </xf>
    <xf borderId="3" fillId="4" fontId="20" numFmtId="0" xfId="0" applyAlignment="1" applyBorder="1" applyFont="1">
      <alignment horizontal="center"/>
    </xf>
    <xf borderId="12" fillId="0" fontId="20" numFmtId="0" xfId="0" applyAlignment="1" applyBorder="1" applyFont="1">
      <alignment horizontal="center"/>
    </xf>
    <xf borderId="9" fillId="0" fontId="20" numFmtId="0" xfId="0" applyAlignment="1" applyBorder="1" applyFont="1">
      <alignment horizontal="center"/>
    </xf>
    <xf borderId="3" fillId="30" fontId="20" numFmtId="164" xfId="0" applyAlignment="1" applyBorder="1" applyFont="1" applyNumberFormat="1">
      <alignment horizontal="center"/>
    </xf>
    <xf borderId="3" fillId="4" fontId="7" numFmtId="164" xfId="0" applyAlignment="1" applyBorder="1" applyFont="1" applyNumberFormat="1">
      <alignment horizontal="center"/>
    </xf>
    <xf borderId="3" fillId="4" fontId="42" numFmtId="0" xfId="0" applyAlignment="1" applyBorder="1" applyFont="1">
      <alignment horizontal="center"/>
    </xf>
    <xf borderId="0" fillId="4" fontId="42" numFmtId="165" xfId="0" applyAlignment="1" applyFont="1" applyNumberFormat="1">
      <alignment horizontal="center"/>
    </xf>
    <xf borderId="1" fillId="4" fontId="42" numFmtId="165" xfId="0" applyAlignment="1" applyBorder="1" applyFont="1" applyNumberFormat="1">
      <alignment horizontal="center"/>
    </xf>
    <xf borderId="3" fillId="36" fontId="75" numFmtId="164" xfId="0" applyAlignment="1" applyBorder="1" applyFill="1" applyFont="1" applyNumberFormat="1">
      <alignment horizontal="center"/>
    </xf>
    <xf borderId="3" fillId="6" fontId="42" numFmtId="165" xfId="0" applyAlignment="1" applyBorder="1" applyFont="1" applyNumberFormat="1">
      <alignment horizontal="center"/>
    </xf>
    <xf borderId="0" fillId="7" fontId="42" numFmtId="165" xfId="0" applyAlignment="1" applyFont="1" applyNumberFormat="1">
      <alignment horizontal="center"/>
    </xf>
    <xf borderId="0" fillId="3" fontId="42" numFmtId="165" xfId="0" applyAlignment="1" applyFont="1" applyNumberFormat="1">
      <alignment horizontal="center"/>
    </xf>
    <xf borderId="0" fillId="8" fontId="42" numFmtId="165" xfId="0" applyAlignment="1" applyFont="1" applyNumberFormat="1">
      <alignment horizontal="center"/>
    </xf>
    <xf borderId="0" fillId="9" fontId="42" numFmtId="165" xfId="0" applyAlignment="1" applyFont="1" applyNumberFormat="1">
      <alignment horizontal="center"/>
    </xf>
    <xf borderId="1" fillId="10" fontId="42" numFmtId="165" xfId="0" applyAlignment="1" applyBorder="1" applyFont="1" applyNumberFormat="1">
      <alignment horizontal="center"/>
    </xf>
    <xf borderId="0" fillId="2" fontId="42" numFmtId="0" xfId="0" applyAlignment="1" applyFont="1">
      <alignment horizontal="center"/>
    </xf>
    <xf borderId="3" fillId="0" fontId="42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1" fillId="0" fontId="118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0" fillId="0" fontId="118" numFmtId="0" xfId="0" applyAlignment="1" applyBorder="1" applyFont="1">
      <alignment horizontal="center"/>
    </xf>
    <xf borderId="1" fillId="4" fontId="42" numFmtId="0" xfId="0" applyAlignment="1" applyBorder="1" applyFont="1">
      <alignment horizontal="center"/>
    </xf>
    <xf borderId="0" fillId="17" fontId="42" numFmtId="0" xfId="0" applyAlignment="1" applyFont="1">
      <alignment horizontal="center"/>
    </xf>
    <xf borderId="2" fillId="17" fontId="42" numFmtId="0" xfId="0" applyAlignment="1" applyBorder="1" applyFont="1">
      <alignment horizontal="center"/>
    </xf>
    <xf borderId="0" fillId="0" fontId="42" numFmtId="0" xfId="0" applyAlignment="1" applyFont="1">
      <alignment horizontal="center"/>
    </xf>
    <xf borderId="2" fillId="0" fontId="42" numFmtId="0" xfId="0" applyAlignment="1" applyBorder="1" applyFont="1">
      <alignment horizontal="center"/>
    </xf>
    <xf borderId="0" fillId="0" fontId="51" numFmtId="0" xfId="0" applyAlignment="1" applyFont="1">
      <alignment horizontal="center" vertical="center"/>
    </xf>
    <xf borderId="0" fillId="0" fontId="119" numFmtId="0" xfId="0" applyAlignment="1" applyFont="1">
      <alignment horizontal="center" vertical="center"/>
    </xf>
    <xf borderId="0" fillId="0" fontId="75" numFmtId="0" xfId="0" applyAlignment="1" applyFont="1">
      <alignment horizontal="center" vertical="center"/>
    </xf>
    <xf borderId="11" fillId="0" fontId="51" numFmtId="0" xfId="0" applyAlignment="1" applyBorder="1" applyFont="1">
      <alignment horizontal="center" vertical="center"/>
    </xf>
    <xf borderId="11" fillId="0" fontId="120" numFmtId="0" xfId="0" applyAlignment="1" applyBorder="1" applyFont="1">
      <alignment horizontal="center"/>
    </xf>
    <xf borderId="11" fillId="0" fontId="75" numFmtId="0" xfId="0" applyAlignment="1" applyBorder="1" applyFont="1">
      <alignment horizontal="center" vertical="center"/>
    </xf>
    <xf borderId="7" fillId="0" fontId="51" numFmtId="0" xfId="0" applyAlignment="1" applyBorder="1" applyFont="1">
      <alignment horizontal="center" vertical="center"/>
    </xf>
    <xf borderId="8" fillId="0" fontId="51" numFmtId="0" xfId="0" applyAlignment="1" applyBorder="1" applyFont="1">
      <alignment horizontal="center" vertical="center"/>
    </xf>
    <xf borderId="6" fillId="0" fontId="51" numFmtId="0" xfId="0" applyAlignment="1" applyBorder="1" applyFont="1">
      <alignment horizontal="center" vertical="center"/>
    </xf>
    <xf borderId="7" fillId="0" fontId="75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0" fillId="0" fontId="7" numFmtId="0" xfId="0" applyAlignment="1" applyFont="1">
      <alignment horizontal="right"/>
    </xf>
    <xf borderId="0" fillId="2" fontId="7" numFmtId="0" xfId="0" applyAlignment="1" applyFont="1">
      <alignment horizontal="center"/>
    </xf>
    <xf borderId="1" fillId="27" fontId="7" numFmtId="0" xfId="0" applyAlignment="1" applyBorder="1" applyFont="1">
      <alignment horizontal="center"/>
    </xf>
    <xf borderId="0" fillId="0" fontId="7" numFmtId="10" xfId="0" applyAlignment="1" applyFont="1" applyNumberFormat="1">
      <alignment horizontal="center"/>
    </xf>
    <xf borderId="0" fillId="0" fontId="75" numFmtId="0" xfId="0" applyAlignment="1" applyFont="1">
      <alignment horizontal="center"/>
    </xf>
    <xf borderId="0" fillId="2" fontId="7" numFmtId="0" xfId="0" applyAlignment="1" applyFont="1">
      <alignment horizontal="center"/>
    </xf>
    <xf borderId="1" fillId="27" fontId="7" numFmtId="0" xfId="0" applyAlignment="1" applyBorder="1" applyFont="1">
      <alignment horizontal="center"/>
    </xf>
    <xf borderId="0" fillId="0" fontId="7" numFmtId="0" xfId="0" applyAlignment="1" applyFont="1">
      <alignment horizontal="right" vertical="center"/>
    </xf>
    <xf borderId="0" fillId="0" fontId="75" numFmtId="10" xfId="0" applyAlignment="1" applyFont="1" applyNumberFormat="1">
      <alignment horizontal="center"/>
    </xf>
    <xf borderId="3" fillId="21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right"/>
    </xf>
    <xf borderId="11" fillId="2" fontId="7" numFmtId="0" xfId="0" applyAlignment="1" applyBorder="1" applyFont="1">
      <alignment horizontal="center"/>
    </xf>
    <xf borderId="10" fillId="27" fontId="7" numFmtId="0" xfId="0" applyAlignment="1" applyBorder="1" applyFont="1">
      <alignment horizontal="center"/>
    </xf>
    <xf borderId="11" fillId="0" fontId="7" numFmtId="10" xfId="0" applyAlignment="1" applyBorder="1" applyFont="1" applyNumberFormat="1">
      <alignment horizontal="center"/>
    </xf>
    <xf borderId="11" fillId="0" fontId="75" numFmtId="0" xfId="0" applyAlignment="1" applyBorder="1" applyFont="1">
      <alignment horizontal="center"/>
    </xf>
    <xf borderId="0" fillId="0" fontId="7" numFmtId="0" xfId="0" applyAlignment="1" applyFont="1">
      <alignment horizontal="right"/>
    </xf>
    <xf borderId="3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0" fillId="0" fontId="51" numFmtId="0" xfId="0" applyAlignment="1" applyFont="1">
      <alignment horizontal="center" vertical="center"/>
    </xf>
    <xf borderId="0" fillId="4" fontId="51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0" fillId="4" fontId="7" numFmtId="165" xfId="0" applyAlignment="1" applyFont="1" applyNumberFormat="1">
      <alignment horizontal="center" vertical="center"/>
    </xf>
    <xf borderId="0" fillId="0" fontId="121" numFmtId="0" xfId="0" applyAlignment="1" applyFont="1">
      <alignment horizontal="center" vertical="center"/>
    </xf>
    <xf borderId="0" fillId="0" fontId="121" numFmtId="0" xfId="0" applyAlignment="1" applyFont="1">
      <alignment horizontal="center" vertical="center"/>
    </xf>
    <xf borderId="0" fillId="0" fontId="121" numFmtId="0" xfId="0" applyAlignment="1" applyFont="1">
      <alignment horizontal="center" vertical="center"/>
    </xf>
    <xf borderId="0" fillId="4" fontId="121" numFmtId="0" xfId="0" applyAlignment="1" applyFont="1">
      <alignment horizontal="center" vertical="center"/>
    </xf>
    <xf borderId="0" fillId="0" fontId="7" numFmtId="0" xfId="0" applyFont="1"/>
    <xf borderId="0" fillId="37" fontId="51" numFmtId="0" xfId="0" applyAlignment="1" applyFill="1" applyFont="1">
      <alignment horizontal="center" vertical="center"/>
    </xf>
    <xf borderId="0" fillId="37" fontId="51" numFmtId="0" xfId="0" applyAlignment="1" applyFont="1">
      <alignment horizontal="center" vertical="center"/>
    </xf>
    <xf borderId="0" fillId="37" fontId="7" numFmtId="0" xfId="0" applyAlignment="1" applyFont="1">
      <alignment horizontal="center" vertical="center"/>
    </xf>
    <xf borderId="0" fillId="0" fontId="122" numFmtId="0" xfId="0" applyAlignment="1" applyFont="1">
      <alignment horizontal="center" vertical="center"/>
    </xf>
    <xf borderId="0" fillId="35" fontId="7" numFmtId="0" xfId="0" applyAlignment="1" applyFont="1">
      <alignment horizontal="left" vertical="center"/>
    </xf>
    <xf borderId="0" fillId="35" fontId="7" numFmtId="0" xfId="0" applyAlignment="1" applyFont="1">
      <alignment horizontal="center" vertical="center"/>
    </xf>
    <xf borderId="0" fillId="35" fontId="7" numFmtId="0" xfId="0" applyAlignment="1" applyFont="1">
      <alignment horizontal="center" vertical="center"/>
    </xf>
    <xf borderId="0" fillId="35" fontId="7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7" numFmtId="165" xfId="0" applyAlignment="1" applyFont="1" applyNumberFormat="1">
      <alignment horizontal="left" vertical="center"/>
    </xf>
    <xf borderId="0" fillId="25" fontId="7" numFmtId="0" xfId="0" applyAlignment="1" applyFont="1">
      <alignment horizontal="left" vertical="center"/>
    </xf>
    <xf borderId="0" fillId="25" fontId="7" numFmtId="0" xfId="0" applyAlignment="1" applyFont="1">
      <alignment horizontal="center" vertical="center"/>
    </xf>
    <xf borderId="0" fillId="25" fontId="7" numFmtId="0" xfId="0" applyAlignment="1" applyFont="1">
      <alignment horizontal="center" vertical="center"/>
    </xf>
    <xf borderId="0" fillId="25" fontId="7" numFmtId="0" xfId="0" applyAlignment="1" applyFont="1">
      <alignment horizontal="center" vertical="center"/>
    </xf>
    <xf borderId="0" fillId="25" fontId="7" numFmtId="0" xfId="0" applyAlignment="1" applyFont="1">
      <alignment horizontal="center" vertical="center"/>
    </xf>
    <xf borderId="0" fillId="25" fontId="7" numFmtId="0" xfId="0" applyAlignment="1" applyFont="1">
      <alignment horizontal="left" vertical="center"/>
    </xf>
    <xf borderId="0" fillId="37" fontId="7" numFmtId="0" xfId="0" applyFont="1"/>
    <xf borderId="0" fillId="37" fontId="51" numFmtId="0" xfId="0" applyAlignment="1" applyFont="1">
      <alignment horizontal="center"/>
    </xf>
    <xf borderId="0" fillId="37" fontId="51" numFmtId="0" xfId="0" applyAlignment="1" applyFont="1">
      <alignment horizontal="center"/>
    </xf>
    <xf borderId="0" fillId="0" fontId="7" numFmtId="165" xfId="0" applyAlignment="1" applyFont="1" applyNumberFormat="1">
      <alignment horizontal="center"/>
    </xf>
    <xf borderId="0" fillId="35" fontId="7" numFmtId="0" xfId="0" applyAlignment="1" applyFont="1">
      <alignment horizontal="center" vertical="center"/>
    </xf>
    <xf borderId="0" fillId="35" fontId="7" numFmtId="0" xfId="0" applyAlignment="1" applyFont="1">
      <alignment horizontal="center" vertical="center"/>
    </xf>
    <xf borderId="0" fillId="35" fontId="7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A61C00"/>
          <bgColor rgb="FFA61C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40" Type="http://schemas.openxmlformats.org/officeDocument/2006/relationships/hyperlink" Target="http://dota.nyoron.co/ti5/day1/1666122929.dem.zip" TargetMode="External"/><Relationship Id="rId190" Type="http://schemas.openxmlformats.org/officeDocument/2006/relationships/hyperlink" Target="http://dota.nyoron.co/ti5/day3/1671421953.dem.zip" TargetMode="External"/><Relationship Id="rId42" Type="http://schemas.openxmlformats.org/officeDocument/2006/relationships/hyperlink" Target="https://www.youtube.com/watch?v=cf5WZZlrnIQ" TargetMode="External"/><Relationship Id="rId41" Type="http://schemas.openxmlformats.org/officeDocument/2006/relationships/hyperlink" Target="http://dota.nyoron.co/ti5/day1/1666185341.dem.zip" TargetMode="External"/><Relationship Id="rId44" Type="http://schemas.openxmlformats.org/officeDocument/2006/relationships/hyperlink" Target="http://dota.nyoron.co/ti5/day1/1666177296.dem.zip" TargetMode="External"/><Relationship Id="rId194" Type="http://schemas.openxmlformats.org/officeDocument/2006/relationships/hyperlink" Target="http://dota.nyoron.co/ti5/day4/1673081038.dem.zip" TargetMode="External"/><Relationship Id="rId43" Type="http://schemas.openxmlformats.org/officeDocument/2006/relationships/hyperlink" Target="http://dota.nyoron.co/ti5/day1/1666125998.dem.zip" TargetMode="External"/><Relationship Id="rId193" Type="http://schemas.openxmlformats.org/officeDocument/2006/relationships/hyperlink" Target="http://dota.nyoron.co/ti5/day3/day3.zip" TargetMode="External"/><Relationship Id="rId46" Type="http://schemas.openxmlformats.org/officeDocument/2006/relationships/hyperlink" Target="http://dota.nyoron.co/ti5/day1/1666148259.dem.zip" TargetMode="External"/><Relationship Id="rId192" Type="http://schemas.openxmlformats.org/officeDocument/2006/relationships/hyperlink" Target="https://www.youtube.com/watch?v=Jjt1GthL-L4" TargetMode="External"/><Relationship Id="rId45" Type="http://schemas.openxmlformats.org/officeDocument/2006/relationships/hyperlink" Target="https://www.youtube.com/watch?v=_v1auQrFF1M" TargetMode="External"/><Relationship Id="rId191" Type="http://schemas.openxmlformats.org/officeDocument/2006/relationships/hyperlink" Target="https://www.youtube.com/watch?v=yS4rhOHxvDY" TargetMode="External"/><Relationship Id="rId48" Type="http://schemas.openxmlformats.org/officeDocument/2006/relationships/hyperlink" Target="https://www.youtube.com/watch?v=Zccia4NUD9k" TargetMode="External"/><Relationship Id="rId187" Type="http://schemas.openxmlformats.org/officeDocument/2006/relationships/hyperlink" Target="https://www.youtube.com/watch?v=u6qmgaSk_w4" TargetMode="External"/><Relationship Id="rId47" Type="http://schemas.openxmlformats.org/officeDocument/2006/relationships/hyperlink" Target="http://dota.nyoron.co/ti5/day1/1666209170.dem.zip" TargetMode="External"/><Relationship Id="rId186" Type="http://schemas.openxmlformats.org/officeDocument/2006/relationships/hyperlink" Target="http://dota.nyoron.co/ti5/day3/1671432637.dem.zip" TargetMode="External"/><Relationship Id="rId185" Type="http://schemas.openxmlformats.org/officeDocument/2006/relationships/hyperlink" Target="http://dota.nyoron.co/ti5/day3/1671360687.dem.zip" TargetMode="External"/><Relationship Id="rId49" Type="http://schemas.openxmlformats.org/officeDocument/2006/relationships/hyperlink" Target="http://dota.nyoron.co/ti5/day1/1666238587.dem.zip" TargetMode="External"/><Relationship Id="rId184" Type="http://schemas.openxmlformats.org/officeDocument/2006/relationships/hyperlink" Target="https://www.youtube.com/watch?v=WZXJaXWGmZI" TargetMode="External"/><Relationship Id="rId189" Type="http://schemas.openxmlformats.org/officeDocument/2006/relationships/hyperlink" Target="http://dota.nyoron.co/ti5/day3/1671340219.dem.zip" TargetMode="External"/><Relationship Id="rId188" Type="http://schemas.openxmlformats.org/officeDocument/2006/relationships/hyperlink" Target="https://www.youtube.com/watch?v=k2r-NtBNEQ4" TargetMode="External"/><Relationship Id="rId31" Type="http://schemas.openxmlformats.org/officeDocument/2006/relationships/hyperlink" Target="http://dota.nyoron.co/ti5/day1/1665990348.dem.zip" TargetMode="External"/><Relationship Id="rId30" Type="http://schemas.openxmlformats.org/officeDocument/2006/relationships/hyperlink" Target="https://www.youtube.com/watch?v=7SZf0mEeuJc" TargetMode="External"/><Relationship Id="rId33" Type="http://schemas.openxmlformats.org/officeDocument/2006/relationships/hyperlink" Target="https://www.youtube.com/watch?v=vWuMkI2DHG0" TargetMode="External"/><Relationship Id="rId183" Type="http://schemas.openxmlformats.org/officeDocument/2006/relationships/hyperlink" Target="https://www.youtube.com/watch?v=eoTN_YrAIMU" TargetMode="External"/><Relationship Id="rId32" Type="http://schemas.openxmlformats.org/officeDocument/2006/relationships/hyperlink" Target="http://dota.nyoron.co/ti5/day1/1666088527.dem.zip" TargetMode="External"/><Relationship Id="rId182" Type="http://schemas.openxmlformats.org/officeDocument/2006/relationships/hyperlink" Target="http://dota.nyoron.co/ti5/day3/1671437866.dem.zip" TargetMode="External"/><Relationship Id="rId35" Type="http://schemas.openxmlformats.org/officeDocument/2006/relationships/hyperlink" Target="http://dota.nyoron.co/ti5/day1/1666045478.dem.zip" TargetMode="External"/><Relationship Id="rId181" Type="http://schemas.openxmlformats.org/officeDocument/2006/relationships/hyperlink" Target="http://dota.nyoron.co/ti5/day3/1671358182.dem.zip" TargetMode="External"/><Relationship Id="rId34" Type="http://schemas.openxmlformats.org/officeDocument/2006/relationships/hyperlink" Target="http://dota.nyoron.co/ti5/day1/1665986855.dem.zip" TargetMode="External"/><Relationship Id="rId180" Type="http://schemas.openxmlformats.org/officeDocument/2006/relationships/hyperlink" Target="https://www.youtube.com/watch?v=duxOCGhTSCg" TargetMode="External"/><Relationship Id="rId37" Type="http://schemas.openxmlformats.org/officeDocument/2006/relationships/hyperlink" Target="http://dota.nyoron.co/ti5/day1/1665972746.dem.zip" TargetMode="External"/><Relationship Id="rId176" Type="http://schemas.openxmlformats.org/officeDocument/2006/relationships/hyperlink" Target="https://www.youtube.com/watch?v=VAjH6yCC_bc" TargetMode="External"/><Relationship Id="rId297" Type="http://schemas.openxmlformats.org/officeDocument/2006/relationships/hyperlink" Target="http://dota.nyoron.co/ti5/main3/1692105377.dem.zip" TargetMode="External"/><Relationship Id="rId36" Type="http://schemas.openxmlformats.org/officeDocument/2006/relationships/hyperlink" Target="https://i.ytimg.com/vi/2oF4vY5AwHM/mqdefault.jpg" TargetMode="External"/><Relationship Id="rId175" Type="http://schemas.openxmlformats.org/officeDocument/2006/relationships/hyperlink" Target="https://www.youtube.com/watch?v=X_7UD1xt80g" TargetMode="External"/><Relationship Id="rId296" Type="http://schemas.openxmlformats.org/officeDocument/2006/relationships/hyperlink" Target="http://dota.nyoron.co/ti5/main3/1692027822.dem.zip" TargetMode="External"/><Relationship Id="rId39" Type="http://schemas.openxmlformats.org/officeDocument/2006/relationships/hyperlink" Target="https://www.youtube.com/watch?v=AiFPX365Sjc" TargetMode="External"/><Relationship Id="rId174" Type="http://schemas.openxmlformats.org/officeDocument/2006/relationships/hyperlink" Target="http://dota.nyoron.co/ti5/day3/1671265441.dem.zip" TargetMode="External"/><Relationship Id="rId295" Type="http://schemas.openxmlformats.org/officeDocument/2006/relationships/hyperlink" Target="https://www.youtube.com/watch?v=uEXUlpK-wHs" TargetMode="External"/><Relationship Id="rId38" Type="http://schemas.openxmlformats.org/officeDocument/2006/relationships/hyperlink" Target="http://dota.nyoron.co/ti5/day1/1666048848.dem.zip" TargetMode="External"/><Relationship Id="rId173" Type="http://schemas.openxmlformats.org/officeDocument/2006/relationships/hyperlink" Target="http://dota.nyoron.co/ti5/day3/1671210956.dem.zip" TargetMode="External"/><Relationship Id="rId294" Type="http://schemas.openxmlformats.org/officeDocument/2006/relationships/hyperlink" Target="http://dota.nyoron.co/ti5/main3/1691952611.dem.zip" TargetMode="External"/><Relationship Id="rId179" Type="http://schemas.openxmlformats.org/officeDocument/2006/relationships/hyperlink" Target="https://www.youtube.com/watch?v=mQfhqcCi5WQ" TargetMode="External"/><Relationship Id="rId178" Type="http://schemas.openxmlformats.org/officeDocument/2006/relationships/hyperlink" Target="http://dota.nyoron.co/ti5/day3/1671256008.dem.zip" TargetMode="External"/><Relationship Id="rId299" Type="http://schemas.openxmlformats.org/officeDocument/2006/relationships/hyperlink" Target="https://www.youtube.com/watch?v=CnAPQQ5t0JM" TargetMode="External"/><Relationship Id="rId177" Type="http://schemas.openxmlformats.org/officeDocument/2006/relationships/hyperlink" Target="http://dota.nyoron.co/ti5/day3/1671208055.dem.zip" TargetMode="External"/><Relationship Id="rId298" Type="http://schemas.openxmlformats.org/officeDocument/2006/relationships/hyperlink" Target="https://www.youtube.com/watch?v=BtATwtePCdg" TargetMode="External"/><Relationship Id="rId20" Type="http://schemas.openxmlformats.org/officeDocument/2006/relationships/hyperlink" Target="https://www.youtube.com/watch?v=Ses30QO1lqM" TargetMode="External"/><Relationship Id="rId22" Type="http://schemas.openxmlformats.org/officeDocument/2006/relationships/hyperlink" Target="http://dota.nyoron.co/ti5/day1/1665685543.dem.zip" TargetMode="External"/><Relationship Id="rId21" Type="http://schemas.openxmlformats.org/officeDocument/2006/relationships/hyperlink" Target="http://dota.nyoron.co/ti5/wildcards/wildcards.zip" TargetMode="External"/><Relationship Id="rId24" Type="http://schemas.openxmlformats.org/officeDocument/2006/relationships/hyperlink" Target="https://www.youtube.com/watch?v=wgk7i93fX-A" TargetMode="External"/><Relationship Id="rId23" Type="http://schemas.openxmlformats.org/officeDocument/2006/relationships/hyperlink" Target="http://dota.nyoron.co/ti5/day1/1665826280,dem.zip" TargetMode="External"/><Relationship Id="rId26" Type="http://schemas.openxmlformats.org/officeDocument/2006/relationships/hyperlink" Target="http://dota.nyoron.co/ti5/day1/1665822701.dem.zip" TargetMode="External"/><Relationship Id="rId25" Type="http://schemas.openxmlformats.org/officeDocument/2006/relationships/hyperlink" Target="http://dota.nyoron.co/ti5/day1/1665686446.dem.zip" TargetMode="External"/><Relationship Id="rId28" Type="http://schemas.openxmlformats.org/officeDocument/2006/relationships/hyperlink" Target="http://dota.nyoron.co/ti5/day1/1665700254.dem.zip" TargetMode="External"/><Relationship Id="rId27" Type="http://schemas.openxmlformats.org/officeDocument/2006/relationships/hyperlink" Target="https://www.youtube.com/watch?v=Py5PVOa1j6c" TargetMode="External"/><Relationship Id="rId29" Type="http://schemas.openxmlformats.org/officeDocument/2006/relationships/hyperlink" Target="http://dota.nyoron.co/ti5/day1/1665829829.dem.zip" TargetMode="External"/><Relationship Id="rId11" Type="http://schemas.openxmlformats.org/officeDocument/2006/relationships/hyperlink" Target="http://dota.nyoron.co/ti5/wildcards/1663683337.dem" TargetMode="External"/><Relationship Id="rId10" Type="http://schemas.openxmlformats.org/officeDocument/2006/relationships/hyperlink" Target="https://www.youtube.com/watch?v=EpthfKYtv2A" TargetMode="External"/><Relationship Id="rId13" Type="http://schemas.openxmlformats.org/officeDocument/2006/relationships/hyperlink" Target="https://www.youtube.com/watch?v=NyRKDP6av_k" TargetMode="External"/><Relationship Id="rId12" Type="http://schemas.openxmlformats.org/officeDocument/2006/relationships/hyperlink" Target="http://dota.nyoron.co/ti5/wildcards/1663763370.dem" TargetMode="External"/><Relationship Id="rId15" Type="http://schemas.openxmlformats.org/officeDocument/2006/relationships/hyperlink" Target="http://dota.nyoron.co/ti5/wildcards/1663755043.dem" TargetMode="External"/><Relationship Id="rId198" Type="http://schemas.openxmlformats.org/officeDocument/2006/relationships/hyperlink" Target="http://dota.nyoron.co/ti5/day4/1673099701.dem.zip" TargetMode="External"/><Relationship Id="rId14" Type="http://schemas.openxmlformats.org/officeDocument/2006/relationships/hyperlink" Target="http://dota.nyoron.co/ti5/wildcards/1663682905.dem" TargetMode="External"/><Relationship Id="rId197" Type="http://schemas.openxmlformats.org/officeDocument/2006/relationships/hyperlink" Target="https://www.youtube.com/watch?v=s8ZOf3-IWsA" TargetMode="External"/><Relationship Id="rId17" Type="http://schemas.openxmlformats.org/officeDocument/2006/relationships/hyperlink" Target="http://dota.nyoron.co/ti5/wildcards/1663885942.dem" TargetMode="External"/><Relationship Id="rId196" Type="http://schemas.openxmlformats.org/officeDocument/2006/relationships/hyperlink" Target="https://www.youtube.com/watch?v=UcNOuK9Qsl4" TargetMode="External"/><Relationship Id="rId16" Type="http://schemas.openxmlformats.org/officeDocument/2006/relationships/hyperlink" Target="https://www.youtube.com/watch?v=nxR8DVQEkYQ" TargetMode="External"/><Relationship Id="rId195" Type="http://schemas.openxmlformats.org/officeDocument/2006/relationships/hyperlink" Target="http://dota.nyoron.co/ti5/day4/1673210350.dem.zip" TargetMode="External"/><Relationship Id="rId19" Type="http://schemas.openxmlformats.org/officeDocument/2006/relationships/hyperlink" Target="http://dota.nyoron.co/ti5/wildcards/1664009497.dem" TargetMode="External"/><Relationship Id="rId18" Type="http://schemas.openxmlformats.org/officeDocument/2006/relationships/hyperlink" Target="http://dota.nyoron.co/ti5/wildcards/1663931259.dem" TargetMode="External"/><Relationship Id="rId199" Type="http://schemas.openxmlformats.org/officeDocument/2006/relationships/hyperlink" Target="http://dota.nyoron.co/ti5/day3/1671210956.dem.zip" TargetMode="External"/><Relationship Id="rId84" Type="http://schemas.openxmlformats.org/officeDocument/2006/relationships/hyperlink" Target="http://dota.nyoron.co/ti5/day2/1668240246.dem.zip" TargetMode="External"/><Relationship Id="rId83" Type="http://schemas.openxmlformats.org/officeDocument/2006/relationships/hyperlink" Target="https://www.youtube.com/watch?v=NORz7tuKrpM" TargetMode="External"/><Relationship Id="rId86" Type="http://schemas.openxmlformats.org/officeDocument/2006/relationships/hyperlink" Target="https://www.youtube.com/watch?v=EZi6ebAKhu0" TargetMode="External"/><Relationship Id="rId85" Type="http://schemas.openxmlformats.org/officeDocument/2006/relationships/hyperlink" Target="http://dota.nyoron.co/ti5/day2/1668345858.dem.zip" TargetMode="External"/><Relationship Id="rId88" Type="http://schemas.openxmlformats.org/officeDocument/2006/relationships/hyperlink" Target="http://dota.nyoron.co/ti5/day2/1668243304.dem.zip" TargetMode="External"/><Relationship Id="rId150" Type="http://schemas.openxmlformats.org/officeDocument/2006/relationships/hyperlink" Target="http://dota.nyoron.co/ti5/day3/1670963917.dem.zip" TargetMode="External"/><Relationship Id="rId271" Type="http://schemas.openxmlformats.org/officeDocument/2006/relationships/hyperlink" Target="http://dota.nyoron.co/ti5/main2/1687304352.dem.zip" TargetMode="External"/><Relationship Id="rId87" Type="http://schemas.openxmlformats.org/officeDocument/2006/relationships/hyperlink" Target="https://www.youtube.com/watch?v=D8TSAOyng-4" TargetMode="External"/><Relationship Id="rId270" Type="http://schemas.openxmlformats.org/officeDocument/2006/relationships/hyperlink" Target="http://dota.nyoron.co/ti5/main2/1687199442.dem.zip" TargetMode="External"/><Relationship Id="rId89" Type="http://schemas.openxmlformats.org/officeDocument/2006/relationships/hyperlink" Target="http://dota.nyoron.co/ti5/day2/1668319630.dem.zip" TargetMode="External"/><Relationship Id="rId80" Type="http://schemas.openxmlformats.org/officeDocument/2006/relationships/hyperlink" Target="http://dota.nyoron.co/ti5/day2/1667987887.dem.zip" TargetMode="External"/><Relationship Id="rId82" Type="http://schemas.openxmlformats.org/officeDocument/2006/relationships/hyperlink" Target="https://www.youtube.com/watch?v=ASVktsIGUww" TargetMode="External"/><Relationship Id="rId81" Type="http://schemas.openxmlformats.org/officeDocument/2006/relationships/hyperlink" Target="http://dota.nyoron.co/ti5/day2/1668137863.dem.zip" TargetMode="External"/><Relationship Id="rId1" Type="http://schemas.openxmlformats.org/officeDocument/2006/relationships/comments" Target="../comments.xml"/><Relationship Id="rId2" Type="http://schemas.openxmlformats.org/officeDocument/2006/relationships/hyperlink" Target="https://www.reddit.com/r/DotA2/comments/3eb4nn/google_calendar_of_all_ti5_games_with_times/" TargetMode="External"/><Relationship Id="rId3" Type="http://schemas.openxmlformats.org/officeDocument/2006/relationships/hyperlink" Target="http://dota.nyoron.co/ti5/wildcards/1663382647.dem" TargetMode="External"/><Relationship Id="rId149" Type="http://schemas.openxmlformats.org/officeDocument/2006/relationships/hyperlink" Target="http://dota.nyoron.co/ti5/day3/1670863093.dem.zip" TargetMode="External"/><Relationship Id="rId4" Type="http://schemas.openxmlformats.org/officeDocument/2006/relationships/hyperlink" Target="http://dota.nyoron.co/ti5/wildcards/1663505929.dem" TargetMode="External"/><Relationship Id="rId148" Type="http://schemas.openxmlformats.org/officeDocument/2006/relationships/hyperlink" Target="https://www.youtube.com/watch?v=p3cx_myA-ZA" TargetMode="External"/><Relationship Id="rId269" Type="http://schemas.openxmlformats.org/officeDocument/2006/relationships/hyperlink" Target="https://www.youtube.com/watch?v=n7Vrt4Id9lI" TargetMode="External"/><Relationship Id="rId9" Type="http://schemas.openxmlformats.org/officeDocument/2006/relationships/hyperlink" Target="http://dota.nyoron.co/ti5/wildcards/1663546431.dem" TargetMode="External"/><Relationship Id="rId143" Type="http://schemas.openxmlformats.org/officeDocument/2006/relationships/hyperlink" Target="https://www.youtube.com/watch?v=WuY7yZhneqM" TargetMode="External"/><Relationship Id="rId264" Type="http://schemas.openxmlformats.org/officeDocument/2006/relationships/hyperlink" Target="http://dota.nyoron.co/ti5/main2/1686931489.dem.zip" TargetMode="External"/><Relationship Id="rId142" Type="http://schemas.openxmlformats.org/officeDocument/2006/relationships/hyperlink" Target="http://dota.nyoron.co/ti5/day3/1670707254.dem.zip" TargetMode="External"/><Relationship Id="rId263" Type="http://schemas.openxmlformats.org/officeDocument/2006/relationships/hyperlink" Target="https://www.youtube.com/watch?v=eFWHrlbaZYk" TargetMode="External"/><Relationship Id="rId141" Type="http://schemas.openxmlformats.org/officeDocument/2006/relationships/hyperlink" Target="http://dota.nyoron.co/ti5/day3/1670611989.dem.zip" TargetMode="External"/><Relationship Id="rId262" Type="http://schemas.openxmlformats.org/officeDocument/2006/relationships/hyperlink" Target="http://dota.nyoron.co/ti5/main2/1686838227.dem.zip" TargetMode="External"/><Relationship Id="rId140" Type="http://schemas.openxmlformats.org/officeDocument/2006/relationships/hyperlink" Target="https://www.youtube.com/watch?v=PnXR-HugYqw" TargetMode="External"/><Relationship Id="rId261" Type="http://schemas.openxmlformats.org/officeDocument/2006/relationships/hyperlink" Target="http://dota.nyoron.co/ti5/main2/1686604927.dem.zip" TargetMode="External"/><Relationship Id="rId5" Type="http://schemas.openxmlformats.org/officeDocument/2006/relationships/hyperlink" Target="http://dota.nyoron.co/ti5/wildcards/1663586146.dem" TargetMode="External"/><Relationship Id="rId147" Type="http://schemas.openxmlformats.org/officeDocument/2006/relationships/hyperlink" Target="https://www.youtube.com/watch?v=0kzFmjeb0ew" TargetMode="External"/><Relationship Id="rId268" Type="http://schemas.openxmlformats.org/officeDocument/2006/relationships/hyperlink" Target="http://dota.nyoron.co/ti5/main2/1687118078.dem.zip" TargetMode="External"/><Relationship Id="rId6" Type="http://schemas.openxmlformats.org/officeDocument/2006/relationships/hyperlink" Target="https://www.youtube.com/watch?v=qBNWX8jkYRU" TargetMode="External"/><Relationship Id="rId146" Type="http://schemas.openxmlformats.org/officeDocument/2006/relationships/hyperlink" Target="http://dota.nyoron.co/ti5/day3/1670901885.dem.zip" TargetMode="External"/><Relationship Id="rId267" Type="http://schemas.openxmlformats.org/officeDocument/2006/relationships/hyperlink" Target="http://dota.nyoron.co/ti5/main2/1686931489.dem.zip" TargetMode="External"/><Relationship Id="rId7" Type="http://schemas.openxmlformats.org/officeDocument/2006/relationships/hyperlink" Target="http://dota.nyoron.co/ti5/wildcards/1663365687.dem" TargetMode="External"/><Relationship Id="rId145" Type="http://schemas.openxmlformats.org/officeDocument/2006/relationships/hyperlink" Target="http://dota.nyoron.co/ti5/day3/1670808701.dem.zip" TargetMode="External"/><Relationship Id="rId266" Type="http://schemas.openxmlformats.org/officeDocument/2006/relationships/hyperlink" Target="https://www.youtube.com/watch?v=C6cMENlB_x0" TargetMode="External"/><Relationship Id="rId8" Type="http://schemas.openxmlformats.org/officeDocument/2006/relationships/hyperlink" Target="http://dota.nyoron.co/ti5/wildcards/1663436687.dem" TargetMode="External"/><Relationship Id="rId144" Type="http://schemas.openxmlformats.org/officeDocument/2006/relationships/hyperlink" Target="https://www.youtube.com/watch?v=HNia24NYH74" TargetMode="External"/><Relationship Id="rId265" Type="http://schemas.openxmlformats.org/officeDocument/2006/relationships/hyperlink" Target="http://dota.nyoron.co/ti5/main2/1687000541.dem.zip" TargetMode="External"/><Relationship Id="rId73" Type="http://schemas.openxmlformats.org/officeDocument/2006/relationships/hyperlink" Target="http://dota.nyoron.co/ti5/day2/1668110665.dem.zip" TargetMode="External"/><Relationship Id="rId72" Type="http://schemas.openxmlformats.org/officeDocument/2006/relationships/hyperlink" Target="http://dota.nyoron.co/ti5/day2/1668012309.dem.zip" TargetMode="External"/><Relationship Id="rId75" Type="http://schemas.openxmlformats.org/officeDocument/2006/relationships/hyperlink" Target="https://www.youtube.com/watch?v=InVb9tKGmJ4" TargetMode="External"/><Relationship Id="rId74" Type="http://schemas.openxmlformats.org/officeDocument/2006/relationships/hyperlink" Target="https://www.youtube.com/watch?v=InVb9tKGmJ4" TargetMode="External"/><Relationship Id="rId77" Type="http://schemas.openxmlformats.org/officeDocument/2006/relationships/hyperlink" Target="http://dota.nyoron.co/ti5/day2/1668109169.dem.zip" TargetMode="External"/><Relationship Id="rId260" Type="http://schemas.openxmlformats.org/officeDocument/2006/relationships/hyperlink" Target="http://dota.nyoron.co/ti5/main1/main1.zip" TargetMode="External"/><Relationship Id="rId76" Type="http://schemas.openxmlformats.org/officeDocument/2006/relationships/hyperlink" Target="http://dota.nyoron.co/ti5/day2/1667995496.dem.zip" TargetMode="External"/><Relationship Id="rId79" Type="http://schemas.openxmlformats.org/officeDocument/2006/relationships/hyperlink" Target="https://www.youtube.com/watch?v=NbhI813BpXY" TargetMode="External"/><Relationship Id="rId78" Type="http://schemas.openxmlformats.org/officeDocument/2006/relationships/hyperlink" Target="https://www.youtube.com/watch?v=plNsetgWrhE" TargetMode="External"/><Relationship Id="rId71" Type="http://schemas.openxmlformats.org/officeDocument/2006/relationships/hyperlink" Target="http://dota.nyoron.co/ti5/day1/day1.zip" TargetMode="External"/><Relationship Id="rId70" Type="http://schemas.openxmlformats.org/officeDocument/2006/relationships/hyperlink" Target="https://www.youtube.com/watch?v=LHlyXM9WfkM" TargetMode="External"/><Relationship Id="rId139" Type="http://schemas.openxmlformats.org/officeDocument/2006/relationships/hyperlink" Target="https://www.youtube.com/watch?v=7yGQoMhJGs4" TargetMode="External"/><Relationship Id="rId138" Type="http://schemas.openxmlformats.org/officeDocument/2006/relationships/hyperlink" Target="http://dota.nyoron.co/ti5/day3/1670702068.dem.zip" TargetMode="External"/><Relationship Id="rId259" Type="http://schemas.openxmlformats.org/officeDocument/2006/relationships/hyperlink" Target="https://www.youtube.com/watch?v=py2b8cOt8lU" TargetMode="External"/><Relationship Id="rId137" Type="http://schemas.openxmlformats.org/officeDocument/2006/relationships/hyperlink" Target="http://dota.nyoron.co/ti5/day3/1670592135.dem.zip" TargetMode="External"/><Relationship Id="rId258" Type="http://schemas.openxmlformats.org/officeDocument/2006/relationships/hyperlink" Target="http://dota.nyoron.co/ti5/main1/1685000902.dem.zip" TargetMode="External"/><Relationship Id="rId132" Type="http://schemas.openxmlformats.org/officeDocument/2006/relationships/hyperlink" Target="http://dota.nyoron.co/ti5/day2/day2.zip" TargetMode="External"/><Relationship Id="rId253" Type="http://schemas.openxmlformats.org/officeDocument/2006/relationships/hyperlink" Target="https://www.youtube.com/watch?v=ryc4CZ2mYZ0" TargetMode="External"/><Relationship Id="rId131" Type="http://schemas.openxmlformats.org/officeDocument/2006/relationships/hyperlink" Target="https://www.youtube.com/watch?v=C4esWcMb18U" TargetMode="External"/><Relationship Id="rId252" Type="http://schemas.openxmlformats.org/officeDocument/2006/relationships/hyperlink" Target="http://dota.nyoron.co/ti5/main1/1684715899.dem.zip" TargetMode="External"/><Relationship Id="rId130" Type="http://schemas.openxmlformats.org/officeDocument/2006/relationships/hyperlink" Target="https://www.youtube.com/watch?v=MG5d5xEak7Y" TargetMode="External"/><Relationship Id="rId251" Type="http://schemas.openxmlformats.org/officeDocument/2006/relationships/hyperlink" Target="https://www.youtube.com/watch?v=iH5IFIKaGPs" TargetMode="External"/><Relationship Id="rId250" Type="http://schemas.openxmlformats.org/officeDocument/2006/relationships/hyperlink" Target="http://dota.nyoron.co/ti5/main1/1684571786.dem.zip" TargetMode="External"/><Relationship Id="rId136" Type="http://schemas.openxmlformats.org/officeDocument/2006/relationships/hyperlink" Target="https://www.youtube.com/watch?v=3C0O1i3_vlk" TargetMode="External"/><Relationship Id="rId257" Type="http://schemas.openxmlformats.org/officeDocument/2006/relationships/hyperlink" Target="https://www.youtube.com/watch?v=Pu9MZBygw4M" TargetMode="External"/><Relationship Id="rId135" Type="http://schemas.openxmlformats.org/officeDocument/2006/relationships/hyperlink" Target="https://www.youtube.com/watch?v=K4MEhtL2lyk" TargetMode="External"/><Relationship Id="rId256" Type="http://schemas.openxmlformats.org/officeDocument/2006/relationships/hyperlink" Target="http://dota.nyoron.co/ti5/main1/1684903975.dem.zip" TargetMode="External"/><Relationship Id="rId134" Type="http://schemas.openxmlformats.org/officeDocument/2006/relationships/hyperlink" Target="http://dota.nyoron.co/ti5/day3/1670686522.dem.zip" TargetMode="External"/><Relationship Id="rId255" Type="http://schemas.openxmlformats.org/officeDocument/2006/relationships/hyperlink" Target="https://www.youtube.com/watch?v=mA17XAP_lpM" TargetMode="External"/><Relationship Id="rId133" Type="http://schemas.openxmlformats.org/officeDocument/2006/relationships/hyperlink" Target="http://dota.nyoron.co/ti5/day3/1670594877.dem.zip" TargetMode="External"/><Relationship Id="rId254" Type="http://schemas.openxmlformats.org/officeDocument/2006/relationships/hyperlink" Target="http://dota.nyoron.co/ti5/main1/1684809000.dem.zip" TargetMode="External"/><Relationship Id="rId62" Type="http://schemas.openxmlformats.org/officeDocument/2006/relationships/hyperlink" Target="https://www.youtube.com/watch?v=LTf8kSfK_8E" TargetMode="External"/><Relationship Id="rId61" Type="http://schemas.openxmlformats.org/officeDocument/2006/relationships/hyperlink" Target="http://dota.nyoron.co/ti5/day1/1666424868.dem.zip" TargetMode="External"/><Relationship Id="rId64" Type="http://schemas.openxmlformats.org/officeDocument/2006/relationships/hyperlink" Target="http://dota.nyoron.co/ti5/day1/1666577877.dem.zip" TargetMode="External"/><Relationship Id="rId63" Type="http://schemas.openxmlformats.org/officeDocument/2006/relationships/hyperlink" Target="http://dota.nyoron.co/ti5/day1/1666460321.dem.zip" TargetMode="External"/><Relationship Id="rId66" Type="http://schemas.openxmlformats.org/officeDocument/2006/relationships/hyperlink" Target="https://www.youtube.com/watch?v=SqAQYAxo_9Y" TargetMode="External"/><Relationship Id="rId172" Type="http://schemas.openxmlformats.org/officeDocument/2006/relationships/hyperlink" Target="https://www.youtube.com/watch?v=jlC1gDeextA" TargetMode="External"/><Relationship Id="rId293" Type="http://schemas.openxmlformats.org/officeDocument/2006/relationships/hyperlink" Target="http://dota.nyoron.co/ti5/main3/1691887181.dem.zip" TargetMode="External"/><Relationship Id="rId65" Type="http://schemas.openxmlformats.org/officeDocument/2006/relationships/hyperlink" Target="https://www.youtube.com/watch?v=wjzRKp7RNlw" TargetMode="External"/><Relationship Id="rId171" Type="http://schemas.openxmlformats.org/officeDocument/2006/relationships/hyperlink" Target="https://www.youtube.com/watch?v=zOwOd-Xz0iM" TargetMode="External"/><Relationship Id="rId292" Type="http://schemas.openxmlformats.org/officeDocument/2006/relationships/hyperlink" Target="http://dota.nyoron.co/ti5/main3/1691817562.dem.zip" TargetMode="External"/><Relationship Id="rId68" Type="http://schemas.openxmlformats.org/officeDocument/2006/relationships/hyperlink" Target="http://dota.nyoron.co/ti5/day1/1666539842.dem.zip" TargetMode="External"/><Relationship Id="rId170" Type="http://schemas.openxmlformats.org/officeDocument/2006/relationships/hyperlink" Target="http://dota.nyoron.co/ti5/day3/1671274952.dem.zip" TargetMode="External"/><Relationship Id="rId291" Type="http://schemas.openxmlformats.org/officeDocument/2006/relationships/hyperlink" Target="https://www.youtube.com/watch?v=I2p-SBP8JME" TargetMode="External"/><Relationship Id="rId67" Type="http://schemas.openxmlformats.org/officeDocument/2006/relationships/hyperlink" Target="http://dota.nyoron.co/ti5/day1/1666453945.dem.zip" TargetMode="External"/><Relationship Id="rId290" Type="http://schemas.openxmlformats.org/officeDocument/2006/relationships/hyperlink" Target="http://dota.nyoron.co/ti5/main3/1691714801.dem.zip" TargetMode="External"/><Relationship Id="rId60" Type="http://schemas.openxmlformats.org/officeDocument/2006/relationships/hyperlink" Target="http://dota.nyoron.co/ti5/day1/1666366844.dem.zip" TargetMode="External"/><Relationship Id="rId165" Type="http://schemas.openxmlformats.org/officeDocument/2006/relationships/hyperlink" Target="http://dota.nyoron.co/ti5/day3/1670993670.dem.zip" TargetMode="External"/><Relationship Id="rId286" Type="http://schemas.openxmlformats.org/officeDocument/2006/relationships/hyperlink" Target="http://dota.nyoron.co/ti5/main3/1689812780.dem.zip" TargetMode="External"/><Relationship Id="rId69" Type="http://schemas.openxmlformats.org/officeDocument/2006/relationships/hyperlink" Target="https://www.youtube.com/watch?v=0_32IwuLyAo" TargetMode="External"/><Relationship Id="rId164" Type="http://schemas.openxmlformats.org/officeDocument/2006/relationships/hyperlink" Target="https://www.youtube.com/watch?v=1tvoAU8vnxg" TargetMode="External"/><Relationship Id="rId285" Type="http://schemas.openxmlformats.org/officeDocument/2006/relationships/hyperlink" Target="http://dota.nyoron.co/ti5/main3/1689744737.dem.zip" TargetMode="External"/><Relationship Id="rId163" Type="http://schemas.openxmlformats.org/officeDocument/2006/relationships/hyperlink" Target="https://www.youtube.com/watch?v=Yfhy-YloJb4" TargetMode="External"/><Relationship Id="rId284" Type="http://schemas.openxmlformats.org/officeDocument/2006/relationships/hyperlink" Target="https://www.youtube.com/watch?v=aE8UBKpYV3M" TargetMode="External"/><Relationship Id="rId162" Type="http://schemas.openxmlformats.org/officeDocument/2006/relationships/hyperlink" Target="http://dota.nyoron.co/ti5/day3/1671123709.dem.zip" TargetMode="External"/><Relationship Id="rId283" Type="http://schemas.openxmlformats.org/officeDocument/2006/relationships/hyperlink" Target="http://dota.nyoron.co/ti5/main3/1689659635.dem.zip" TargetMode="External"/><Relationship Id="rId169" Type="http://schemas.openxmlformats.org/officeDocument/2006/relationships/hyperlink" Target="http://dota.nyoron.co/ti5/day3/1671201476.dem.zip" TargetMode="External"/><Relationship Id="rId168" Type="http://schemas.openxmlformats.org/officeDocument/2006/relationships/hyperlink" Target="https://www.youtube.com/watch?v=kXS9gRFnyWo" TargetMode="External"/><Relationship Id="rId289" Type="http://schemas.openxmlformats.org/officeDocument/2006/relationships/hyperlink" Target="http://dota.nyoron.co/ti5/main3/1691612847.dem.zip" TargetMode="External"/><Relationship Id="rId167" Type="http://schemas.openxmlformats.org/officeDocument/2006/relationships/hyperlink" Target="https://www.youtube.com/watch?v=xNQ0LmkzaC4" TargetMode="External"/><Relationship Id="rId288" Type="http://schemas.openxmlformats.org/officeDocument/2006/relationships/hyperlink" Target="http://dota.nyoron.co/ti5/main3/main3.zip" TargetMode="External"/><Relationship Id="rId166" Type="http://schemas.openxmlformats.org/officeDocument/2006/relationships/hyperlink" Target="http://dota.nyoron.co/ti5/day3/1671121575.dem.zip" TargetMode="External"/><Relationship Id="rId287" Type="http://schemas.openxmlformats.org/officeDocument/2006/relationships/hyperlink" Target="https://www.youtube.com/watch?v=rW4PE5DT_oQ" TargetMode="External"/><Relationship Id="rId51" Type="http://schemas.openxmlformats.org/officeDocument/2006/relationships/hyperlink" Target="https://www.youtube.com/watch?v=E4_1EGk9Teo" TargetMode="External"/><Relationship Id="rId50" Type="http://schemas.openxmlformats.org/officeDocument/2006/relationships/hyperlink" Target="http://dota.nyoron.co/ti5/day1/1666286219.dem.zip" TargetMode="External"/><Relationship Id="rId53" Type="http://schemas.openxmlformats.org/officeDocument/2006/relationships/hyperlink" Target="http://dota.nyoron.co/ti5/day1/1666366213.dem.zip" TargetMode="External"/><Relationship Id="rId52" Type="http://schemas.openxmlformats.org/officeDocument/2006/relationships/hyperlink" Target="http://dota.nyoron.co/ti5/day1/1666308348.dem.zip" TargetMode="External"/><Relationship Id="rId55" Type="http://schemas.openxmlformats.org/officeDocument/2006/relationships/hyperlink" Target="https://www.youtube.com/watch?v=O6KThV0k0M8" TargetMode="External"/><Relationship Id="rId161" Type="http://schemas.openxmlformats.org/officeDocument/2006/relationships/hyperlink" Target="http://dota.nyoron.co/ti5/day3/1671063488.dem.zip" TargetMode="External"/><Relationship Id="rId282" Type="http://schemas.openxmlformats.org/officeDocument/2006/relationships/hyperlink" Target="http://dota.nyoron.co/ti5/main3/1689593268.dem.zip" TargetMode="External"/><Relationship Id="rId54" Type="http://schemas.openxmlformats.org/officeDocument/2006/relationships/hyperlink" Target="https://www.youtube.com/watch?v=6gMewynjFWs" TargetMode="External"/><Relationship Id="rId160" Type="http://schemas.openxmlformats.org/officeDocument/2006/relationships/hyperlink" Target="https://www.youtube.com/watch?v=EIRrN4fB0tI" TargetMode="External"/><Relationship Id="rId281" Type="http://schemas.openxmlformats.org/officeDocument/2006/relationships/hyperlink" Target="https://www.youtube.com/watch?v=myt63a2YK8s" TargetMode="External"/><Relationship Id="rId57" Type="http://schemas.openxmlformats.org/officeDocument/2006/relationships/hyperlink" Target="http://dota.nyoron.co/ti5/day1/1666372636.dem.zip" TargetMode="External"/><Relationship Id="rId280" Type="http://schemas.openxmlformats.org/officeDocument/2006/relationships/hyperlink" Target="http://dota.nyoron.co/ti5/main3/1689526977.dem.zip" TargetMode="External"/><Relationship Id="rId56" Type="http://schemas.openxmlformats.org/officeDocument/2006/relationships/hyperlink" Target="http://dota.nyoron.co/ti5/day1/1666276978.dem.zip" TargetMode="External"/><Relationship Id="rId159" Type="http://schemas.openxmlformats.org/officeDocument/2006/relationships/hyperlink" Target="https://www.youtube.com/watch?v=rJW0aKebL2k" TargetMode="External"/><Relationship Id="rId59" Type="http://schemas.openxmlformats.org/officeDocument/2006/relationships/hyperlink" Target="https://www.youtube.com/watch?v=PA7zX_o9gCA" TargetMode="External"/><Relationship Id="rId154" Type="http://schemas.openxmlformats.org/officeDocument/2006/relationships/hyperlink" Target="http://dota.nyoron.co/ti5/day3/1670974602.dem.zip" TargetMode="External"/><Relationship Id="rId275" Type="http://schemas.openxmlformats.org/officeDocument/2006/relationships/hyperlink" Target="http://dota.nyoron.co/ti5/main3/1689199207.dem.zip" TargetMode="External"/><Relationship Id="rId58" Type="http://schemas.openxmlformats.org/officeDocument/2006/relationships/hyperlink" Target="https://www.youtube.com/watch?v=7Mp8TZUtQXU" TargetMode="External"/><Relationship Id="rId153" Type="http://schemas.openxmlformats.org/officeDocument/2006/relationships/hyperlink" Target="http://dota.nyoron.co/ti5/day3/1670865252.dem.zip" TargetMode="External"/><Relationship Id="rId274" Type="http://schemas.openxmlformats.org/officeDocument/2006/relationships/hyperlink" Target="http://dota.nyoron.co/ti5/main3/1689080648.dem.zip" TargetMode="External"/><Relationship Id="rId152" Type="http://schemas.openxmlformats.org/officeDocument/2006/relationships/hyperlink" Target="https://www.youtube.com/watch?v=g-ZlsNOX4Uo" TargetMode="External"/><Relationship Id="rId273" Type="http://schemas.openxmlformats.org/officeDocument/2006/relationships/hyperlink" Target="http://dota.nyoron.co/ti5/main2/main2.zip" TargetMode="External"/><Relationship Id="rId151" Type="http://schemas.openxmlformats.org/officeDocument/2006/relationships/hyperlink" Target="https://www.youtube.com/watch?v=qck7aS5RUmg" TargetMode="External"/><Relationship Id="rId272" Type="http://schemas.openxmlformats.org/officeDocument/2006/relationships/hyperlink" Target="https://www.youtube.com/watch?v=VHkT_QdhEuw" TargetMode="External"/><Relationship Id="rId158" Type="http://schemas.openxmlformats.org/officeDocument/2006/relationships/hyperlink" Target="http://dota.nyoron.co/ti5/day3/1671129267.dem.zip" TargetMode="External"/><Relationship Id="rId279" Type="http://schemas.openxmlformats.org/officeDocument/2006/relationships/hyperlink" Target="http://dota.nyoron.co/ti5/main3/1689486729.dem.zip" TargetMode="External"/><Relationship Id="rId157" Type="http://schemas.openxmlformats.org/officeDocument/2006/relationships/hyperlink" Target="http://dota.nyoron.co/ti5/day3/1671067751.dem.zip" TargetMode="External"/><Relationship Id="rId278" Type="http://schemas.openxmlformats.org/officeDocument/2006/relationships/hyperlink" Target="http://dota.nyoron.co/ti5/main3/1689417916.dem.zip" TargetMode="External"/><Relationship Id="rId156" Type="http://schemas.openxmlformats.org/officeDocument/2006/relationships/hyperlink" Target="https://www.youtube.com/watch?v=ezmQNnxpE5c" TargetMode="External"/><Relationship Id="rId277" Type="http://schemas.openxmlformats.org/officeDocument/2006/relationships/hyperlink" Target="https://www.youtube.com/watch?v=xBJCrl9UJsA" TargetMode="External"/><Relationship Id="rId155" Type="http://schemas.openxmlformats.org/officeDocument/2006/relationships/hyperlink" Target="https://www.youtube.com/watch?v=McmZXmGaDaQ" TargetMode="External"/><Relationship Id="rId276" Type="http://schemas.openxmlformats.org/officeDocument/2006/relationships/hyperlink" Target="http://dota.nyoron.co/ti5/main3/1689326808.dem.zip" TargetMode="External"/><Relationship Id="rId107" Type="http://schemas.openxmlformats.org/officeDocument/2006/relationships/hyperlink" Target="https://www.youtube.com/watch?v=k6pW4mGL9uo" TargetMode="External"/><Relationship Id="rId228" Type="http://schemas.openxmlformats.org/officeDocument/2006/relationships/hyperlink" Target="https://www.youtube.com/watch?v=QJeT0c9BFs4" TargetMode="External"/><Relationship Id="rId106" Type="http://schemas.openxmlformats.org/officeDocument/2006/relationships/hyperlink" Target="https://www.youtube.com/watch?v=jbiAtno9u_M" TargetMode="External"/><Relationship Id="rId227" Type="http://schemas.openxmlformats.org/officeDocument/2006/relationships/hyperlink" Target="http://dota.nyoron.co/ti5/day4/1671210956.dem.zip" TargetMode="External"/><Relationship Id="rId105" Type="http://schemas.openxmlformats.org/officeDocument/2006/relationships/hyperlink" Target="http://dota.nyoron.co/ti5/day2/1668507634.dem.zip" TargetMode="External"/><Relationship Id="rId226" Type="http://schemas.openxmlformats.org/officeDocument/2006/relationships/hyperlink" Target="http://dota.nyoron.co/ti5/day4/1673552043.dem.zip" TargetMode="External"/><Relationship Id="rId104" Type="http://schemas.openxmlformats.org/officeDocument/2006/relationships/hyperlink" Target="http://dota.nyoron.co/ti5/day2/1668432255m.zip" TargetMode="External"/><Relationship Id="rId225" Type="http://schemas.openxmlformats.org/officeDocument/2006/relationships/hyperlink" Target="https://www.youtube.com/watch?v=HYKtl1jcQXE" TargetMode="External"/><Relationship Id="rId109" Type="http://schemas.openxmlformats.org/officeDocument/2006/relationships/hyperlink" Target="http://dota.nyoron.co/ti5/day2/1668682748.dem.zip" TargetMode="External"/><Relationship Id="rId108" Type="http://schemas.openxmlformats.org/officeDocument/2006/relationships/hyperlink" Target="http://dota.nyoron.co/ti5/day2/1668591683.dem.zip" TargetMode="External"/><Relationship Id="rId229" Type="http://schemas.openxmlformats.org/officeDocument/2006/relationships/hyperlink" Target="https://www.youtube.com/watch?v=wvZ_ii_QcAs" TargetMode="External"/><Relationship Id="rId220" Type="http://schemas.openxmlformats.org/officeDocument/2006/relationships/hyperlink" Target="https://www.youtube.com/watch?v=CwBCX_84Cxs" TargetMode="External"/><Relationship Id="rId103" Type="http://schemas.openxmlformats.org/officeDocument/2006/relationships/hyperlink" Target="https://www.youtube.com/watch?v=3HvYsDzjdX8" TargetMode="External"/><Relationship Id="rId224" Type="http://schemas.openxmlformats.org/officeDocument/2006/relationships/hyperlink" Target="https://www.youtube.com/watch?v=J3ycQrlr7YE" TargetMode="External"/><Relationship Id="rId102" Type="http://schemas.openxmlformats.org/officeDocument/2006/relationships/hyperlink" Target="https://www.youtube.com/watch?v=98adVmcapNw" TargetMode="External"/><Relationship Id="rId223" Type="http://schemas.openxmlformats.org/officeDocument/2006/relationships/hyperlink" Target="http://dota.nyoron.co/ti5/day4/1671210956.dem.zip" TargetMode="External"/><Relationship Id="rId101" Type="http://schemas.openxmlformats.org/officeDocument/2006/relationships/hyperlink" Target="http://dota.nyoron.co/ti5/day2/1668506691.dem.zip" TargetMode="External"/><Relationship Id="rId222" Type="http://schemas.openxmlformats.org/officeDocument/2006/relationships/hyperlink" Target="http://dota.nyoron.co/ti5/day4/1673558412.dem.zip" TargetMode="External"/><Relationship Id="rId100" Type="http://schemas.openxmlformats.org/officeDocument/2006/relationships/hyperlink" Target="http://dota.nyoron.co/ti5/day2/1668437721.dem.zip" TargetMode="External"/><Relationship Id="rId221" Type="http://schemas.openxmlformats.org/officeDocument/2006/relationships/hyperlink" Target="https://www.youtube.com/watch?v=UiSv1aZsiGM" TargetMode="External"/><Relationship Id="rId217" Type="http://schemas.openxmlformats.org/officeDocument/2006/relationships/hyperlink" Target="https://www.youtube.com/watch?v=9xTpZDUo90A" TargetMode="External"/><Relationship Id="rId216" Type="http://schemas.openxmlformats.org/officeDocument/2006/relationships/hyperlink" Target="https://www.youtube.com/watch?v=RqJhmVrp5Ec" TargetMode="External"/><Relationship Id="rId215" Type="http://schemas.openxmlformats.org/officeDocument/2006/relationships/hyperlink" Target="http://dota.nyoron.co/ti5/day4/1671210956.dem.zip" TargetMode="External"/><Relationship Id="rId214" Type="http://schemas.openxmlformats.org/officeDocument/2006/relationships/hyperlink" Target="http://dota.nyoron.co/ti5/day4/1673341849.dem.zip" TargetMode="External"/><Relationship Id="rId219" Type="http://schemas.openxmlformats.org/officeDocument/2006/relationships/hyperlink" Target="http://dota.nyoron.co/ti5/day4/1671210956.dem.zip" TargetMode="External"/><Relationship Id="rId218" Type="http://schemas.openxmlformats.org/officeDocument/2006/relationships/hyperlink" Target="http://dota.nyoron.co/ti5/day4/1673584099.dem.zip" TargetMode="External"/><Relationship Id="rId213" Type="http://schemas.openxmlformats.org/officeDocument/2006/relationships/hyperlink" Target="https://www.youtube.com/watch?v=ymaM_oKIXd0" TargetMode="External"/><Relationship Id="rId212" Type="http://schemas.openxmlformats.org/officeDocument/2006/relationships/hyperlink" Target="https://www.youtube.com/watch?v=OiNENlv_dt4" TargetMode="External"/><Relationship Id="rId211" Type="http://schemas.openxmlformats.org/officeDocument/2006/relationships/hyperlink" Target="http://dota.nyoron.co/ti5/day3/1671210956.dem.zip" TargetMode="External"/><Relationship Id="rId210" Type="http://schemas.openxmlformats.org/officeDocument/2006/relationships/hyperlink" Target="http://dota.nyoron.co/ti5/day4/1673354401.dem.zip" TargetMode="External"/><Relationship Id="rId129" Type="http://schemas.openxmlformats.org/officeDocument/2006/relationships/hyperlink" Target="http://dota.nyoron.co/ti5/day2/1668792831.dem.zip" TargetMode="External"/><Relationship Id="rId128" Type="http://schemas.openxmlformats.org/officeDocument/2006/relationships/hyperlink" Target="http://dota.nyoron.co/ti5/day2/1668725839.dem.zip" TargetMode="External"/><Relationship Id="rId249" Type="http://schemas.openxmlformats.org/officeDocument/2006/relationships/hyperlink" Target="http://dota.nyoron.co/ti5/main1/1684521403.dem.zip" TargetMode="External"/><Relationship Id="rId127" Type="http://schemas.openxmlformats.org/officeDocument/2006/relationships/hyperlink" Target="https://www.youtube.com/watch?v=Usi-so3vjzc" TargetMode="External"/><Relationship Id="rId248" Type="http://schemas.openxmlformats.org/officeDocument/2006/relationships/hyperlink" Target="https://www.youtube.com/watch?v=ykluZCQGl2g" TargetMode="External"/><Relationship Id="rId126" Type="http://schemas.openxmlformats.org/officeDocument/2006/relationships/hyperlink" Target="https://www.youtube.com/watch?v=MG5d5xEak7Y" TargetMode="External"/><Relationship Id="rId247" Type="http://schemas.openxmlformats.org/officeDocument/2006/relationships/hyperlink" Target="http://dota.nyoron.co/ti5/main1/1684419960.dem.zip" TargetMode="External"/><Relationship Id="rId121" Type="http://schemas.openxmlformats.org/officeDocument/2006/relationships/hyperlink" Target="http://dota.nyoron.co/ti5/day2/1668839023.dem.zip" TargetMode="External"/><Relationship Id="rId242" Type="http://schemas.openxmlformats.org/officeDocument/2006/relationships/hyperlink" Target="https://www.youtube.com/watch?v=TwVB6_d_7RY" TargetMode="External"/><Relationship Id="rId120" Type="http://schemas.openxmlformats.org/officeDocument/2006/relationships/hyperlink" Target="http://dota.nyoron.co/ti5/day2/1668751522.dem.zip" TargetMode="External"/><Relationship Id="rId241" Type="http://schemas.openxmlformats.org/officeDocument/2006/relationships/hyperlink" Target="https://www.youtube.com/watch?v=R_t_xGYzZYo" TargetMode="External"/><Relationship Id="rId240" Type="http://schemas.openxmlformats.org/officeDocument/2006/relationships/hyperlink" Target="http://dota.nyoron.co/ti5/day4/1674031017.dem.zip" TargetMode="External"/><Relationship Id="rId125" Type="http://schemas.openxmlformats.org/officeDocument/2006/relationships/hyperlink" Target="http://dota.nyoron.co/ti5/day2/1668862986.dem.zip" TargetMode="External"/><Relationship Id="rId246" Type="http://schemas.openxmlformats.org/officeDocument/2006/relationships/hyperlink" Target="http://dota.nyoron.co/ti5/main1/1684334726.dem.zip" TargetMode="External"/><Relationship Id="rId124" Type="http://schemas.openxmlformats.org/officeDocument/2006/relationships/hyperlink" Target="http://dota.nyoron.co/ti5/day2/1668758379.dem.zip" TargetMode="External"/><Relationship Id="rId245" Type="http://schemas.openxmlformats.org/officeDocument/2006/relationships/hyperlink" Target="http://dota.nyoron.co/ti5/main1/1684227514.dem.zip" TargetMode="External"/><Relationship Id="rId123" Type="http://schemas.openxmlformats.org/officeDocument/2006/relationships/hyperlink" Target="https://www.youtube.com/watch?v=GLv39_wJwH4" TargetMode="External"/><Relationship Id="rId244" Type="http://schemas.openxmlformats.org/officeDocument/2006/relationships/hyperlink" Target="http://dota.nyoron.co/ti5/day4/day4.zip" TargetMode="External"/><Relationship Id="rId122" Type="http://schemas.openxmlformats.org/officeDocument/2006/relationships/hyperlink" Target="https://www.youtube.com/watch?v=gNT90mSMXwQ" TargetMode="External"/><Relationship Id="rId243" Type="http://schemas.openxmlformats.org/officeDocument/2006/relationships/hyperlink" Target="https://www.youtube.com/watch?v=rLWgDP-CHck" TargetMode="External"/><Relationship Id="rId95" Type="http://schemas.openxmlformats.org/officeDocument/2006/relationships/hyperlink" Target="https://www.youtube.com/watch?v=o401iY1y3fU" TargetMode="External"/><Relationship Id="rId94" Type="http://schemas.openxmlformats.org/officeDocument/2006/relationships/hyperlink" Target="https://www.youtube.com/watch?v=ZGKAb5-pZcE" TargetMode="External"/><Relationship Id="rId97" Type="http://schemas.openxmlformats.org/officeDocument/2006/relationships/hyperlink" Target="http://dota.nyoron.co/ti5/day2/1668493996.dem.zip" TargetMode="External"/><Relationship Id="rId96" Type="http://schemas.openxmlformats.org/officeDocument/2006/relationships/hyperlink" Target="http://dota.nyoron.co/ti5/day2/1668434795.dem.zip" TargetMode="External"/><Relationship Id="rId99" Type="http://schemas.openxmlformats.org/officeDocument/2006/relationships/hyperlink" Target="https://www.youtube.com/watch?v=6K8BcMp1A9U" TargetMode="External"/><Relationship Id="rId98" Type="http://schemas.openxmlformats.org/officeDocument/2006/relationships/hyperlink" Target="https://www.youtube.com/watch?v=tROu9UEbYjU" TargetMode="External"/><Relationship Id="rId91" Type="http://schemas.openxmlformats.org/officeDocument/2006/relationships/hyperlink" Target="https://www.youtube.com/watch?v=_k_aiSjaNMs" TargetMode="External"/><Relationship Id="rId90" Type="http://schemas.openxmlformats.org/officeDocument/2006/relationships/hyperlink" Target="https://www.youtube.com/watch?v=gVGyuceJKZM" TargetMode="External"/><Relationship Id="rId93" Type="http://schemas.openxmlformats.org/officeDocument/2006/relationships/hyperlink" Target="http://dota.nyoron.co/ti5/day2/1668338643.dem.zip" TargetMode="External"/><Relationship Id="rId92" Type="http://schemas.openxmlformats.org/officeDocument/2006/relationships/hyperlink" Target="http://dota.nyoron.co/ti5/day2/1668245426.dem.zip" TargetMode="External"/><Relationship Id="rId118" Type="http://schemas.openxmlformats.org/officeDocument/2006/relationships/hyperlink" Target="https://www.youtube.com/watch?v=vjtqDqyh8WY" TargetMode="External"/><Relationship Id="rId239" Type="http://schemas.openxmlformats.org/officeDocument/2006/relationships/hyperlink" Target="http://dota.nyoron.co/ti5/day4/1673941543.dem.zip" TargetMode="External"/><Relationship Id="rId117" Type="http://schemas.openxmlformats.org/officeDocument/2006/relationships/hyperlink" Target="http://dota.nyoron.co/ti5/day2/1668646062.dem.zip" TargetMode="External"/><Relationship Id="rId238" Type="http://schemas.openxmlformats.org/officeDocument/2006/relationships/hyperlink" Target="http://dota.nyoron.co/ti5/day4/1673865688.dem.zip" TargetMode="External"/><Relationship Id="rId116" Type="http://schemas.openxmlformats.org/officeDocument/2006/relationships/hyperlink" Target="http://dota.nyoron.co/ti5/day2/1668579624.dem.zip" TargetMode="External"/><Relationship Id="rId237" Type="http://schemas.openxmlformats.org/officeDocument/2006/relationships/hyperlink" Target="https://www.youtube.com/watch?v=EZiEmbxkGIQ" TargetMode="External"/><Relationship Id="rId115" Type="http://schemas.openxmlformats.org/officeDocument/2006/relationships/hyperlink" Target="https://www.youtube.com/watch?v=nj-Ysmg5I6c" TargetMode="External"/><Relationship Id="rId236" Type="http://schemas.openxmlformats.org/officeDocument/2006/relationships/hyperlink" Target="https://www.youtube.com/watch?v=G6FtPFKTniA" TargetMode="External"/><Relationship Id="rId119" Type="http://schemas.openxmlformats.org/officeDocument/2006/relationships/hyperlink" Target="https://www.youtube.com/watch?v=08Qb3EkV4p4" TargetMode="External"/><Relationship Id="rId110" Type="http://schemas.openxmlformats.org/officeDocument/2006/relationships/hyperlink" Target="https://www.youtube.com/watch?v=0M0aIwPJhJc" TargetMode="External"/><Relationship Id="rId231" Type="http://schemas.openxmlformats.org/officeDocument/2006/relationships/hyperlink" Target="http://dota.nyoron.co/ti5/day4/1673789962.dem.zip" TargetMode="External"/><Relationship Id="rId230" Type="http://schemas.openxmlformats.org/officeDocument/2006/relationships/hyperlink" Target="http://dota.nyoron.co/ti5/day4/1673738064.dem.zip" TargetMode="External"/><Relationship Id="rId114" Type="http://schemas.openxmlformats.org/officeDocument/2006/relationships/hyperlink" Target="https://www.youtube.com/watch?v=Guu5y6I9eFA" TargetMode="External"/><Relationship Id="rId235" Type="http://schemas.openxmlformats.org/officeDocument/2006/relationships/hyperlink" Target="http://dota.nyoron.co/ti5/day4/1673815749.dem.zip" TargetMode="External"/><Relationship Id="rId113" Type="http://schemas.openxmlformats.org/officeDocument/2006/relationships/hyperlink" Target="http://dota.nyoron.co/ti5/day2/1668613457.dem.zip" TargetMode="External"/><Relationship Id="rId234" Type="http://schemas.openxmlformats.org/officeDocument/2006/relationships/hyperlink" Target="http://dota.nyoron.co/ti5/day4/1673748036.dem.zip" TargetMode="External"/><Relationship Id="rId112" Type="http://schemas.openxmlformats.org/officeDocument/2006/relationships/hyperlink" Target="http://dota.nyoron.co/ti5/day2/1668556845.dem.zip" TargetMode="External"/><Relationship Id="rId233" Type="http://schemas.openxmlformats.org/officeDocument/2006/relationships/hyperlink" Target="https://www.youtube.com/watch?v=dD2IP-TG_XQ" TargetMode="External"/><Relationship Id="rId111" Type="http://schemas.openxmlformats.org/officeDocument/2006/relationships/hyperlink" Target="https://www.youtube.com/watch?v=1y0rcw7CsYs" TargetMode="External"/><Relationship Id="rId232" Type="http://schemas.openxmlformats.org/officeDocument/2006/relationships/hyperlink" Target="https://www.youtube.com/watch?v=ztdcWoN9hE4" TargetMode="External"/><Relationship Id="rId305" Type="http://schemas.openxmlformats.org/officeDocument/2006/relationships/hyperlink" Target="http://dota.nyoron.co/ti5/main5/1694506494.dem.zip" TargetMode="External"/><Relationship Id="rId304" Type="http://schemas.openxmlformats.org/officeDocument/2006/relationships/hyperlink" Target="https://www.youtube.com/watch?v=sRZ6nf5JDdo" TargetMode="External"/><Relationship Id="rId303" Type="http://schemas.openxmlformats.org/officeDocument/2006/relationships/hyperlink" Target="http://dota.nyoron.co/ti5/main5/1694392262.dem.zip" TargetMode="External"/><Relationship Id="rId302" Type="http://schemas.openxmlformats.org/officeDocument/2006/relationships/hyperlink" Target="http://dota.nyoron.co/ti5/main5/1694261668.dem.zip" TargetMode="External"/><Relationship Id="rId309" Type="http://schemas.openxmlformats.org/officeDocument/2006/relationships/hyperlink" Target="http://dota.nyoron.co/ti5/main5/1694734460.dem.zip" TargetMode="External"/><Relationship Id="rId308" Type="http://schemas.openxmlformats.org/officeDocument/2006/relationships/hyperlink" Target="http://dota.nyoron.co/ti5/main5/1694672562.dem.zip" TargetMode="External"/><Relationship Id="rId307" Type="http://schemas.openxmlformats.org/officeDocument/2006/relationships/hyperlink" Target="https://www.youtube.com/watch?v=19Wpll212yg" TargetMode="External"/><Relationship Id="rId306" Type="http://schemas.openxmlformats.org/officeDocument/2006/relationships/hyperlink" Target="http://dota.nyoron.co/ti5/main5/1694607827.dem.zip" TargetMode="External"/><Relationship Id="rId301" Type="http://schemas.openxmlformats.org/officeDocument/2006/relationships/hyperlink" Target="http://dota.nyoron.co/ti5/main4/main4.zip" TargetMode="External"/><Relationship Id="rId300" Type="http://schemas.openxmlformats.org/officeDocument/2006/relationships/hyperlink" Target="https://www.youtube.com/watch?v=ltMsrON0xcM" TargetMode="External"/><Relationship Id="rId206" Type="http://schemas.openxmlformats.org/officeDocument/2006/relationships/hyperlink" Target="http://dota.nyoron.co/ti5/day4/1673371349.dem.zip" TargetMode="External"/><Relationship Id="rId205" Type="http://schemas.openxmlformats.org/officeDocument/2006/relationships/hyperlink" Target="https://www.youtube.com/watch?v=yuAfC9cNIsA" TargetMode="External"/><Relationship Id="rId204" Type="http://schemas.openxmlformats.org/officeDocument/2006/relationships/hyperlink" Target="https://www.youtube.com/watch?v=KpWb55bc8Zk" TargetMode="External"/><Relationship Id="rId203" Type="http://schemas.openxmlformats.org/officeDocument/2006/relationships/hyperlink" Target="http://dota.nyoron.co/ti5/day4/1673208977.dem.zip" TargetMode="External"/><Relationship Id="rId209" Type="http://schemas.openxmlformats.org/officeDocument/2006/relationships/hyperlink" Target="https://www.youtube.com/watch?v=HMExfEWtTLs" TargetMode="External"/><Relationship Id="rId208" Type="http://schemas.openxmlformats.org/officeDocument/2006/relationships/hyperlink" Target="https://www.youtube.com/watch?v=bI_6mGdjDzo" TargetMode="External"/><Relationship Id="rId207" Type="http://schemas.openxmlformats.org/officeDocument/2006/relationships/hyperlink" Target="http://dota.nyoron.co/ti5/day4/1673477884.dem.zip" TargetMode="External"/><Relationship Id="rId202" Type="http://schemas.openxmlformats.org/officeDocument/2006/relationships/hyperlink" Target="http://dota.nyoron.co/ti5/day4/1673078706.dem.zip" TargetMode="External"/><Relationship Id="rId201" Type="http://schemas.openxmlformats.org/officeDocument/2006/relationships/hyperlink" Target="https://www.youtube.com/watch?v=WfkJj-mYQcw" TargetMode="External"/><Relationship Id="rId322" Type="http://schemas.openxmlformats.org/officeDocument/2006/relationships/vmlDrawing" Target="../drawings/vmlDrawing.vml"/><Relationship Id="rId200" Type="http://schemas.openxmlformats.org/officeDocument/2006/relationships/hyperlink" Target="https://www.youtube.com/watch?v=Xxj-K5H-ppw" TargetMode="External"/><Relationship Id="rId321" Type="http://schemas.openxmlformats.org/officeDocument/2006/relationships/drawing" Target="../drawings/worksheetdrawing.xml"/><Relationship Id="rId320" Type="http://schemas.openxmlformats.org/officeDocument/2006/relationships/hyperlink" Target="https://www.youtube.com/watch?v=6u2NuuVLFT0" TargetMode="External"/><Relationship Id="rId316" Type="http://schemas.openxmlformats.org/officeDocument/2006/relationships/hyperlink" Target="http://dota.nyoron.co/ti5/main6/1697618202.dem.zip" TargetMode="External"/><Relationship Id="rId315" Type="http://schemas.openxmlformats.org/officeDocument/2006/relationships/hyperlink" Target="https://www.youtube.com/watch?v=S-f4lYy7_VQ" TargetMode="External"/><Relationship Id="rId314" Type="http://schemas.openxmlformats.org/officeDocument/2006/relationships/hyperlink" Target="http://dota.nyoron.co/ti5/main6/1697367568.dem.zip" TargetMode="External"/><Relationship Id="rId313" Type="http://schemas.openxmlformats.org/officeDocument/2006/relationships/hyperlink" Target="http://dota.nyoron.co/ti5/main6/1697230041.dem.zip" TargetMode="External"/><Relationship Id="rId319" Type="http://schemas.openxmlformats.org/officeDocument/2006/relationships/hyperlink" Target="http://dota.nyoron.co/ti5/main6/1697818230.dem.zip" TargetMode="External"/><Relationship Id="rId318" Type="http://schemas.openxmlformats.org/officeDocument/2006/relationships/hyperlink" Target="http://dota.nyoron.co/ti5/main6/1697737102.dem.zip" TargetMode="External"/><Relationship Id="rId317" Type="http://schemas.openxmlformats.org/officeDocument/2006/relationships/hyperlink" Target="http://dota.nyoron.co/ti5/main6/1697676707.dem.zip" TargetMode="External"/><Relationship Id="rId312" Type="http://schemas.openxmlformats.org/officeDocument/2006/relationships/hyperlink" Target="http://dota.nyoron.co/ti5/main5/main5.zip" TargetMode="External"/><Relationship Id="rId311" Type="http://schemas.openxmlformats.org/officeDocument/2006/relationships/hyperlink" Target="https://www.youtube.com/watch?v=-DwoAyxWvTg" TargetMode="External"/><Relationship Id="rId310" Type="http://schemas.openxmlformats.org/officeDocument/2006/relationships/hyperlink" Target="http://dota.nyoron.co/ti5/main5/1694785141.dem.zip" TargetMode="External"/></Relationships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ota.nyoron.co/ti5/day1/1666185341.dem" TargetMode="External"/><Relationship Id="rId190" Type="http://schemas.openxmlformats.org/officeDocument/2006/relationships/hyperlink" Target="https://www.youtube.com/watch?v=yS4rhOHxvDY" TargetMode="External"/><Relationship Id="rId42" Type="http://schemas.openxmlformats.org/officeDocument/2006/relationships/hyperlink" Target="http://dota.nyoron.co/ti5/day1/1666125998.dem" TargetMode="External"/><Relationship Id="rId41" Type="http://schemas.openxmlformats.org/officeDocument/2006/relationships/hyperlink" Target="https://www.youtube.com/watch?v=cf5WZZlrnIQ" TargetMode="External"/><Relationship Id="rId44" Type="http://schemas.openxmlformats.org/officeDocument/2006/relationships/hyperlink" Target="https://www.youtube.com/watch?v=_v1auQrFF1M" TargetMode="External"/><Relationship Id="rId194" Type="http://schemas.openxmlformats.org/officeDocument/2006/relationships/hyperlink" Target="http://dota.nyoron.co/ti5/day4/1673210350.dem.zip" TargetMode="External"/><Relationship Id="rId43" Type="http://schemas.openxmlformats.org/officeDocument/2006/relationships/hyperlink" Target="http://dota.nyoron.co/ti5/day1/1666177296.dem" TargetMode="External"/><Relationship Id="rId193" Type="http://schemas.openxmlformats.org/officeDocument/2006/relationships/hyperlink" Target="http://dota.nyoron.co/ti5/day4/1673081038.dem.zip" TargetMode="External"/><Relationship Id="rId46" Type="http://schemas.openxmlformats.org/officeDocument/2006/relationships/hyperlink" Target="http://dota.nyoron.co/ti5/day1/1666209170.dem" TargetMode="External"/><Relationship Id="rId192" Type="http://schemas.openxmlformats.org/officeDocument/2006/relationships/hyperlink" Target="http://dota.nyoron.co/ti5/day3/day3.zip" TargetMode="External"/><Relationship Id="rId45" Type="http://schemas.openxmlformats.org/officeDocument/2006/relationships/hyperlink" Target="http://dota.nyoron.co/ti5/day1/1666148259.dem" TargetMode="External"/><Relationship Id="rId191" Type="http://schemas.openxmlformats.org/officeDocument/2006/relationships/hyperlink" Target="https://www.youtube.com/watch?v=Jjt1GthL-L4" TargetMode="External"/><Relationship Id="rId48" Type="http://schemas.openxmlformats.org/officeDocument/2006/relationships/hyperlink" Target="http://dota.nyoron.co/ti5/day1/1666238587.dem" TargetMode="External"/><Relationship Id="rId187" Type="http://schemas.openxmlformats.org/officeDocument/2006/relationships/hyperlink" Target="https://www.youtube.com/watch?v=k2r-NtBNEQ4" TargetMode="External"/><Relationship Id="rId47" Type="http://schemas.openxmlformats.org/officeDocument/2006/relationships/hyperlink" Target="https://www.youtube.com/watch?v=Zccia4NUD9k" TargetMode="External"/><Relationship Id="rId186" Type="http://schemas.openxmlformats.org/officeDocument/2006/relationships/hyperlink" Target="https://www.youtube.com/watch?v=u6qmgaSk_w4" TargetMode="External"/><Relationship Id="rId185" Type="http://schemas.openxmlformats.org/officeDocument/2006/relationships/hyperlink" Target="http://dota.nyoron.co/ti5/day3/1671432637.dem.zip" TargetMode="External"/><Relationship Id="rId49" Type="http://schemas.openxmlformats.org/officeDocument/2006/relationships/hyperlink" Target="http://dota.nyoron.co/ti5/day1/1666286219.dem" TargetMode="External"/><Relationship Id="rId184" Type="http://schemas.openxmlformats.org/officeDocument/2006/relationships/hyperlink" Target="http://dota.nyoron.co/ti5/day3/1671360687.dem.zip" TargetMode="External"/><Relationship Id="rId189" Type="http://schemas.openxmlformats.org/officeDocument/2006/relationships/hyperlink" Target="http://dota.nyoron.co/ti5/day3/1671421953.dem.zip" TargetMode="External"/><Relationship Id="rId188" Type="http://schemas.openxmlformats.org/officeDocument/2006/relationships/hyperlink" Target="http://dota.nyoron.co/ti5/day3/1671340219.dem.zip" TargetMode="External"/><Relationship Id="rId31" Type="http://schemas.openxmlformats.org/officeDocument/2006/relationships/hyperlink" Target="http://dota.nyoron.co/ti5/day1/1666088527.dem" TargetMode="External"/><Relationship Id="rId30" Type="http://schemas.openxmlformats.org/officeDocument/2006/relationships/hyperlink" Target="http://dota.nyoron.co/ti5/day1/1665990348.dem" TargetMode="External"/><Relationship Id="rId33" Type="http://schemas.openxmlformats.org/officeDocument/2006/relationships/hyperlink" Target="http://dota.nyoron.co/ti5/day1/1665986855.dem" TargetMode="External"/><Relationship Id="rId183" Type="http://schemas.openxmlformats.org/officeDocument/2006/relationships/hyperlink" Target="https://www.youtube.com/watch?v=WZXJaXWGmZI" TargetMode="External"/><Relationship Id="rId32" Type="http://schemas.openxmlformats.org/officeDocument/2006/relationships/hyperlink" Target="https://www.youtube.com/watch?v=vWuMkI2DHG0" TargetMode="External"/><Relationship Id="rId182" Type="http://schemas.openxmlformats.org/officeDocument/2006/relationships/hyperlink" Target="https://www.youtube.com/watch?v=eoTN_YrAIMU" TargetMode="External"/><Relationship Id="rId35" Type="http://schemas.openxmlformats.org/officeDocument/2006/relationships/hyperlink" Target="https://i.ytimg.com/vi/2oF4vY5AwHM/mqdefault.jpg" TargetMode="External"/><Relationship Id="rId181" Type="http://schemas.openxmlformats.org/officeDocument/2006/relationships/hyperlink" Target="http://dota.nyoron.co/ti5/day3/1671437866.dem.zip" TargetMode="External"/><Relationship Id="rId34" Type="http://schemas.openxmlformats.org/officeDocument/2006/relationships/hyperlink" Target="http://dota.nyoron.co/ti5/day1/1666045478.dem" TargetMode="External"/><Relationship Id="rId180" Type="http://schemas.openxmlformats.org/officeDocument/2006/relationships/hyperlink" Target="http://dota.nyoron.co/ti5/day3/1671358182.dem.zip" TargetMode="External"/><Relationship Id="rId37" Type="http://schemas.openxmlformats.org/officeDocument/2006/relationships/hyperlink" Target="http://dota.nyoron.co/ti5/day1/1666048848.dem" TargetMode="External"/><Relationship Id="rId176" Type="http://schemas.openxmlformats.org/officeDocument/2006/relationships/hyperlink" Target="http://dota.nyoron.co/ti5/day3/1671208055.dem.zip" TargetMode="External"/><Relationship Id="rId297" Type="http://schemas.openxmlformats.org/officeDocument/2006/relationships/hyperlink" Target="http://dota.nyoron.co/ti5/main3/1689812780.dem.zip" TargetMode="External"/><Relationship Id="rId36" Type="http://schemas.openxmlformats.org/officeDocument/2006/relationships/hyperlink" Target="http://dota.nyoron.co/ti5/day1/1665972746.dem" TargetMode="External"/><Relationship Id="rId175" Type="http://schemas.openxmlformats.org/officeDocument/2006/relationships/hyperlink" Target="https://www.youtube.com/watch?v=VAjH6yCC_bc" TargetMode="External"/><Relationship Id="rId296" Type="http://schemas.openxmlformats.org/officeDocument/2006/relationships/hyperlink" Target="http://dota.nyoron.co/ti5/main3/1689744737.dem.zip" TargetMode="External"/><Relationship Id="rId39" Type="http://schemas.openxmlformats.org/officeDocument/2006/relationships/hyperlink" Target="http://dota.nyoron.co/ti5/day1/1666122929.dem" TargetMode="External"/><Relationship Id="rId174" Type="http://schemas.openxmlformats.org/officeDocument/2006/relationships/hyperlink" Target="https://www.youtube.com/watch?v=X_7UD1xt80g" TargetMode="External"/><Relationship Id="rId295" Type="http://schemas.openxmlformats.org/officeDocument/2006/relationships/hyperlink" Target="https://www.youtube.com/watch?v=IhzAhvUghJY" TargetMode="External"/><Relationship Id="rId38" Type="http://schemas.openxmlformats.org/officeDocument/2006/relationships/hyperlink" Target="https://www.youtube.com/watch?v=AiFPX365Sjc" TargetMode="External"/><Relationship Id="rId173" Type="http://schemas.openxmlformats.org/officeDocument/2006/relationships/hyperlink" Target="http://dota.nyoron.co/ti5/day3/1671265441.dem.zip" TargetMode="External"/><Relationship Id="rId294" Type="http://schemas.openxmlformats.org/officeDocument/2006/relationships/hyperlink" Target="https://www.youtube.com/watch?v=C1LQwh6OtKI" TargetMode="External"/><Relationship Id="rId179" Type="http://schemas.openxmlformats.org/officeDocument/2006/relationships/hyperlink" Target="https://www.youtube.com/watch?v=duxOCGhTSCg" TargetMode="External"/><Relationship Id="rId178" Type="http://schemas.openxmlformats.org/officeDocument/2006/relationships/hyperlink" Target="https://www.youtube.com/watch?v=mQfhqcCi5WQ" TargetMode="External"/><Relationship Id="rId299" Type="http://schemas.openxmlformats.org/officeDocument/2006/relationships/hyperlink" Target="https://www.youtube.com/watch?v=VQBDwNUexEc" TargetMode="External"/><Relationship Id="rId177" Type="http://schemas.openxmlformats.org/officeDocument/2006/relationships/hyperlink" Target="http://dota.nyoron.co/ti5/day3/1671256008.dem.zip" TargetMode="External"/><Relationship Id="rId298" Type="http://schemas.openxmlformats.org/officeDocument/2006/relationships/hyperlink" Target="http://dota.nyoron.co/ti5/main3/1689893744.dem.zip" TargetMode="External"/><Relationship Id="rId20" Type="http://schemas.openxmlformats.org/officeDocument/2006/relationships/hyperlink" Target="http://dota.nyoron.co/ti5/wildcards/wildcards.zip" TargetMode="External"/><Relationship Id="rId22" Type="http://schemas.openxmlformats.org/officeDocument/2006/relationships/hyperlink" Target="http://dota.nyoron.co/ti5/day1/1665826280,dem" TargetMode="External"/><Relationship Id="rId21" Type="http://schemas.openxmlformats.org/officeDocument/2006/relationships/hyperlink" Target="http://dota.nyoron.co/ti5/day1/1665685543.dem" TargetMode="External"/><Relationship Id="rId24" Type="http://schemas.openxmlformats.org/officeDocument/2006/relationships/hyperlink" Target="http://dota.nyoron.co/ti5/day1/1665686446.dem" TargetMode="External"/><Relationship Id="rId23" Type="http://schemas.openxmlformats.org/officeDocument/2006/relationships/hyperlink" Target="https://www.youtube.com/watch?v=wgk7i93fX-A" TargetMode="External"/><Relationship Id="rId26" Type="http://schemas.openxmlformats.org/officeDocument/2006/relationships/hyperlink" Target="https://www.youtube.com/watch?v=Py5PVOa1j6c" TargetMode="External"/><Relationship Id="rId25" Type="http://schemas.openxmlformats.org/officeDocument/2006/relationships/hyperlink" Target="http://dota.nyoron.co/ti5/day1/1665822701.dem" TargetMode="External"/><Relationship Id="rId28" Type="http://schemas.openxmlformats.org/officeDocument/2006/relationships/hyperlink" Target="http://dota.nyoron.co/ti5/day1/1665829829.dem" TargetMode="External"/><Relationship Id="rId27" Type="http://schemas.openxmlformats.org/officeDocument/2006/relationships/hyperlink" Target="http://dota.nyoron.co/ti5/day1/1665700254.dem" TargetMode="External"/><Relationship Id="rId29" Type="http://schemas.openxmlformats.org/officeDocument/2006/relationships/hyperlink" Target="https://www.youtube.com/watch?v=7SZf0mEeuJc" TargetMode="External"/><Relationship Id="rId11" Type="http://schemas.openxmlformats.org/officeDocument/2006/relationships/hyperlink" Target="http://dota.nyoron.co/ti5/wildcards/1663763370.dem" TargetMode="External"/><Relationship Id="rId10" Type="http://schemas.openxmlformats.org/officeDocument/2006/relationships/hyperlink" Target="http://dota.nyoron.co/ti5/wildcards/1663683337.dem" TargetMode="External"/><Relationship Id="rId13" Type="http://schemas.openxmlformats.org/officeDocument/2006/relationships/hyperlink" Target="http://dota.nyoron.co/ti5/wildcards/1663682905.dem" TargetMode="External"/><Relationship Id="rId12" Type="http://schemas.openxmlformats.org/officeDocument/2006/relationships/hyperlink" Target="https://www.youtube.com/watch?v=NyRKDP6av_k" TargetMode="External"/><Relationship Id="rId15" Type="http://schemas.openxmlformats.org/officeDocument/2006/relationships/hyperlink" Target="https://www.youtube.com/watch?v=nxR8DVQEkYQ" TargetMode="External"/><Relationship Id="rId198" Type="http://schemas.openxmlformats.org/officeDocument/2006/relationships/hyperlink" Target="http://dota.nyoron.co/ti5/day3/1671210956.dem.zip" TargetMode="External"/><Relationship Id="rId14" Type="http://schemas.openxmlformats.org/officeDocument/2006/relationships/hyperlink" Target="http://dota.nyoron.co/ti5/wildcards/1663755043.dem" TargetMode="External"/><Relationship Id="rId197" Type="http://schemas.openxmlformats.org/officeDocument/2006/relationships/hyperlink" Target="http://dota.nyoron.co/ti5/day4/1673099701.dem.zip" TargetMode="External"/><Relationship Id="rId17" Type="http://schemas.openxmlformats.org/officeDocument/2006/relationships/hyperlink" Target="http://dota.nyoron.co/ti5/wildcards/1663931259.dem" TargetMode="External"/><Relationship Id="rId196" Type="http://schemas.openxmlformats.org/officeDocument/2006/relationships/hyperlink" Target="https://www.youtube.com/watch?v=s8ZOf3-IWsA" TargetMode="External"/><Relationship Id="rId16" Type="http://schemas.openxmlformats.org/officeDocument/2006/relationships/hyperlink" Target="http://dota.nyoron.co/ti5/wildcards/1663885942.dem" TargetMode="External"/><Relationship Id="rId195" Type="http://schemas.openxmlformats.org/officeDocument/2006/relationships/hyperlink" Target="https://www.youtube.com/watch?v=UcNOuK9Qsl4" TargetMode="External"/><Relationship Id="rId19" Type="http://schemas.openxmlformats.org/officeDocument/2006/relationships/hyperlink" Target="https://www.youtube.com/watch?v=Ses30QO1lqM" TargetMode="External"/><Relationship Id="rId18" Type="http://schemas.openxmlformats.org/officeDocument/2006/relationships/hyperlink" Target="http://dota.nyoron.co/ti5/wildcards/1664009497.dem" TargetMode="External"/><Relationship Id="rId199" Type="http://schemas.openxmlformats.org/officeDocument/2006/relationships/hyperlink" Target="https://www.youtube.com/watch?v=Xxj-K5H-ppw" TargetMode="External"/><Relationship Id="rId84" Type="http://schemas.openxmlformats.org/officeDocument/2006/relationships/hyperlink" Target="http://dota.nyoron.co/ti5/day2/1668345858.dem.zip" TargetMode="External"/><Relationship Id="rId83" Type="http://schemas.openxmlformats.org/officeDocument/2006/relationships/hyperlink" Target="http://dota.nyoron.co/ti5/day2/1668240246.dem.zip" TargetMode="External"/><Relationship Id="rId86" Type="http://schemas.openxmlformats.org/officeDocument/2006/relationships/hyperlink" Target="https://www.youtube.com/watch?v=D8TSAOyng-4" TargetMode="External"/><Relationship Id="rId85" Type="http://schemas.openxmlformats.org/officeDocument/2006/relationships/hyperlink" Target="https://www.youtube.com/watch?v=EZi6ebAKhu0" TargetMode="External"/><Relationship Id="rId88" Type="http://schemas.openxmlformats.org/officeDocument/2006/relationships/hyperlink" Target="http://dota.nyoron.co/ti5/day2/1668319630.dem.zip" TargetMode="External"/><Relationship Id="rId150" Type="http://schemas.openxmlformats.org/officeDocument/2006/relationships/hyperlink" Target="https://www.youtube.com/watch?v=qck7aS5RUmg" TargetMode="External"/><Relationship Id="rId271" Type="http://schemas.openxmlformats.org/officeDocument/2006/relationships/hyperlink" Target="http://dota.nyoron.co/ti5/main2/1686931489.dem.zip" TargetMode="External"/><Relationship Id="rId87" Type="http://schemas.openxmlformats.org/officeDocument/2006/relationships/hyperlink" Target="http://dota.nyoron.co/ti5/day2/1668243304.dem.zip" TargetMode="External"/><Relationship Id="rId270" Type="http://schemas.openxmlformats.org/officeDocument/2006/relationships/hyperlink" Target="https://www.youtube.com/watch?v=rkNvzO_-3Kk" TargetMode="External"/><Relationship Id="rId89" Type="http://schemas.openxmlformats.org/officeDocument/2006/relationships/hyperlink" Target="https://www.youtube.com/watch?v=gVGyuceJKZM" TargetMode="External"/><Relationship Id="rId80" Type="http://schemas.openxmlformats.org/officeDocument/2006/relationships/hyperlink" Target="http://dota.nyoron.co/ti5/day2/1668137863.dem.zip" TargetMode="External"/><Relationship Id="rId82" Type="http://schemas.openxmlformats.org/officeDocument/2006/relationships/hyperlink" Target="https://www.youtube.com/watch?v=NORz7tuKrpM" TargetMode="External"/><Relationship Id="rId81" Type="http://schemas.openxmlformats.org/officeDocument/2006/relationships/hyperlink" Target="https://www.youtube.com/watch?v=ASVktsIGUww" TargetMode="External"/><Relationship Id="rId1" Type="http://schemas.openxmlformats.org/officeDocument/2006/relationships/hyperlink" Target="https://www.reddit.com/r/DotA2/comments/3eb4nn/google_calendar_of_all_ti5_games_with_times/" TargetMode="External"/><Relationship Id="rId2" Type="http://schemas.openxmlformats.org/officeDocument/2006/relationships/hyperlink" Target="http://dota.nyoron.co/ti5/wildcards/1663382647.dem" TargetMode="External"/><Relationship Id="rId3" Type="http://schemas.openxmlformats.org/officeDocument/2006/relationships/hyperlink" Target="http://dota.nyoron.co/ti5/wildcards/1663505929.dem" TargetMode="External"/><Relationship Id="rId149" Type="http://schemas.openxmlformats.org/officeDocument/2006/relationships/hyperlink" Target="http://dota.nyoron.co/ti5/day3/1670963917.dem.zip" TargetMode="External"/><Relationship Id="rId4" Type="http://schemas.openxmlformats.org/officeDocument/2006/relationships/hyperlink" Target="http://dota.nyoron.co/ti5/wildcards/1663586146.dem" TargetMode="External"/><Relationship Id="rId148" Type="http://schemas.openxmlformats.org/officeDocument/2006/relationships/hyperlink" Target="http://dota.nyoron.co/ti5/day3/1670863093.dem.zip" TargetMode="External"/><Relationship Id="rId269" Type="http://schemas.openxmlformats.org/officeDocument/2006/relationships/hyperlink" Target="https://www.youtube.com/watch?v=JhdKZ1O7w8Q" TargetMode="External"/><Relationship Id="rId9" Type="http://schemas.openxmlformats.org/officeDocument/2006/relationships/hyperlink" Target="https://www.youtube.com/watch?v=EpthfKYtv2A" TargetMode="External"/><Relationship Id="rId143" Type="http://schemas.openxmlformats.org/officeDocument/2006/relationships/hyperlink" Target="https://www.youtube.com/watch?v=HNia24NYH74" TargetMode="External"/><Relationship Id="rId264" Type="http://schemas.openxmlformats.org/officeDocument/2006/relationships/hyperlink" Target="http://dota.nyoron.co/ti5/main2/1686838227.dem.zip" TargetMode="External"/><Relationship Id="rId142" Type="http://schemas.openxmlformats.org/officeDocument/2006/relationships/hyperlink" Target="https://www.youtube.com/watch?v=WuY7yZhneqM" TargetMode="External"/><Relationship Id="rId263" Type="http://schemas.openxmlformats.org/officeDocument/2006/relationships/hyperlink" Target="http://dota.nyoron.co/ti5/main2/1686604927.dem.zip" TargetMode="External"/><Relationship Id="rId141" Type="http://schemas.openxmlformats.org/officeDocument/2006/relationships/hyperlink" Target="http://dota.nyoron.co/ti5/day3/1670707254.dem.zip" TargetMode="External"/><Relationship Id="rId262" Type="http://schemas.openxmlformats.org/officeDocument/2006/relationships/hyperlink" Target="http://dota.nyoron.co/ti5/main1/main1.zip" TargetMode="External"/><Relationship Id="rId140" Type="http://schemas.openxmlformats.org/officeDocument/2006/relationships/hyperlink" Target="http://dota.nyoron.co/ti5/day3/1670611989.dem.zip" TargetMode="External"/><Relationship Id="rId261" Type="http://schemas.openxmlformats.org/officeDocument/2006/relationships/hyperlink" Target="https://www.youtube.com/watch?v=py2b8cOt8lU" TargetMode="External"/><Relationship Id="rId5" Type="http://schemas.openxmlformats.org/officeDocument/2006/relationships/hyperlink" Target="https://www.youtube.com/watch?v=qBNWX8jkYRU" TargetMode="External"/><Relationship Id="rId147" Type="http://schemas.openxmlformats.org/officeDocument/2006/relationships/hyperlink" Target="https://www.youtube.com/watch?v=p3cx_myA-ZA" TargetMode="External"/><Relationship Id="rId268" Type="http://schemas.openxmlformats.org/officeDocument/2006/relationships/hyperlink" Target="http://dota.nyoron.co/ti5/main2/1687000541.dem.zip" TargetMode="External"/><Relationship Id="rId6" Type="http://schemas.openxmlformats.org/officeDocument/2006/relationships/hyperlink" Target="http://dota.nyoron.co/ti5/wildcards/1663365687.dem" TargetMode="External"/><Relationship Id="rId146" Type="http://schemas.openxmlformats.org/officeDocument/2006/relationships/hyperlink" Target="https://www.youtube.com/watch?v=0kzFmjeb0ew" TargetMode="External"/><Relationship Id="rId267" Type="http://schemas.openxmlformats.org/officeDocument/2006/relationships/hyperlink" Target="http://dota.nyoron.co/ti5/main2/1686931489.dem.zip" TargetMode="External"/><Relationship Id="rId7" Type="http://schemas.openxmlformats.org/officeDocument/2006/relationships/hyperlink" Target="http://dota.nyoron.co/ti5/wildcards/1663436687.dem" TargetMode="External"/><Relationship Id="rId145" Type="http://schemas.openxmlformats.org/officeDocument/2006/relationships/hyperlink" Target="http://dota.nyoron.co/ti5/day3/1670901885.dem.zip" TargetMode="External"/><Relationship Id="rId266" Type="http://schemas.openxmlformats.org/officeDocument/2006/relationships/hyperlink" Target="https://www.youtube.com/watch?v=mhyNWVoitUA" TargetMode="External"/><Relationship Id="rId8" Type="http://schemas.openxmlformats.org/officeDocument/2006/relationships/hyperlink" Target="http://dota.nyoron.co/ti5/wildcards/1663546431.dem" TargetMode="External"/><Relationship Id="rId144" Type="http://schemas.openxmlformats.org/officeDocument/2006/relationships/hyperlink" Target="http://dota.nyoron.co/ti5/day3/1670808701.dem.zip" TargetMode="External"/><Relationship Id="rId265" Type="http://schemas.openxmlformats.org/officeDocument/2006/relationships/hyperlink" Target="https://www.youtube.com/watch?v=DopzDJTfunI" TargetMode="External"/><Relationship Id="rId73" Type="http://schemas.openxmlformats.org/officeDocument/2006/relationships/hyperlink" Target="https://www.youtube.com/watch?v=InVb9tKGmJ4" TargetMode="External"/><Relationship Id="rId72" Type="http://schemas.openxmlformats.org/officeDocument/2006/relationships/hyperlink" Target="http://dota.nyoron.co/ti5/day2/1668110665.dem.zip" TargetMode="External"/><Relationship Id="rId75" Type="http://schemas.openxmlformats.org/officeDocument/2006/relationships/hyperlink" Target="http://dota.nyoron.co/ti5/day2/1667995496.dem.zip" TargetMode="External"/><Relationship Id="rId74" Type="http://schemas.openxmlformats.org/officeDocument/2006/relationships/hyperlink" Target="https://www.youtube.com/watch?v=InVb9tKGmJ4" TargetMode="External"/><Relationship Id="rId77" Type="http://schemas.openxmlformats.org/officeDocument/2006/relationships/hyperlink" Target="https://www.youtube.com/watch?v=plNsetgWrhE" TargetMode="External"/><Relationship Id="rId260" Type="http://schemas.openxmlformats.org/officeDocument/2006/relationships/hyperlink" Target="http://dota.nyoron.co/ti5/main1/1685000902.dem.zip" TargetMode="External"/><Relationship Id="rId76" Type="http://schemas.openxmlformats.org/officeDocument/2006/relationships/hyperlink" Target="http://dota.nyoron.co/ti5/day2/1668109169.dem.zip" TargetMode="External"/><Relationship Id="rId79" Type="http://schemas.openxmlformats.org/officeDocument/2006/relationships/hyperlink" Target="http://dota.nyoron.co/ti5/day2/1667987887.dem.zip" TargetMode="External"/><Relationship Id="rId78" Type="http://schemas.openxmlformats.org/officeDocument/2006/relationships/hyperlink" Target="https://www.youtube.com/watch?v=NbhI813BpXY" TargetMode="External"/><Relationship Id="rId71" Type="http://schemas.openxmlformats.org/officeDocument/2006/relationships/hyperlink" Target="http://dota.nyoron.co/ti5/day2/1668012309.dem.zip" TargetMode="External"/><Relationship Id="rId70" Type="http://schemas.openxmlformats.org/officeDocument/2006/relationships/hyperlink" Target="http://dota.nyoron.co/ti5/day1/day1.zip" TargetMode="External"/><Relationship Id="rId139" Type="http://schemas.openxmlformats.org/officeDocument/2006/relationships/hyperlink" Target="https://www.youtube.com/watch?v=PnXR-HugYqw" TargetMode="External"/><Relationship Id="rId138" Type="http://schemas.openxmlformats.org/officeDocument/2006/relationships/hyperlink" Target="https://www.youtube.com/watch?v=7yGQoMhJGs4" TargetMode="External"/><Relationship Id="rId259" Type="http://schemas.openxmlformats.org/officeDocument/2006/relationships/hyperlink" Target="https://www.youtube.com/watch?v=Pu9MZBygw4M" TargetMode="External"/><Relationship Id="rId137" Type="http://schemas.openxmlformats.org/officeDocument/2006/relationships/hyperlink" Target="http://dota.nyoron.co/ti5/day3/1670702068.dem.zip" TargetMode="External"/><Relationship Id="rId258" Type="http://schemas.openxmlformats.org/officeDocument/2006/relationships/hyperlink" Target="http://dota.nyoron.co/ti5/main1/1684903975.dem.zip" TargetMode="External"/><Relationship Id="rId132" Type="http://schemas.openxmlformats.org/officeDocument/2006/relationships/hyperlink" Target="http://dota.nyoron.co/ti5/day3/1670594877.dem.zip" TargetMode="External"/><Relationship Id="rId253" Type="http://schemas.openxmlformats.org/officeDocument/2006/relationships/hyperlink" Target="https://www.youtube.com/watch?v=hcUcSS6zBuQ" TargetMode="External"/><Relationship Id="rId131" Type="http://schemas.openxmlformats.org/officeDocument/2006/relationships/hyperlink" Target="http://dota.nyoron.co/ti5/day2/day2.zip" TargetMode="External"/><Relationship Id="rId252" Type="http://schemas.openxmlformats.org/officeDocument/2006/relationships/hyperlink" Target="https://www.youtube.com/watch?v=muivZeE1RPE" TargetMode="External"/><Relationship Id="rId130" Type="http://schemas.openxmlformats.org/officeDocument/2006/relationships/hyperlink" Target="https://www.youtube.com/watch?v=C4esWcMb18U" TargetMode="External"/><Relationship Id="rId251" Type="http://schemas.openxmlformats.org/officeDocument/2006/relationships/hyperlink" Target="http://dota.nyoron.co/ti5/main1/1684571786.dem.zip" TargetMode="External"/><Relationship Id="rId250" Type="http://schemas.openxmlformats.org/officeDocument/2006/relationships/hyperlink" Target="http://dota.nyoron.co/ti5/main1/1684521403.dem.zip" TargetMode="External"/><Relationship Id="rId136" Type="http://schemas.openxmlformats.org/officeDocument/2006/relationships/hyperlink" Target="http://dota.nyoron.co/ti5/day3/1670592135.dem.zip" TargetMode="External"/><Relationship Id="rId257" Type="http://schemas.openxmlformats.org/officeDocument/2006/relationships/hyperlink" Target="https://www.youtube.com/watch?v=mA17XAP_lpM" TargetMode="External"/><Relationship Id="rId135" Type="http://schemas.openxmlformats.org/officeDocument/2006/relationships/hyperlink" Target="https://www.youtube.com/watch?v=3C0O1i3_vlk" TargetMode="External"/><Relationship Id="rId256" Type="http://schemas.openxmlformats.org/officeDocument/2006/relationships/hyperlink" Target="http://dota.nyoron.co/ti5/main1/1684809000.dem.zip" TargetMode="External"/><Relationship Id="rId134" Type="http://schemas.openxmlformats.org/officeDocument/2006/relationships/hyperlink" Target="https://www.youtube.com/watch?v=K4MEhtL2lyk" TargetMode="External"/><Relationship Id="rId255" Type="http://schemas.openxmlformats.org/officeDocument/2006/relationships/hyperlink" Target="https://www.youtube.com/watch?v=ryc4CZ2mYZ0" TargetMode="External"/><Relationship Id="rId133" Type="http://schemas.openxmlformats.org/officeDocument/2006/relationships/hyperlink" Target="http://dota.nyoron.co/ti5/day3/1670686522.dem.zip" TargetMode="External"/><Relationship Id="rId254" Type="http://schemas.openxmlformats.org/officeDocument/2006/relationships/hyperlink" Target="http://dota.nyoron.co/ti5/main1/1684715899.dem.zip" TargetMode="External"/><Relationship Id="rId62" Type="http://schemas.openxmlformats.org/officeDocument/2006/relationships/hyperlink" Target="http://dota.nyoron.co/ti5/day1/1666460321.dem" TargetMode="External"/><Relationship Id="rId61" Type="http://schemas.openxmlformats.org/officeDocument/2006/relationships/hyperlink" Target="https://www.youtube.com/watch?v=LTf8kSfK_8E" TargetMode="External"/><Relationship Id="rId64" Type="http://schemas.openxmlformats.org/officeDocument/2006/relationships/hyperlink" Target="https://www.youtube.com/watch?v=wjzRKp7RNlw" TargetMode="External"/><Relationship Id="rId63" Type="http://schemas.openxmlformats.org/officeDocument/2006/relationships/hyperlink" Target="http://dota.nyoron.co/ti5/day1/1666577877.dem" TargetMode="External"/><Relationship Id="rId66" Type="http://schemas.openxmlformats.org/officeDocument/2006/relationships/hyperlink" Target="http://dota.nyoron.co/ti5/day1/1666453945.dem" TargetMode="External"/><Relationship Id="rId172" Type="http://schemas.openxmlformats.org/officeDocument/2006/relationships/hyperlink" Target="http://dota.nyoron.co/ti5/day3/1671210956.dem.zip" TargetMode="External"/><Relationship Id="rId293" Type="http://schemas.openxmlformats.org/officeDocument/2006/relationships/hyperlink" Target="http://dota.nyoron.co/ti5/main3/1689659635.dem.zip" TargetMode="External"/><Relationship Id="rId65" Type="http://schemas.openxmlformats.org/officeDocument/2006/relationships/hyperlink" Target="https://www.youtube.com/watch?v=SqAQYAxo_9Y" TargetMode="External"/><Relationship Id="rId171" Type="http://schemas.openxmlformats.org/officeDocument/2006/relationships/hyperlink" Target="https://www.youtube.com/watch?v=jlC1gDeextA" TargetMode="External"/><Relationship Id="rId292" Type="http://schemas.openxmlformats.org/officeDocument/2006/relationships/hyperlink" Target="http://dota.nyoron.co/ti5/main3/1689593268.dem.zip" TargetMode="External"/><Relationship Id="rId68" Type="http://schemas.openxmlformats.org/officeDocument/2006/relationships/hyperlink" Target="https://www.youtube.com/watch?v=0_32IwuLyAo" TargetMode="External"/><Relationship Id="rId170" Type="http://schemas.openxmlformats.org/officeDocument/2006/relationships/hyperlink" Target="https://www.youtube.com/watch?v=zOwOd-Xz0iM" TargetMode="External"/><Relationship Id="rId291" Type="http://schemas.openxmlformats.org/officeDocument/2006/relationships/hyperlink" Target="https://www.youtube.com/watch?v=zdcD5srHXfc" TargetMode="External"/><Relationship Id="rId67" Type="http://schemas.openxmlformats.org/officeDocument/2006/relationships/hyperlink" Target="http://dota.nyoron.co/ti5/day1/1666539842.dem" TargetMode="External"/><Relationship Id="rId290" Type="http://schemas.openxmlformats.org/officeDocument/2006/relationships/hyperlink" Target="https://www.youtube.com/watch?v=X84YOxSqD5s" TargetMode="External"/><Relationship Id="rId60" Type="http://schemas.openxmlformats.org/officeDocument/2006/relationships/hyperlink" Target="http://dota.nyoron.co/ti5/day1/1666424868.dem" TargetMode="External"/><Relationship Id="rId165" Type="http://schemas.openxmlformats.org/officeDocument/2006/relationships/hyperlink" Target="http://dota.nyoron.co/ti5/day3/1671121575.dem.zip" TargetMode="External"/><Relationship Id="rId286" Type="http://schemas.openxmlformats.org/officeDocument/2006/relationships/hyperlink" Target="http://dota.nyoron.co/ti5/main3/1689417916.dem.zip" TargetMode="External"/><Relationship Id="rId69" Type="http://schemas.openxmlformats.org/officeDocument/2006/relationships/hyperlink" Target="https://www.youtube.com/watch?v=LHlyXM9WfkM" TargetMode="External"/><Relationship Id="rId164" Type="http://schemas.openxmlformats.org/officeDocument/2006/relationships/hyperlink" Target="http://dota.nyoron.co/ti5/day3/1670993670.dem.zip" TargetMode="External"/><Relationship Id="rId285" Type="http://schemas.openxmlformats.org/officeDocument/2006/relationships/hyperlink" Target="https://www.youtube.com/watch?v=NqAy7_M3Qs8" TargetMode="External"/><Relationship Id="rId163" Type="http://schemas.openxmlformats.org/officeDocument/2006/relationships/hyperlink" Target="https://www.youtube.com/watch?v=1tvoAU8vnxg" TargetMode="External"/><Relationship Id="rId284" Type="http://schemas.openxmlformats.org/officeDocument/2006/relationships/hyperlink" Target="https://www.youtube.com/watch?v=u-yOM6C4eqw" TargetMode="External"/><Relationship Id="rId162" Type="http://schemas.openxmlformats.org/officeDocument/2006/relationships/hyperlink" Target="https://www.youtube.com/watch?v=Yfhy-YloJb4" TargetMode="External"/><Relationship Id="rId283" Type="http://schemas.openxmlformats.org/officeDocument/2006/relationships/hyperlink" Target="https://www.youtube.com/watch?v=giPCeZiIimk" TargetMode="External"/><Relationship Id="rId169" Type="http://schemas.openxmlformats.org/officeDocument/2006/relationships/hyperlink" Target="http://dota.nyoron.co/ti5/day3/1671274952.dem.zip" TargetMode="External"/><Relationship Id="rId168" Type="http://schemas.openxmlformats.org/officeDocument/2006/relationships/hyperlink" Target="http://dota.nyoron.co/ti5/day3/1671201476.dem.zip" TargetMode="External"/><Relationship Id="rId289" Type="http://schemas.openxmlformats.org/officeDocument/2006/relationships/hyperlink" Target="https://www.youtube.com/watch?v=0b66Sv_taFs" TargetMode="External"/><Relationship Id="rId167" Type="http://schemas.openxmlformats.org/officeDocument/2006/relationships/hyperlink" Target="https://www.youtube.com/watch?v=kXS9gRFnyWo" TargetMode="External"/><Relationship Id="rId288" Type="http://schemas.openxmlformats.org/officeDocument/2006/relationships/hyperlink" Target="http://dota.nyoron.co/ti5/main3/1689526977.dem.zip" TargetMode="External"/><Relationship Id="rId166" Type="http://schemas.openxmlformats.org/officeDocument/2006/relationships/hyperlink" Target="https://www.youtube.com/watch?v=xNQ0LmkzaC4" TargetMode="External"/><Relationship Id="rId287" Type="http://schemas.openxmlformats.org/officeDocument/2006/relationships/hyperlink" Target="http://dota.nyoron.co/ti5/main3/1689486729.dem.zip" TargetMode="External"/><Relationship Id="rId51" Type="http://schemas.openxmlformats.org/officeDocument/2006/relationships/hyperlink" Target="http://dota.nyoron.co/ti5/day1/1666308348.dem" TargetMode="External"/><Relationship Id="rId50" Type="http://schemas.openxmlformats.org/officeDocument/2006/relationships/hyperlink" Target="https://www.youtube.com/watch?v=E4_1EGk9Teo" TargetMode="External"/><Relationship Id="rId53" Type="http://schemas.openxmlformats.org/officeDocument/2006/relationships/hyperlink" Target="https://www.youtube.com/watch?v=6gMewynjFWs" TargetMode="External"/><Relationship Id="rId52" Type="http://schemas.openxmlformats.org/officeDocument/2006/relationships/hyperlink" Target="http://dota.nyoron.co/ti5/day1/1666366213.dem" TargetMode="External"/><Relationship Id="rId55" Type="http://schemas.openxmlformats.org/officeDocument/2006/relationships/hyperlink" Target="http://dota.nyoron.co/ti5/day1/1666276978.dem" TargetMode="External"/><Relationship Id="rId161" Type="http://schemas.openxmlformats.org/officeDocument/2006/relationships/hyperlink" Target="http://dota.nyoron.co/ti5/day3/1671123709.dem.zip" TargetMode="External"/><Relationship Id="rId282" Type="http://schemas.openxmlformats.org/officeDocument/2006/relationships/hyperlink" Target="http://dota.nyoron.co/ti5/main3/1689326808.dem.zip" TargetMode="External"/><Relationship Id="rId54" Type="http://schemas.openxmlformats.org/officeDocument/2006/relationships/hyperlink" Target="https://www.youtube.com/watch?v=O6KThV0k0M8" TargetMode="External"/><Relationship Id="rId160" Type="http://schemas.openxmlformats.org/officeDocument/2006/relationships/hyperlink" Target="http://dota.nyoron.co/ti5/day3/1671063488.dem.zip" TargetMode="External"/><Relationship Id="rId281" Type="http://schemas.openxmlformats.org/officeDocument/2006/relationships/hyperlink" Target="http://dota.nyoron.co/ti5/main3/1689199207.dem.zip" TargetMode="External"/><Relationship Id="rId57" Type="http://schemas.openxmlformats.org/officeDocument/2006/relationships/hyperlink" Target="https://www.youtube.com/watch?v=7Mp8TZUtQXU" TargetMode="External"/><Relationship Id="rId280" Type="http://schemas.openxmlformats.org/officeDocument/2006/relationships/hyperlink" Target="http://dota.nyoron.co/ti5/main3/1689080648.dem.zip" TargetMode="External"/><Relationship Id="rId56" Type="http://schemas.openxmlformats.org/officeDocument/2006/relationships/hyperlink" Target="http://dota.nyoron.co/ti5/day1/1666372636.dem" TargetMode="External"/><Relationship Id="rId159" Type="http://schemas.openxmlformats.org/officeDocument/2006/relationships/hyperlink" Target="https://www.youtube.com/watch?v=EIRrN4fB0tI" TargetMode="External"/><Relationship Id="rId59" Type="http://schemas.openxmlformats.org/officeDocument/2006/relationships/hyperlink" Target="http://dota.nyoron.co/ti5/day1/1666366844.dem" TargetMode="External"/><Relationship Id="rId154" Type="http://schemas.openxmlformats.org/officeDocument/2006/relationships/hyperlink" Target="https://www.youtube.com/watch?v=McmZXmGaDaQ" TargetMode="External"/><Relationship Id="rId275" Type="http://schemas.openxmlformats.org/officeDocument/2006/relationships/hyperlink" Target="http://dota.nyoron.co/ti5/main2/1687199442.dem.zip" TargetMode="External"/><Relationship Id="rId58" Type="http://schemas.openxmlformats.org/officeDocument/2006/relationships/hyperlink" Target="https://www.youtube.com/watch?v=PA7zX_o9gCA" TargetMode="External"/><Relationship Id="rId153" Type="http://schemas.openxmlformats.org/officeDocument/2006/relationships/hyperlink" Target="http://dota.nyoron.co/ti5/day3/1670974602.dem.zip" TargetMode="External"/><Relationship Id="rId274" Type="http://schemas.openxmlformats.org/officeDocument/2006/relationships/hyperlink" Target="https://www.youtube.com/watch?v=0NKu0HlmHzo" TargetMode="External"/><Relationship Id="rId152" Type="http://schemas.openxmlformats.org/officeDocument/2006/relationships/hyperlink" Target="http://dota.nyoron.co/ti5/day3/1670865252.dem.zip" TargetMode="External"/><Relationship Id="rId273" Type="http://schemas.openxmlformats.org/officeDocument/2006/relationships/hyperlink" Target="https://www.youtube.com/watch?v=kh5EjG9IjYw" TargetMode="External"/><Relationship Id="rId151" Type="http://schemas.openxmlformats.org/officeDocument/2006/relationships/hyperlink" Target="https://www.youtube.com/watch?v=g-ZlsNOX4Uo" TargetMode="External"/><Relationship Id="rId272" Type="http://schemas.openxmlformats.org/officeDocument/2006/relationships/hyperlink" Target="http://dota.nyoron.co/ti5/main2/1687118078.dem.zip" TargetMode="External"/><Relationship Id="rId158" Type="http://schemas.openxmlformats.org/officeDocument/2006/relationships/hyperlink" Target="https://www.youtube.com/watch?v=rJW0aKebL2k" TargetMode="External"/><Relationship Id="rId279" Type="http://schemas.openxmlformats.org/officeDocument/2006/relationships/hyperlink" Target="http://dota.nyoron.co/ti5/main2/main2.zip" TargetMode="External"/><Relationship Id="rId157" Type="http://schemas.openxmlformats.org/officeDocument/2006/relationships/hyperlink" Target="http://dota.nyoron.co/ti5/day3/1671129267.dem.zip" TargetMode="External"/><Relationship Id="rId278" Type="http://schemas.openxmlformats.org/officeDocument/2006/relationships/hyperlink" Target="https://www.youtube.com/watch?v=AUkJ7dYbYmk" TargetMode="External"/><Relationship Id="rId156" Type="http://schemas.openxmlformats.org/officeDocument/2006/relationships/hyperlink" Target="http://dota.nyoron.co/ti5/day3/1671067751.dem.zip" TargetMode="External"/><Relationship Id="rId277" Type="http://schemas.openxmlformats.org/officeDocument/2006/relationships/hyperlink" Target="https://www.youtube.com/watch?v=F5eLD_5DHZM" TargetMode="External"/><Relationship Id="rId155" Type="http://schemas.openxmlformats.org/officeDocument/2006/relationships/hyperlink" Target="https://www.youtube.com/watch?v=ezmQNnxpE5c" TargetMode="External"/><Relationship Id="rId276" Type="http://schemas.openxmlformats.org/officeDocument/2006/relationships/hyperlink" Target="http://dota.nyoron.co/ti5/main2/1687304352.dem.zip" TargetMode="External"/><Relationship Id="rId107" Type="http://schemas.openxmlformats.org/officeDocument/2006/relationships/hyperlink" Target="http://dota.nyoron.co/ti5/day2/1668591683.dem.zip" TargetMode="External"/><Relationship Id="rId228" Type="http://schemas.openxmlformats.org/officeDocument/2006/relationships/hyperlink" Target="https://www.youtube.com/watch?v=wvZ_ii_QcAs" TargetMode="External"/><Relationship Id="rId106" Type="http://schemas.openxmlformats.org/officeDocument/2006/relationships/hyperlink" Target="https://www.youtube.com/watch?v=k6pW4mGL9uo" TargetMode="External"/><Relationship Id="rId227" Type="http://schemas.openxmlformats.org/officeDocument/2006/relationships/hyperlink" Target="https://www.youtube.com/watch?v=QJeT0c9BFs4" TargetMode="External"/><Relationship Id="rId105" Type="http://schemas.openxmlformats.org/officeDocument/2006/relationships/hyperlink" Target="https://www.youtube.com/watch?v=jbiAtno9u_M" TargetMode="External"/><Relationship Id="rId226" Type="http://schemas.openxmlformats.org/officeDocument/2006/relationships/hyperlink" Target="http://dota.nyoron.co/ti5/day4/1671210956.dem.zip" TargetMode="External"/><Relationship Id="rId104" Type="http://schemas.openxmlformats.org/officeDocument/2006/relationships/hyperlink" Target="http://dota.nyoron.co/ti5/day2/1668507634.dem.zip" TargetMode="External"/><Relationship Id="rId225" Type="http://schemas.openxmlformats.org/officeDocument/2006/relationships/hyperlink" Target="http://dota.nyoron.co/ti5/day4/1673552043.dem.zip" TargetMode="External"/><Relationship Id="rId109" Type="http://schemas.openxmlformats.org/officeDocument/2006/relationships/hyperlink" Target="https://www.youtube.com/watch?v=0M0aIwPJhJc" TargetMode="External"/><Relationship Id="rId108" Type="http://schemas.openxmlformats.org/officeDocument/2006/relationships/hyperlink" Target="http://dota.nyoron.co/ti5/day2/1668682748.dem.zip" TargetMode="External"/><Relationship Id="rId229" Type="http://schemas.openxmlformats.org/officeDocument/2006/relationships/hyperlink" Target="http://dota.nyoron.co/ti5/day4/1673738064.dem.zip" TargetMode="External"/><Relationship Id="rId220" Type="http://schemas.openxmlformats.org/officeDocument/2006/relationships/hyperlink" Target="https://www.youtube.com/watch?v=UiSv1aZsiGM" TargetMode="External"/><Relationship Id="rId341" Type="http://schemas.openxmlformats.org/officeDocument/2006/relationships/hyperlink" Target="http://dota.nyoron.co/ti5/main6/1697737102.dem.zip" TargetMode="External"/><Relationship Id="rId340" Type="http://schemas.openxmlformats.org/officeDocument/2006/relationships/hyperlink" Target="http://dota.nyoron.co/ti5/main6/1697676707.dem.zip" TargetMode="External"/><Relationship Id="rId103" Type="http://schemas.openxmlformats.org/officeDocument/2006/relationships/hyperlink" Target="http://dota.nyoron.co/ti5/day2/1668432255m.zip" TargetMode="External"/><Relationship Id="rId224" Type="http://schemas.openxmlformats.org/officeDocument/2006/relationships/hyperlink" Target="https://www.youtube.com/watch?v=HYKtl1jcQXE" TargetMode="External"/><Relationship Id="rId345" Type="http://schemas.openxmlformats.org/officeDocument/2006/relationships/drawing" Target="../drawings/worksheetdrawing1.xml"/><Relationship Id="rId102" Type="http://schemas.openxmlformats.org/officeDocument/2006/relationships/hyperlink" Target="https://www.youtube.com/watch?v=3HvYsDzjdX8" TargetMode="External"/><Relationship Id="rId223" Type="http://schemas.openxmlformats.org/officeDocument/2006/relationships/hyperlink" Target="https://www.youtube.com/watch?v=J3ycQrlr7YE" TargetMode="External"/><Relationship Id="rId344" Type="http://schemas.openxmlformats.org/officeDocument/2006/relationships/hyperlink" Target="http://dota.nyoron.co/ti5/main6/main6.zip" TargetMode="External"/><Relationship Id="rId101" Type="http://schemas.openxmlformats.org/officeDocument/2006/relationships/hyperlink" Target="https://www.youtube.com/watch?v=98adVmcapNw" TargetMode="External"/><Relationship Id="rId222" Type="http://schemas.openxmlformats.org/officeDocument/2006/relationships/hyperlink" Target="http://dota.nyoron.co/ti5/day4/1671210956.dem.zip" TargetMode="External"/><Relationship Id="rId343" Type="http://schemas.openxmlformats.org/officeDocument/2006/relationships/hyperlink" Target="https://www.youtube.com/watch?v=6u2NuuVLFT0" TargetMode="External"/><Relationship Id="rId100" Type="http://schemas.openxmlformats.org/officeDocument/2006/relationships/hyperlink" Target="http://dota.nyoron.co/ti5/day2/1668506691.dem.zip" TargetMode="External"/><Relationship Id="rId221" Type="http://schemas.openxmlformats.org/officeDocument/2006/relationships/hyperlink" Target="http://dota.nyoron.co/ti5/day4/1673558412.dem.zip" TargetMode="External"/><Relationship Id="rId342" Type="http://schemas.openxmlformats.org/officeDocument/2006/relationships/hyperlink" Target="http://dota.nyoron.co/ti5/main6/1697818230.dem.zip" TargetMode="External"/><Relationship Id="rId217" Type="http://schemas.openxmlformats.org/officeDocument/2006/relationships/hyperlink" Target="http://dota.nyoron.co/ti5/day4/1673584099.dem.zip" TargetMode="External"/><Relationship Id="rId338" Type="http://schemas.openxmlformats.org/officeDocument/2006/relationships/hyperlink" Target="https://www.youtube.com/watch?v=hAjuVR8Etms" TargetMode="External"/><Relationship Id="rId216" Type="http://schemas.openxmlformats.org/officeDocument/2006/relationships/hyperlink" Target="https://www.youtube.com/watch?v=9xTpZDUo90A" TargetMode="External"/><Relationship Id="rId337" Type="http://schemas.openxmlformats.org/officeDocument/2006/relationships/hyperlink" Target="https://www.youtube.com/watch?v=6o4gldDfglI" TargetMode="External"/><Relationship Id="rId215" Type="http://schemas.openxmlformats.org/officeDocument/2006/relationships/hyperlink" Target="https://www.youtube.com/watch?v=RqJhmVrp5Ec" TargetMode="External"/><Relationship Id="rId336" Type="http://schemas.openxmlformats.org/officeDocument/2006/relationships/hyperlink" Target="http://dota.nyoron.co/ti5/main6/1697367568.dem.zip" TargetMode="External"/><Relationship Id="rId214" Type="http://schemas.openxmlformats.org/officeDocument/2006/relationships/hyperlink" Target="http://dota.nyoron.co/ti5/day4/1671210956.dem.zip" TargetMode="External"/><Relationship Id="rId335" Type="http://schemas.openxmlformats.org/officeDocument/2006/relationships/hyperlink" Target="http://dota.nyoron.co/ti5/main6/1697230041.dem.zip" TargetMode="External"/><Relationship Id="rId219" Type="http://schemas.openxmlformats.org/officeDocument/2006/relationships/hyperlink" Target="https://www.youtube.com/watch?v=CwBCX_84Cxs" TargetMode="External"/><Relationship Id="rId218" Type="http://schemas.openxmlformats.org/officeDocument/2006/relationships/hyperlink" Target="http://dota.nyoron.co/ti5/day4/1671210956.dem.zip" TargetMode="External"/><Relationship Id="rId339" Type="http://schemas.openxmlformats.org/officeDocument/2006/relationships/hyperlink" Target="http://dota.nyoron.co/ti5/main6/1697618202.dem.zip" TargetMode="External"/><Relationship Id="rId330" Type="http://schemas.openxmlformats.org/officeDocument/2006/relationships/hyperlink" Target="http://dota.nyoron.co/ti5/main5/1694785141.dem.zip" TargetMode="External"/><Relationship Id="rId213" Type="http://schemas.openxmlformats.org/officeDocument/2006/relationships/hyperlink" Target="http://dota.nyoron.co/ti5/day4/1673341849.dem.zip" TargetMode="External"/><Relationship Id="rId334" Type="http://schemas.openxmlformats.org/officeDocument/2006/relationships/hyperlink" Target="http://dota.nyoron.co/ti5/main5/main5.zip" TargetMode="External"/><Relationship Id="rId212" Type="http://schemas.openxmlformats.org/officeDocument/2006/relationships/hyperlink" Target="https://www.youtube.com/watch?v=ymaM_oKIXd0" TargetMode="External"/><Relationship Id="rId333" Type="http://schemas.openxmlformats.org/officeDocument/2006/relationships/hyperlink" Target="https://www.youtube.com/watch?v=6-5pzlNhjoc" TargetMode="External"/><Relationship Id="rId211" Type="http://schemas.openxmlformats.org/officeDocument/2006/relationships/hyperlink" Target="https://www.youtube.com/watch?v=OiNENlv_dt4" TargetMode="External"/><Relationship Id="rId332" Type="http://schemas.openxmlformats.org/officeDocument/2006/relationships/hyperlink" Target="https://www.youtube.com/watch?v=Y__m6Ocn9RY" TargetMode="External"/><Relationship Id="rId210" Type="http://schemas.openxmlformats.org/officeDocument/2006/relationships/hyperlink" Target="http://dota.nyoron.co/ti5/day3/1671210956.dem.zip" TargetMode="External"/><Relationship Id="rId331" Type="http://schemas.openxmlformats.org/officeDocument/2006/relationships/hyperlink" Target="https://www.youtube.com/watch?v=XI6mtz9c7V0" TargetMode="External"/><Relationship Id="rId129" Type="http://schemas.openxmlformats.org/officeDocument/2006/relationships/hyperlink" Target="https://www.youtube.com/watch?v=MG5d5xEak7Y" TargetMode="External"/><Relationship Id="rId128" Type="http://schemas.openxmlformats.org/officeDocument/2006/relationships/hyperlink" Target="http://dota.nyoron.co/ti5/day2/1668792831.dem.zip" TargetMode="External"/><Relationship Id="rId249" Type="http://schemas.openxmlformats.org/officeDocument/2006/relationships/hyperlink" Target="https://www.youtube.com/watch?v=OnyuIiMvR70" TargetMode="External"/><Relationship Id="rId127" Type="http://schemas.openxmlformats.org/officeDocument/2006/relationships/hyperlink" Target="http://dota.nyoron.co/ti5/day2/1668725839.dem.zip" TargetMode="External"/><Relationship Id="rId248" Type="http://schemas.openxmlformats.org/officeDocument/2006/relationships/hyperlink" Target="https://www.youtube.com/watch?v=-ZwMsUkeMF4" TargetMode="External"/><Relationship Id="rId126" Type="http://schemas.openxmlformats.org/officeDocument/2006/relationships/hyperlink" Target="https://www.youtube.com/watch?v=Usi-so3vjzc" TargetMode="External"/><Relationship Id="rId247" Type="http://schemas.openxmlformats.org/officeDocument/2006/relationships/hyperlink" Target="https://www.youtube.com/watch?v=ltqU33emEVE" TargetMode="External"/><Relationship Id="rId121" Type="http://schemas.openxmlformats.org/officeDocument/2006/relationships/hyperlink" Target="https://www.youtube.com/watch?v=gNT90mSMXwQ" TargetMode="External"/><Relationship Id="rId242" Type="http://schemas.openxmlformats.org/officeDocument/2006/relationships/hyperlink" Target="https://www.youtube.com/watch?v=rLWgDP-CHck" TargetMode="External"/><Relationship Id="rId120" Type="http://schemas.openxmlformats.org/officeDocument/2006/relationships/hyperlink" Target="http://dota.nyoron.co/ti5/day2/1668839023.dem.zip" TargetMode="External"/><Relationship Id="rId241" Type="http://schemas.openxmlformats.org/officeDocument/2006/relationships/hyperlink" Target="https://www.youtube.com/watch?v=TwVB6_d_7RY" TargetMode="External"/><Relationship Id="rId240" Type="http://schemas.openxmlformats.org/officeDocument/2006/relationships/hyperlink" Target="https://www.youtube.com/watch?v=R_t_xGYzZYo" TargetMode="External"/><Relationship Id="rId125" Type="http://schemas.openxmlformats.org/officeDocument/2006/relationships/hyperlink" Target="https://www.youtube.com/watch?v=MG5d5xEak7Y" TargetMode="External"/><Relationship Id="rId246" Type="http://schemas.openxmlformats.org/officeDocument/2006/relationships/hyperlink" Target="http://dota.nyoron.co/ti5/main1/1684419960.dem.zip" TargetMode="External"/><Relationship Id="rId124" Type="http://schemas.openxmlformats.org/officeDocument/2006/relationships/hyperlink" Target="http://dota.nyoron.co/ti5/day2/1668862986.dem.zip" TargetMode="External"/><Relationship Id="rId245" Type="http://schemas.openxmlformats.org/officeDocument/2006/relationships/hyperlink" Target="http://dota.nyoron.co/ti5/main1/1684334726.dem.zip" TargetMode="External"/><Relationship Id="rId123" Type="http://schemas.openxmlformats.org/officeDocument/2006/relationships/hyperlink" Target="http://dota.nyoron.co/ti5/day2/1668758379.dem.zip" TargetMode="External"/><Relationship Id="rId244" Type="http://schemas.openxmlformats.org/officeDocument/2006/relationships/hyperlink" Target="http://dota.nyoron.co/ti5/main1/1684227514.dem.zip" TargetMode="External"/><Relationship Id="rId122" Type="http://schemas.openxmlformats.org/officeDocument/2006/relationships/hyperlink" Target="https://www.youtube.com/watch?v=GLv39_wJwH4" TargetMode="External"/><Relationship Id="rId243" Type="http://schemas.openxmlformats.org/officeDocument/2006/relationships/hyperlink" Target="http://dota.nyoron.co/ti5/day4/day4.zip" TargetMode="External"/><Relationship Id="rId95" Type="http://schemas.openxmlformats.org/officeDocument/2006/relationships/hyperlink" Target="http://dota.nyoron.co/ti5/day2/1668434795.dem.zip" TargetMode="External"/><Relationship Id="rId94" Type="http://schemas.openxmlformats.org/officeDocument/2006/relationships/hyperlink" Target="https://www.youtube.com/watch?v=o401iY1y3fU" TargetMode="External"/><Relationship Id="rId97" Type="http://schemas.openxmlformats.org/officeDocument/2006/relationships/hyperlink" Target="https://www.youtube.com/watch?v=tROu9UEbYjU" TargetMode="External"/><Relationship Id="rId96" Type="http://schemas.openxmlformats.org/officeDocument/2006/relationships/hyperlink" Target="http://dota.nyoron.co/ti5/day2/1668493996.dem.zip" TargetMode="External"/><Relationship Id="rId99" Type="http://schemas.openxmlformats.org/officeDocument/2006/relationships/hyperlink" Target="http://dota.nyoron.co/ti5/day2/1668437721.dem.zip" TargetMode="External"/><Relationship Id="rId98" Type="http://schemas.openxmlformats.org/officeDocument/2006/relationships/hyperlink" Target="https://www.youtube.com/watch?v=6K8BcMp1A9U" TargetMode="External"/><Relationship Id="rId91" Type="http://schemas.openxmlformats.org/officeDocument/2006/relationships/hyperlink" Target="http://dota.nyoron.co/ti5/day2/1668245426.dem.zip" TargetMode="External"/><Relationship Id="rId90" Type="http://schemas.openxmlformats.org/officeDocument/2006/relationships/hyperlink" Target="https://www.youtube.com/watch?v=_k_aiSjaNMs" TargetMode="External"/><Relationship Id="rId93" Type="http://schemas.openxmlformats.org/officeDocument/2006/relationships/hyperlink" Target="https://www.youtube.com/watch?v=ZGKAb5-pZcE" TargetMode="External"/><Relationship Id="rId92" Type="http://schemas.openxmlformats.org/officeDocument/2006/relationships/hyperlink" Target="http://dota.nyoron.co/ti5/day2/1668338643.dem.zip" TargetMode="External"/><Relationship Id="rId118" Type="http://schemas.openxmlformats.org/officeDocument/2006/relationships/hyperlink" Target="https://www.youtube.com/watch?v=08Qb3EkV4p4" TargetMode="External"/><Relationship Id="rId239" Type="http://schemas.openxmlformats.org/officeDocument/2006/relationships/hyperlink" Target="http://dota.nyoron.co/ti5/day4/1674031017.dem.zip" TargetMode="External"/><Relationship Id="rId117" Type="http://schemas.openxmlformats.org/officeDocument/2006/relationships/hyperlink" Target="https://www.youtube.com/watch?v=vjtqDqyh8WY" TargetMode="External"/><Relationship Id="rId238" Type="http://schemas.openxmlformats.org/officeDocument/2006/relationships/hyperlink" Target="http://dota.nyoron.co/ti5/day4/1673941543.dem.zip" TargetMode="External"/><Relationship Id="rId116" Type="http://schemas.openxmlformats.org/officeDocument/2006/relationships/hyperlink" Target="http://dota.nyoron.co/ti5/day2/1668646062.dem.zip" TargetMode="External"/><Relationship Id="rId237" Type="http://schemas.openxmlformats.org/officeDocument/2006/relationships/hyperlink" Target="http://dota.nyoron.co/ti5/day4/1673865688.dem.zip" TargetMode="External"/><Relationship Id="rId115" Type="http://schemas.openxmlformats.org/officeDocument/2006/relationships/hyperlink" Target="http://dota.nyoron.co/ti5/day2/1668579624.dem.zip" TargetMode="External"/><Relationship Id="rId236" Type="http://schemas.openxmlformats.org/officeDocument/2006/relationships/hyperlink" Target="https://www.youtube.com/watch?v=EZiEmbxkGIQ" TargetMode="External"/><Relationship Id="rId119" Type="http://schemas.openxmlformats.org/officeDocument/2006/relationships/hyperlink" Target="http://dota.nyoron.co/ti5/day2/1668751522.dem.zip" TargetMode="External"/><Relationship Id="rId110" Type="http://schemas.openxmlformats.org/officeDocument/2006/relationships/hyperlink" Target="https://www.youtube.com/watch?v=1y0rcw7CsYs" TargetMode="External"/><Relationship Id="rId231" Type="http://schemas.openxmlformats.org/officeDocument/2006/relationships/hyperlink" Target="https://www.youtube.com/watch?v=ztdcWoN9hE4" TargetMode="External"/><Relationship Id="rId230" Type="http://schemas.openxmlformats.org/officeDocument/2006/relationships/hyperlink" Target="http://dota.nyoron.co/ti5/day4/1673789962.dem.zip" TargetMode="External"/><Relationship Id="rId114" Type="http://schemas.openxmlformats.org/officeDocument/2006/relationships/hyperlink" Target="https://www.youtube.com/watch?v=nj-Ysmg5I6c" TargetMode="External"/><Relationship Id="rId235" Type="http://schemas.openxmlformats.org/officeDocument/2006/relationships/hyperlink" Target="https://www.youtube.com/watch?v=G6FtPFKTniA" TargetMode="External"/><Relationship Id="rId113" Type="http://schemas.openxmlformats.org/officeDocument/2006/relationships/hyperlink" Target="https://www.youtube.com/watch?v=Guu5y6I9eFA" TargetMode="External"/><Relationship Id="rId234" Type="http://schemas.openxmlformats.org/officeDocument/2006/relationships/hyperlink" Target="http://dota.nyoron.co/ti5/day4/1673815749.dem.zip" TargetMode="External"/><Relationship Id="rId112" Type="http://schemas.openxmlformats.org/officeDocument/2006/relationships/hyperlink" Target="http://dota.nyoron.co/ti5/day2/1668613457.dem.zip" TargetMode="External"/><Relationship Id="rId233" Type="http://schemas.openxmlformats.org/officeDocument/2006/relationships/hyperlink" Target="http://dota.nyoron.co/ti5/day4/1673748036.dem.zip" TargetMode="External"/><Relationship Id="rId111" Type="http://schemas.openxmlformats.org/officeDocument/2006/relationships/hyperlink" Target="http://dota.nyoron.co/ti5/day2/1668556845.dem.zip" TargetMode="External"/><Relationship Id="rId232" Type="http://schemas.openxmlformats.org/officeDocument/2006/relationships/hyperlink" Target="https://www.youtube.com/watch?v=dD2IP-TG_XQ" TargetMode="External"/><Relationship Id="rId305" Type="http://schemas.openxmlformats.org/officeDocument/2006/relationships/hyperlink" Target="https://www.youtube.com/watch?v=H9J2qqjQh8U" TargetMode="External"/><Relationship Id="rId304" Type="http://schemas.openxmlformats.org/officeDocument/2006/relationships/hyperlink" Target="http://dota.nyoron.co/ti5/main4/1691714801.dem.zip" TargetMode="External"/><Relationship Id="rId303" Type="http://schemas.openxmlformats.org/officeDocument/2006/relationships/hyperlink" Target="http://dota.nyoron.co/ti5/main4/1691612847.dem.zip" TargetMode="External"/><Relationship Id="rId302" Type="http://schemas.openxmlformats.org/officeDocument/2006/relationships/hyperlink" Target="http://dota.nyoron.co/ti5/main3/main3.zip" TargetMode="External"/><Relationship Id="rId309" Type="http://schemas.openxmlformats.org/officeDocument/2006/relationships/hyperlink" Target="http://dota.nyoron.co/ti5/main4/1691952611.dem.zip" TargetMode="External"/><Relationship Id="rId308" Type="http://schemas.openxmlformats.org/officeDocument/2006/relationships/hyperlink" Target="http://dota.nyoron.co/ti5/main4/1691887181.dem.zip" TargetMode="External"/><Relationship Id="rId307" Type="http://schemas.openxmlformats.org/officeDocument/2006/relationships/hyperlink" Target="http://dota.nyoron.co/ti5/main4/1691817562.dem.zip" TargetMode="External"/><Relationship Id="rId306" Type="http://schemas.openxmlformats.org/officeDocument/2006/relationships/hyperlink" Target="https://www.youtube.com/watch?v=DkVMh8faQI0" TargetMode="External"/><Relationship Id="rId301" Type="http://schemas.openxmlformats.org/officeDocument/2006/relationships/hyperlink" Target="https://www.youtube.com/watch?v=I7_2zJK_ypU" TargetMode="External"/><Relationship Id="rId300" Type="http://schemas.openxmlformats.org/officeDocument/2006/relationships/hyperlink" Target="https://www.youtube.com/watch?v=Nipm4KqSAgA" TargetMode="External"/><Relationship Id="rId206" Type="http://schemas.openxmlformats.org/officeDocument/2006/relationships/hyperlink" Target="http://dota.nyoron.co/ti5/day4/1673477884.dem.zip" TargetMode="External"/><Relationship Id="rId327" Type="http://schemas.openxmlformats.org/officeDocument/2006/relationships/hyperlink" Target="https://www.youtube.com/watch?v=_nch0l8mZ30" TargetMode="External"/><Relationship Id="rId205" Type="http://schemas.openxmlformats.org/officeDocument/2006/relationships/hyperlink" Target="http://dota.nyoron.co/ti5/day4/1673371349.dem.zip" TargetMode="External"/><Relationship Id="rId326" Type="http://schemas.openxmlformats.org/officeDocument/2006/relationships/hyperlink" Target="https://www.youtube.com/watch?v=LdCcooLh7VI" TargetMode="External"/><Relationship Id="rId204" Type="http://schemas.openxmlformats.org/officeDocument/2006/relationships/hyperlink" Target="https://www.youtube.com/watch?v=yuAfC9cNIsA" TargetMode="External"/><Relationship Id="rId325" Type="http://schemas.openxmlformats.org/officeDocument/2006/relationships/hyperlink" Target="http://dota.nyoron.co/ti5/main5/1694607827.dem.zip" TargetMode="External"/><Relationship Id="rId203" Type="http://schemas.openxmlformats.org/officeDocument/2006/relationships/hyperlink" Target="https://www.youtube.com/watch?v=KpWb55bc8Zk" TargetMode="External"/><Relationship Id="rId324" Type="http://schemas.openxmlformats.org/officeDocument/2006/relationships/hyperlink" Target="http://dota.nyoron.co/ti5/main5/1694506494.dem.zip" TargetMode="External"/><Relationship Id="rId209" Type="http://schemas.openxmlformats.org/officeDocument/2006/relationships/hyperlink" Target="http://dota.nyoron.co/ti5/day4/1673354401.dem.zip" TargetMode="External"/><Relationship Id="rId208" Type="http://schemas.openxmlformats.org/officeDocument/2006/relationships/hyperlink" Target="https://www.youtube.com/watch?v=HMExfEWtTLs" TargetMode="External"/><Relationship Id="rId329" Type="http://schemas.openxmlformats.org/officeDocument/2006/relationships/hyperlink" Target="http://dota.nyoron.co/ti5/main5/1694734460.dem.zip" TargetMode="External"/><Relationship Id="rId207" Type="http://schemas.openxmlformats.org/officeDocument/2006/relationships/hyperlink" Target="https://www.youtube.com/watch?v=bI_6mGdjDzo" TargetMode="External"/><Relationship Id="rId328" Type="http://schemas.openxmlformats.org/officeDocument/2006/relationships/hyperlink" Target="http://dota.nyoron.co/ti5/main5/1694672562.dem.zip" TargetMode="External"/><Relationship Id="rId202" Type="http://schemas.openxmlformats.org/officeDocument/2006/relationships/hyperlink" Target="http://dota.nyoron.co/ti5/day4/1673208977.dem.zip" TargetMode="External"/><Relationship Id="rId323" Type="http://schemas.openxmlformats.org/officeDocument/2006/relationships/hyperlink" Target="https://www.youtube.com/watch?v=vr3wbH-4iQ0" TargetMode="External"/><Relationship Id="rId201" Type="http://schemas.openxmlformats.org/officeDocument/2006/relationships/hyperlink" Target="http://dota.nyoron.co/ti5/day4/1673078706.dem.zip" TargetMode="External"/><Relationship Id="rId322" Type="http://schemas.openxmlformats.org/officeDocument/2006/relationships/hyperlink" Target="https://www.youtube.com/watch?v=_CM_M-inl1w" TargetMode="External"/><Relationship Id="rId200" Type="http://schemas.openxmlformats.org/officeDocument/2006/relationships/hyperlink" Target="https://www.youtube.com/watch?v=WfkJj-mYQcw" TargetMode="External"/><Relationship Id="rId321" Type="http://schemas.openxmlformats.org/officeDocument/2006/relationships/hyperlink" Target="http://dota.nyoron.co/ti5/main5/1694392262.dem.zip" TargetMode="External"/><Relationship Id="rId320" Type="http://schemas.openxmlformats.org/officeDocument/2006/relationships/hyperlink" Target="http://dota.nyoron.co/ti5/main5/1694261668.dem.zip" TargetMode="External"/><Relationship Id="rId316" Type="http://schemas.openxmlformats.org/officeDocument/2006/relationships/hyperlink" Target="https://www.youtube.com/watch?v=S-oMpfj0FDw" TargetMode="External"/><Relationship Id="rId315" Type="http://schemas.openxmlformats.org/officeDocument/2006/relationships/hyperlink" Target="https://www.youtube.com/watch?v=RyPEqre6EPI" TargetMode="External"/><Relationship Id="rId314" Type="http://schemas.openxmlformats.org/officeDocument/2006/relationships/hyperlink" Target="http://dota.nyoron.co/ti5/main4/1692105377.dem.zip" TargetMode="External"/><Relationship Id="rId313" Type="http://schemas.openxmlformats.org/officeDocument/2006/relationships/hyperlink" Target="http://dota.nyoron.co/ti5/main4/1692027822.dem.zip" TargetMode="External"/><Relationship Id="rId319" Type="http://schemas.openxmlformats.org/officeDocument/2006/relationships/hyperlink" Target="http://dota.nyoron.co/ti5/main4/main4.zip" TargetMode="External"/><Relationship Id="rId318" Type="http://schemas.openxmlformats.org/officeDocument/2006/relationships/hyperlink" Target="https://www.youtube.com/watch?v=ltMsrON0xcM" TargetMode="External"/><Relationship Id="rId317" Type="http://schemas.openxmlformats.org/officeDocument/2006/relationships/hyperlink" Target="https://www.youtube.com/watch?v=CnAPQQ5t0JM" TargetMode="External"/><Relationship Id="rId312" Type="http://schemas.openxmlformats.org/officeDocument/2006/relationships/hyperlink" Target="https://www.youtube.com/watch?v=pwMNCFyxUXg" TargetMode="External"/><Relationship Id="rId311" Type="http://schemas.openxmlformats.org/officeDocument/2006/relationships/hyperlink" Target="https://www.youtube.com/watch?v=TEOYTopk4-Y" TargetMode="External"/><Relationship Id="rId310" Type="http://schemas.openxmlformats.org/officeDocument/2006/relationships/hyperlink" Target="https://www.youtube.com/watch?v=VFgmfzNFfT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tabuff.com/matches/1663382647" TargetMode="External"/><Relationship Id="rId2" Type="http://schemas.openxmlformats.org/officeDocument/2006/relationships/hyperlink" Target="http://www.dotabuff.com/matches/1663365687" TargetMode="External"/><Relationship Id="rId3" Type="http://schemas.openxmlformats.org/officeDocument/2006/relationships/drawing" Target="../drawings/worksheetdrawing3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1.57"/>
    <col customWidth="1" min="3" max="3" width="7.71"/>
    <col customWidth="1" min="4" max="4" width="6.71"/>
    <col customWidth="1" min="5" max="5" width="6.43"/>
    <col customWidth="1" min="6" max="6" width="7.43"/>
    <col customWidth="1" min="7" max="7" width="6.29"/>
    <col customWidth="1" min="8" max="8" width="6.71"/>
    <col customWidth="1" min="10" max="10" width="4.29"/>
    <col customWidth="1" min="12" max="12" width="18.43"/>
    <col customWidth="1" min="13" max="13" width="12.71"/>
    <col customWidth="1" min="14" max="14" width="13.14"/>
    <col customWidth="1" min="15" max="15" width="15.71"/>
    <col customWidth="1" min="16" max="16" width="22.86"/>
    <col customWidth="1" min="17" max="17" width="21.29"/>
    <col customWidth="1" min="18" max="18" width="38.43"/>
    <col customWidth="1" min="19" max="19" width="15.86"/>
    <col customWidth="1" min="20" max="20" width="10.29"/>
    <col customWidth="1" min="23" max="23" width="7.14"/>
    <col customWidth="1" min="24" max="24" width="16.71"/>
    <col customWidth="1" min="25" max="25" width="5.43"/>
    <col customWidth="1" min="26" max="26" width="17.14"/>
  </cols>
  <sheetData>
    <row r="1" ht="68.25" customHeight="1">
      <c r="A1" s="1" t="s">
        <v>0</v>
      </c>
      <c r="L1" s="2" t="s">
        <v>1</v>
      </c>
      <c r="P1" s="3"/>
      <c r="Q1" s="3"/>
      <c r="R1" s="3"/>
      <c r="S1" s="4"/>
      <c r="T1" s="5"/>
      <c r="U1" s="6"/>
      <c r="V1" s="6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ht="75.0" customHeight="1">
      <c r="A2" s="9" t="s">
        <v>2</v>
      </c>
      <c r="L2" s="10" t="s">
        <v>3</v>
      </c>
      <c r="P2" s="11"/>
      <c r="Q2" s="11"/>
      <c r="R2" s="11"/>
      <c r="S2" s="4" t="s">
        <v>4</v>
      </c>
      <c r="T2" s="5"/>
      <c r="U2" s="6"/>
      <c r="V2" s="6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ht="39.75" customHeight="1">
      <c r="A3" s="12" t="str">
        <f>HYPERLINK("https://www.reddit.com/r/DotA2/comments/3eb4nn/google_calendar_of_all_ti5_games_with_times/","Don't forget to check out /u/muricanredditor's calendar")</f>
        <v>Don't forget to check out /u/muricanredditor's calendar</v>
      </c>
      <c r="P3" s="13" t="s">
        <v>4</v>
      </c>
      <c r="Q3" s="13"/>
      <c r="R3" s="13"/>
      <c r="S3" s="14" t="s">
        <v>5</v>
      </c>
      <c r="U3" s="15"/>
      <c r="V3" s="16"/>
      <c r="W3" s="17"/>
      <c r="X3" s="17"/>
      <c r="Y3" s="18"/>
      <c r="Z3" s="18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</row>
    <row r="4">
      <c r="A4" s="20" t="s">
        <v>6</v>
      </c>
      <c r="L4" s="21" t="s">
        <v>7</v>
      </c>
      <c r="P4" s="13"/>
      <c r="Q4" s="13"/>
      <c r="R4" s="13"/>
      <c r="U4" s="15"/>
      <c r="V4" s="16"/>
      <c r="W4" s="17"/>
      <c r="X4" s="17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</row>
    <row r="5">
      <c r="A5" s="17"/>
      <c r="B5" s="22"/>
      <c r="C5" s="17"/>
      <c r="D5" s="17"/>
      <c r="E5" s="17"/>
      <c r="F5" s="17"/>
      <c r="G5" s="17"/>
      <c r="H5" s="17"/>
      <c r="I5" s="17"/>
      <c r="J5" s="18"/>
      <c r="K5" s="17"/>
      <c r="L5" s="17"/>
      <c r="M5" s="13"/>
      <c r="N5" s="13"/>
      <c r="O5" s="23"/>
      <c r="P5" s="13"/>
      <c r="Q5" s="13"/>
      <c r="R5" s="13"/>
      <c r="U5" s="15"/>
      <c r="V5" s="16"/>
      <c r="W5" s="17"/>
      <c r="X5" s="24" t="s">
        <v>8</v>
      </c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>
      <c r="A6" s="25"/>
      <c r="B6" s="26"/>
      <c r="C6" s="25"/>
      <c r="D6" s="25"/>
      <c r="E6" s="25"/>
      <c r="F6" s="25"/>
      <c r="G6" s="25"/>
      <c r="H6" s="25"/>
      <c r="I6" s="25"/>
      <c r="J6" s="27"/>
      <c r="K6" s="25"/>
      <c r="L6" s="25"/>
      <c r="M6" s="25"/>
      <c r="N6" s="25"/>
      <c r="O6" s="28"/>
      <c r="P6" s="25"/>
      <c r="Q6" s="25"/>
      <c r="R6" s="25"/>
      <c r="U6" s="15"/>
      <c r="V6" s="16"/>
      <c r="W6" s="17"/>
      <c r="X6" s="17"/>
      <c r="Y6" s="18"/>
      <c r="Z6" s="18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>
      <c r="A7" s="17"/>
      <c r="B7" s="22"/>
      <c r="C7" s="17" t="s">
        <v>9</v>
      </c>
      <c r="I7" s="17"/>
      <c r="J7" s="18"/>
      <c r="K7" s="17"/>
      <c r="L7" s="17"/>
      <c r="M7" s="17" t="s">
        <v>10</v>
      </c>
      <c r="P7" s="17"/>
      <c r="Q7" s="17"/>
      <c r="R7" s="17"/>
      <c r="U7" s="15"/>
      <c r="V7" s="16"/>
      <c r="W7" s="17"/>
      <c r="X7" s="17"/>
      <c r="Y7" s="18"/>
      <c r="Z7" s="18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7" t="s">
        <v>11</v>
      </c>
      <c r="B8" s="29" t="s">
        <v>12</v>
      </c>
      <c r="C8" s="30" t="s">
        <v>13</v>
      </c>
      <c r="D8" s="31" t="s">
        <v>14</v>
      </c>
      <c r="E8" s="32" t="s">
        <v>15</v>
      </c>
      <c r="F8" s="33" t="s">
        <v>16</v>
      </c>
      <c r="G8" s="34" t="s">
        <v>17</v>
      </c>
      <c r="H8" s="35" t="s">
        <v>18</v>
      </c>
      <c r="I8" s="17" t="s">
        <v>19</v>
      </c>
      <c r="J8" s="18"/>
      <c r="K8" s="17" t="s">
        <v>20</v>
      </c>
      <c r="L8" s="36" t="s">
        <v>21</v>
      </c>
      <c r="M8" s="37" t="s">
        <v>22</v>
      </c>
      <c r="N8" s="17" t="s">
        <v>23</v>
      </c>
      <c r="O8" s="38" t="s">
        <v>24</v>
      </c>
      <c r="P8" s="39" t="s">
        <v>25</v>
      </c>
      <c r="U8" s="15"/>
      <c r="V8" s="15"/>
      <c r="W8" s="40"/>
      <c r="X8" s="40"/>
      <c r="Y8" s="40"/>
      <c r="Z8" s="40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27"/>
      <c r="B9" s="41"/>
      <c r="C9" s="30" t="s">
        <v>26</v>
      </c>
      <c r="D9" s="42"/>
      <c r="E9" s="32" t="s">
        <v>27</v>
      </c>
      <c r="F9" s="43"/>
      <c r="G9" s="44"/>
      <c r="H9" s="45"/>
      <c r="I9" s="46"/>
      <c r="J9" s="46"/>
      <c r="K9" s="46"/>
      <c r="L9" s="47"/>
      <c r="M9" s="48"/>
      <c r="N9" s="27"/>
      <c r="O9" s="49"/>
      <c r="P9" s="27"/>
      <c r="Q9" s="27"/>
      <c r="R9" s="50"/>
      <c r="S9" s="51" t="s">
        <v>28</v>
      </c>
      <c r="U9" s="52" t="s">
        <v>29</v>
      </c>
      <c r="V9" s="53" t="s">
        <v>30</v>
      </c>
      <c r="W9" s="18"/>
      <c r="X9" s="18"/>
      <c r="Y9" s="18"/>
      <c r="Z9" s="18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54" t="s">
        <v>31</v>
      </c>
      <c r="B10" s="55">
        <v>42211.0</v>
      </c>
      <c r="C10" s="56">
        <v>0.7083333333333334</v>
      </c>
      <c r="D10" s="57">
        <v>0.375</v>
      </c>
      <c r="E10" s="58">
        <v>0.5</v>
      </c>
      <c r="F10" s="59">
        <v>0.75</v>
      </c>
      <c r="G10" s="60">
        <v>0.0</v>
      </c>
      <c r="H10" s="61">
        <v>0.08333333333333333</v>
      </c>
      <c r="I10" s="62" t="s">
        <v>32</v>
      </c>
      <c r="J10" s="62" t="s">
        <v>33</v>
      </c>
      <c r="K10" s="63" t="s">
        <v>34</v>
      </c>
      <c r="L10" s="64"/>
      <c r="M10" s="65" t="str">
        <f>HYPERLINK("http://dota.nyoron.co/ti5/wildcards/1663382647.dem","1663382647")</f>
        <v>1663382647</v>
      </c>
      <c r="N10" s="66" t="str">
        <f>HYPERLINK("http://dota.nyoron.co/ti5/wildcards/1663505929.dem","1663505929")</f>
        <v>1663505929</v>
      </c>
      <c r="O10" s="67" t="str">
        <f>HYPERLINK("http://dota.nyoron.co/ti5/wildcards/1663586146.dem","1663586146")</f>
        <v>1663586146</v>
      </c>
      <c r="P10" s="68" t="str">
        <f>HYPERLINK("https://www.youtube.com/watch?v=qBNWX8jkYRU","Wildcard Vega vs CDEC (Full Stream)")</f>
        <v>Wildcard Vega vs CDEC (Full Stream)</v>
      </c>
      <c r="U10" s="69" t="s">
        <v>32</v>
      </c>
      <c r="V10" s="70" t="s">
        <v>34</v>
      </c>
      <c r="W10" s="71" t="s">
        <v>35</v>
      </c>
      <c r="X10" s="72"/>
      <c r="Y10" s="72"/>
      <c r="Z10" s="73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54" t="s">
        <v>36</v>
      </c>
      <c r="B11" s="55">
        <v>42211.0</v>
      </c>
      <c r="C11" s="56">
        <v>0.7083333333333334</v>
      </c>
      <c r="D11" s="57">
        <v>0.375</v>
      </c>
      <c r="E11" s="58">
        <v>0.5</v>
      </c>
      <c r="F11" s="59">
        <v>0.75</v>
      </c>
      <c r="G11" s="60">
        <v>0.0</v>
      </c>
      <c r="H11" s="61">
        <v>0.08333333333333333</v>
      </c>
      <c r="I11" s="62" t="s">
        <v>37</v>
      </c>
      <c r="J11" s="62" t="s">
        <v>33</v>
      </c>
      <c r="K11" s="62" t="s">
        <v>38</v>
      </c>
      <c r="L11" s="74" t="s">
        <v>39</v>
      </c>
      <c r="M11" s="75" t="str">
        <f>HYPERLINK("http://dota.nyoron.co/ti5/wildcards/1663365687.dem","1663365687")</f>
        <v>1663365687</v>
      </c>
      <c r="N11" s="66" t="str">
        <f>HYPERLINK("http://dota.nyoron.co/ti5/wildcards/1663436687.dem","1663436687")</f>
        <v>1663436687</v>
      </c>
      <c r="O11" s="67" t="str">
        <f>HYPERLINK("http://dota.nyoron.co/ti5/wildcards/1663546431.dem","1663546431")</f>
        <v>1663546431</v>
      </c>
      <c r="P11" s="76" t="str">
        <f>HYPERLINK("https://www.youtube.com/watch?v=EpthfKYtv2A","Wildcard Archon vs MVP Phoenix (Full Stream)")</f>
        <v>Wildcard Archon vs MVP Phoenix (Full Stream)</v>
      </c>
      <c r="U11" s="77" t="s">
        <v>37</v>
      </c>
      <c r="V11" s="70" t="s">
        <v>38</v>
      </c>
      <c r="W11" s="37" t="s">
        <v>40</v>
      </c>
      <c r="X11" s="62" t="s">
        <v>40</v>
      </c>
      <c r="Y11" s="17" t="s">
        <v>41</v>
      </c>
      <c r="Z11" s="63" t="s">
        <v>41</v>
      </c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>
      <c r="A12" s="54" t="s">
        <v>42</v>
      </c>
      <c r="B12" s="55">
        <v>42211.0</v>
      </c>
      <c r="C12" s="56">
        <v>0.8333333333333334</v>
      </c>
      <c r="D12" s="57">
        <v>0.5</v>
      </c>
      <c r="E12" s="58">
        <v>0.625</v>
      </c>
      <c r="F12" s="59">
        <v>0.875</v>
      </c>
      <c r="G12" s="60">
        <v>0.125</v>
      </c>
      <c r="H12" s="61">
        <v>0.20833333333333334</v>
      </c>
      <c r="I12" s="78" t="s">
        <v>32</v>
      </c>
      <c r="J12" s="62" t="s">
        <v>33</v>
      </c>
      <c r="K12" s="78" t="s">
        <v>37</v>
      </c>
      <c r="L12" s="74" t="s">
        <v>43</v>
      </c>
      <c r="M12" s="75" t="str">
        <f>HYPERLINK("http://dota.nyoron.co/ti5/wildcards/1663683337.dem","1663683337")</f>
        <v>1663683337</v>
      </c>
      <c r="N12" s="66" t="str">
        <f>HYPERLINK("http://dota.nyoron.co/ti5/wildcards/1663763370.dem","1663763370")</f>
        <v>1663763370</v>
      </c>
      <c r="O12" s="79" t="s">
        <v>44</v>
      </c>
      <c r="P12" s="68" t="str">
        <f>HYPERLINK("https://www.youtube.com/watch?v=NyRKDP6av_k","Wildcard CDEC vs MVP Phoenix (Full Stream)")</f>
        <v>Wildcard CDEC vs MVP Phoenix (Full Stream)</v>
      </c>
      <c r="U12" s="80" t="s">
        <v>32</v>
      </c>
      <c r="V12" s="70" t="s">
        <v>37</v>
      </c>
      <c r="W12" s="37" t="s">
        <v>45</v>
      </c>
      <c r="X12" s="62" t="s">
        <v>45</v>
      </c>
      <c r="Y12" s="17" t="s">
        <v>46</v>
      </c>
      <c r="Z12" s="63" t="s">
        <v>46</v>
      </c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>
      <c r="A13" s="54" t="s">
        <v>47</v>
      </c>
      <c r="B13" s="55">
        <v>42211.0</v>
      </c>
      <c r="C13" s="56">
        <v>0.8333333333333334</v>
      </c>
      <c r="D13" s="57">
        <v>0.5</v>
      </c>
      <c r="E13" s="58">
        <v>0.625</v>
      </c>
      <c r="F13" s="59">
        <v>0.875</v>
      </c>
      <c r="G13" s="60">
        <v>0.125</v>
      </c>
      <c r="H13" s="61">
        <v>0.20833333333333334</v>
      </c>
      <c r="I13" s="78" t="s">
        <v>34</v>
      </c>
      <c r="J13" s="62" t="s">
        <v>33</v>
      </c>
      <c r="K13" s="78" t="s">
        <v>38</v>
      </c>
      <c r="L13" s="74" t="s">
        <v>48</v>
      </c>
      <c r="M13" s="75" t="str">
        <f>HYPERLINK("http://dota.nyoron.co/ti5/wildcards/1663682905.dem","1663682905")</f>
        <v>1663682905</v>
      </c>
      <c r="N13" s="66" t="str">
        <f>HYPERLINK("http://dota.nyoron.co/ti5/wildcards/1663755043.dem","1663755043")</f>
        <v>1663755043</v>
      </c>
      <c r="O13" s="79" t="s">
        <v>44</v>
      </c>
      <c r="P13" s="68" t="str">
        <f>HYPERLINK("https://www.youtube.com/watch?v=nxR8DVQEkYQ","Wildcard Vega vs Archon (Full Stream)")</f>
        <v>Wildcard Vega vs Archon (Full Stream)</v>
      </c>
      <c r="U13" s="81" t="s">
        <v>34</v>
      </c>
      <c r="V13" s="70" t="s">
        <v>38</v>
      </c>
      <c r="W13" s="37" t="s">
        <v>49</v>
      </c>
      <c r="X13" s="62" t="s">
        <v>49</v>
      </c>
      <c r="Y13" s="17" t="s">
        <v>50</v>
      </c>
      <c r="Z13" s="63" t="s">
        <v>50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>
      <c r="A14" s="54" t="s">
        <v>51</v>
      </c>
      <c r="B14" s="55">
        <v>42211.0</v>
      </c>
      <c r="C14" s="56">
        <v>0.9583333333333334</v>
      </c>
      <c r="D14" s="57">
        <v>0.625</v>
      </c>
      <c r="E14" s="58">
        <v>0.75</v>
      </c>
      <c r="F14" s="59">
        <v>0.0</v>
      </c>
      <c r="G14" s="60">
        <v>0.25</v>
      </c>
      <c r="H14" s="61">
        <v>0.3333333333333333</v>
      </c>
      <c r="I14" s="78" t="s">
        <v>37</v>
      </c>
      <c r="J14" s="62" t="s">
        <v>33</v>
      </c>
      <c r="K14" s="78" t="s">
        <v>34</v>
      </c>
      <c r="L14" s="74" t="s">
        <v>52</v>
      </c>
      <c r="M14" s="75" t="str">
        <f>HYPERLINK("http://dota.nyoron.co/ti5/wildcards/1663885942.dem","1663885942")</f>
        <v>1663885942</v>
      </c>
      <c r="N14" s="66" t="str">
        <f>HYPERLINK("http://dota.nyoron.co/ti5/wildcards/1663931259.dem","1663931259")</f>
        <v>1663931259</v>
      </c>
      <c r="O14" s="67" t="str">
        <f>HYPERLINK("http://dota.nyoron.co/ti5/wildcards/1664009497.dem","1664009497")</f>
        <v>1664009497</v>
      </c>
      <c r="P14" s="68" t="str">
        <f>HYPERLINK("https://www.youtube.com/watch?v=Ses30QO1lqM","Wildcard MVP Phoenix vs Vega (Full Stream)")</f>
        <v>Wildcard MVP Phoenix vs Vega (Full Stream)</v>
      </c>
      <c r="U14" s="82" t="s">
        <v>37</v>
      </c>
      <c r="V14" s="83" t="s">
        <v>34</v>
      </c>
      <c r="W14" s="37" t="s">
        <v>53</v>
      </c>
      <c r="X14" s="62" t="s">
        <v>53</v>
      </c>
      <c r="Y14" s="17" t="s">
        <v>54</v>
      </c>
      <c r="Z14" s="63" t="s">
        <v>54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>
      <c r="A15" s="27"/>
      <c r="B15" s="84"/>
      <c r="C15" s="48"/>
      <c r="D15" s="27"/>
      <c r="E15" s="27"/>
      <c r="F15" s="27"/>
      <c r="G15" s="27"/>
      <c r="H15" s="27"/>
      <c r="I15" s="27"/>
      <c r="J15" s="27"/>
      <c r="K15" s="27"/>
      <c r="L15" s="85"/>
      <c r="M15" s="86" t="str">
        <f>HYPERLINK("http://dota.nyoron.co/ti5/wildcards/wildcards.zip","Download all Wildcards replays here")</f>
        <v>Download all Wildcards replays here</v>
      </c>
      <c r="O15" s="87"/>
      <c r="P15" s="27"/>
      <c r="Q15" s="27"/>
      <c r="R15" s="88"/>
      <c r="S15" s="51" t="s">
        <v>28</v>
      </c>
      <c r="U15" s="88"/>
      <c r="V15" s="88"/>
      <c r="W15" s="89"/>
      <c r="X15" s="90"/>
      <c r="Y15" s="90"/>
      <c r="Z15" s="91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</row>
    <row r="16">
      <c r="A16" s="92" t="s">
        <v>55</v>
      </c>
      <c r="B16" s="55">
        <v>42212.0</v>
      </c>
      <c r="C16" s="56">
        <v>0.7083333333333334</v>
      </c>
      <c r="D16" s="57">
        <v>0.375</v>
      </c>
      <c r="E16" s="58">
        <v>0.5</v>
      </c>
      <c r="F16" s="59">
        <v>0.75</v>
      </c>
      <c r="G16" s="60">
        <v>0.0</v>
      </c>
      <c r="H16" s="61">
        <v>0.08333333333333333</v>
      </c>
      <c r="I16" s="62" t="s">
        <v>56</v>
      </c>
      <c r="J16" s="62" t="s">
        <v>33</v>
      </c>
      <c r="K16" s="78" t="s">
        <v>37</v>
      </c>
      <c r="L16" s="74" t="s">
        <v>39</v>
      </c>
      <c r="M16" s="75" t="str">
        <f>HYPERLINK("http://dota.nyoron.co/ti5/day1/1665685543.dem.zip","1665685543")</f>
        <v>1665685543</v>
      </c>
      <c r="N16" s="66" t="str">
        <f>HYPERLINK("http://dota.nyoron.co/ti5/day1/1665826280,dem.zip","1665826280")</f>
        <v>1665826280</v>
      </c>
      <c r="O16" s="93" t="s">
        <v>57</v>
      </c>
      <c r="P16" s="94" t="str">
        <f>HYPERLINK("https://www.youtube.com/watch?v=wgk7i93fX-A","Day 1 - Complexity vs MVP Phoenix (Full Stream)")</f>
        <v>Day 1 - Complexity vs MVP Phoenix (Full Stream)</v>
      </c>
      <c r="U16" s="95" t="s">
        <v>56</v>
      </c>
      <c r="V16" s="95" t="s">
        <v>37</v>
      </c>
      <c r="W16" s="37" t="s">
        <v>58</v>
      </c>
      <c r="X16" s="62" t="s">
        <v>58</v>
      </c>
      <c r="Y16" s="17" t="s">
        <v>59</v>
      </c>
      <c r="Z16" s="63" t="s">
        <v>59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>
      <c r="A17" s="92" t="s">
        <v>60</v>
      </c>
      <c r="B17" s="55">
        <v>42212.0</v>
      </c>
      <c r="C17" s="56">
        <v>0.7083333333333334</v>
      </c>
      <c r="D17" s="57">
        <v>0.375</v>
      </c>
      <c r="E17" s="58">
        <v>0.5</v>
      </c>
      <c r="F17" s="59">
        <v>0.75</v>
      </c>
      <c r="G17" s="60">
        <v>0.0</v>
      </c>
      <c r="H17" s="61">
        <v>0.08333333333333333</v>
      </c>
      <c r="I17" s="62" t="s">
        <v>61</v>
      </c>
      <c r="J17" s="62" t="s">
        <v>33</v>
      </c>
      <c r="K17" s="62" t="s">
        <v>62</v>
      </c>
      <c r="L17" s="74" t="s">
        <v>52</v>
      </c>
      <c r="M17" s="75" t="str">
        <f>HYPERLINK("http://dota.nyoron.co/ti5/day1/1665686446.dem.zip","1665686446")</f>
        <v>1665686446</v>
      </c>
      <c r="N17" s="66" t="str">
        <f>HYPERLINK("http://dota.nyoron.co/ti5/day1/1665822701.dem.zip","1665822701")</f>
        <v>1665822701</v>
      </c>
      <c r="O17" s="87"/>
      <c r="P17" s="94" t="str">
        <f>HYPERLINK("https://www.youtube.com/watch?v=Py5PVOa1j6c","Day 1 - Fnatic vs Team Secret (Full Stream)")</f>
        <v>Day 1 - Fnatic vs Team Secret (Full Stream)</v>
      </c>
      <c r="U17" s="96"/>
      <c r="V17" s="96"/>
      <c r="W17" s="37" t="s">
        <v>63</v>
      </c>
      <c r="X17" s="62" t="s">
        <v>63</v>
      </c>
      <c r="Y17" s="17" t="s">
        <v>64</v>
      </c>
      <c r="Z17" s="63" t="s">
        <v>64</v>
      </c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>
      <c r="A18" s="92" t="s">
        <v>65</v>
      </c>
      <c r="B18" s="55">
        <v>42212.0</v>
      </c>
      <c r="C18" s="56">
        <v>0.7083333333333334</v>
      </c>
      <c r="D18" s="57">
        <v>0.375</v>
      </c>
      <c r="E18" s="58">
        <v>0.5</v>
      </c>
      <c r="F18" s="59">
        <v>0.75</v>
      </c>
      <c r="G18" s="60">
        <v>0.0</v>
      </c>
      <c r="H18" s="61">
        <v>0.08333333333333333</v>
      </c>
      <c r="I18" s="62" t="s">
        <v>66</v>
      </c>
      <c r="J18" s="62" t="s">
        <v>33</v>
      </c>
      <c r="K18" s="62" t="s">
        <v>67</v>
      </c>
      <c r="L18" s="97" t="s">
        <v>68</v>
      </c>
      <c r="M18" s="75" t="str">
        <f>HYPERLINK("http://dota.nyoron.co/ti5/day1/1665700254.dem.zip","1665700254")</f>
        <v>1665700254</v>
      </c>
      <c r="N18" s="66" t="str">
        <f>HYPERLINK("http://dota.nyoron.co/ti5/day1/1665829829.dem.zip","1665829829")</f>
        <v>1665829829</v>
      </c>
      <c r="O18" s="87"/>
      <c r="P18" s="94" t="str">
        <f>HYPERLINK("https://www.youtube.com/watch?v=7SZf0mEeuJc","Day 1 LGD vs Cloud9 - YouTube (Full Stream)")</f>
        <v>Day 1 LGD vs Cloud9 - YouTube (Full Stream)</v>
      </c>
      <c r="U18" s="95" t="s">
        <v>66</v>
      </c>
      <c r="V18" s="95" t="s">
        <v>67</v>
      </c>
      <c r="W18" s="37" t="s">
        <v>69</v>
      </c>
      <c r="X18" s="62" t="s">
        <v>69</v>
      </c>
      <c r="Y18" s="17" t="s">
        <v>70</v>
      </c>
      <c r="Z18" s="63" t="s">
        <v>70</v>
      </c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>
      <c r="A19" s="92" t="s">
        <v>71</v>
      </c>
      <c r="B19" s="55">
        <v>42212.0</v>
      </c>
      <c r="C19" s="56">
        <v>0.8125</v>
      </c>
      <c r="D19" s="57">
        <v>0.4791666666666667</v>
      </c>
      <c r="E19" s="58">
        <v>0.5625</v>
      </c>
      <c r="F19" s="59">
        <v>0.8541666666666666</v>
      </c>
      <c r="G19" s="60">
        <v>0.0625</v>
      </c>
      <c r="H19" s="61">
        <v>0.14583333333333334</v>
      </c>
      <c r="I19" s="62" t="s">
        <v>67</v>
      </c>
      <c r="J19" s="62" t="s">
        <v>33</v>
      </c>
      <c r="K19" s="62" t="s">
        <v>72</v>
      </c>
      <c r="L19" s="98" t="s">
        <v>39</v>
      </c>
      <c r="M19" s="66" t="str">
        <f>HYPERLINK("http://dota.nyoron.co/ti5/day1/1665990348.dem.zip","1665990348")</f>
        <v>1665990348</v>
      </c>
      <c r="N19" s="66" t="str">
        <f>HYPERLINK("http://dota.nyoron.co/ti5/day1/1666088527.dem.zip","1666088527")</f>
        <v>1666088527</v>
      </c>
      <c r="O19" s="87"/>
      <c r="P19" s="94" t="str">
        <f>HYPERLINK("https://www.youtube.com/watch?v=vWuMkI2DHG0","Day 1 - Navi vs C9 (Full Stream)")</f>
        <v>Day 1 - Navi vs C9 (Full Stream)</v>
      </c>
      <c r="U19" s="96"/>
      <c r="V19" s="96"/>
      <c r="W19" s="99" t="s">
        <v>73</v>
      </c>
      <c r="X19" s="100" t="s">
        <v>73</v>
      </c>
      <c r="Y19" s="101" t="s">
        <v>74</v>
      </c>
      <c r="Z19" s="102" t="s">
        <v>74</v>
      </c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>
      <c r="A20" s="92" t="s">
        <v>75</v>
      </c>
      <c r="B20" s="55">
        <v>42212.0</v>
      </c>
      <c r="C20" s="56">
        <v>0.8125</v>
      </c>
      <c r="D20" s="57">
        <v>0.4791666666666667</v>
      </c>
      <c r="E20" s="58">
        <v>0.5625</v>
      </c>
      <c r="F20" s="59">
        <v>0.8541666666666666</v>
      </c>
      <c r="G20" s="60">
        <v>0.0625</v>
      </c>
      <c r="H20" s="61">
        <v>0.14583333333333334</v>
      </c>
      <c r="I20" s="62" t="s">
        <v>66</v>
      </c>
      <c r="J20" s="62" t="s">
        <v>33</v>
      </c>
      <c r="K20" s="62" t="s">
        <v>56</v>
      </c>
      <c r="L20" s="74" t="s">
        <v>52</v>
      </c>
      <c r="M20" s="75" t="str">
        <f>HYPERLINK("http://dota.nyoron.co/ti5/day1/1665986855.dem.zip","1665986855")</f>
        <v>1665986855</v>
      </c>
      <c r="N20" s="66" t="str">
        <f>HYPERLINK("http://dota.nyoron.co/ti5/day1/1666045478.dem.zip","1666045478")</f>
        <v>1666045478</v>
      </c>
      <c r="O20" s="87"/>
      <c r="P20" s="94" t="str">
        <f>HYPERLINK("https://i.ytimg.com/vi/2oF4vY5AwHM/mqdefault.jpg","Day 1 - LGD vs Complexity (Full Stream)")</f>
        <v>Day 1 - LGD vs Complexity (Full Stream)</v>
      </c>
      <c r="U20" s="95" t="s">
        <v>66</v>
      </c>
      <c r="V20" s="95" t="s">
        <v>56</v>
      </c>
      <c r="W20" s="18"/>
      <c r="X20" s="18"/>
      <c r="Y20" s="18"/>
      <c r="Z20" s="18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>
      <c r="A21" s="92" t="s">
        <v>76</v>
      </c>
      <c r="B21" s="55">
        <v>42212.0</v>
      </c>
      <c r="C21" s="56">
        <v>0.8125</v>
      </c>
      <c r="D21" s="57">
        <v>0.4791666666666667</v>
      </c>
      <c r="E21" s="58">
        <v>0.5625</v>
      </c>
      <c r="F21" s="59">
        <v>0.8541666666666666</v>
      </c>
      <c r="G21" s="60">
        <v>0.0625</v>
      </c>
      <c r="H21" s="61">
        <v>0.14583333333333334</v>
      </c>
      <c r="I21" s="62" t="s">
        <v>62</v>
      </c>
      <c r="J21" s="62" t="s">
        <v>33</v>
      </c>
      <c r="K21" s="62" t="s">
        <v>77</v>
      </c>
      <c r="L21" s="97" t="s">
        <v>68</v>
      </c>
      <c r="M21" s="75" t="str">
        <f>HYPERLINK("http://dota.nyoron.co/ti5/day1/1665972746.dem.zip","1665972746")</f>
        <v>1665972746</v>
      </c>
      <c r="N21" s="66" t="str">
        <f>HYPERLINK("http://dota.nyoron.co/ti5/day1/1666048848.dem.zip","1666048848")</f>
        <v>1666048848</v>
      </c>
      <c r="O21" s="87"/>
      <c r="P21" s="94" t="str">
        <f>HYPERLINK("https://www.youtube.com/watch?v=AiFPX365Sjc","Day 1 - iG vs Team Secret (Full Stream)")</f>
        <v>Day 1 - iG vs Team Secret (Full Stream)</v>
      </c>
      <c r="S21" s="51" t="s">
        <v>28</v>
      </c>
      <c r="U21" s="103" t="s">
        <v>62</v>
      </c>
      <c r="V21" s="95" t="s">
        <v>77</v>
      </c>
      <c r="W21" s="40"/>
      <c r="X21" s="40"/>
      <c r="Y21" s="40"/>
      <c r="Z21" s="18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>
      <c r="A22" s="92" t="s">
        <v>78</v>
      </c>
      <c r="B22" s="55">
        <v>42212.0</v>
      </c>
      <c r="C22" s="56">
        <v>0.9166666666666666</v>
      </c>
      <c r="D22" s="57">
        <v>0.5833333333333334</v>
      </c>
      <c r="E22" s="58">
        <v>0.7083333333333334</v>
      </c>
      <c r="F22" s="59">
        <v>0.875</v>
      </c>
      <c r="G22" s="60">
        <v>0.20833333333333334</v>
      </c>
      <c r="H22" s="61">
        <v>0.2916666666666667</v>
      </c>
      <c r="I22" s="62" t="s">
        <v>61</v>
      </c>
      <c r="J22" s="62" t="s">
        <v>33</v>
      </c>
      <c r="K22" s="62" t="s">
        <v>77</v>
      </c>
      <c r="L22" s="97" t="s">
        <v>68</v>
      </c>
      <c r="M22" s="75" t="str">
        <f>HYPERLINK("http://dota.nyoron.co/ti5/day1/1666122929.dem.zip","1666122929")</f>
        <v>1666122929</v>
      </c>
      <c r="N22" s="66" t="str">
        <f>HYPERLINK("http://dota.nyoron.co/ti5/day1/1666185341.dem.zip","1666185341")</f>
        <v>1666185341</v>
      </c>
      <c r="O22" s="87"/>
      <c r="P22" s="94" t="str">
        <f>HYPERLINK("https://www.youtube.com/watch?v=cf5WZZlrnIQ","Day 1 - Fnatic vs iG (Full Stream)")</f>
        <v>Day 1 - Fnatic vs iG (Full Stream)</v>
      </c>
      <c r="U22" s="96"/>
      <c r="V22" s="104"/>
      <c r="W22" s="40"/>
      <c r="X22" s="40"/>
      <c r="Y22" s="40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>
      <c r="A23" s="92" t="s">
        <v>79</v>
      </c>
      <c r="B23" s="55">
        <v>42212.0</v>
      </c>
      <c r="C23" s="56">
        <v>0.9166666666666666</v>
      </c>
      <c r="D23" s="57">
        <v>0.5833333333333334</v>
      </c>
      <c r="E23" s="58">
        <v>0.7083333333333334</v>
      </c>
      <c r="F23" s="59">
        <v>0.9583333333333334</v>
      </c>
      <c r="G23" s="60">
        <v>0.20833333333333334</v>
      </c>
      <c r="H23" s="61">
        <v>0.2916666666666667</v>
      </c>
      <c r="I23" s="62" t="s">
        <v>80</v>
      </c>
      <c r="J23" s="62" t="s">
        <v>33</v>
      </c>
      <c r="K23" s="62" t="s">
        <v>81</v>
      </c>
      <c r="L23" s="74" t="s">
        <v>43</v>
      </c>
      <c r="M23" s="75" t="str">
        <f>HYPERLINK("http://dota.nyoron.co/ti5/day1/1666125998.dem.zip","1666125998")</f>
        <v>1666125998</v>
      </c>
      <c r="N23" s="66" t="str">
        <f>HYPERLINK("http://dota.nyoron.co/ti5/day1/1666177296.dem.zip","1666177296")</f>
        <v>1666177296</v>
      </c>
      <c r="O23" s="87"/>
      <c r="P23" s="94" t="str">
        <f>HYPERLINK("https://www.youtube.com/watch?v=_v1auQrFF1M","Day 1 - Newbee vs Virtus Pro (Full Stream)")</f>
        <v>Day 1 - Newbee vs Virtus Pro (Full Stream)</v>
      </c>
      <c r="U23" s="96"/>
      <c r="V23" s="104"/>
      <c r="W23" s="105"/>
      <c r="X23" s="105"/>
      <c r="Y23" s="105"/>
      <c r="Z23" s="18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>
      <c r="A24" s="92" t="s">
        <v>82</v>
      </c>
      <c r="B24" s="55">
        <v>42212.0</v>
      </c>
      <c r="C24" s="56">
        <v>0.9166666666666666</v>
      </c>
      <c r="D24" s="57">
        <v>0.5833333333333334</v>
      </c>
      <c r="E24" s="58">
        <v>0.7083333333333334</v>
      </c>
      <c r="F24" s="59">
        <v>0.9583333333333334</v>
      </c>
      <c r="G24" s="60">
        <v>0.20833333333333334</v>
      </c>
      <c r="H24" s="61">
        <v>0.2916666666666667</v>
      </c>
      <c r="I24" s="78" t="s">
        <v>37</v>
      </c>
      <c r="J24" s="62" t="s">
        <v>33</v>
      </c>
      <c r="K24" s="62" t="s">
        <v>72</v>
      </c>
      <c r="L24" s="74" t="s">
        <v>39</v>
      </c>
      <c r="M24" s="75" t="str">
        <f>HYPERLINK("http://dota.nyoron.co/ti5/day1/1666148259.dem.zip","1666148259")</f>
        <v>1666148259</v>
      </c>
      <c r="N24" s="66" t="str">
        <f>HYPERLINK("http://dota.nyoron.co/ti5/day1/1666209170.dem.zip","1666209170")</f>
        <v>1666209170</v>
      </c>
      <c r="O24" s="87"/>
      <c r="P24" s="94" t="str">
        <f>HYPERLINK("https://www.youtube.com/watch?v=Zccia4NUD9k","Day 1 - NaVi vs MVP Phoenix (Full Stream)")</f>
        <v>Day 1 - NaVi vs MVP Phoenix (Full Stream)</v>
      </c>
      <c r="U24" s="96"/>
      <c r="V24" s="104"/>
      <c r="W24" s="105"/>
      <c r="X24" s="105"/>
      <c r="Y24" s="105"/>
      <c r="Z24" s="18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>
      <c r="A25" s="92" t="s">
        <v>83</v>
      </c>
      <c r="B25" s="55">
        <v>42212.0</v>
      </c>
      <c r="C25" s="56">
        <v>0.020833333333333332</v>
      </c>
      <c r="D25" s="57">
        <v>0.6875</v>
      </c>
      <c r="E25" s="58">
        <v>0.8125</v>
      </c>
      <c r="F25" s="59">
        <v>0.0625</v>
      </c>
      <c r="G25" s="60">
        <v>0.3125</v>
      </c>
      <c r="H25" s="61">
        <v>0.3958333333333333</v>
      </c>
      <c r="I25" s="62" t="s">
        <v>84</v>
      </c>
      <c r="J25" s="62" t="s">
        <v>33</v>
      </c>
      <c r="K25" s="62" t="s">
        <v>80</v>
      </c>
      <c r="L25" s="74" t="s">
        <v>43</v>
      </c>
      <c r="M25" s="75" t="str">
        <f>HYPERLINK("http://dota.nyoron.co/ti5/day1/1666238587.dem.zip","1666238587")</f>
        <v>1666238587</v>
      </c>
      <c r="N25" s="66" t="str">
        <f>HYPERLINK("http://dota.nyoron.co/ti5/day1/1666286219.dem.zip","1666286219")</f>
        <v>1666286219</v>
      </c>
      <c r="O25" s="87"/>
      <c r="P25" s="94" t="str">
        <f>HYPERLINK("https://www.youtube.com/watch?v=E4_1EGk9Teo","Day 1 - EG vs Newbee (Full Stream)")</f>
        <v>Day 1 - EG vs Newbee (Full Stream)</v>
      </c>
      <c r="U25" s="96"/>
      <c r="V25" s="104"/>
      <c r="W25" s="105"/>
      <c r="X25" s="105"/>
      <c r="Y25" s="105"/>
      <c r="Z25" s="18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>
      <c r="A26" s="92" t="s">
        <v>85</v>
      </c>
      <c r="B26" s="55">
        <v>42212.0</v>
      </c>
      <c r="C26" s="56">
        <v>0.020833333333333332</v>
      </c>
      <c r="D26" s="57">
        <v>0.6875</v>
      </c>
      <c r="E26" s="58">
        <v>0.8125</v>
      </c>
      <c r="F26" s="59">
        <v>0.0625</v>
      </c>
      <c r="G26" s="60">
        <v>0.3125</v>
      </c>
      <c r="H26" s="61">
        <v>0.3958333333333333</v>
      </c>
      <c r="I26" s="62" t="s">
        <v>86</v>
      </c>
      <c r="J26" s="62" t="s">
        <v>33</v>
      </c>
      <c r="K26" s="62" t="s">
        <v>87</v>
      </c>
      <c r="L26" s="74" t="s">
        <v>52</v>
      </c>
      <c r="M26" s="75" t="str">
        <f>HYPERLINK("http://dota.nyoron.co/ti5/day1/1666308348.dem.zip","1666308348")</f>
        <v>1666308348</v>
      </c>
      <c r="N26" s="66" t="str">
        <f>HYPERLINK("http://dota.nyoron.co/ti5/day1/1666366213.dem.zip","1666366213")</f>
        <v>1666366213</v>
      </c>
      <c r="O26" s="87"/>
      <c r="P26" s="94" t="str">
        <f>HYPERLINK("https://www.youtube.com/watch?v=6gMewynjFWs","Day 1 - Empire vs VG Game 1")</f>
        <v>Day 1 - Empire vs VG Game 1</v>
      </c>
      <c r="R26" s="94" t="str">
        <f>HYPERLINK("https://www.youtube.com/watch?v=O6KThV0k0M8","Day 1 - Empire vs VG Game 2")</f>
        <v>Day 1 - Empire vs VG Game 2</v>
      </c>
      <c r="U26" s="95" t="s">
        <v>87</v>
      </c>
      <c r="V26" s="95" t="s">
        <v>86</v>
      </c>
      <c r="W26" s="40"/>
      <c r="X26" s="40"/>
      <c r="Y26" s="40"/>
      <c r="Z26" s="18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>
      <c r="A27" s="92" t="s">
        <v>88</v>
      </c>
      <c r="B27" s="55">
        <v>42212.0</v>
      </c>
      <c r="C27" s="56">
        <v>0.020833333333333332</v>
      </c>
      <c r="D27" s="57">
        <v>0.6875</v>
      </c>
      <c r="E27" s="58">
        <v>0.8125</v>
      </c>
      <c r="F27" s="59">
        <v>0.0625</v>
      </c>
      <c r="G27" s="60">
        <v>0.3125</v>
      </c>
      <c r="H27" s="61">
        <v>0.3958333333333333</v>
      </c>
      <c r="I27" s="78" t="s">
        <v>32</v>
      </c>
      <c r="J27" s="62" t="s">
        <v>33</v>
      </c>
      <c r="K27" s="62" t="s">
        <v>89</v>
      </c>
      <c r="L27" s="74" t="s">
        <v>48</v>
      </c>
      <c r="M27" s="75" t="str">
        <f>HYPERLINK("http://dota.nyoron.co/ti5/day1/1666276978.dem.zip","1666276978")</f>
        <v>1666276978</v>
      </c>
      <c r="N27" s="66" t="str">
        <f>HYPERLINK("http://dota.nyoron.co/ti5/day1/1666372636.dem.zip","1666372636")</f>
        <v>1666372636</v>
      </c>
      <c r="O27" s="87"/>
      <c r="P27" s="94" t="str">
        <f>HYPERLINK("https://www.youtube.com/watch?v=7Mp8TZUtQXU","Day 1 - CDEC vs MVP.Hot6 Game 1")</f>
        <v>Day 1 - CDEC vs MVP.Hot6 Game 1</v>
      </c>
      <c r="R27" s="94" t="str">
        <f>HYPERLINK("https://www.youtube.com/watch?v=PA7zX_o9gCA","Day 1 - CDEC vs MVP.Hot6 Game 2")</f>
        <v>Day 1 - CDEC vs MVP.Hot6 Game 2</v>
      </c>
      <c r="S27" s="51" t="s">
        <v>28</v>
      </c>
      <c r="U27" s="95" t="s">
        <v>32</v>
      </c>
      <c r="V27" s="95" t="s">
        <v>89</v>
      </c>
      <c r="W27" s="40"/>
      <c r="X27" s="40"/>
      <c r="Y27" s="40"/>
      <c r="Z27" s="18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>
      <c r="A28" s="92" t="s">
        <v>90</v>
      </c>
      <c r="B28" s="55">
        <v>42212.0</v>
      </c>
      <c r="C28" s="56">
        <v>0.125</v>
      </c>
      <c r="D28" s="57">
        <v>0.7916666666666666</v>
      </c>
      <c r="E28" s="58">
        <v>0.9166666666666666</v>
      </c>
      <c r="F28" s="59">
        <v>0.16666666666666666</v>
      </c>
      <c r="G28" s="60">
        <v>0.4166666666666667</v>
      </c>
      <c r="H28" s="61">
        <v>0.5</v>
      </c>
      <c r="I28" s="62" t="s">
        <v>84</v>
      </c>
      <c r="J28" s="62" t="s">
        <v>33</v>
      </c>
      <c r="K28" s="62" t="s">
        <v>81</v>
      </c>
      <c r="L28" s="74" t="s">
        <v>43</v>
      </c>
      <c r="M28" s="75" t="str">
        <f>HYPERLINK("http://dota.nyoron.co/ti5/day1/1666366844.dem.zip","1666366844")</f>
        <v>1666366844</v>
      </c>
      <c r="N28" s="66" t="str">
        <f>HYPERLINK("http://dota.nyoron.co/ti5/day1/1666424868.dem.zip","1666424868")</f>
        <v>1666424868</v>
      </c>
      <c r="O28" s="87"/>
      <c r="P28" s="94" t="str">
        <f>HYPERLINK("https://www.youtube.com/watch?v=LTf8kSfK_8E","Day 1 - EG vs Virtus Pro (Full Stream)")</f>
        <v>Day 1 - EG vs Virtus Pro (Full Stream)</v>
      </c>
      <c r="U28" s="96"/>
      <c r="V28" s="104"/>
      <c r="W28" s="40"/>
      <c r="X28" s="40"/>
      <c r="Y28" s="40"/>
      <c r="Z28" s="18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>
      <c r="A29" s="92" t="s">
        <v>91</v>
      </c>
      <c r="B29" s="55">
        <v>42212.0</v>
      </c>
      <c r="C29" s="56">
        <v>0.125</v>
      </c>
      <c r="D29" s="57">
        <v>0.7916666666666666</v>
      </c>
      <c r="E29" s="58">
        <v>0.9166666666666666</v>
      </c>
      <c r="F29" s="59">
        <v>0.16666666666666666</v>
      </c>
      <c r="G29" s="60">
        <v>0.4166666666666667</v>
      </c>
      <c r="H29" s="61">
        <v>0.5</v>
      </c>
      <c r="I29" s="62" t="s">
        <v>86</v>
      </c>
      <c r="J29" s="62" t="s">
        <v>33</v>
      </c>
      <c r="K29" s="62" t="s">
        <v>92</v>
      </c>
      <c r="L29" s="74" t="s">
        <v>52</v>
      </c>
      <c r="M29" s="75" t="str">
        <f>HYPERLINK("http://dota.nyoron.co/ti5/day1/1666460321.dem.zip","1666460321")</f>
        <v>1666460321</v>
      </c>
      <c r="N29" s="66" t="str">
        <f>HYPERLINK("http://dota.nyoron.co/ti5/day1/1666577877.dem.zip","1666577877")</f>
        <v>1666577877</v>
      </c>
      <c r="O29" s="87"/>
      <c r="P29" s="94" t="str">
        <f>HYPERLINK("https://www.youtube.com/watch?v=wjzRKp7RNlw","Day 1 - Empire vs EHOME Game 1")</f>
        <v>Day 1 - Empire vs EHOME Game 1</v>
      </c>
      <c r="R29" s="94" t="str">
        <f>HYPERLINK("https://www.youtube.com/watch?v=SqAQYAxo_9Y","Day 1 - Empire vs EHOME Game 2")</f>
        <v>Day 1 - Empire vs EHOME Game 2</v>
      </c>
      <c r="U29" s="96"/>
      <c r="V29" s="96"/>
      <c r="W29" s="18"/>
      <c r="X29" s="18"/>
      <c r="Y29" s="18"/>
      <c r="Z29" s="18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>
      <c r="A30" s="92" t="s">
        <v>93</v>
      </c>
      <c r="B30" s="55">
        <v>42212.0</v>
      </c>
      <c r="C30" s="56">
        <v>0.125</v>
      </c>
      <c r="D30" s="57">
        <v>0.7916666666666666</v>
      </c>
      <c r="E30" s="58">
        <v>0.9166666666666666</v>
      </c>
      <c r="F30" s="59">
        <v>0.16666666666666666</v>
      </c>
      <c r="G30" s="60">
        <v>0.4166666666666667</v>
      </c>
      <c r="H30" s="61">
        <v>0.5</v>
      </c>
      <c r="I30" s="62" t="s">
        <v>87</v>
      </c>
      <c r="J30" s="62" t="s">
        <v>33</v>
      </c>
      <c r="K30" s="62" t="s">
        <v>89</v>
      </c>
      <c r="L30" s="74" t="s">
        <v>48</v>
      </c>
      <c r="M30" s="75" t="str">
        <f>HYPERLINK("http://dota.nyoron.co/ti5/day1/1666453945.dem.zip","1666453945")</f>
        <v>1666453945</v>
      </c>
      <c r="N30" s="66" t="str">
        <f>HYPERLINK("http://dota.nyoron.co/ti5/day1/1666539842.dem.zip","1666539842")</f>
        <v>1666539842</v>
      </c>
      <c r="O30" s="87"/>
      <c r="P30" s="94" t="str">
        <f>HYPERLINK("https://www.youtube.com/watch?v=0_32IwuLyAo","Day 1 - VG vs MVP.Hot6 Game 1")</f>
        <v>Day 1 - VG vs MVP.Hot6 Game 1</v>
      </c>
      <c r="R30" s="94" t="str">
        <f>HYPERLINK("https://www.youtube.com/watch?v=LHlyXM9WfkM","Day 1 - VG vs MVP.Hot6 Game 2")</f>
        <v>Day 1 - VG vs MVP.Hot6 Game 2</v>
      </c>
      <c r="U30" s="96"/>
      <c r="V30" s="96"/>
      <c r="W30" s="18"/>
      <c r="X30" s="18"/>
      <c r="Y30" s="18"/>
      <c r="Z30" s="18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>
      <c r="A31" s="88"/>
      <c r="B31" s="84"/>
      <c r="C31" s="48"/>
      <c r="D31" s="27"/>
      <c r="E31" s="27"/>
      <c r="F31" s="27"/>
      <c r="G31" s="27"/>
      <c r="H31" s="27"/>
      <c r="I31" s="27"/>
      <c r="J31" s="27"/>
      <c r="K31" s="27"/>
      <c r="L31" s="85"/>
      <c r="M31" s="106" t="str">
        <f>HYPERLINK("http://dota.nyoron.co/ti5/day1/day1.zip","Download all day 1 replays here")</f>
        <v>Download all day 1 replays here</v>
      </c>
      <c r="P31" s="88"/>
      <c r="Q31" s="88"/>
      <c r="R31" s="88"/>
      <c r="U31" s="88"/>
      <c r="V31" s="88"/>
      <c r="W31" s="27"/>
      <c r="X31" s="27"/>
      <c r="Y31" s="27"/>
      <c r="Z31" s="27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</row>
    <row r="32">
      <c r="A32" s="92" t="s">
        <v>65</v>
      </c>
      <c r="B32" s="55">
        <v>42213.0</v>
      </c>
      <c r="C32" s="56">
        <v>0.7083333333333334</v>
      </c>
      <c r="D32" s="57">
        <v>0.375</v>
      </c>
      <c r="E32" s="58">
        <v>0.5</v>
      </c>
      <c r="F32" s="59">
        <v>0.75</v>
      </c>
      <c r="G32" s="60">
        <v>0.0</v>
      </c>
      <c r="H32" s="61">
        <v>0.08333333333333333</v>
      </c>
      <c r="I32" s="62" t="s">
        <v>67</v>
      </c>
      <c r="J32" s="62" t="s">
        <v>33</v>
      </c>
      <c r="K32" s="62" t="s">
        <v>61</v>
      </c>
      <c r="L32" s="97" t="s">
        <v>68</v>
      </c>
      <c r="M32" s="75" t="str">
        <f>HYPERLINK("http://dota.nyoron.co/ti5/day2/1668012309.dem.zip","1668012309")</f>
        <v>1668012309</v>
      </c>
      <c r="N32" s="66" t="str">
        <f>HYPERLINK("http://dota.nyoron.co/ti5/day2/1668110665.dem.zip","1668110665")</f>
        <v>1668110665</v>
      </c>
      <c r="O32" s="93" t="s">
        <v>57</v>
      </c>
      <c r="P32" s="94" t="str">
        <f>HYPERLINK("https://www.youtube.com/watch?v=InVb9tKGmJ4","Day 2 Cloud9 vs Fnatic Game 2")</f>
        <v>Day 2 Cloud9 vs Fnatic Game 2</v>
      </c>
      <c r="R32" s="94" t="str">
        <f>HYPERLINK("https://www.youtube.com/watch?v=InVb9tKGmJ4","Day 2 Cloud9 vs Fnatic Game 2")</f>
        <v>Day 2 Cloud9 vs Fnatic Game 2</v>
      </c>
      <c r="U32" s="96"/>
      <c r="V32" s="96"/>
      <c r="W32" s="18"/>
      <c r="X32" s="18"/>
      <c r="Y32" s="18"/>
      <c r="Z32" s="18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>
      <c r="A33" s="92" t="s">
        <v>55</v>
      </c>
      <c r="B33" s="55">
        <v>42213.0</v>
      </c>
      <c r="C33" s="56">
        <v>0.7083333333333334</v>
      </c>
      <c r="D33" s="57">
        <v>0.375</v>
      </c>
      <c r="E33" s="58">
        <v>0.5</v>
      </c>
      <c r="F33" s="59">
        <v>0.75</v>
      </c>
      <c r="G33" s="60">
        <v>0.0</v>
      </c>
      <c r="H33" s="61">
        <v>0.08333333333333333</v>
      </c>
      <c r="I33" s="62" t="s">
        <v>77</v>
      </c>
      <c r="J33" s="62" t="s">
        <v>33</v>
      </c>
      <c r="K33" s="62" t="s">
        <v>66</v>
      </c>
      <c r="L33" s="74" t="s">
        <v>48</v>
      </c>
      <c r="M33" s="75" t="str">
        <f>HYPERLINK("http://dota.nyoron.co/ti5/day2/1667995496.dem.zip","1667995496")</f>
        <v>1667995496</v>
      </c>
      <c r="N33" s="66" t="str">
        <f>HYPERLINK("http://dota.nyoron.co/ti5/day2/1668109169.dem.zip","1668109169")</f>
        <v>1668109169</v>
      </c>
      <c r="O33" s="87"/>
      <c r="P33" s="94" t="str">
        <f>HYPERLINK("https://www.youtube.com/watch?v=plNsetgWrhE","Day 2 iG vs LGD Game 1")</f>
        <v>Day 2 iG vs LGD Game 1</v>
      </c>
      <c r="R33" s="94" t="str">
        <f>HYPERLINK("https://www.youtube.com/watch?v=NbhI813BpXY","Day 2 iG vs LGD Game 2")</f>
        <v>Day 2 iG vs LGD Game 2</v>
      </c>
      <c r="S33" s="51" t="s">
        <v>28</v>
      </c>
      <c r="U33" s="95" t="s">
        <v>66</v>
      </c>
      <c r="V33" s="95" t="s">
        <v>77</v>
      </c>
      <c r="W33" s="18"/>
      <c r="X33" s="18"/>
      <c r="Y33" s="18"/>
      <c r="Z33" s="18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>
      <c r="A34" s="92" t="s">
        <v>75</v>
      </c>
      <c r="B34" s="55">
        <v>42213.0</v>
      </c>
      <c r="C34" s="56">
        <v>0.7083333333333334</v>
      </c>
      <c r="D34" s="57">
        <v>0.375</v>
      </c>
      <c r="E34" s="58">
        <v>0.5</v>
      </c>
      <c r="F34" s="59">
        <v>0.75</v>
      </c>
      <c r="G34" s="60">
        <v>0.0</v>
      </c>
      <c r="H34" s="61">
        <v>0.08333333333333333</v>
      </c>
      <c r="I34" s="62" t="s">
        <v>72</v>
      </c>
      <c r="J34" s="62" t="s">
        <v>33</v>
      </c>
      <c r="K34" s="62" t="s">
        <v>56</v>
      </c>
      <c r="L34" s="74" t="s">
        <v>39</v>
      </c>
      <c r="M34" s="75" t="str">
        <f>HYPERLINK("http://dota.nyoron.co/ti5/day2/1667987887.dem.zip","1667987887")</f>
        <v>1667987887</v>
      </c>
      <c r="N34" s="66" t="str">
        <f>HYPERLINK("http://dota.nyoron.co/ti5/day2/1668137863.dem.zip","1668137863")</f>
        <v>1668137863</v>
      </c>
      <c r="O34" s="87"/>
      <c r="P34" s="94" t="str">
        <f>HYPERLINK("https://www.youtube.com/watch?v=ASVktsIGUww","Day 2 NaVi vs Complexity Game 1")</f>
        <v>Day 2 NaVi vs Complexity Game 1</v>
      </c>
      <c r="R34" s="94" t="str">
        <f>HYPERLINK("https://www.youtube.com/watch?v=NORz7tuKrpM","Day 2 NaVi vs Complecity Game 2")</f>
        <v>Day 2 NaVi vs Complecity Game 2</v>
      </c>
      <c r="U34" s="95" t="s">
        <v>56</v>
      </c>
      <c r="V34" s="95" t="s">
        <v>72</v>
      </c>
      <c r="W34" s="18"/>
      <c r="X34" s="18"/>
      <c r="Y34" s="18"/>
      <c r="Z34" s="18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>
      <c r="A35" s="92" t="s">
        <v>76</v>
      </c>
      <c r="B35" s="55">
        <v>42213.0</v>
      </c>
      <c r="C35" s="56">
        <v>0.8125</v>
      </c>
      <c r="D35" s="57">
        <v>0.4791666666666667</v>
      </c>
      <c r="E35" s="58">
        <v>0.5625</v>
      </c>
      <c r="F35" s="59">
        <v>0.8541666666666666</v>
      </c>
      <c r="G35" s="60">
        <v>0.0625</v>
      </c>
      <c r="H35" s="61">
        <v>0.14583333333333334</v>
      </c>
      <c r="I35" s="62" t="s">
        <v>67</v>
      </c>
      <c r="J35" s="62" t="s">
        <v>33</v>
      </c>
      <c r="K35" s="62" t="s">
        <v>62</v>
      </c>
      <c r="L35" s="97" t="s">
        <v>68</v>
      </c>
      <c r="M35" s="75" t="str">
        <f>HYPERLINK("http://dota.nyoron.co/ti5/day2/1668240246.dem.zip","1668240246")</f>
        <v>1668240246</v>
      </c>
      <c r="N35" s="66" t="str">
        <f>HYPERLINK("http://dota.nyoron.co/ti5/day2/1668345858.dem.zip","1668345858")</f>
        <v>1668345858</v>
      </c>
      <c r="O35" s="87"/>
      <c r="P35" s="94" t="str">
        <f>HYPERLINK("https://www.youtube.com/watch?v=EZi6ebAKhu0","Day 2 Cloud9 vs Secret Game 1")</f>
        <v>Day 2 Cloud9 vs Secret Game 1</v>
      </c>
      <c r="R35" s="94" t="str">
        <f>HYPERLINK("https://www.youtube.com/watch?v=D8TSAOyng-4","Day 2 Cloud9 vs Secret Game 2")</f>
        <v>Day 2 Cloud9 vs Secret Game 2</v>
      </c>
      <c r="U35" s="95" t="s">
        <v>62</v>
      </c>
      <c r="V35" s="95" t="s">
        <v>67</v>
      </c>
      <c r="W35" s="18"/>
      <c r="X35" s="18"/>
      <c r="Y35" s="18"/>
      <c r="Z35" s="18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>
      <c r="A36" s="92" t="s">
        <v>79</v>
      </c>
      <c r="B36" s="55">
        <v>42213.0</v>
      </c>
      <c r="C36" s="56">
        <v>0.8125</v>
      </c>
      <c r="D36" s="57">
        <v>0.4791666666666667</v>
      </c>
      <c r="E36" s="58">
        <v>0.5625</v>
      </c>
      <c r="F36" s="59">
        <v>0.8541666666666666</v>
      </c>
      <c r="G36" s="60">
        <v>0.0625</v>
      </c>
      <c r="H36" s="61">
        <v>0.14583333333333334</v>
      </c>
      <c r="I36" s="62" t="s">
        <v>77</v>
      </c>
      <c r="J36" s="62" t="s">
        <v>33</v>
      </c>
      <c r="K36" s="62" t="s">
        <v>56</v>
      </c>
      <c r="L36" s="74" t="s">
        <v>39</v>
      </c>
      <c r="M36" s="75" t="str">
        <f>HYPERLINK("http://dota.nyoron.co/ti5/day2/1668243304.dem.zip","1668243304")</f>
        <v>1668243304</v>
      </c>
      <c r="N36" s="66" t="str">
        <f>HYPERLINK("http://dota.nyoron.co/ti5/day2/1668319630.dem.zip","1668319630")</f>
        <v>1668319630</v>
      </c>
      <c r="O36" s="87"/>
      <c r="P36" s="94" t="str">
        <f>HYPERLINK("https://www.youtube.com/watch?v=gVGyuceJKZM","Day 2 iG vs Complexity Game 1")</f>
        <v>Day 2 iG vs Complexity Game 1</v>
      </c>
      <c r="R36" s="94" t="str">
        <f>HYPERLINK("https://www.youtube.com/watch?v=_k_aiSjaNMs","Day 2 iG vs Complexity Game 2")</f>
        <v>Day 2 iG vs Complexity Game 2</v>
      </c>
      <c r="U36" s="96"/>
      <c r="V36" s="96"/>
      <c r="W36" s="18"/>
      <c r="X36" s="18"/>
      <c r="Y36" s="18"/>
      <c r="Z36" s="18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>
      <c r="A37" s="92" t="s">
        <v>71</v>
      </c>
      <c r="B37" s="55">
        <v>42213.0</v>
      </c>
      <c r="C37" s="56">
        <v>0.8125</v>
      </c>
      <c r="D37" s="57">
        <v>0.4791666666666667</v>
      </c>
      <c r="E37" s="58">
        <v>0.5625</v>
      </c>
      <c r="F37" s="59">
        <v>0.8541666666666666</v>
      </c>
      <c r="G37" s="60">
        <v>0.0625</v>
      </c>
      <c r="H37" s="61">
        <v>0.14583333333333334</v>
      </c>
      <c r="I37" s="78" t="s">
        <v>37</v>
      </c>
      <c r="J37" s="62" t="s">
        <v>33</v>
      </c>
      <c r="K37" s="62" t="s">
        <v>66</v>
      </c>
      <c r="L37" s="74" t="s">
        <v>48</v>
      </c>
      <c r="M37" s="75" t="str">
        <f>HYPERLINK("http://dota.nyoron.co/ti5/day2/1668245426.dem.zip","1668245426")</f>
        <v>1668245426</v>
      </c>
      <c r="N37" s="66" t="str">
        <f>HYPERLINK("http://dota.nyoron.co/ti5/day2/1668338643.dem.zip","1668338643")</f>
        <v>1668338643</v>
      </c>
      <c r="O37" s="87"/>
      <c r="P37" s="94" t="str">
        <f>HYPERLINK("https://www.youtube.com/watch?v=ZGKAb5-pZcE","Day 2 MVPP vs LGD Game 1")</f>
        <v>Day 2 MVPP vs LGD Game 1</v>
      </c>
      <c r="R37" s="94" t="str">
        <f>HYPERLINK("https://www.youtube.com/watch?v=o401iY1y3fU","Day 2 MVPP vs LGD Game 2")</f>
        <v>Day 2 MVPP vs LGD Game 2</v>
      </c>
      <c r="U37" s="95" t="s">
        <v>66</v>
      </c>
      <c r="V37" s="95" t="s">
        <v>37</v>
      </c>
      <c r="W37" s="18"/>
      <c r="X37" s="18"/>
      <c r="Y37" s="18"/>
      <c r="Z37" s="18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>
      <c r="A38" s="92" t="s">
        <v>82</v>
      </c>
      <c r="B38" s="55">
        <v>42213.0</v>
      </c>
      <c r="C38" s="56">
        <v>0.9166666666666666</v>
      </c>
      <c r="D38" s="57">
        <v>0.5833333333333334</v>
      </c>
      <c r="E38" s="58">
        <v>0.7083333333333334</v>
      </c>
      <c r="F38" s="59">
        <v>0.9583333333333334</v>
      </c>
      <c r="G38" s="60">
        <v>0.20833333333333334</v>
      </c>
      <c r="H38" s="61">
        <v>0.2916666666666667</v>
      </c>
      <c r="I38" s="62" t="s">
        <v>61</v>
      </c>
      <c r="J38" s="62" t="s">
        <v>33</v>
      </c>
      <c r="K38" s="78" t="s">
        <v>37</v>
      </c>
      <c r="L38" s="74" t="s">
        <v>48</v>
      </c>
      <c r="M38" s="75" t="str">
        <f>HYPERLINK("http://dota.nyoron.co/ti5/day2/1668434795.dem.zip","1668434795")</f>
        <v>1668434795</v>
      </c>
      <c r="N38" s="66" t="str">
        <f>HYPERLINK("http://dota.nyoron.co/ti5/day2/1668493996.dem.zip","1668493996")</f>
        <v>1668493996</v>
      </c>
      <c r="O38" s="87"/>
      <c r="P38" s="94" t="str">
        <f>HYPERLINK("https://www.youtube.com/watch?v=tROu9UEbYjU","Day 2 Fnatic vs MVPP Game 1")</f>
        <v>Day 2 Fnatic vs MVPP Game 1</v>
      </c>
      <c r="R38" s="94" t="str">
        <f>HYPERLINK("https://www.youtube.com/watch?v=6K8BcMp1A9U","Day 2 Fnatic vs MVPP Game 2")</f>
        <v>Day 2 Fnatic vs MVPP Game 2</v>
      </c>
      <c r="U38" s="96"/>
      <c r="V38" s="96"/>
      <c r="W38" s="18"/>
      <c r="X38" s="18"/>
      <c r="Y38" s="18"/>
      <c r="Z38" s="18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>
      <c r="A39" s="92" t="s">
        <v>78</v>
      </c>
      <c r="B39" s="55">
        <v>42213.0</v>
      </c>
      <c r="C39" s="56">
        <v>0.9166666666666666</v>
      </c>
      <c r="D39" s="57">
        <v>0.5833333333333334</v>
      </c>
      <c r="E39" s="58">
        <v>0.7083333333333334</v>
      </c>
      <c r="F39" s="59">
        <v>0.9583333333333334</v>
      </c>
      <c r="G39" s="60">
        <v>0.20833333333333334</v>
      </c>
      <c r="H39" s="61">
        <v>0.2916666666666667</v>
      </c>
      <c r="I39" s="62" t="s">
        <v>62</v>
      </c>
      <c r="J39" s="62" t="s">
        <v>33</v>
      </c>
      <c r="K39" s="62" t="s">
        <v>72</v>
      </c>
      <c r="L39" s="97" t="s">
        <v>68</v>
      </c>
      <c r="M39" s="75" t="str">
        <f>HYPERLINK("http://dota.nyoron.co/ti5/day2/1668437721.dem.zip","1668437721")</f>
        <v>1668437721</v>
      </c>
      <c r="N39" s="66" t="str">
        <f>HYPERLINK("http://dota.nyoron.co/ti5/day2/1668506691.dem.zip","1668506691")</f>
        <v>1668506691</v>
      </c>
      <c r="O39" s="87"/>
      <c r="P39" s="94" t="str">
        <f>HYPERLINK("https://www.youtube.com/watch?v=98adVmcapNw","Day 2 Secret vs NaVi Game 1")</f>
        <v>Day 2 Secret vs NaVi Game 1</v>
      </c>
      <c r="R39" s="94" t="str">
        <f>HYPERLINK("https://www.youtube.com/watch?v=3HvYsDzjdX8","Day 2 Secret vs NaVi Game 2")</f>
        <v>Day 2 Secret vs NaVi Game 2</v>
      </c>
      <c r="S39" s="51" t="s">
        <v>28</v>
      </c>
      <c r="U39" s="95" t="s">
        <v>62</v>
      </c>
      <c r="V39" s="95" t="s">
        <v>72</v>
      </c>
      <c r="W39" s="18"/>
      <c r="X39" s="18"/>
      <c r="Y39" s="18"/>
      <c r="Z39" s="18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>
      <c r="A40" s="92" t="s">
        <v>83</v>
      </c>
      <c r="B40" s="55">
        <v>42213.0</v>
      </c>
      <c r="C40" s="56">
        <v>0.9166666666666666</v>
      </c>
      <c r="D40" s="57">
        <v>0.5833333333333334</v>
      </c>
      <c r="E40" s="58">
        <v>0.7083333333333334</v>
      </c>
      <c r="F40" s="59">
        <v>0.9583333333333334</v>
      </c>
      <c r="G40" s="60">
        <v>0.20833333333333334</v>
      </c>
      <c r="H40" s="61">
        <v>0.2916666666666667</v>
      </c>
      <c r="I40" s="78" t="s">
        <v>34</v>
      </c>
      <c r="J40" s="62" t="s">
        <v>33</v>
      </c>
      <c r="K40" s="62" t="s">
        <v>81</v>
      </c>
      <c r="L40" s="97" t="s">
        <v>94</v>
      </c>
      <c r="M40" s="75" t="str">
        <f>HYPERLINK("http://dota.nyoron.co/ti5/day2/1668432255m.zip","1668432255")</f>
        <v>1668432255</v>
      </c>
      <c r="N40" s="66" t="str">
        <f>HYPERLINK("http://dota.nyoron.co/ti5/day2/1668507634.dem.zip","1668507634")</f>
        <v>1668507634</v>
      </c>
      <c r="O40" s="87"/>
      <c r="P40" s="94" t="str">
        <f>HYPERLINK("https://www.youtube.com/watch?v=jbiAtno9u_M","Day 2 CDEC vs VP Game 1")</f>
        <v>Day 2 CDEC vs VP Game 1</v>
      </c>
      <c r="R40" s="94" t="str">
        <f>HYPERLINK("https://www.youtube.com/watch?v=k6pW4mGL9uo","Day 2 CDEC vs VP Game 2")</f>
        <v>Day 2 CDEC vs VP Game 2</v>
      </c>
      <c r="U40" s="95" t="s">
        <v>81</v>
      </c>
      <c r="V40" s="95" t="s">
        <v>32</v>
      </c>
      <c r="W40" s="18"/>
      <c r="X40" s="18"/>
      <c r="Y40" s="18"/>
      <c r="Z40" s="18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>
      <c r="A41" s="92" t="s">
        <v>85</v>
      </c>
      <c r="B41" s="55">
        <v>42213.0</v>
      </c>
      <c r="C41" s="56">
        <v>0.020833333333333332</v>
      </c>
      <c r="D41" s="57">
        <v>0.6875</v>
      </c>
      <c r="E41" s="58">
        <v>0.8125</v>
      </c>
      <c r="F41" s="59">
        <v>0.0625</v>
      </c>
      <c r="G41" s="60">
        <v>0.3125</v>
      </c>
      <c r="H41" s="61">
        <v>0.3958333333333333</v>
      </c>
      <c r="I41" s="62" t="s">
        <v>84</v>
      </c>
      <c r="J41" s="62" t="s">
        <v>33</v>
      </c>
      <c r="K41" s="62" t="s">
        <v>87</v>
      </c>
      <c r="L41" s="74" t="s">
        <v>39</v>
      </c>
      <c r="M41" s="75" t="str">
        <f>HYPERLINK("http://dota.nyoron.co/ti5/day2/1668591683.dem.zip","1668591683")</f>
        <v>1668591683</v>
      </c>
      <c r="N41" s="66" t="str">
        <f>HYPERLINK("http://dota.nyoron.co/ti5/day2/1668682748.dem.zip","1668682748")</f>
        <v>1668682748</v>
      </c>
      <c r="O41" s="87"/>
      <c r="P41" s="94" t="str">
        <f>HYPERLINK("https://www.youtube.com/watch?v=0M0aIwPJhJc","Day 2 EG vs VG Game 1")</f>
        <v>Day 2 EG vs VG Game 1</v>
      </c>
      <c r="R41" s="94" t="str">
        <f>HYPERLINK("https://www.youtube.com/watch?v=1y0rcw7CsYs","Day 2 EG vs VG Game 2")</f>
        <v>Day 2 EG vs VG Game 2</v>
      </c>
      <c r="U41" s="95" t="s">
        <v>84</v>
      </c>
      <c r="V41" s="95" t="s">
        <v>87</v>
      </c>
      <c r="W41" s="18"/>
      <c r="X41" s="18"/>
      <c r="Y41" s="18"/>
      <c r="Z41" s="18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>
      <c r="A42" s="92" t="s">
        <v>88</v>
      </c>
      <c r="B42" s="55">
        <v>42213.0</v>
      </c>
      <c r="C42" s="56">
        <v>0.020833333333333332</v>
      </c>
      <c r="D42" s="57">
        <v>0.6875</v>
      </c>
      <c r="E42" s="58">
        <v>0.8125</v>
      </c>
      <c r="F42" s="59">
        <v>0.0625</v>
      </c>
      <c r="G42" s="60">
        <v>0.3125</v>
      </c>
      <c r="H42" s="61">
        <v>0.3958333333333333</v>
      </c>
      <c r="I42" s="62" t="s">
        <v>92</v>
      </c>
      <c r="J42" s="62" t="s">
        <v>33</v>
      </c>
      <c r="K42" s="62" t="s">
        <v>80</v>
      </c>
      <c r="L42" s="74" t="s">
        <v>52</v>
      </c>
      <c r="M42" s="75" t="str">
        <f>HYPERLINK("http://dota.nyoron.co/ti5/day2/1668556845.dem.zip","1668556845")</f>
        <v>1668556845</v>
      </c>
      <c r="N42" s="66" t="str">
        <f>HYPERLINK("http://dota.nyoron.co/ti5/day2/1668613457.dem.zip","1668613457")</f>
        <v>1668613457</v>
      </c>
      <c r="O42" s="87"/>
      <c r="P42" s="94" t="str">
        <f>HYPERLINK("https://www.youtube.com/watch?v=Guu5y6I9eFA","Day 2 EHOME vs Newbee Game 1")</f>
        <v>Day 2 EHOME vs Newbee Game 1</v>
      </c>
      <c r="R42" s="94" t="str">
        <f>HYPERLINK("https://www.youtube.com/watch?v=nj-Ysmg5I6c","Day 2 EHOME vs Newbee Game 2")</f>
        <v>Day 2 EHOME vs Newbee Game 2</v>
      </c>
      <c r="U42" s="96"/>
      <c r="V42" s="96"/>
      <c r="W42" s="18"/>
      <c r="X42" s="18"/>
      <c r="Y42" s="18"/>
      <c r="Z42" s="18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>
      <c r="A43" s="92" t="s">
        <v>90</v>
      </c>
      <c r="B43" s="55">
        <v>42213.0</v>
      </c>
      <c r="C43" s="56">
        <v>0.020833333333333332</v>
      </c>
      <c r="D43" s="57">
        <v>0.6875</v>
      </c>
      <c r="E43" s="58">
        <v>0.8125</v>
      </c>
      <c r="F43" s="59">
        <v>0.0625</v>
      </c>
      <c r="G43" s="60">
        <v>0.3125</v>
      </c>
      <c r="H43" s="61">
        <v>0.3958333333333333</v>
      </c>
      <c r="I43" s="62" t="s">
        <v>86</v>
      </c>
      <c r="J43" s="62" t="s">
        <v>33</v>
      </c>
      <c r="K43" s="62" t="s">
        <v>95</v>
      </c>
      <c r="L43" s="97" t="s">
        <v>94</v>
      </c>
      <c r="M43" s="75" t="str">
        <f>HYPERLINK("http://dota.nyoron.co/ti5/day2/1668579624.dem.zip","1668579624")</f>
        <v>1668579624</v>
      </c>
      <c r="N43" s="66" t="str">
        <f>HYPERLINK("http://dota.nyoron.co/ti5/day2/1668646062.dem.zip","1668646062")</f>
        <v>1668646062</v>
      </c>
      <c r="O43" s="87"/>
      <c r="P43" s="94" t="str">
        <f>HYPERLINK("https://www.youtube.com/watch?v=vjtqDqyh8WY","Day 2 Empire vs VP Game 1")</f>
        <v>Day 2 Empire vs VP Game 1</v>
      </c>
      <c r="R43" s="94" t="str">
        <f>HYPERLINK("https://www.youtube.com/watch?v=08Qb3EkV4p4","Day 2 Empire vs VP Game 2")</f>
        <v>Day 2 Empire vs VP Game 2</v>
      </c>
      <c r="U43" s="95" t="s">
        <v>86</v>
      </c>
      <c r="V43" s="95" t="s">
        <v>81</v>
      </c>
      <c r="W43" s="18"/>
      <c r="X43" s="18"/>
      <c r="Y43" s="18"/>
      <c r="Z43" s="18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>
      <c r="A44" s="92" t="s">
        <v>91</v>
      </c>
      <c r="B44" s="55">
        <v>42213.0</v>
      </c>
      <c r="C44" s="56">
        <v>0.125</v>
      </c>
      <c r="D44" s="57">
        <v>0.7916666666666666</v>
      </c>
      <c r="E44" s="58">
        <v>0.9166666666666666</v>
      </c>
      <c r="F44" s="59">
        <v>0.16666666666666666</v>
      </c>
      <c r="G44" s="60">
        <v>0.4166666666666667</v>
      </c>
      <c r="H44" s="61">
        <v>0.5</v>
      </c>
      <c r="I44" s="62" t="s">
        <v>84</v>
      </c>
      <c r="J44" s="62" t="s">
        <v>33</v>
      </c>
      <c r="K44" s="62" t="s">
        <v>89</v>
      </c>
      <c r="L44" s="74" t="s">
        <v>39</v>
      </c>
      <c r="M44" s="75" t="str">
        <f>HYPERLINK("http://dota.nyoron.co/ti5/day2/1668751522.dem.zip","1668751522")</f>
        <v>1668751522</v>
      </c>
      <c r="N44" s="66" t="str">
        <f>HYPERLINK("http://dota.nyoron.co/ti5/day2/1668839023.dem.zip","1668839023")</f>
        <v>1668839023</v>
      </c>
      <c r="O44" s="87"/>
      <c r="P44" s="94" t="str">
        <f>HYPERLINK("https://www.youtube.com/watch?v=gNT90mSMXwQ","Day 2 EG vs MVP.Hot6 Game 1")</f>
        <v>Day 2 EG vs MVP.Hot6 Game 1</v>
      </c>
      <c r="R44" s="94" t="str">
        <f>HYPERLINK("https://www.youtube.com/watch?v=GLv39_wJwH4","Day 2 EG vs MVP.Hot6 Game 2")</f>
        <v>Day 2 EG vs MVP.Hot6 Game 2</v>
      </c>
      <c r="U44" s="95" t="s">
        <v>84</v>
      </c>
      <c r="V44" s="95" t="s">
        <v>89</v>
      </c>
      <c r="W44" s="18"/>
      <c r="X44" s="18"/>
      <c r="Y44" s="18"/>
      <c r="Z44" s="18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  <row r="45">
      <c r="A45" s="92" t="s">
        <v>93</v>
      </c>
      <c r="B45" s="55">
        <v>42213.0</v>
      </c>
      <c r="C45" s="56">
        <v>0.125</v>
      </c>
      <c r="D45" s="57">
        <v>0.7916666666666666</v>
      </c>
      <c r="E45" s="58">
        <v>0.9166666666666666</v>
      </c>
      <c r="F45" s="59">
        <v>0.16666666666666666</v>
      </c>
      <c r="G45" s="60">
        <v>0.4166666666666667</v>
      </c>
      <c r="H45" s="61">
        <v>0.5</v>
      </c>
      <c r="I45" s="62" t="s">
        <v>92</v>
      </c>
      <c r="J45" s="62" t="s">
        <v>33</v>
      </c>
      <c r="K45" s="62" t="s">
        <v>87</v>
      </c>
      <c r="L45" s="74" t="s">
        <v>52</v>
      </c>
      <c r="M45" s="75" t="str">
        <f>HYPERLINK("http://dota.nyoron.co/ti5/day2/1668758379.dem.zip","1668758379")</f>
        <v>1668758379</v>
      </c>
      <c r="N45" s="107" t="str">
        <f>HYPERLINK("http://dota.nyoron.co/ti5/day2/1668862986.dem.zip","1668862986")</f>
        <v>1668862986</v>
      </c>
      <c r="O45" s="87"/>
      <c r="P45" s="94" t="str">
        <f>HYPERLINK("https://www.youtube.com/watch?v=MG5d5xEak7Y","Day 2 EHOME vs VG Game 1")</f>
        <v>Day 2 EHOME vs VG Game 1</v>
      </c>
      <c r="R45" s="94" t="str">
        <f>HYPERLINK("https://www.youtube.com/watch?v=Usi-so3vjzc","Day 2 EHOME vs VG Game 2")</f>
        <v>Day 2 EHOME vs VG Game 2</v>
      </c>
      <c r="S45" s="51" t="s">
        <v>28</v>
      </c>
      <c r="U45" s="96"/>
      <c r="V45" s="96"/>
      <c r="W45" s="18"/>
      <c r="X45" s="18"/>
      <c r="Y45" s="18"/>
      <c r="Z45" s="18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>
      <c r="A46" s="92" t="s">
        <v>96</v>
      </c>
      <c r="B46" s="55">
        <v>42213.0</v>
      </c>
      <c r="C46" s="56">
        <v>0.125</v>
      </c>
      <c r="D46" s="57">
        <v>0.7916666666666666</v>
      </c>
      <c r="E46" s="58">
        <v>0.9166666666666666</v>
      </c>
      <c r="F46" s="59">
        <v>0.16666666666666666</v>
      </c>
      <c r="G46" s="60">
        <v>0.4166666666666667</v>
      </c>
      <c r="H46" s="61">
        <v>0.5</v>
      </c>
      <c r="I46" s="62" t="s">
        <v>86</v>
      </c>
      <c r="J46" s="62" t="s">
        <v>33</v>
      </c>
      <c r="K46" s="78" t="s">
        <v>34</v>
      </c>
      <c r="L46" s="108" t="s">
        <v>94</v>
      </c>
      <c r="M46" s="75" t="str">
        <f>HYPERLINK("http://dota.nyoron.co/ti5/day2/1668725839.dem.zip","1668725839")</f>
        <v>1668725839</v>
      </c>
      <c r="N46" s="66" t="str">
        <f>HYPERLINK("http://dota.nyoron.co/ti5/day2/1668792831.dem.zip","1668792831")</f>
        <v>1668792831</v>
      </c>
      <c r="O46" s="87"/>
      <c r="P46" s="94" t="str">
        <f>HYPERLINK("https://www.youtube.com/watch?v=MG5d5xEak7Y","Day 2 Empire vs CDEC Game 1")</f>
        <v>Day 2 Empire vs CDEC Game 1</v>
      </c>
      <c r="R46" s="94" t="str">
        <f>HYPERLINK("https://www.youtube.com/watch?v=C4esWcMb18U","Day 2 Empire vs CDEC Game 2")</f>
        <v>Day 2 Empire vs CDEC Game 2</v>
      </c>
      <c r="U46" s="95" t="s">
        <v>32</v>
      </c>
      <c r="V46" s="95" t="s">
        <v>86</v>
      </c>
      <c r="W46" s="18"/>
      <c r="X46" s="18"/>
      <c r="Y46" s="18"/>
      <c r="Z46" s="18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>
      <c r="A47" s="27"/>
      <c r="B47" s="84"/>
      <c r="C47" s="48"/>
      <c r="D47" s="27"/>
      <c r="E47" s="27"/>
      <c r="F47" s="27"/>
      <c r="G47" s="27"/>
      <c r="H47" s="27"/>
      <c r="I47" s="27"/>
      <c r="J47" s="46"/>
      <c r="K47" s="27"/>
      <c r="L47" s="85"/>
      <c r="M47" s="106" t="str">
        <f>HYPERLINK("http://dota.nyoron.co/ti5/day2/day2.zip","Download all day 2 replays here")</f>
        <v>Download all day 2 replays here</v>
      </c>
      <c r="P47" s="88"/>
      <c r="R47" s="88"/>
      <c r="U47" s="88"/>
      <c r="V47" s="88"/>
      <c r="W47" s="27"/>
      <c r="X47" s="27"/>
      <c r="Y47" s="27"/>
      <c r="Z47" s="27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</row>
    <row r="48">
      <c r="A48" s="92" t="s">
        <v>55</v>
      </c>
      <c r="B48" s="55">
        <v>42214.0</v>
      </c>
      <c r="C48" s="56">
        <v>0.7083333333333334</v>
      </c>
      <c r="D48" s="57">
        <v>0.375</v>
      </c>
      <c r="E48" s="58">
        <v>0.5</v>
      </c>
      <c r="F48" s="59">
        <v>0.75</v>
      </c>
      <c r="G48" s="60">
        <v>0.0</v>
      </c>
      <c r="H48" s="61">
        <v>0.08333333333333333</v>
      </c>
      <c r="I48" s="62" t="s">
        <v>67</v>
      </c>
      <c r="J48" s="62" t="s">
        <v>33</v>
      </c>
      <c r="K48" s="62" t="s">
        <v>77</v>
      </c>
      <c r="L48" s="97" t="s">
        <v>68</v>
      </c>
      <c r="M48" s="75" t="str">
        <f>HYPERLINK("http://dota.nyoron.co/ti5/day3/1670594877.dem.zip","1670594877")</f>
        <v>1670594877</v>
      </c>
      <c r="N48" s="66" t="str">
        <f>HYPERLINK("http://dota.nyoron.co/ti5/day3/1670686522.dem.zip","1670686522")</f>
        <v>1670686522</v>
      </c>
      <c r="O48" s="93" t="s">
        <v>57</v>
      </c>
      <c r="P48" s="94" t="str">
        <f>HYPERLINK("https://www.youtube.com/watch?v=K4MEhtL2lyk","Day 3 Cloud9 vs iG Game 1")</f>
        <v>Day 3 Cloud9 vs iG Game 1</v>
      </c>
      <c r="R48" s="94" t="str">
        <f>HYPERLINK("https://www.youtube.com/watch?v=3C0O1i3_vlk","Day 3 Cloud9 vs iG Game 2")</f>
        <v>Day 3 Cloud9 vs iG Game 2</v>
      </c>
      <c r="U48" s="95" t="s">
        <v>67</v>
      </c>
      <c r="V48" s="95" t="s">
        <v>77</v>
      </c>
      <c r="W48" s="18"/>
      <c r="X48" s="18"/>
      <c r="Y48" s="18"/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>
      <c r="A49" s="92" t="s">
        <v>75</v>
      </c>
      <c r="B49" s="55">
        <v>42214.0</v>
      </c>
      <c r="C49" s="56">
        <v>0.7083333333333334</v>
      </c>
      <c r="D49" s="57">
        <v>0.375</v>
      </c>
      <c r="E49" s="58">
        <v>0.5</v>
      </c>
      <c r="F49" s="59">
        <v>0.75</v>
      </c>
      <c r="G49" s="60">
        <v>0.0</v>
      </c>
      <c r="H49" s="61">
        <v>0.08333333333333333</v>
      </c>
      <c r="I49" s="62" t="s">
        <v>72</v>
      </c>
      <c r="J49" s="62" t="s">
        <v>33</v>
      </c>
      <c r="K49" s="62" t="s">
        <v>61</v>
      </c>
      <c r="L49" s="74" t="s">
        <v>39</v>
      </c>
      <c r="M49" s="75" t="str">
        <f>HYPERLINK("http://dota.nyoron.co/ti5/day3/1670592135.dem.zip","1670592135")</f>
        <v>1670592135</v>
      </c>
      <c r="N49" s="66" t="str">
        <f>HYPERLINK("http://dota.nyoron.co/ti5/day3/1670702068.dem.zip","1670702068")</f>
        <v>1670702068</v>
      </c>
      <c r="O49" s="87"/>
      <c r="P49" s="94" t="str">
        <f>HYPERLINK("https://www.youtube.com/watch?v=7yGQoMhJGs4","Day 3 NaVi vs Fnatic Game 1")</f>
        <v>Day 3 NaVi vs Fnatic Game 1</v>
      </c>
      <c r="R49" s="94" t="str">
        <f>HYPERLINK("https://www.youtube.com/watch?v=PnXR-HugYqw","Day 3 NaVi vs Fnatic Game 2")</f>
        <v>Day 3 NaVi vs Fnatic Game 2</v>
      </c>
      <c r="U49" s="96"/>
      <c r="V49" s="96"/>
      <c r="W49" s="18"/>
      <c r="X49" s="18"/>
      <c r="Y49" s="18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>
      <c r="A50" s="92" t="s">
        <v>65</v>
      </c>
      <c r="B50" s="55">
        <v>42214.0</v>
      </c>
      <c r="C50" s="56">
        <v>0.7083333333333334</v>
      </c>
      <c r="D50" s="57">
        <v>0.375</v>
      </c>
      <c r="E50" s="58">
        <v>0.5</v>
      </c>
      <c r="F50" s="59">
        <v>0.75</v>
      </c>
      <c r="G50" s="60">
        <v>0.0</v>
      </c>
      <c r="H50" s="61">
        <v>0.08333333333333333</v>
      </c>
      <c r="I50" s="62" t="s">
        <v>62</v>
      </c>
      <c r="J50" s="62" t="s">
        <v>33</v>
      </c>
      <c r="K50" s="62" t="s">
        <v>66</v>
      </c>
      <c r="L50" s="74" t="s">
        <v>48</v>
      </c>
      <c r="M50" s="75" t="str">
        <f>HYPERLINK("http://dota.nyoron.co/ti5/day3/1670611989.dem.zip","1670611989")</f>
        <v>1670611989</v>
      </c>
      <c r="N50" s="66" t="str">
        <f>HYPERLINK("http://dota.nyoron.co/ti5/day3/1670707254.dem.zip","1670707254")</f>
        <v>1670707254</v>
      </c>
      <c r="O50" s="87"/>
      <c r="P50" s="94" t="str">
        <f>HYPERLINK("https://www.youtube.com/watch?v=WuY7yZhneqM","Day 3 Secret vs LGD Game 1")</f>
        <v>Day 3 Secret vs LGD Game 1</v>
      </c>
      <c r="R50" s="94" t="str">
        <f>HYPERLINK("https://www.youtube.com/watch?v=HNia24NYH74","Day 3 Secret vs LGD Game 2")</f>
        <v>Day 3 Secret vs LGD Game 2</v>
      </c>
      <c r="U50" s="96"/>
      <c r="V50" s="96"/>
      <c r="W50" s="18"/>
      <c r="X50" s="18"/>
      <c r="Y50" s="18"/>
      <c r="Z50" s="18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>
      <c r="A51" s="92" t="s">
        <v>71</v>
      </c>
      <c r="B51" s="109">
        <v>42214.0</v>
      </c>
      <c r="C51" s="110">
        <v>0.8125</v>
      </c>
      <c r="D51" s="111">
        <v>0.4791666666666667</v>
      </c>
      <c r="E51" s="112">
        <v>0.5625</v>
      </c>
      <c r="F51" s="113">
        <v>0.8541666666666666</v>
      </c>
      <c r="G51" s="114">
        <v>0.0625</v>
      </c>
      <c r="H51" s="115">
        <v>0.14583333333333334</v>
      </c>
      <c r="I51" s="92" t="s">
        <v>67</v>
      </c>
      <c r="J51" s="92" t="s">
        <v>33</v>
      </c>
      <c r="K51" s="78" t="s">
        <v>37</v>
      </c>
      <c r="L51" s="116" t="s">
        <v>68</v>
      </c>
      <c r="M51" s="75" t="str">
        <f>HYPERLINK("http://dota.nyoron.co/ti5/day3/1670808701.dem.zip","1670808701")</f>
        <v>1670808701</v>
      </c>
      <c r="N51" s="66" t="str">
        <f>HYPERLINK("http://dota.nyoron.co/ti5/day3/1670901885.dem.zip","1670901885")</f>
        <v>1670901885</v>
      </c>
      <c r="O51" s="87"/>
      <c r="P51" s="94" t="str">
        <f>HYPERLINK("https://www.youtube.com/watch?v=0kzFmjeb0ew","Day 3 Cloud9 vs MVPP Game 1")</f>
        <v>Day 3 Cloud9 vs MVPP Game 1</v>
      </c>
      <c r="R51" s="94" t="str">
        <f>HYPERLINK("https://www.youtube.com/watch?v=p3cx_myA-ZA","Day 3 Cloud9 vs MVPP Game 2")</f>
        <v>Day 3 Cloud9 vs MVPP Game 2</v>
      </c>
      <c r="S51" s="117" t="s">
        <v>28</v>
      </c>
      <c r="U51" s="95" t="s">
        <v>67</v>
      </c>
      <c r="V51" s="95" t="s">
        <v>37</v>
      </c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>
      <c r="A52" s="92" t="s">
        <v>76</v>
      </c>
      <c r="B52" s="109">
        <v>42214.0</v>
      </c>
      <c r="C52" s="110">
        <v>0.8125</v>
      </c>
      <c r="D52" s="111">
        <v>0.4791666666666667</v>
      </c>
      <c r="E52" s="112">
        <v>0.5625</v>
      </c>
      <c r="F52" s="113">
        <v>0.8541666666666666</v>
      </c>
      <c r="G52" s="114">
        <v>0.0625</v>
      </c>
      <c r="H52" s="115">
        <v>0.14583333333333334</v>
      </c>
      <c r="I52" s="92" t="s">
        <v>72</v>
      </c>
      <c r="J52" s="92" t="s">
        <v>33</v>
      </c>
      <c r="K52" s="92" t="s">
        <v>66</v>
      </c>
      <c r="L52" s="118" t="s">
        <v>48</v>
      </c>
      <c r="M52" s="75" t="str">
        <f>HYPERLINK("http://dota.nyoron.co/ti5/day3/1670863093.dem.zip","1670863093")</f>
        <v>1670863093</v>
      </c>
      <c r="N52" s="66" t="str">
        <f>HYPERLINK("http://dota.nyoron.co/ti5/day3/1670963917.dem.zip","1670963917")</f>
        <v>1670963917</v>
      </c>
      <c r="O52" s="87"/>
      <c r="P52" s="94" t="str">
        <f>HYPERLINK("https://www.youtube.com/watch?v=qck7aS5RUmg","Day 3 NaVi vs LGD Game 1")</f>
        <v>Day 3 NaVi vs LGD Game 1</v>
      </c>
      <c r="R52" s="94" t="str">
        <f>HYPERLINK("https://www.youtube.com/watch?v=g-ZlsNOX4Uo","Day 3 NaVi vs LGD Game 2")</f>
        <v>Day 3 NaVi vs LGD Game 2</v>
      </c>
      <c r="U52" s="95" t="s">
        <v>66</v>
      </c>
      <c r="V52" s="95" t="s">
        <v>72</v>
      </c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>
      <c r="A53" s="92" t="s">
        <v>79</v>
      </c>
      <c r="B53" s="109">
        <v>42214.0</v>
      </c>
      <c r="C53" s="110">
        <v>0.8125</v>
      </c>
      <c r="D53" s="111">
        <v>0.4791666666666667</v>
      </c>
      <c r="E53" s="112">
        <v>0.5625</v>
      </c>
      <c r="F53" s="113">
        <v>0.8541666666666666</v>
      </c>
      <c r="G53" s="114">
        <v>0.0625</v>
      </c>
      <c r="H53" s="115">
        <v>0.14583333333333334</v>
      </c>
      <c r="I53" s="92" t="s">
        <v>62</v>
      </c>
      <c r="J53" s="92" t="s">
        <v>33</v>
      </c>
      <c r="K53" s="92" t="s">
        <v>56</v>
      </c>
      <c r="L53" s="118" t="s">
        <v>39</v>
      </c>
      <c r="M53" s="75" t="str">
        <f>HYPERLINK("http://dota.nyoron.co/ti5/day3/1670865252.dem.zip","1670865252")</f>
        <v>1670865252</v>
      </c>
      <c r="N53" s="66" t="str">
        <f>HYPERLINK("http://dota.nyoron.co/ti5/day3/1670974602.dem.zip","1670974602")</f>
        <v>1670974602</v>
      </c>
      <c r="O53" s="87"/>
      <c r="P53" s="94" t="str">
        <f>HYPERLINK("https://www.youtube.com/watch?v=McmZXmGaDaQ","Day 3 Secret vs Complexity Game 1")</f>
        <v>Day 3 Secret vs Complexity Game 1</v>
      </c>
      <c r="R53" s="94" t="str">
        <f>HYPERLINK("https://www.youtube.com/watch?v=ezmQNnxpE5c","Day 3 Secret vs Complexity Game 2")</f>
        <v>Day 3 Secret vs Complexity Game 2</v>
      </c>
      <c r="U53" s="95" t="s">
        <v>62</v>
      </c>
      <c r="V53" s="95" t="s">
        <v>56</v>
      </c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>
      <c r="A54" s="92" t="s">
        <v>83</v>
      </c>
      <c r="B54" s="109">
        <v>42214.0</v>
      </c>
      <c r="C54" s="110">
        <v>0.9166666666666666</v>
      </c>
      <c r="D54" s="111">
        <v>0.5833333333333334</v>
      </c>
      <c r="E54" s="112">
        <v>0.7083333333333334</v>
      </c>
      <c r="F54" s="113">
        <v>0.9583333333333334</v>
      </c>
      <c r="G54" s="114">
        <v>0.20833333333333334</v>
      </c>
      <c r="H54" s="115">
        <v>0.2916666666666667</v>
      </c>
      <c r="I54" s="92" t="s">
        <v>86</v>
      </c>
      <c r="J54" s="92" t="s">
        <v>33</v>
      </c>
      <c r="K54" s="92" t="s">
        <v>80</v>
      </c>
      <c r="L54" s="118" t="s">
        <v>39</v>
      </c>
      <c r="M54" s="75" t="str">
        <f>HYPERLINK("http://dota.nyoron.co/ti5/day3/1671067751.dem.zip","1671067751")</f>
        <v>1671067751</v>
      </c>
      <c r="N54" s="66" t="str">
        <f>HYPERLINK("http://dota.nyoron.co/ti5/day3/1671129267.dem.zip","1671129267")</f>
        <v>1671129267</v>
      </c>
      <c r="O54" s="87"/>
      <c r="P54" s="94" t="str">
        <f>HYPERLINK("https://www.youtube.com/watch?v=rJW0aKebL2k","Day 3 Empire vs Newbee Game 1")</f>
        <v>Day 3 Empire vs Newbee Game 1</v>
      </c>
      <c r="R54" s="94" t="str">
        <f>HYPERLINK("https://www.youtube.com/watch?v=EIRrN4fB0tI","Day 3 Empire vs Newbee Game 2")</f>
        <v>Day 3 Empire vs Newbee Game 2</v>
      </c>
      <c r="U54" s="96"/>
      <c r="V54" s="9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>
      <c r="A55" s="92" t="s">
        <v>78</v>
      </c>
      <c r="B55" s="109">
        <v>42214.0</v>
      </c>
      <c r="C55" s="110">
        <v>0.9166666666666666</v>
      </c>
      <c r="D55" s="111">
        <v>0.5833333333333334</v>
      </c>
      <c r="E55" s="112">
        <v>0.7083333333333334</v>
      </c>
      <c r="F55" s="113">
        <v>0.9583333333333334</v>
      </c>
      <c r="G55" s="114">
        <v>0.20833333333333334</v>
      </c>
      <c r="H55" s="115">
        <v>0.2916666666666667</v>
      </c>
      <c r="I55" s="92" t="s">
        <v>81</v>
      </c>
      <c r="J55" s="92" t="s">
        <v>33</v>
      </c>
      <c r="K55" s="92" t="s">
        <v>89</v>
      </c>
      <c r="L55" s="118" t="s">
        <v>52</v>
      </c>
      <c r="M55" s="75" t="str">
        <f>HYPERLINK("http://dota.nyoron.co/ti5/day3/1671063488.dem.zip","1671063488")</f>
        <v>1671063488</v>
      </c>
      <c r="N55" s="66" t="str">
        <f>HYPERLINK("http://dota.nyoron.co/ti5/day3/1671123709.dem.zip","1671123709")</f>
        <v>1671123709</v>
      </c>
      <c r="O55" s="87"/>
      <c r="P55" s="94" t="str">
        <f>HYPERLINK("https://www.youtube.com/watch?v=Yfhy-YloJb4","Day 3 VP vs MVP.Hot6 Game 1")</f>
        <v>Day 3 VP vs MVP.Hot6 Game 1</v>
      </c>
      <c r="R55" s="94" t="str">
        <f>HYPERLINK("https://www.youtube.com/watch?v=1tvoAU8vnxg","Day 3 VP vs MVP.Hot6 Game 2")</f>
        <v>Day 3 VP vs MVP.Hot6 Game 2</v>
      </c>
      <c r="U55" s="96"/>
      <c r="V55" s="96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</row>
    <row r="56">
      <c r="A56" s="92" t="s">
        <v>82</v>
      </c>
      <c r="B56" s="109">
        <v>42214.0</v>
      </c>
      <c r="C56" s="110">
        <v>0.9166666666666666</v>
      </c>
      <c r="D56" s="111">
        <v>0.5833333333333334</v>
      </c>
      <c r="E56" s="112">
        <v>0.7083333333333334</v>
      </c>
      <c r="F56" s="113">
        <v>0.9583333333333334</v>
      </c>
      <c r="G56" s="114">
        <v>0.20833333333333334</v>
      </c>
      <c r="H56" s="115">
        <v>0.2916666666666667</v>
      </c>
      <c r="I56" s="78" t="s">
        <v>37</v>
      </c>
      <c r="J56" s="92" t="s">
        <v>33</v>
      </c>
      <c r="K56" s="92" t="s">
        <v>77</v>
      </c>
      <c r="L56" s="116" t="s">
        <v>68</v>
      </c>
      <c r="M56" s="75" t="str">
        <f>HYPERLINK("http://dota.nyoron.co/ti5/day3/1670993670.dem.zip","1670993670")</f>
        <v>1670993670</v>
      </c>
      <c r="N56" s="66" t="str">
        <f>HYPERLINK("http://dota.nyoron.co/ti5/day3/1671121575.dem.zip","1671121575")</f>
        <v>1671121575</v>
      </c>
      <c r="O56" s="87"/>
      <c r="P56" s="94" t="str">
        <f>HYPERLINK("https://www.youtube.com/watch?v=xNQ0LmkzaC4","Day 3 MVPP vs iG Game 1")</f>
        <v>Day 3 MVPP vs iG Game 1</v>
      </c>
      <c r="R56" s="94" t="str">
        <f>HYPERLINK("https://www.youtube.com/watch?v=kXS9gRFnyWo","Day 3 MVPP vs iG Game 2")</f>
        <v>Day 3 MVPP vs iG Game 2</v>
      </c>
      <c r="U56" s="95" t="s">
        <v>37</v>
      </c>
      <c r="V56" s="95" t="s">
        <v>77</v>
      </c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>
      <c r="A57" s="92" t="s">
        <v>85</v>
      </c>
      <c r="B57" s="109">
        <v>42214.0</v>
      </c>
      <c r="C57" s="110">
        <v>0.020833333333333332</v>
      </c>
      <c r="D57" s="111">
        <v>0.6875</v>
      </c>
      <c r="E57" s="112">
        <v>0.8125</v>
      </c>
      <c r="F57" s="113">
        <v>0.0625</v>
      </c>
      <c r="G57" s="114">
        <v>0.3125</v>
      </c>
      <c r="H57" s="115">
        <v>0.3958333333333333</v>
      </c>
      <c r="I57" s="92" t="s">
        <v>84</v>
      </c>
      <c r="J57" s="92" t="s">
        <v>33</v>
      </c>
      <c r="K57" s="92" t="s">
        <v>92</v>
      </c>
      <c r="L57" s="118" t="s">
        <v>52</v>
      </c>
      <c r="M57" s="75" t="str">
        <f>HYPERLINK("http://dota.nyoron.co/ti5/day3/1671201476.dem.zip","1671201476")</f>
        <v>1671201476</v>
      </c>
      <c r="N57" s="66" t="str">
        <f>HYPERLINK("http://dota.nyoron.co/ti5/day3/1671274952.dem.zip","1671274952")</f>
        <v>1671274952</v>
      </c>
      <c r="O57" s="87"/>
      <c r="P57" s="94" t="str">
        <f>HYPERLINK("https://www.youtube.com/watch?v=zOwOd-Xz0iM","Day 3 EG vs EHOME Game 1")</f>
        <v>Day 3 EG vs EHOME Game 1</v>
      </c>
      <c r="R57" s="94" t="str">
        <f>HYPERLINK("https://www.youtube.com/watch?v=jlC1gDeextA","Day 3 EG vs EHOME Game 2")</f>
        <v>Day 3 EG vs EHOME Game 2</v>
      </c>
      <c r="S57" s="117" t="s">
        <v>28</v>
      </c>
      <c r="U57" s="96"/>
      <c r="V57" s="96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</row>
    <row r="58">
      <c r="A58" s="92" t="s">
        <v>90</v>
      </c>
      <c r="B58" s="109">
        <v>42214.0</v>
      </c>
      <c r="C58" s="110">
        <v>0.020833333333333332</v>
      </c>
      <c r="D58" s="111">
        <v>0.6875</v>
      </c>
      <c r="E58" s="112">
        <v>0.8125</v>
      </c>
      <c r="F58" s="113">
        <v>0.0625</v>
      </c>
      <c r="G58" s="114">
        <v>0.3125</v>
      </c>
      <c r="H58" s="115">
        <v>0.3958333333333333</v>
      </c>
      <c r="I58" s="92" t="s">
        <v>80</v>
      </c>
      <c r="J58" s="92" t="s">
        <v>33</v>
      </c>
      <c r="K58" s="78" t="s">
        <v>32</v>
      </c>
      <c r="L58" s="118" t="s">
        <v>48</v>
      </c>
      <c r="M58" s="75" t="str">
        <f>HYPERLINK("http://dota.nyoron.co/ti5/day3/1671210956.dem.zip","1671210956")</f>
        <v>1671210956</v>
      </c>
      <c r="N58" s="66" t="str">
        <f>HYPERLINK("http://dota.nyoron.co/ti5/day3/1671265441.dem.zip","1671265441")</f>
        <v>1671265441</v>
      </c>
      <c r="O58" s="87"/>
      <c r="P58" s="94" t="str">
        <f>HYPERLINK("https://www.youtube.com/watch?v=X_7UD1xt80g","Day 3 Newbee vs CDEC Game 1")</f>
        <v>Day 3 Newbee vs CDEC Game 1</v>
      </c>
      <c r="R58" s="94" t="str">
        <f>HYPERLINK("https://www.youtube.com/watch?v=VAjH6yCC_bc","Day 3 Newbee vs CDEC Game 2")</f>
        <v>Day 3 Newbee vs CDEC Game 2</v>
      </c>
      <c r="U58" s="95" t="s">
        <v>32</v>
      </c>
      <c r="V58" s="95" t="s">
        <v>80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>
      <c r="A59" s="92" t="s">
        <v>88</v>
      </c>
      <c r="B59" s="109">
        <v>42214.0</v>
      </c>
      <c r="C59" s="110">
        <v>0.020833333333333332</v>
      </c>
      <c r="D59" s="111">
        <v>0.6875</v>
      </c>
      <c r="E59" s="112">
        <v>0.8125</v>
      </c>
      <c r="F59" s="113">
        <v>0.0625</v>
      </c>
      <c r="G59" s="114">
        <v>0.3125</v>
      </c>
      <c r="H59" s="115">
        <v>0.3958333333333333</v>
      </c>
      <c r="I59" s="92" t="s">
        <v>87</v>
      </c>
      <c r="J59" s="92" t="s">
        <v>33</v>
      </c>
      <c r="K59" s="92" t="s">
        <v>81</v>
      </c>
      <c r="L59" s="118" t="s">
        <v>43</v>
      </c>
      <c r="M59" s="75" t="str">
        <f>HYPERLINK("http://dota.nyoron.co/ti5/day3/1671208055.dem.zip","1671208055")</f>
        <v>1671208055</v>
      </c>
      <c r="N59" s="66" t="str">
        <f>HYPERLINK("http://dota.nyoron.co/ti5/day3/1671256008.dem.zip","1671256008")</f>
        <v>1671256008</v>
      </c>
      <c r="O59" s="87"/>
      <c r="P59" s="94" t="str">
        <f>HYPERLINK("https://www.youtube.com/watch?v=mQfhqcCi5WQ","Day 3 VG vs VP Game 1")</f>
        <v>Day 3 VG vs VP Game 1</v>
      </c>
      <c r="R59" s="94" t="str">
        <f>HYPERLINK("https://www.youtube.com/watch?v=duxOCGhTSCg","Day 3 VG vs VP Game 2")</f>
        <v>Day 3 VG vs VP Game 2</v>
      </c>
      <c r="U59" s="96"/>
      <c r="V59" s="9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>
      <c r="A60" s="92" t="s">
        <v>93</v>
      </c>
      <c r="B60" s="109">
        <v>42214.0</v>
      </c>
      <c r="C60" s="110">
        <v>0.125</v>
      </c>
      <c r="D60" s="111">
        <v>0.7916666666666666</v>
      </c>
      <c r="E60" s="112">
        <v>0.9166666666666666</v>
      </c>
      <c r="F60" s="113">
        <v>0.16666666666666666</v>
      </c>
      <c r="G60" s="114">
        <v>0.4166666666666667</v>
      </c>
      <c r="H60" s="115">
        <v>0.5</v>
      </c>
      <c r="I60" s="92" t="s">
        <v>92</v>
      </c>
      <c r="J60" s="92" t="s">
        <v>33</v>
      </c>
      <c r="K60" s="92" t="s">
        <v>89</v>
      </c>
      <c r="L60" s="118" t="s">
        <v>43</v>
      </c>
      <c r="M60" s="75" t="str">
        <f>HYPERLINK("http://dota.nyoron.co/ti5/day3/1671358182.dem.zip","1671358182")</f>
        <v>1671358182</v>
      </c>
      <c r="N60" s="66" t="str">
        <f>HYPERLINK("http://dota.nyoron.co/ti5/day3/1671437866.dem.zip","1671437866")</f>
        <v>1671437866</v>
      </c>
      <c r="O60" s="87"/>
      <c r="P60" s="94" t="str">
        <f>HYPERLINK("https://www.youtube.com/watch?v=eoTN_YrAIMU","Day 3 EHOME vs MVP.Hot6 Game 1")</f>
        <v>Day 3 EHOME vs MVP.Hot6 Game 1</v>
      </c>
      <c r="R60" s="94" t="str">
        <f>HYPERLINK("https://www.youtube.com/watch?v=WZXJaXWGmZI","Day 3 EHOME vs MVP.Hot6 Game 2")</f>
        <v>Day 3 EHOME vs MVP.Hot6 Game 2</v>
      </c>
      <c r="U60" s="95" t="s">
        <v>92</v>
      </c>
      <c r="V60" s="95" t="s">
        <v>89</v>
      </c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>
      <c r="A61" s="92" t="s">
        <v>91</v>
      </c>
      <c r="B61" s="109">
        <v>42214.0</v>
      </c>
      <c r="C61" s="110">
        <v>0.125</v>
      </c>
      <c r="D61" s="111">
        <v>0.7916666666666666</v>
      </c>
      <c r="E61" s="112">
        <v>0.9166666666666666</v>
      </c>
      <c r="F61" s="113">
        <v>0.16666666666666666</v>
      </c>
      <c r="G61" s="114">
        <v>0.4166666666666667</v>
      </c>
      <c r="H61" s="115">
        <v>0.5</v>
      </c>
      <c r="I61" s="92" t="s">
        <v>86</v>
      </c>
      <c r="J61" s="92" t="s">
        <v>33</v>
      </c>
      <c r="K61" s="92" t="s">
        <v>84</v>
      </c>
      <c r="L61" s="118" t="s">
        <v>52</v>
      </c>
      <c r="M61" s="75" t="str">
        <f>HYPERLINK("http://dota.nyoron.co/ti5/day3/1671360687.dem.zip","1671360687")</f>
        <v>1671360687</v>
      </c>
      <c r="N61" s="66" t="str">
        <f>HYPERLINK("http://dota.nyoron.co/ti5/day3/1671432637.dem.zip","1671432637")</f>
        <v>1671432637</v>
      </c>
      <c r="O61" s="87"/>
      <c r="P61" s="94" t="str">
        <f>HYPERLINK("https://www.youtube.com/watch?v=u6qmgaSk_w4","Day 3 Empire vs EG Game 1")</f>
        <v>Day 3 Empire vs EG Game 1</v>
      </c>
      <c r="R61" s="94" t="str">
        <f>HYPERLINK("https://www.youtube.com/watch?v=k2r-NtBNEQ4","Day 3 Empire vs EG Game 2")</f>
        <v>Day 3 Empire vs EG Game 2</v>
      </c>
      <c r="U61" s="96"/>
      <c r="V61" s="96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>
      <c r="A62" s="92" t="s">
        <v>96</v>
      </c>
      <c r="B62" s="109">
        <v>42214.0</v>
      </c>
      <c r="C62" s="110">
        <v>0.125</v>
      </c>
      <c r="D62" s="111">
        <v>0.7916666666666666</v>
      </c>
      <c r="E62" s="112">
        <v>0.9166666666666666</v>
      </c>
      <c r="F62" s="113">
        <v>0.16666666666666666</v>
      </c>
      <c r="G62" s="114">
        <v>0.4166666666666667</v>
      </c>
      <c r="H62" s="115">
        <v>0.5</v>
      </c>
      <c r="I62" s="78" t="s">
        <v>32</v>
      </c>
      <c r="J62" s="92" t="s">
        <v>33</v>
      </c>
      <c r="K62" s="92" t="s">
        <v>87</v>
      </c>
      <c r="L62" s="118" t="s">
        <v>48</v>
      </c>
      <c r="M62" s="75" t="str">
        <f>HYPERLINK("http://dota.nyoron.co/ti5/day3/1671340219.dem.zip","1671340219")</f>
        <v>1671340219</v>
      </c>
      <c r="N62" s="66" t="str">
        <f>HYPERLINK("http://dota.nyoron.co/ti5/day3/1671421953.dem.zip","1671421953")</f>
        <v>1671421953</v>
      </c>
      <c r="O62" s="87"/>
      <c r="P62" s="94" t="str">
        <f>HYPERLINK("https://www.youtube.com/watch?v=yS4rhOHxvDY","Day 3 CDEC vs VG Game 1")</f>
        <v>Day 3 CDEC vs VG Game 1</v>
      </c>
      <c r="R62" s="94" t="str">
        <f>HYPERLINK("https://www.youtube.com/watch?v=Jjt1GthL-L4","Day 3 CDEC vs VG Game 2")</f>
        <v>Day 3 CDEC vs VG Game 2</v>
      </c>
      <c r="U62" s="95" t="s">
        <v>32</v>
      </c>
      <c r="V62" s="95" t="s">
        <v>87</v>
      </c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>
      <c r="A63" s="50"/>
      <c r="B63" s="119"/>
      <c r="C63" s="120"/>
      <c r="D63" s="88"/>
      <c r="E63" s="88"/>
      <c r="F63" s="88"/>
      <c r="G63" s="88"/>
      <c r="H63" s="88"/>
      <c r="I63" s="88"/>
      <c r="J63" s="88"/>
      <c r="K63" s="88"/>
      <c r="L63" s="121"/>
      <c r="M63" s="106" t="str">
        <f>HYPERLINK("http://dota.nyoron.co/ti5/day3/day3.zip","Download all day 3 replays here")</f>
        <v>Download all day 3 replays here</v>
      </c>
      <c r="P63" s="122"/>
      <c r="S63" s="117" t="s">
        <v>28</v>
      </c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</row>
    <row r="64">
      <c r="A64" s="92" t="s">
        <v>55</v>
      </c>
      <c r="B64" s="109">
        <v>42215.0</v>
      </c>
      <c r="C64" s="110">
        <v>0.7083333333333334</v>
      </c>
      <c r="D64" s="111">
        <v>0.375</v>
      </c>
      <c r="E64" s="112">
        <v>0.5</v>
      </c>
      <c r="F64" s="113">
        <v>0.75</v>
      </c>
      <c r="G64" s="114">
        <v>0.0</v>
      </c>
      <c r="H64" s="115">
        <v>0.08333333333333333</v>
      </c>
      <c r="I64" s="92" t="s">
        <v>67</v>
      </c>
      <c r="J64" s="92" t="s">
        <v>33</v>
      </c>
      <c r="K64" s="92" t="s">
        <v>56</v>
      </c>
      <c r="L64" s="116" t="s">
        <v>94</v>
      </c>
      <c r="M64" s="66" t="str">
        <f>HYPERLINK("http://dota.nyoron.co/ti5/day4/1673081038.dem.zip","1673081038")</f>
        <v>1673081038</v>
      </c>
      <c r="N64" s="66" t="str">
        <f>HYPERLINK("http://dota.nyoron.co/ti5/day4/1673210350.dem.zip","1673210350")</f>
        <v>1673210350</v>
      </c>
      <c r="O64" s="93" t="s">
        <v>97</v>
      </c>
      <c r="P64" s="94" t="str">
        <f>HYPERLINK("https://www.youtube.com/watch?v=UcNOuK9Qsl4","Day 4 Cloud9 vs Complexity Game 1")</f>
        <v>Day 4 Cloud9 vs Complexity Game 1</v>
      </c>
      <c r="R64" s="94" t="str">
        <f>HYPERLINK("https://www.youtube.com/watch?v=s8ZOf3-IWsA","Day 4 Cloud9 vs Complexity Game 2")</f>
        <v>Day 4 Cloud9 vs Complexity Game 2</v>
      </c>
      <c r="U64" s="95" t="s">
        <v>56</v>
      </c>
      <c r="V64" s="95" t="s">
        <v>67</v>
      </c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>
      <c r="A65" s="92" t="s">
        <v>65</v>
      </c>
      <c r="B65" s="109">
        <v>42215.0</v>
      </c>
      <c r="C65" s="110">
        <v>0.7083333333333334</v>
      </c>
      <c r="D65" s="111">
        <v>0.375</v>
      </c>
      <c r="E65" s="112">
        <v>0.5</v>
      </c>
      <c r="F65" s="113">
        <v>0.75</v>
      </c>
      <c r="G65" s="114">
        <v>0.0</v>
      </c>
      <c r="H65" s="115">
        <v>0.08333333333333333</v>
      </c>
      <c r="I65" s="92" t="s">
        <v>61</v>
      </c>
      <c r="J65" s="92" t="s">
        <v>33</v>
      </c>
      <c r="K65" s="92" t="s">
        <v>66</v>
      </c>
      <c r="L65" s="116" t="s">
        <v>68</v>
      </c>
      <c r="M65" s="75" t="str">
        <f>HYPERLINK("http://dota.nyoron.co/ti5/day4/1673099701.dem.zip","1673099701")</f>
        <v>1673099701</v>
      </c>
      <c r="N65" s="66" t="str">
        <f>HYPERLINK("http://dota.nyoron.co/ti5/day3/1671210956.dem.zip","1673194213")</f>
        <v>1673194213</v>
      </c>
      <c r="O65" s="87"/>
      <c r="P65" s="94" t="str">
        <f>HYPERLINK("https://www.youtube.com/watch?v=Xxj-K5H-ppw","Day 4 Fnatic vs LGD Game 1")</f>
        <v>Day 4 Fnatic vs LGD Game 1</v>
      </c>
      <c r="R65" s="94" t="str">
        <f>HYPERLINK("https://www.youtube.com/watch?v=WfkJj-mYQcw","Day 4 Fnatic vs LGD Game 2")</f>
        <v>Day 4 Fnatic vs LGD Game 2</v>
      </c>
      <c r="U65" s="95" t="s">
        <v>66</v>
      </c>
      <c r="V65" s="95" t="s">
        <v>61</v>
      </c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>
      <c r="A66" s="92" t="s">
        <v>75</v>
      </c>
      <c r="B66" s="109">
        <v>42215.0</v>
      </c>
      <c r="C66" s="110">
        <v>0.7083333333333334</v>
      </c>
      <c r="D66" s="111">
        <v>0.375</v>
      </c>
      <c r="E66" s="112">
        <v>0.5</v>
      </c>
      <c r="F66" s="113">
        <v>0.75</v>
      </c>
      <c r="G66" s="114">
        <v>0.0</v>
      </c>
      <c r="H66" s="115">
        <v>0.08333333333333333</v>
      </c>
      <c r="I66" s="78" t="s">
        <v>37</v>
      </c>
      <c r="J66" s="92" t="s">
        <v>33</v>
      </c>
      <c r="K66" s="92" t="s">
        <v>62</v>
      </c>
      <c r="L66" s="118" t="s">
        <v>48</v>
      </c>
      <c r="M66" s="75" t="str">
        <f>HYPERLINK("http://dota.nyoron.co/ti5/day4/1673078706.dem.zip","1673078706")</f>
        <v>1673078706</v>
      </c>
      <c r="N66" s="66" t="str">
        <f>HYPERLINK("http://dota.nyoron.co/ti5/day4/1673208977.dem.zip","1673208977")</f>
        <v>1673208977</v>
      </c>
      <c r="O66" s="87"/>
      <c r="P66" s="94" t="str">
        <f>HYPERLINK("https://www.youtube.com/watch?v=KpWb55bc8Zk","Day 4 MVPP vs Secret Game 1")</f>
        <v>Day 4 MVPP vs Secret Game 1</v>
      </c>
      <c r="R66" s="94" t="str">
        <f>HYPERLINK("https://www.youtube.com/watch?v=yuAfC9cNIsA","Day 4 MVPP vs Secret Game 2")</f>
        <v>Day 4 MVPP vs Secret Game 2</v>
      </c>
      <c r="U66" s="96"/>
      <c r="V66" s="96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>
      <c r="A67" s="92" t="s">
        <v>71</v>
      </c>
      <c r="B67" s="109">
        <v>42215.0</v>
      </c>
      <c r="C67" s="110">
        <v>0.8125</v>
      </c>
      <c r="D67" s="111">
        <v>0.4791666666666667</v>
      </c>
      <c r="E67" s="112">
        <v>0.5625</v>
      </c>
      <c r="F67" s="113">
        <v>0.8541666666666666</v>
      </c>
      <c r="G67" s="114">
        <v>0.0625</v>
      </c>
      <c r="H67" s="115">
        <v>0.14583333333333334</v>
      </c>
      <c r="I67" s="92" t="s">
        <v>61</v>
      </c>
      <c r="J67" s="92" t="s">
        <v>33</v>
      </c>
      <c r="K67" s="92" t="s">
        <v>56</v>
      </c>
      <c r="L67" s="116" t="s">
        <v>94</v>
      </c>
      <c r="M67" s="75" t="str">
        <f>HYPERLINK("http://dota.nyoron.co/ti5/day4/1673371349.dem.zip","1673371349")</f>
        <v>1673371349</v>
      </c>
      <c r="N67" s="66" t="str">
        <f>HYPERLINK("http://dota.nyoron.co/ti5/day4/1673477884.dem.zip","1673477884")</f>
        <v>1673477884</v>
      </c>
      <c r="O67" s="87"/>
      <c r="P67" s="94" t="str">
        <f>HYPERLINK("https://www.youtube.com/watch?v=bI_6mGdjDzo","Day 4 Fnatic vs Complexity Game 1")</f>
        <v>Day 4 Fnatic vs Complexity Game 1</v>
      </c>
      <c r="R67" s="94" t="str">
        <f>HYPERLINK("https://www.youtube.com/watch?v=HMExfEWtTLs","Day 4 Fnatic vs Complexity Game 2")</f>
        <v>Day 4 Fnatic vs Complexity Game 2</v>
      </c>
      <c r="U67" s="95" t="s">
        <v>56</v>
      </c>
      <c r="V67" s="95" t="s">
        <v>61</v>
      </c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>
      <c r="A68" s="92" t="s">
        <v>76</v>
      </c>
      <c r="B68" s="109">
        <v>42215.0</v>
      </c>
      <c r="C68" s="110">
        <v>0.8125</v>
      </c>
      <c r="D68" s="111">
        <v>0.4791666666666667</v>
      </c>
      <c r="E68" s="112">
        <v>0.5625</v>
      </c>
      <c r="F68" s="113">
        <v>0.8541666666666666</v>
      </c>
      <c r="G68" s="114">
        <v>0.0625</v>
      </c>
      <c r="H68" s="115">
        <v>0.14583333333333334</v>
      </c>
      <c r="I68" s="92" t="s">
        <v>72</v>
      </c>
      <c r="J68" s="92" t="s">
        <v>33</v>
      </c>
      <c r="K68" s="92" t="s">
        <v>77</v>
      </c>
      <c r="L68" s="116" t="s">
        <v>68</v>
      </c>
      <c r="M68" s="75" t="str">
        <f>HYPERLINK("http://dota.nyoron.co/ti5/day4/1673354401.dem.zip","1673354401")</f>
        <v>1673354401</v>
      </c>
      <c r="N68" s="66" t="str">
        <f>HYPERLINK("http://dota.nyoron.co/ti5/day3/1671210956.dem.zip","1673432700")</f>
        <v>1673432700</v>
      </c>
      <c r="O68" s="87"/>
      <c r="P68" s="94" t="str">
        <f>HYPERLINK("https://www.youtube.com/watch?v=OiNENlv_dt4","Day 4 NaVi vs iG Game 1")</f>
        <v>Day 4 NaVi vs iG Game 1</v>
      </c>
      <c r="R68" s="94" t="str">
        <f>HYPERLINK("https://www.youtube.com/watch?v=ymaM_oKIXd0","Day 4 NaVi vs iG Game 2")</f>
        <v>Day 4 NaVi vs iG Game 2</v>
      </c>
      <c r="U68" s="95" t="s">
        <v>77</v>
      </c>
      <c r="V68" s="95" t="s">
        <v>72</v>
      </c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>
      <c r="A69" s="92" t="s">
        <v>79</v>
      </c>
      <c r="B69" s="109">
        <v>42215.0</v>
      </c>
      <c r="C69" s="110">
        <v>0.8125</v>
      </c>
      <c r="D69" s="111">
        <v>0.4791666666666667</v>
      </c>
      <c r="E69" s="112">
        <v>0.5625</v>
      </c>
      <c r="F69" s="113">
        <v>0.8541666666666666</v>
      </c>
      <c r="G69" s="114">
        <v>0.0625</v>
      </c>
      <c r="H69" s="115">
        <v>0.14583333333333334</v>
      </c>
      <c r="I69" s="92" t="s">
        <v>80</v>
      </c>
      <c r="J69" s="92" t="s">
        <v>33</v>
      </c>
      <c r="K69" s="92" t="s">
        <v>87</v>
      </c>
      <c r="L69" s="118" t="s">
        <v>48</v>
      </c>
      <c r="M69" s="75" t="str">
        <f>HYPERLINK("http://dota.nyoron.co/ti5/day4/1673341849.dem.zip","1673341849")</f>
        <v>1673341849</v>
      </c>
      <c r="N69" s="66" t="str">
        <f>HYPERLINK("http://dota.nyoron.co/ti5/day4/1671210956.dem.zip","1673447710")</f>
        <v>1673447710</v>
      </c>
      <c r="O69" s="87"/>
      <c r="P69" s="94" t="str">
        <f>HYPERLINK("https://www.youtube.com/watch?v=RqJhmVrp5Ec","Day 4 Newbee vs VG Game 1")</f>
        <v>Day 4 Newbee vs VG Game 1</v>
      </c>
      <c r="R69" s="94" t="str">
        <f>HYPERLINK("https://www.youtube.com/watch?v=9xTpZDUo90A","Day 4 Newbee vs VG Game 2")</f>
        <v>Day 4 Newbee vs VG Game 2</v>
      </c>
      <c r="S69" s="117" t="s">
        <v>28</v>
      </c>
      <c r="U69" s="96"/>
      <c r="V69" s="96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>
      <c r="A70" s="92" t="s">
        <v>78</v>
      </c>
      <c r="B70" s="109">
        <v>42215.0</v>
      </c>
      <c r="C70" s="110">
        <v>0.9166666666666666</v>
      </c>
      <c r="D70" s="111">
        <v>0.5833333333333334</v>
      </c>
      <c r="E70" s="112">
        <v>0.7083333333333334</v>
      </c>
      <c r="F70" s="113">
        <v>0.9583333333333334</v>
      </c>
      <c r="G70" s="114">
        <v>0.20833333333333334</v>
      </c>
      <c r="H70" s="115">
        <v>0.2916666666666667</v>
      </c>
      <c r="I70" s="92" t="s">
        <v>92</v>
      </c>
      <c r="J70" s="92" t="s">
        <v>33</v>
      </c>
      <c r="K70" s="92" t="s">
        <v>81</v>
      </c>
      <c r="L70" s="118" t="s">
        <v>52</v>
      </c>
      <c r="M70" s="75" t="str">
        <f>HYPERLINK("http://dota.nyoron.co/ti5/day4/1673584099.dem.zip","1673584099")</f>
        <v>1673584099</v>
      </c>
      <c r="N70" s="66" t="str">
        <f>HYPERLINK("http://dota.nyoron.co/ti5/day4/1671210956.dem.zip","1673659546")</f>
        <v>1673659546</v>
      </c>
      <c r="O70" s="87"/>
      <c r="P70" s="94" t="str">
        <f>HYPERLINK("https://www.youtube.com/watch?v=CwBCX_84Cxs","Day 4 EHOME vs VP Game 1")</f>
        <v>Day 4 EHOME vs VP Game 1</v>
      </c>
      <c r="R70" s="94" t="str">
        <f>HYPERLINK("https://www.youtube.com/watch?v=UiSv1aZsiGM","Day 4 EHOME vs VP Game 2")</f>
        <v>Day 4 EHOME vs VP Game 2</v>
      </c>
      <c r="U70" s="95" t="s">
        <v>92</v>
      </c>
      <c r="V70" s="95" t="s">
        <v>81</v>
      </c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>
      <c r="A71" s="92" t="s">
        <v>83</v>
      </c>
      <c r="B71" s="109">
        <v>42215.0</v>
      </c>
      <c r="C71" s="110">
        <v>0.9166666666666666</v>
      </c>
      <c r="D71" s="111">
        <v>0.5833333333333334</v>
      </c>
      <c r="E71" s="112">
        <v>0.7083333333333334</v>
      </c>
      <c r="F71" s="113">
        <v>0.9583333333333334</v>
      </c>
      <c r="G71" s="114">
        <v>0.20833333333333334</v>
      </c>
      <c r="H71" s="115">
        <v>0.2916666666666667</v>
      </c>
      <c r="I71" s="92" t="s">
        <v>80</v>
      </c>
      <c r="J71" s="92" t="s">
        <v>33</v>
      </c>
      <c r="K71" s="92" t="s">
        <v>89</v>
      </c>
      <c r="L71" s="118" t="s">
        <v>43</v>
      </c>
      <c r="M71" s="75" t="str">
        <f>HYPERLINK("http://dota.nyoron.co/ti5/day4/1673558412.dem.zip","1673558412")</f>
        <v>1673558412</v>
      </c>
      <c r="N71" s="66" t="str">
        <f>HYPERLINK("http://dota.nyoron.co/ti5/day4/1671210956.dem.zip","1673628179")</f>
        <v>1673628179</v>
      </c>
      <c r="O71" s="87"/>
      <c r="P71" s="94" t="str">
        <f>HYPERLINK("https://www.youtube.com/watch?v=J3ycQrlr7YE","Day 4 Newbee vs MVP.Hot6 Game 1")</f>
        <v>Day 4 Newbee vs MVP.Hot6 Game 1</v>
      </c>
      <c r="R71" s="94" t="str">
        <f>HYPERLINK("https://www.youtube.com/watch?v=HYKtl1jcQXE","Day 4 Newbee vs MVP.Hot6 Game 2")</f>
        <v>Day 4 Newbee vs MVP.Hot6 Game 2</v>
      </c>
      <c r="U71" s="96"/>
      <c r="V71" s="96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>
      <c r="A72" s="92" t="s">
        <v>82</v>
      </c>
      <c r="B72" s="109">
        <v>42215.0</v>
      </c>
      <c r="C72" s="110">
        <v>0.9166666666666666</v>
      </c>
      <c r="D72" s="111">
        <v>0.5833333333333334</v>
      </c>
      <c r="E72" s="112">
        <v>0.7083333333333334</v>
      </c>
      <c r="F72" s="113">
        <v>0.9583333333333334</v>
      </c>
      <c r="G72" s="114">
        <v>0.20833333333333334</v>
      </c>
      <c r="H72" s="115">
        <v>0.2916666666666667</v>
      </c>
      <c r="I72" s="78" t="s">
        <v>32</v>
      </c>
      <c r="J72" s="92" t="s">
        <v>33</v>
      </c>
      <c r="K72" s="92" t="s">
        <v>84</v>
      </c>
      <c r="L72" s="123" t="s">
        <v>94</v>
      </c>
      <c r="M72" s="75" t="str">
        <f>HYPERLINK("http://dota.nyoron.co/ti5/day4/1673552043.dem.zip","1673552043")</f>
        <v>1673552043</v>
      </c>
      <c r="N72" s="66" t="str">
        <f>HYPERLINK("http://dota.nyoron.co/ti5/day4/1671210956.dem.zip","1673630085")</f>
        <v>1673630085</v>
      </c>
      <c r="O72" s="87"/>
      <c r="P72" s="94" t="str">
        <f>HYPERLINK("https://www.youtube.com/watch?v=QJeT0c9BFs4","Day 4 CDEC vs EG Game 1")</f>
        <v>Day 4 CDEC vs EG Game 1</v>
      </c>
      <c r="R72" s="94" t="str">
        <f>HYPERLINK("https://www.youtube.com/watch?v=wvZ_ii_QcAs","Day 4 CDEC vs EG Game 2")</f>
        <v>Day 4 CDEC vs EG Game 2</v>
      </c>
      <c r="U72" s="95" t="s">
        <v>84</v>
      </c>
      <c r="V72" s="95" t="s">
        <v>32</v>
      </c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>
      <c r="A73" s="92" t="s">
        <v>88</v>
      </c>
      <c r="B73" s="109">
        <v>42215.0</v>
      </c>
      <c r="C73" s="110">
        <v>0.020833333333333332</v>
      </c>
      <c r="D73" s="111">
        <v>0.6875</v>
      </c>
      <c r="E73" s="112">
        <v>0.8125</v>
      </c>
      <c r="F73" s="113">
        <v>0.0625</v>
      </c>
      <c r="G73" s="114">
        <v>0.3125</v>
      </c>
      <c r="H73" s="115">
        <v>0.3958333333333333</v>
      </c>
      <c r="I73" s="92" t="s">
        <v>86</v>
      </c>
      <c r="J73" s="92" t="s">
        <v>33</v>
      </c>
      <c r="K73" s="92" t="s">
        <v>89</v>
      </c>
      <c r="L73" s="118" t="s">
        <v>39</v>
      </c>
      <c r="M73" s="75" t="str">
        <f>HYPERLINK("http://dota.nyoron.co/ti5/day4/1673738064.dem.zip","1673738064")</f>
        <v>1673738064</v>
      </c>
      <c r="N73" s="66" t="str">
        <f>HYPERLINK("http://dota.nyoron.co/ti5/day4/1673789962.dem.zip","1673789962")</f>
        <v>1673789962</v>
      </c>
      <c r="O73" s="87"/>
      <c r="P73" s="94" t="str">
        <f>HYPERLINK("https://www.youtube.com/watch?v=ztdcWoN9hE4","Day 4 Empire vs MVP.Hot6 Game 1")</f>
        <v>Day 4 Empire vs MVP.Hot6 Game 1</v>
      </c>
      <c r="R73" s="94" t="str">
        <f>HYPERLINK("https://www.youtube.com/watch?v=dD2IP-TG_XQ","Day 4 Empire vs MVP.Hot6 Game 2")</f>
        <v>Day 4 Empire vs MVP.Hot6 Game 2</v>
      </c>
      <c r="U73" s="95" t="s">
        <v>86</v>
      </c>
      <c r="V73" s="95" t="s">
        <v>89</v>
      </c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>
      <c r="A74" s="124" t="s">
        <v>85</v>
      </c>
      <c r="B74" s="125">
        <v>42215.0</v>
      </c>
      <c r="C74" s="126">
        <v>0.020833333333333332</v>
      </c>
      <c r="D74" s="127">
        <v>0.6875</v>
      </c>
      <c r="E74" s="128">
        <v>0.8125</v>
      </c>
      <c r="F74" s="129">
        <v>0.0625</v>
      </c>
      <c r="G74" s="130">
        <v>0.3125</v>
      </c>
      <c r="H74" s="131">
        <v>0.3958333333333333</v>
      </c>
      <c r="I74" s="132" t="s">
        <v>32</v>
      </c>
      <c r="J74" s="124" t="s">
        <v>33</v>
      </c>
      <c r="K74" s="124" t="s">
        <v>92</v>
      </c>
      <c r="L74" s="133" t="s">
        <v>52</v>
      </c>
      <c r="M74" s="134" t="str">
        <f>HYPERLINK("http://dota.nyoron.co/ti5/day4/1673748036.dem.zip","1673748036")</f>
        <v>1673748036</v>
      </c>
      <c r="N74" s="135" t="str">
        <f>HYPERLINK("http://dota.nyoron.co/ti5/day4/1673815749.dem.zip","1673815749")</f>
        <v>1673815749</v>
      </c>
      <c r="O74" s="87"/>
      <c r="P74" s="136" t="str">
        <f>HYPERLINK("https://www.youtube.com/watch?v=G6FtPFKTniA","Day 4 CDEC vs EHOME Game 1")</f>
        <v>Day 4 CDEC vs EHOME Game 1</v>
      </c>
      <c r="Q74" s="137"/>
      <c r="R74" s="136" t="str">
        <f>HYPERLINK("https://www.youtube.com/watch?v=EZiEmbxkGIQ","Day 4 CDEC vs EHOME Game 2")</f>
        <v>Day 4 CDEC vs EHOME Game 2</v>
      </c>
      <c r="U74" s="138"/>
      <c r="V74" s="138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</row>
    <row r="75">
      <c r="A75" s="140" t="s">
        <v>98</v>
      </c>
      <c r="I75" s="141" t="s">
        <v>86</v>
      </c>
      <c r="J75" s="142" t="s">
        <v>33</v>
      </c>
      <c r="K75" s="141" t="s">
        <v>81</v>
      </c>
      <c r="L75" s="143" t="s">
        <v>39</v>
      </c>
      <c r="M75" s="144" t="str">
        <f>HYPERLINK("http://dota.nyoron.co/ti5/day4/1673865688.dem.zip","1673865688")</f>
        <v>1673865688</v>
      </c>
      <c r="N75" s="145" t="str">
        <f>HYPERLINK("http://dota.nyoron.co/ti5/day4/1673941543.dem.zip","1673941543")</f>
        <v>1673941543</v>
      </c>
      <c r="O75" s="146" t="str">
        <f>HYPERLINK("http://dota.nyoron.co/ti5/day4/1674031017.dem.zip","1674031017")</f>
        <v>1674031017</v>
      </c>
      <c r="P75" s="147" t="str">
        <f>HYPERLINK("https://www.youtube.com/watch?v=R_t_xGYzZYo","Tiebreaker Game 1")</f>
        <v>Tiebreaker Game 1</v>
      </c>
      <c r="Q75" s="147" t="str">
        <f>HYPERLINK("https://www.youtube.com/watch?v=TwVB6_d_7RY","Tiebreaker Game 2")</f>
        <v>Tiebreaker Game 2</v>
      </c>
      <c r="R75" s="147" t="str">
        <f>HYPERLINK("https://www.youtube.com/watch?v=rLWgDP-CHck","Tiebreaker Game 3")</f>
        <v>Tiebreaker Game 3</v>
      </c>
      <c r="S75" s="148"/>
      <c r="T75" s="148"/>
      <c r="U75" s="149" t="s">
        <v>86</v>
      </c>
      <c r="V75" s="149" t="s">
        <v>81</v>
      </c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</row>
    <row r="76">
      <c r="A76" s="50"/>
      <c r="B76" s="119"/>
      <c r="C76" s="120"/>
      <c r="D76" s="88"/>
      <c r="E76" s="88"/>
      <c r="F76" s="88"/>
      <c r="G76" s="88"/>
      <c r="H76" s="88"/>
      <c r="I76" s="88"/>
      <c r="J76" s="88"/>
      <c r="K76" s="88"/>
      <c r="L76" s="121"/>
      <c r="M76" s="106" t="str">
        <f>HYPERLINK("http://dota.nyoron.co/ti5/day4/day4.zip","Download all day 4 replays here")</f>
        <v>Download all day 4 replays here</v>
      </c>
      <c r="P76" s="151"/>
      <c r="Q76" s="151"/>
      <c r="R76" s="151"/>
      <c r="S76" s="117" t="s">
        <v>28</v>
      </c>
      <c r="U76" s="152" t="s">
        <v>29</v>
      </c>
      <c r="V76" s="153" t="s">
        <v>30</v>
      </c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</row>
    <row r="77">
      <c r="A77" s="50"/>
      <c r="B77" s="119"/>
      <c r="C77" s="120"/>
      <c r="D77" s="88"/>
      <c r="E77" s="88"/>
      <c r="F77" s="88"/>
      <c r="G77" s="88"/>
      <c r="H77" s="88"/>
      <c r="I77" s="88"/>
      <c r="J77" s="88"/>
      <c r="K77" s="88"/>
      <c r="L77" s="121"/>
      <c r="M77" s="154"/>
      <c r="N77" s="155"/>
      <c r="O77" s="93"/>
      <c r="P77" s="156"/>
      <c r="Q77" s="156"/>
      <c r="R77" s="156"/>
      <c r="U77" s="157"/>
      <c r="V77" s="15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</row>
    <row r="78">
      <c r="A78" s="159" t="s">
        <v>99</v>
      </c>
      <c r="B78" s="109">
        <v>42219.0</v>
      </c>
      <c r="C78" s="110">
        <v>0.75</v>
      </c>
      <c r="D78" s="111">
        <v>0.4166666666666667</v>
      </c>
      <c r="E78" s="112">
        <v>0.5416666666666666</v>
      </c>
      <c r="F78" s="113">
        <v>0.7916666666666666</v>
      </c>
      <c r="G78" s="114">
        <v>0.041666666666666664</v>
      </c>
      <c r="H78" s="115">
        <v>0.125</v>
      </c>
      <c r="I78" s="160" t="s">
        <v>66</v>
      </c>
      <c r="J78" s="92" t="s">
        <v>33</v>
      </c>
      <c r="K78" s="160" t="s">
        <v>86</v>
      </c>
      <c r="L78" s="116" t="s">
        <v>100</v>
      </c>
      <c r="M78" s="65" t="str">
        <f>HYPERLINK("http://dota.nyoron.co/ti5/main1/1684227514.dem.zip","1684227514")</f>
        <v>1684227514</v>
      </c>
      <c r="N78" s="65" t="str">
        <f>HYPERLINK("http://dota.nyoron.co/ti5/main1/1684334726.dem.zip","1684334726")</f>
        <v>1684334726</v>
      </c>
      <c r="O78" s="161" t="str">
        <f>HYPERLINK("http://dota.nyoron.co/ti5/main1/1684419960.dem.zip","1684419960")</f>
        <v>1684419960</v>
      </c>
      <c r="P78" s="162" t="str">
        <f>HYPERLINK("https://www.youtube.com/watch?v=ykluZCQGl2g","Full Stream - Upper Bracket 1A")</f>
        <v>Full Stream - Upper Bracket 1A</v>
      </c>
      <c r="U78" s="163" t="s">
        <v>66</v>
      </c>
      <c r="V78" s="164" t="s">
        <v>86</v>
      </c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>
      <c r="A79" s="159" t="s">
        <v>101</v>
      </c>
      <c r="B79" s="109">
        <v>42219.0</v>
      </c>
      <c r="C79" s="110">
        <v>0.75</v>
      </c>
      <c r="D79" s="111">
        <v>0.4166666666666667</v>
      </c>
      <c r="E79" s="112">
        <v>0.5416666666666666</v>
      </c>
      <c r="F79" s="113">
        <v>0.7916666666666666</v>
      </c>
      <c r="G79" s="114">
        <v>0.041666666666666664</v>
      </c>
      <c r="H79" s="115">
        <v>0.125</v>
      </c>
      <c r="I79" s="160" t="s">
        <v>32</v>
      </c>
      <c r="J79" s="92" t="s">
        <v>33</v>
      </c>
      <c r="K79" s="160" t="s">
        <v>67</v>
      </c>
      <c r="L79" s="116" t="s">
        <v>102</v>
      </c>
      <c r="M79" s="165" t="str">
        <f>HYPERLINK("http://dota.nyoron.co/ti5/main1/1684521403.dem.zip","1684521403")</f>
        <v>1684521403</v>
      </c>
      <c r="N79" s="165" t="str">
        <f>HYPERLINK("http://dota.nyoron.co/ti5/main1/1684571786.dem.zip","1684571786")</f>
        <v>1684571786</v>
      </c>
      <c r="O79" s="166" t="s">
        <v>44</v>
      </c>
      <c r="P79" s="162" t="str">
        <f>HYPERLINK("https://www.youtube.com/watch?v=iH5IFIKaGPs","Full Stream - Upper Bracket 1B")</f>
        <v>Full Stream - Upper Bracket 1B</v>
      </c>
      <c r="U79" s="163" t="s">
        <v>32</v>
      </c>
      <c r="V79" s="164" t="s">
        <v>103</v>
      </c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>
      <c r="A80" s="159" t="s">
        <v>104</v>
      </c>
      <c r="B80" s="109">
        <v>42219.0</v>
      </c>
      <c r="C80" s="110">
        <v>0.875</v>
      </c>
      <c r="D80" s="111">
        <v>0.5416666666666666</v>
      </c>
      <c r="E80" s="112">
        <v>0.6666666666666666</v>
      </c>
      <c r="F80" s="113">
        <v>0.9166666666666666</v>
      </c>
      <c r="G80" s="114">
        <v>0.16666666666666666</v>
      </c>
      <c r="H80" s="115">
        <v>0.25</v>
      </c>
      <c r="I80" s="160" t="s">
        <v>37</v>
      </c>
      <c r="J80" s="92" t="s">
        <v>33</v>
      </c>
      <c r="K80" s="160" t="s">
        <v>80</v>
      </c>
      <c r="L80" s="116" t="s">
        <v>105</v>
      </c>
      <c r="M80" s="65" t="str">
        <f>HYPERLINK("http://dota.nyoron.co/ti5/main1/1684715899.dem.zip","1684715899")</f>
        <v>1684715899</v>
      </c>
      <c r="N80" s="167" t="s">
        <v>106</v>
      </c>
      <c r="P80" s="168" t="str">
        <f>HYPERLINK("https://www.youtube.com/watch?v=ryc4CZ2mYZ0","Lower Bracket 1A")</f>
        <v>Lower Bracket 1A</v>
      </c>
      <c r="Q80" s="151"/>
      <c r="R80" s="151"/>
      <c r="U80" s="163" t="s">
        <v>37</v>
      </c>
      <c r="V80" s="169" t="s">
        <v>80</v>
      </c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>
      <c r="A81" s="159" t="s">
        <v>107</v>
      </c>
      <c r="B81" s="109">
        <v>42219.0</v>
      </c>
      <c r="C81" s="110">
        <v>0.9375</v>
      </c>
      <c r="D81" s="111">
        <v>0.6041666666666666</v>
      </c>
      <c r="E81" s="112">
        <v>0.7291666666666666</v>
      </c>
      <c r="F81" s="113">
        <v>0.9791666666666666</v>
      </c>
      <c r="G81" s="114">
        <v>0.22916666666666666</v>
      </c>
      <c r="H81" s="115">
        <v>0.3125</v>
      </c>
      <c r="I81" s="160" t="s">
        <v>87</v>
      </c>
      <c r="J81" s="92" t="s">
        <v>33</v>
      </c>
      <c r="K81" s="160" t="s">
        <v>72</v>
      </c>
      <c r="L81" s="116" t="s">
        <v>105</v>
      </c>
      <c r="M81" s="170" t="str">
        <f>HYPERLINK("http://dota.nyoron.co/ti5/main1/1684809000.dem.zip","1684809000")</f>
        <v>1684809000</v>
      </c>
      <c r="P81" s="168" t="str">
        <f>HYPERLINK("https://www.youtube.com/watch?v=mA17XAP_lpM","Lower Bracket 1B")</f>
        <v>Lower Bracket 1B</v>
      </c>
      <c r="Q81" s="151"/>
      <c r="R81" s="151"/>
      <c r="U81" s="163" t="s">
        <v>87</v>
      </c>
      <c r="V81" s="169" t="s">
        <v>72</v>
      </c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>
      <c r="A82" s="159" t="s">
        <v>108</v>
      </c>
      <c r="B82" s="109">
        <v>42219.0</v>
      </c>
      <c r="C82" s="110">
        <v>0.0</v>
      </c>
      <c r="D82" s="111">
        <v>0.6666666666666666</v>
      </c>
      <c r="E82" s="112">
        <v>0.7916666666666666</v>
      </c>
      <c r="F82" s="113">
        <v>0.041666666666666664</v>
      </c>
      <c r="G82" s="114">
        <v>0.2916666666666667</v>
      </c>
      <c r="H82" s="115">
        <v>0.375</v>
      </c>
      <c r="I82" s="160" t="s">
        <v>81</v>
      </c>
      <c r="J82" s="92" t="s">
        <v>33</v>
      </c>
      <c r="K82" s="160" t="s">
        <v>61</v>
      </c>
      <c r="L82" s="118" t="s">
        <v>52</v>
      </c>
      <c r="M82" s="171" t="str">
        <f>HYPERLINK("http://dota.nyoron.co/ti5/main1/1684903975.dem.zip","1684903975")</f>
        <v>1684903975</v>
      </c>
      <c r="P82" s="172" t="str">
        <f>HYPERLINK("https://www.youtube.com/watch?v=Pu9MZBygw4M","Lower Bracket 1C")</f>
        <v>Lower Bracket 1C</v>
      </c>
      <c r="Q82" s="173"/>
      <c r="R82" s="151"/>
      <c r="S82" s="117" t="s">
        <v>28</v>
      </c>
      <c r="U82" s="163" t="s">
        <v>81</v>
      </c>
      <c r="V82" s="169" t="s">
        <v>61</v>
      </c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>
      <c r="A83" s="159" t="s">
        <v>109</v>
      </c>
      <c r="B83" s="109">
        <v>42219.0</v>
      </c>
      <c r="C83" s="110">
        <v>0.0625</v>
      </c>
      <c r="D83" s="111">
        <v>0.7291666666666666</v>
      </c>
      <c r="E83" s="112">
        <v>0.8541666666666666</v>
      </c>
      <c r="F83" s="113">
        <v>0.10416666666666667</v>
      </c>
      <c r="G83" s="114">
        <v>0.3541666666666667</v>
      </c>
      <c r="H83" s="115">
        <v>0.4375</v>
      </c>
      <c r="I83" s="160" t="s">
        <v>77</v>
      </c>
      <c r="J83" s="92" t="s">
        <v>33</v>
      </c>
      <c r="K83" s="160" t="s">
        <v>89</v>
      </c>
      <c r="L83" s="118" t="s">
        <v>52</v>
      </c>
      <c r="M83" s="171" t="str">
        <f>HYPERLINK("http://dota.nyoron.co/ti5/main1/1685000902.dem.zip","1685000902")</f>
        <v>1685000902</v>
      </c>
      <c r="P83" s="172" t="str">
        <f>HYPERLINK("https://www.youtube.com/watch?v=py2b8cOt8lU","Lower Bracket 1D")</f>
        <v>Lower Bracket 1D</v>
      </c>
      <c r="Q83" s="173"/>
      <c r="R83" s="151"/>
      <c r="U83" s="163" t="s">
        <v>77</v>
      </c>
      <c r="V83" s="169" t="s">
        <v>89</v>
      </c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>
      <c r="A84" s="174"/>
      <c r="B84" s="175"/>
      <c r="C84" s="176"/>
      <c r="D84" s="177"/>
      <c r="E84" s="177"/>
      <c r="F84" s="177"/>
      <c r="G84" s="177"/>
      <c r="H84" s="177"/>
      <c r="I84" s="177"/>
      <c r="J84" s="177"/>
      <c r="K84" s="177"/>
      <c r="L84" s="178"/>
      <c r="M84" s="179" t="str">
        <f>HYPERLINK("http://dota.nyoron.co/ti5/main1/main1.zip","Download all Main Event Day 1 replays here")</f>
        <v>Download all Main Event Day 1 replays here</v>
      </c>
      <c r="N84" s="72"/>
      <c r="O84" s="72"/>
      <c r="P84" s="180"/>
      <c r="Q84" s="180"/>
      <c r="R84" s="180"/>
      <c r="U84" s="176"/>
      <c r="V84" s="181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</row>
    <row r="85">
      <c r="A85" s="159" t="s">
        <v>110</v>
      </c>
      <c r="B85" s="109">
        <v>42220.0</v>
      </c>
      <c r="C85" s="110">
        <v>0.75</v>
      </c>
      <c r="D85" s="111">
        <v>0.4166666666666667</v>
      </c>
      <c r="E85" s="112">
        <v>0.5416666666666666</v>
      </c>
      <c r="F85" s="113">
        <v>0.7916666666666666</v>
      </c>
      <c r="G85" s="114">
        <v>0.041666666666666664</v>
      </c>
      <c r="H85" s="115">
        <v>0.125</v>
      </c>
      <c r="I85" s="160" t="s">
        <v>84</v>
      </c>
      <c r="J85" s="92" t="s">
        <v>33</v>
      </c>
      <c r="K85" s="160" t="s">
        <v>56</v>
      </c>
      <c r="L85" s="116" t="s">
        <v>100</v>
      </c>
      <c r="M85" s="107" t="str">
        <f>HYPERLINK("http://dota.nyoron.co/ti5/main2/1686604927.dem.zip","1686604927")</f>
        <v>1686604927</v>
      </c>
      <c r="N85" s="107" t="str">
        <f>HYPERLINK("http://dota.nyoron.co/ti5/main2/1686838227.dem.zip","1686838227")</f>
        <v>1686838227</v>
      </c>
      <c r="O85" s="166" t="s">
        <v>44</v>
      </c>
      <c r="P85" s="162" t="str">
        <f>HYPERLINK("https://www.youtube.com/watch?v=eFWHrlbaZYk","Full Stream - Upper Bracket 1C")</f>
        <v>Full Stream - Upper Bracket 1C</v>
      </c>
      <c r="U85" s="163" t="s">
        <v>84</v>
      </c>
      <c r="V85" s="164" t="s">
        <v>111</v>
      </c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>
      <c r="A86" s="159" t="s">
        <v>112</v>
      </c>
      <c r="B86" s="109">
        <v>42220.0</v>
      </c>
      <c r="C86" s="110">
        <v>0.875</v>
      </c>
      <c r="D86" s="111">
        <v>0.5416666666666666</v>
      </c>
      <c r="E86" s="112">
        <v>0.6666666666666666</v>
      </c>
      <c r="F86" s="113">
        <v>0.9166666666666666</v>
      </c>
      <c r="G86" s="114">
        <v>0.16666666666666666</v>
      </c>
      <c r="H86" s="115">
        <v>0.25</v>
      </c>
      <c r="I86" s="160" t="s">
        <v>113</v>
      </c>
      <c r="J86" s="92" t="s">
        <v>33</v>
      </c>
      <c r="K86" s="160" t="s">
        <v>92</v>
      </c>
      <c r="L86" s="116" t="s">
        <v>102</v>
      </c>
      <c r="M86" s="107" t="str">
        <f>HYPERLINK("http://dota.nyoron.co/ti5/main2/1686931489.dem.zip","1686931489")</f>
        <v>1686931489</v>
      </c>
      <c r="N86" s="107" t="str">
        <f>HYPERLINK("http://dota.nyoron.co/ti5/main2/1687000541.dem.zip","1687000541")</f>
        <v>1687000541</v>
      </c>
      <c r="O86" s="166" t="s">
        <v>44</v>
      </c>
      <c r="P86" s="162" t="str">
        <f>HYPERLINK("https://www.youtube.com/watch?v=C6cMENlB_x0","Full Stream - Upper Bracket 1D")</f>
        <v>Full Stream - Upper Bracket 1D</v>
      </c>
      <c r="U86" s="163" t="s">
        <v>92</v>
      </c>
      <c r="V86" s="164" t="s">
        <v>113</v>
      </c>
      <c r="W86" s="19"/>
      <c r="X86" s="140" t="s">
        <v>114</v>
      </c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>
      <c r="A87" s="159" t="s">
        <v>115</v>
      </c>
      <c r="B87" s="109">
        <v>42220.0</v>
      </c>
      <c r="C87" s="110">
        <v>0.0</v>
      </c>
      <c r="D87" s="111">
        <v>0.6666666666666666</v>
      </c>
      <c r="E87" s="112">
        <v>0.7916666666666666</v>
      </c>
      <c r="F87" s="113">
        <v>0.041666666666666664</v>
      </c>
      <c r="G87" s="114">
        <v>0.2916666666666667</v>
      </c>
      <c r="H87" s="115">
        <v>0.375</v>
      </c>
      <c r="I87" s="160" t="s">
        <v>86</v>
      </c>
      <c r="J87" s="92" t="s">
        <v>33</v>
      </c>
      <c r="K87" s="182" t="s">
        <v>37</v>
      </c>
      <c r="L87" s="116" t="s">
        <v>105</v>
      </c>
      <c r="M87" s="107" t="str">
        <f>HYPERLINK("http://dota.nyoron.co/ti5/main2/1686931489.dem.zip","1687063262")</f>
        <v>1687063262</v>
      </c>
      <c r="N87" s="165" t="str">
        <f>HYPERLINK("http://dota.nyoron.co/ti5/main2/1687118078.dem.zip","1687118078")</f>
        <v>1687118078</v>
      </c>
      <c r="O87" s="166" t="s">
        <v>44</v>
      </c>
      <c r="P87" s="162" t="str">
        <f>HYPERLINK("https://www.youtube.com/watch?v=n7Vrt4Id9lI","Full Stream - Lower Bracket 2A")</f>
        <v>Full Stream - Lower Bracket 2A</v>
      </c>
      <c r="U87" s="163" t="s">
        <v>37</v>
      </c>
      <c r="V87" s="169" t="s">
        <v>86</v>
      </c>
      <c r="W87" s="19"/>
      <c r="X87" s="92" t="s">
        <v>116</v>
      </c>
      <c r="Y87" s="92" t="s">
        <v>33</v>
      </c>
      <c r="Z87" s="92" t="s">
        <v>117</v>
      </c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>
      <c r="A88" s="159" t="s">
        <v>118</v>
      </c>
      <c r="B88" s="109">
        <v>42220.0</v>
      </c>
      <c r="C88" s="110">
        <v>0.125</v>
      </c>
      <c r="D88" s="111">
        <v>0.7916666666666666</v>
      </c>
      <c r="E88" s="112">
        <v>0.9166666666666666</v>
      </c>
      <c r="F88" s="113">
        <v>0.16666666666666666</v>
      </c>
      <c r="G88" s="114">
        <v>0.4166666666666667</v>
      </c>
      <c r="H88" s="115">
        <v>0.5</v>
      </c>
      <c r="I88" s="160" t="s">
        <v>103</v>
      </c>
      <c r="J88" s="92" t="s">
        <v>33</v>
      </c>
      <c r="K88" s="160" t="s">
        <v>87</v>
      </c>
      <c r="L88" s="118" t="s">
        <v>52</v>
      </c>
      <c r="M88" s="65" t="str">
        <f>HYPERLINK("http://dota.nyoron.co/ti5/main2/1687199442.dem.zip","1687199442")</f>
        <v>1687199442</v>
      </c>
      <c r="N88" s="66" t="str">
        <f>HYPERLINK("http://dota.nyoron.co/ti5/main2/1687304352.dem.zip","1687304352")</f>
        <v>1687304352</v>
      </c>
      <c r="O88" s="166" t="s">
        <v>44</v>
      </c>
      <c r="P88" s="162" t="str">
        <f>HYPERLINK("https://www.youtube.com/watch?v=VHkT_QdhEuw","Full Stream - Lower Bracket 2B")</f>
        <v>Full Stream - Lower Bracket 2B</v>
      </c>
      <c r="S88" s="117" t="s">
        <v>28</v>
      </c>
      <c r="U88" s="163" t="s">
        <v>87</v>
      </c>
      <c r="V88" s="169" t="s">
        <v>103</v>
      </c>
      <c r="W88" s="19"/>
      <c r="X88" s="92" t="s">
        <v>119</v>
      </c>
      <c r="Y88" s="92" t="s">
        <v>33</v>
      </c>
      <c r="Z88" s="92" t="s">
        <v>120</v>
      </c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>
      <c r="A89" s="50"/>
      <c r="B89" s="119"/>
      <c r="C89" s="120"/>
      <c r="D89" s="88"/>
      <c r="E89" s="88"/>
      <c r="F89" s="88"/>
      <c r="G89" s="88"/>
      <c r="H89" s="88"/>
      <c r="I89" s="88"/>
      <c r="J89" s="88"/>
      <c r="K89" s="88"/>
      <c r="L89" s="121"/>
      <c r="M89" s="183" t="str">
        <f>HYPERLINK("http://dota.nyoron.co/ti5/main2/main2.zip","Download all Main Event Day 2 replays here")</f>
        <v>Download all Main Event Day 2 replays here</v>
      </c>
      <c r="P89" s="184"/>
      <c r="Q89" s="184"/>
      <c r="R89" s="184"/>
      <c r="U89" s="120"/>
      <c r="V89" s="185"/>
      <c r="W89" s="88"/>
      <c r="X89" s="186"/>
      <c r="Y89" s="187"/>
      <c r="Z89" s="186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</row>
    <row r="90">
      <c r="A90" s="159" t="s">
        <v>121</v>
      </c>
      <c r="B90" s="109">
        <v>42221.0</v>
      </c>
      <c r="C90" s="110">
        <v>0.75</v>
      </c>
      <c r="D90" s="111">
        <v>0.4166666666666667</v>
      </c>
      <c r="E90" s="112">
        <v>0.5416666666666666</v>
      </c>
      <c r="F90" s="113">
        <v>0.7916666666666666</v>
      </c>
      <c r="G90" s="114">
        <v>0.041666666666666664</v>
      </c>
      <c r="H90" s="115">
        <v>0.125</v>
      </c>
      <c r="I90" s="160" t="s">
        <v>56</v>
      </c>
      <c r="J90" s="92" t="s">
        <v>33</v>
      </c>
      <c r="K90" s="160" t="s">
        <v>81</v>
      </c>
      <c r="L90" s="116" t="s">
        <v>100</v>
      </c>
      <c r="M90" s="75" t="str">
        <f>HYPERLINK("http://dota.nyoron.co/ti5/main3/1689080648.dem.zip","1689080648")</f>
        <v>1689080648</v>
      </c>
      <c r="N90" s="66" t="str">
        <f>HYPERLINK("http://dota.nyoron.co/ti5/main3/1689199207.dem.zip","1689199207")</f>
        <v>1689199207</v>
      </c>
      <c r="O90" s="188" t="str">
        <f>HYPERLINK("http://dota.nyoron.co/ti5/main3/1689326808.dem.zip","1689326808")</f>
        <v>1689326808</v>
      </c>
      <c r="P90" s="162" t="str">
        <f>HYPERLINK("https://www.youtube.com/watch?v=xBJCrl9UJsA","Full Stream - Lower Bracket 2C")</f>
        <v>Full Stream - Lower Bracket 2C</v>
      </c>
      <c r="U90" s="163" t="s">
        <v>81</v>
      </c>
      <c r="V90" s="169" t="s">
        <v>111</v>
      </c>
      <c r="W90" s="19"/>
      <c r="X90" s="92" t="s">
        <v>122</v>
      </c>
      <c r="Y90" s="92" t="s">
        <v>33</v>
      </c>
      <c r="Z90" s="92" t="s">
        <v>123</v>
      </c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>
      <c r="A91" s="159" t="s">
        <v>124</v>
      </c>
      <c r="B91" s="109">
        <v>42221.0</v>
      </c>
      <c r="C91" s="110">
        <v>0.875</v>
      </c>
      <c r="D91" s="111">
        <v>0.5416666666666666</v>
      </c>
      <c r="E91" s="112">
        <v>0.6666666666666666</v>
      </c>
      <c r="F91" s="113">
        <v>0.9166666666666666</v>
      </c>
      <c r="G91" s="114">
        <v>0.16666666666666666</v>
      </c>
      <c r="H91" s="115">
        <v>0.25</v>
      </c>
      <c r="I91" s="160" t="s">
        <v>113</v>
      </c>
      <c r="J91" s="92" t="s">
        <v>33</v>
      </c>
      <c r="K91" s="160" t="s">
        <v>77</v>
      </c>
      <c r="L91" s="116" t="s">
        <v>102</v>
      </c>
      <c r="M91" s="66" t="str">
        <f>HYPERLINK("http://dota.nyoron.co/ti5/main3/1689417916.dem.zip","1689417916")</f>
        <v>1689417916</v>
      </c>
      <c r="N91" s="66" t="str">
        <f>HYPERLINK("http://dota.nyoron.co/ti5/main3/1689486729.dem.zip","1689486729")</f>
        <v>1689486729</v>
      </c>
      <c r="O91" s="188" t="str">
        <f>HYPERLINK("http://dota.nyoron.co/ti5/main3/1689526977.dem.zip","1689526977")</f>
        <v>1689526977</v>
      </c>
      <c r="P91" s="162" t="str">
        <f>HYPERLINK("https://www.youtube.com/watch?v=myt63a2YK8s","Full Stream - Lower Bracket 2D")</f>
        <v>Full Stream - Lower Bracket 2D</v>
      </c>
      <c r="U91" s="163" t="s">
        <v>113</v>
      </c>
      <c r="V91" s="169" t="s">
        <v>77</v>
      </c>
      <c r="W91" s="19"/>
      <c r="X91" s="92" t="s">
        <v>125</v>
      </c>
      <c r="Y91" s="92" t="s">
        <v>33</v>
      </c>
      <c r="Z91" s="92" t="s">
        <v>126</v>
      </c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>
      <c r="A92" s="159" t="s">
        <v>127</v>
      </c>
      <c r="B92" s="109">
        <v>42221.0</v>
      </c>
      <c r="C92" s="110">
        <v>0.0</v>
      </c>
      <c r="D92" s="111">
        <v>0.6666666666666666</v>
      </c>
      <c r="E92" s="112">
        <v>0.7916666666666666</v>
      </c>
      <c r="F92" s="113">
        <v>0.041666666666666664</v>
      </c>
      <c r="G92" s="114">
        <v>0.2916666666666667</v>
      </c>
      <c r="H92" s="115">
        <v>0.375</v>
      </c>
      <c r="I92" s="160" t="s">
        <v>66</v>
      </c>
      <c r="J92" s="92" t="s">
        <v>33</v>
      </c>
      <c r="K92" s="160" t="s">
        <v>32</v>
      </c>
      <c r="L92" s="116" t="s">
        <v>100</v>
      </c>
      <c r="M92" s="65" t="str">
        <f>HYPERLINK("http://dota.nyoron.co/ti5/main3/1689593268.dem.zip","1689593268")</f>
        <v>1689593268</v>
      </c>
      <c r="N92" s="65" t="str">
        <f>HYPERLINK("http://dota.nyoron.co/ti5/main3/1689659635.dem.zip","1689659635")</f>
        <v>1689659635</v>
      </c>
      <c r="O92" s="166" t="s">
        <v>44</v>
      </c>
      <c r="P92" s="162" t="str">
        <f>HYPERLINK("https://www.youtube.com/watch?v=aE8UBKpYV3M","Full Stream - Upper Bracket 2A")</f>
        <v>Full Stream - Upper Bracket 2A</v>
      </c>
      <c r="U92" s="163" t="s">
        <v>32</v>
      </c>
      <c r="V92" s="164" t="s">
        <v>66</v>
      </c>
      <c r="W92" s="19"/>
      <c r="X92" s="92" t="s">
        <v>128</v>
      </c>
      <c r="Y92" s="92" t="s">
        <v>33</v>
      </c>
      <c r="Z92" s="92" t="s">
        <v>129</v>
      </c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>
      <c r="A93" s="159" t="s">
        <v>130</v>
      </c>
      <c r="B93" s="109">
        <v>42221.0</v>
      </c>
      <c r="C93" s="110">
        <v>0.125</v>
      </c>
      <c r="D93" s="111">
        <v>0.7916666666666666</v>
      </c>
      <c r="E93" s="112">
        <v>0.9166666666666666</v>
      </c>
      <c r="F93" s="113">
        <v>0.16666666666666666</v>
      </c>
      <c r="G93" s="114">
        <v>0.4166666666666667</v>
      </c>
      <c r="H93" s="115">
        <v>0.5</v>
      </c>
      <c r="I93" s="160" t="s">
        <v>84</v>
      </c>
      <c r="J93" s="92" t="s">
        <v>33</v>
      </c>
      <c r="K93" s="160" t="s">
        <v>92</v>
      </c>
      <c r="L93" s="118" t="s">
        <v>52</v>
      </c>
      <c r="M93" s="65" t="str">
        <f>HYPERLINK("http://dota.nyoron.co/ti5/main3/1689744737.dem.zip","1689744737")</f>
        <v>1689744737</v>
      </c>
      <c r="N93" s="165" t="str">
        <f>HYPERLINK("http://dota.nyoron.co/ti5/main3/1689812780.dem.zip","1689812780")</f>
        <v>1689812780</v>
      </c>
      <c r="O93" s="189">
        <v>1.689893744E9</v>
      </c>
      <c r="P93" s="162" t="str">
        <f>HYPERLINK("https://www.youtube.com/watch?v=rW4PE5DT_oQ","Full Stream - Upper Bracket 2B")</f>
        <v>Full Stream - Upper Bracket 2B</v>
      </c>
      <c r="U93" s="163" t="s">
        <v>84</v>
      </c>
      <c r="V93" s="164" t="s">
        <v>92</v>
      </c>
      <c r="W93" s="19"/>
      <c r="X93" s="92" t="s">
        <v>131</v>
      </c>
      <c r="Y93" s="92" t="s">
        <v>33</v>
      </c>
      <c r="Z93" s="92" t="s">
        <v>132</v>
      </c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>
      <c r="A94" s="50"/>
      <c r="B94" s="119"/>
      <c r="C94" s="120"/>
      <c r="D94" s="88"/>
      <c r="E94" s="88"/>
      <c r="F94" s="88"/>
      <c r="G94" s="88"/>
      <c r="H94" s="88"/>
      <c r="I94" s="88"/>
      <c r="J94" s="88"/>
      <c r="K94" s="88"/>
      <c r="L94" s="121"/>
      <c r="M94" s="183" t="str">
        <f>HYPERLINK("http://dota.nyoron.co/ti5/main3/main3.zip","Download all Main Event Day 3 replays here")</f>
        <v>Download all Main Event Day 3 replays here</v>
      </c>
      <c r="P94" s="184"/>
      <c r="Q94" s="184"/>
      <c r="R94" s="184"/>
      <c r="S94" s="117" t="s">
        <v>28</v>
      </c>
      <c r="U94" s="120"/>
      <c r="V94" s="185"/>
      <c r="W94" s="88"/>
      <c r="X94" s="186"/>
      <c r="Y94" s="187"/>
      <c r="Z94" s="186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</row>
    <row r="95">
      <c r="A95" s="159" t="s">
        <v>133</v>
      </c>
      <c r="B95" s="109">
        <v>42222.0</v>
      </c>
      <c r="C95" s="110">
        <v>0.75</v>
      </c>
      <c r="D95" s="111">
        <v>0.4166666666666667</v>
      </c>
      <c r="E95" s="112">
        <v>0.5416666666666666</v>
      </c>
      <c r="F95" s="113">
        <v>0.7916666666666666</v>
      </c>
      <c r="G95" s="114">
        <v>0.041666666666666664</v>
      </c>
      <c r="H95" s="115">
        <v>0.125</v>
      </c>
      <c r="I95" s="160" t="s">
        <v>134</v>
      </c>
      <c r="J95" s="92" t="s">
        <v>33</v>
      </c>
      <c r="K95" s="160" t="s">
        <v>87</v>
      </c>
      <c r="L95" s="116" t="s">
        <v>100</v>
      </c>
      <c r="M95" s="170" t="str">
        <f>HYPERLINK("http://dota.nyoron.co/ti5/main3/1691612847.dem.zip","1691612847")</f>
        <v>1691612847</v>
      </c>
      <c r="N95" s="107" t="str">
        <f>HYPERLINK("http://dota.nyoron.co/ti5/main3/1691714801.dem.zip","1691714801")</f>
        <v>1691714801</v>
      </c>
      <c r="O95" s="166" t="s">
        <v>44</v>
      </c>
      <c r="P95" s="162" t="str">
        <f>HYPERLINK("https://www.youtube.com/watch?v=I2p-SBP8JME","Full Stream - Lower Bracket 3A")</f>
        <v>Full Stream - Lower Bracket 3A</v>
      </c>
      <c r="U95" s="163" t="s">
        <v>87</v>
      </c>
      <c r="V95" s="169" t="s">
        <v>134</v>
      </c>
      <c r="W95" s="19"/>
      <c r="X95" s="92" t="s">
        <v>135</v>
      </c>
      <c r="Y95" s="92" t="s">
        <v>33</v>
      </c>
      <c r="Z95" s="92" t="s">
        <v>136</v>
      </c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>
      <c r="A96" s="159" t="s">
        <v>137</v>
      </c>
      <c r="B96" s="109">
        <v>42222.0</v>
      </c>
      <c r="C96" s="110">
        <v>0.875</v>
      </c>
      <c r="D96" s="111">
        <v>0.5416666666666666</v>
      </c>
      <c r="E96" s="112">
        <v>0.6666666666666666</v>
      </c>
      <c r="F96" s="113">
        <v>0.9166666666666666</v>
      </c>
      <c r="G96" s="114">
        <v>0.16666666666666666</v>
      </c>
      <c r="H96" s="115">
        <v>0.25</v>
      </c>
      <c r="I96" s="160" t="s">
        <v>81</v>
      </c>
      <c r="J96" s="92" t="s">
        <v>33</v>
      </c>
      <c r="K96" s="160" t="s">
        <v>113</v>
      </c>
      <c r="L96" s="118" t="s">
        <v>52</v>
      </c>
      <c r="M96" s="107" t="str">
        <f>HYPERLINK("http://dota.nyoron.co/ti5/main3/1691817562.dem.zip","1691817562")</f>
        <v>1691817562</v>
      </c>
      <c r="N96" s="107" t="str">
        <f>HYPERLINK("http://dota.nyoron.co/ti5/main3/1691887181.dem.zip","1691887181")</f>
        <v>1691887181</v>
      </c>
      <c r="O96" s="190" t="str">
        <f>HYPERLINK("http://dota.nyoron.co/ti5/main3/1691952611.dem.zip","1691952611")</f>
        <v>1691952611</v>
      </c>
      <c r="P96" s="162" t="str">
        <f>HYPERLINK("https://www.youtube.com/watch?v=uEXUlpK-wHs","Full Stream - Lower Bracket 3B")</f>
        <v>Full Stream - Lower Bracket 3B</v>
      </c>
      <c r="U96" s="163" t="s">
        <v>95</v>
      </c>
      <c r="V96" s="169" t="s">
        <v>113</v>
      </c>
      <c r="W96" s="19"/>
      <c r="X96" s="92" t="s">
        <v>138</v>
      </c>
      <c r="Y96" s="92" t="s">
        <v>33</v>
      </c>
      <c r="Z96" s="92" t="s">
        <v>139</v>
      </c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>
      <c r="A97" s="159" t="s">
        <v>140</v>
      </c>
      <c r="B97" s="109">
        <v>42222.0</v>
      </c>
      <c r="C97" s="110">
        <v>0.0</v>
      </c>
      <c r="D97" s="111">
        <v>0.6666666666666666</v>
      </c>
      <c r="E97" s="112">
        <v>0.7916666666666666</v>
      </c>
      <c r="F97" s="113">
        <v>0.041666666666666664</v>
      </c>
      <c r="G97" s="114">
        <v>0.2916666666666667</v>
      </c>
      <c r="H97" s="115">
        <v>0.375</v>
      </c>
      <c r="I97" s="160" t="s">
        <v>92</v>
      </c>
      <c r="J97" s="92" t="s">
        <v>33</v>
      </c>
      <c r="K97" s="160" t="s">
        <v>87</v>
      </c>
      <c r="L97" s="116" t="s">
        <v>100</v>
      </c>
      <c r="M97" s="107" t="str">
        <f>HYPERLINK("http://dota.nyoron.co/ti5/main3/1692027822.dem.zip","1692027822")</f>
        <v>1692027822</v>
      </c>
      <c r="N97" s="107" t="str">
        <f>HYPERLINK("http://dota.nyoron.co/ti5/main3/1692105377.dem.zip","1692105377")</f>
        <v>1692105377</v>
      </c>
      <c r="O97" s="166" t="s">
        <v>44</v>
      </c>
      <c r="P97" s="162" t="str">
        <f>HYPERLINK("https://www.youtube.com/watch?v=BtATwtePCdg","Full Stream - Lower Bracket 4A")</f>
        <v>Full Stream - Lower Bracket 4A</v>
      </c>
      <c r="U97" s="163" t="s">
        <v>87</v>
      </c>
      <c r="V97" s="164" t="s">
        <v>92</v>
      </c>
      <c r="W97" s="19"/>
      <c r="X97" s="92" t="s">
        <v>141</v>
      </c>
      <c r="Y97" s="92" t="s">
        <v>33</v>
      </c>
      <c r="Z97" s="92" t="s">
        <v>142</v>
      </c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>
      <c r="A98" s="191" t="s">
        <v>143</v>
      </c>
      <c r="B98" s="109">
        <v>42222.0</v>
      </c>
      <c r="C98" s="110">
        <v>0.125</v>
      </c>
      <c r="D98" s="111">
        <v>0.7916666666666666</v>
      </c>
      <c r="E98" s="112">
        <v>0.9166666666666666</v>
      </c>
      <c r="F98" s="113">
        <v>0.16666666666666666</v>
      </c>
      <c r="G98" s="114">
        <v>0.4166666666666667</v>
      </c>
      <c r="H98" s="115">
        <v>0.5</v>
      </c>
      <c r="I98" s="160" t="s">
        <v>144</v>
      </c>
      <c r="J98" s="92" t="s">
        <v>33</v>
      </c>
      <c r="K98" s="160" t="s">
        <v>145</v>
      </c>
      <c r="L98" s="118" t="s">
        <v>146</v>
      </c>
      <c r="M98" s="48"/>
      <c r="N98" s="155"/>
      <c r="O98" s="192"/>
      <c r="P98" s="193" t="str">
        <f>HYPERLINK("https://www.youtube.com/watch?v=CnAPQQ5t0JM","ALL-STAR MATCH SURPRISE")</f>
        <v>ALL-STAR MATCH SURPRISE</v>
      </c>
      <c r="R98" s="194" t="str">
        <f>HYPERLINK("https://www.youtube.com/watch?v=ltMsrON0xcM","ALL-STAR MATCH")</f>
        <v>ALL-STAR MATCH</v>
      </c>
      <c r="U98" s="163" t="s">
        <v>144</v>
      </c>
      <c r="V98" s="164" t="s">
        <v>145</v>
      </c>
      <c r="W98" s="19"/>
      <c r="X98" s="19"/>
      <c r="Y98" s="92" t="s">
        <v>33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>
      <c r="A99" s="50"/>
      <c r="B99" s="119"/>
      <c r="C99" s="120"/>
      <c r="D99" s="88"/>
      <c r="E99" s="88"/>
      <c r="F99" s="88"/>
      <c r="G99" s="88"/>
      <c r="H99" s="88"/>
      <c r="I99" s="88"/>
      <c r="J99" s="88"/>
      <c r="K99" s="88"/>
      <c r="L99" s="121"/>
      <c r="M99" s="86" t="str">
        <f>HYPERLINK("http://dota.nyoron.co/ti5/main4/main4.zip","Download all Main Event Day 4 replays here")</f>
        <v>Download all Main Event Day 4 replays here</v>
      </c>
      <c r="P99" s="184"/>
      <c r="Q99" s="184"/>
      <c r="R99" s="184"/>
      <c r="U99" s="195"/>
      <c r="V99" s="196"/>
      <c r="W99" s="88"/>
      <c r="X99" s="88"/>
      <c r="Y99" s="187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</row>
    <row r="100">
      <c r="A100" s="159" t="s">
        <v>147</v>
      </c>
      <c r="B100" s="109">
        <v>42223.0</v>
      </c>
      <c r="C100" s="110">
        <v>0.75</v>
      </c>
      <c r="D100" s="111">
        <v>0.4166666666666667</v>
      </c>
      <c r="E100" s="112">
        <v>0.5416666666666666</v>
      </c>
      <c r="F100" s="113">
        <v>0.7916666666666666</v>
      </c>
      <c r="G100" s="114">
        <v>0.041666666666666664</v>
      </c>
      <c r="H100" s="115">
        <v>0.125</v>
      </c>
      <c r="I100" s="160" t="s">
        <v>66</v>
      </c>
      <c r="J100" s="92" t="s">
        <v>33</v>
      </c>
      <c r="K100" s="160" t="s">
        <v>95</v>
      </c>
      <c r="L100" s="116" t="s">
        <v>100</v>
      </c>
      <c r="M100" s="170" t="str">
        <f>HYPERLINK("http://dota.nyoron.co/ti5/main5/1694261668.dem.zip","1694261668")</f>
        <v>1694261668</v>
      </c>
      <c r="N100" s="66" t="str">
        <f>HYPERLINK("http://dota.nyoron.co/ti5/main5/1694392262.dem.zip","1694392262")</f>
        <v>1694392262</v>
      </c>
      <c r="O100" s="197" t="s">
        <v>44</v>
      </c>
      <c r="P100" s="94" t="str">
        <f>HYPERLINK("https://www.youtube.com/watch?v=sRZ6nf5JDdo","Lower Bracket 4B")</f>
        <v>Lower Bracket 4B</v>
      </c>
      <c r="S100" s="117" t="s">
        <v>28</v>
      </c>
      <c r="U100" s="163" t="s">
        <v>66</v>
      </c>
      <c r="V100" s="164" t="s">
        <v>95</v>
      </c>
      <c r="W100" s="19"/>
      <c r="X100" s="92" t="s">
        <v>148</v>
      </c>
      <c r="Y100" s="92" t="s">
        <v>33</v>
      </c>
      <c r="Z100" s="92" t="s">
        <v>149</v>
      </c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>
      <c r="A101" s="198" t="s">
        <v>150</v>
      </c>
      <c r="B101" s="109">
        <v>42223.0</v>
      </c>
      <c r="C101" s="110">
        <v>0.875</v>
      </c>
      <c r="D101" s="111">
        <v>0.5416666666666666</v>
      </c>
      <c r="E101" s="112">
        <v>0.6666666666666666</v>
      </c>
      <c r="F101" s="113">
        <v>0.9166666666666666</v>
      </c>
      <c r="G101" s="114">
        <v>0.16666666666666666</v>
      </c>
      <c r="H101" s="115">
        <v>0.25</v>
      </c>
      <c r="I101" s="160" t="s">
        <v>32</v>
      </c>
      <c r="J101" s="92" t="s">
        <v>33</v>
      </c>
      <c r="K101" s="160" t="s">
        <v>84</v>
      </c>
      <c r="L101" s="116" t="s">
        <v>105</v>
      </c>
      <c r="M101" s="170" t="str">
        <f>HYPERLINK("http://dota.nyoron.co/ti5/main5/1694506494.dem.zip","1694506494")</f>
        <v>1694506494</v>
      </c>
      <c r="N101" s="66" t="str">
        <f>HYPERLINK("http://dota.nyoron.co/ti5/main5/1694607827.dem.zip","1694607827")</f>
        <v>1694607827</v>
      </c>
      <c r="O101" s="197" t="s">
        <v>44</v>
      </c>
      <c r="P101" s="94" t="str">
        <f>HYPERLINK("https://www.youtube.com/watch?v=19Wpll212yg","Upper Bracket Finals")</f>
        <v>Upper Bracket Finals</v>
      </c>
      <c r="U101" s="163" t="s">
        <v>32</v>
      </c>
      <c r="V101" s="164" t="s">
        <v>84</v>
      </c>
      <c r="W101" s="19"/>
      <c r="X101" s="92" t="s">
        <v>151</v>
      </c>
      <c r="Y101" s="92" t="s">
        <v>33</v>
      </c>
      <c r="Z101" s="92" t="s">
        <v>152</v>
      </c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>
      <c r="A102" s="159" t="s">
        <v>153</v>
      </c>
      <c r="B102" s="109">
        <v>42223.0</v>
      </c>
      <c r="C102" s="110">
        <v>0.0</v>
      </c>
      <c r="D102" s="111">
        <v>0.6666666666666666</v>
      </c>
      <c r="E102" s="112">
        <v>0.7916666666666666</v>
      </c>
      <c r="F102" s="113">
        <v>0.041666666666666664</v>
      </c>
      <c r="G102" s="114">
        <v>0.2916666666666667</v>
      </c>
      <c r="H102" s="115">
        <v>0.375</v>
      </c>
      <c r="I102" s="160" t="s">
        <v>87</v>
      </c>
      <c r="J102" s="92" t="s">
        <v>33</v>
      </c>
      <c r="K102" s="160" t="s">
        <v>66</v>
      </c>
      <c r="L102" s="116" t="s">
        <v>102</v>
      </c>
      <c r="M102" s="107" t="str">
        <f>HYPERLINK("http://dota.nyoron.co/ti5/main5/1694672562.dem.zip","1694672562")</f>
        <v>1694672562</v>
      </c>
      <c r="N102" s="66" t="str">
        <f>HYPERLINK("http://dota.nyoron.co/ti5/main5/1694734460.dem.zip","1694734460")</f>
        <v>1694734460</v>
      </c>
      <c r="O102" s="199" t="str">
        <f>HYPERLINK("http://dota.nyoron.co/ti5/main5/1694785141.dem.zip","1694785141")</f>
        <v>1694785141</v>
      </c>
      <c r="P102" s="94" t="str">
        <f>HYPERLINK("https://www.youtube.com/watch?v=-DwoAyxWvTg","Lower Bracket LB Finals")</f>
        <v>Lower Bracket LB Finals</v>
      </c>
      <c r="U102" s="163" t="s">
        <v>66</v>
      </c>
      <c r="V102" s="164" t="s">
        <v>87</v>
      </c>
      <c r="W102" s="19"/>
      <c r="X102" s="92" t="s">
        <v>154</v>
      </c>
      <c r="Y102" s="92" t="s">
        <v>33</v>
      </c>
      <c r="Z102" s="92" t="s">
        <v>155</v>
      </c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>
      <c r="A103" s="50"/>
      <c r="B103" s="119"/>
      <c r="C103" s="120"/>
      <c r="D103" s="88"/>
      <c r="E103" s="88"/>
      <c r="F103" s="88"/>
      <c r="G103" s="200"/>
      <c r="H103" s="200"/>
      <c r="I103" s="88"/>
      <c r="J103" s="88"/>
      <c r="K103" s="88"/>
      <c r="L103" s="121"/>
      <c r="M103" s="86" t="str">
        <f>HYPERLINK("http://dota.nyoron.co/ti5/main5/main5.zip","Download all Main Event Day 5 replays here")</f>
        <v>Download all Main Event Day 5 replays here</v>
      </c>
      <c r="P103" s="184"/>
      <c r="Q103" s="184"/>
      <c r="R103" s="184"/>
      <c r="U103" s="195"/>
      <c r="V103" s="196"/>
      <c r="W103" s="88"/>
      <c r="X103" s="88"/>
      <c r="Y103" s="187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</row>
    <row r="104">
      <c r="A104" s="198" t="s">
        <v>156</v>
      </c>
      <c r="B104" s="109">
        <v>42224.0</v>
      </c>
      <c r="C104" s="110">
        <v>0.75</v>
      </c>
      <c r="D104" s="111">
        <v>0.4166666666666667</v>
      </c>
      <c r="E104" s="112">
        <v>0.5416666666666666</v>
      </c>
      <c r="F104" s="113">
        <v>0.7916666666666666</v>
      </c>
      <c r="G104" s="114">
        <v>0.041666666666666664</v>
      </c>
      <c r="H104" s="115">
        <v>0.125</v>
      </c>
      <c r="I104" s="160" t="s">
        <v>84</v>
      </c>
      <c r="J104" s="92" t="s">
        <v>33</v>
      </c>
      <c r="K104" s="160" t="s">
        <v>66</v>
      </c>
      <c r="L104" s="116" t="s">
        <v>102</v>
      </c>
      <c r="M104" s="107" t="str">
        <f>HYPERLINK("http://dota.nyoron.co/ti5/main6/1697230041.dem.zip","1697230041")</f>
        <v>1697230041</v>
      </c>
      <c r="N104" s="107" t="str">
        <f>HYPERLINK("http://dota.nyoron.co/ti5/main6/1697367568.dem.zip","1697367568")</f>
        <v>1697367568</v>
      </c>
      <c r="O104" s="197" t="s">
        <v>157</v>
      </c>
      <c r="P104" s="201" t="str">
        <f>HYPERLINK("https://www.youtube.com/watch?v=S-f4lYy7_VQ","Lower Bracket Finals")</f>
        <v>Lower Bracket Finals</v>
      </c>
      <c r="U104" s="163" t="s">
        <v>84</v>
      </c>
      <c r="V104" s="164" t="s">
        <v>66</v>
      </c>
      <c r="W104" s="19"/>
      <c r="X104" s="92" t="s">
        <v>158</v>
      </c>
      <c r="Y104" s="92" t="s">
        <v>33</v>
      </c>
      <c r="Z104" s="92" t="s">
        <v>159</v>
      </c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>
      <c r="A105" s="191" t="s">
        <v>160</v>
      </c>
      <c r="B105" s="109">
        <v>42224.0</v>
      </c>
      <c r="C105" s="110">
        <v>0.875</v>
      </c>
      <c r="D105" s="111">
        <v>0.5416666666666666</v>
      </c>
      <c r="E105" s="112">
        <v>0.6666666666666666</v>
      </c>
      <c r="F105" s="113">
        <v>0.9166666666666666</v>
      </c>
      <c r="G105" s="114">
        <v>0.16666666666666666</v>
      </c>
      <c r="H105" s="115">
        <v>0.25</v>
      </c>
      <c r="I105" s="160" t="s">
        <v>32</v>
      </c>
      <c r="J105" s="92" t="s">
        <v>33</v>
      </c>
      <c r="K105" s="160" t="s">
        <v>84</v>
      </c>
      <c r="L105" s="116" t="s">
        <v>100</v>
      </c>
      <c r="M105" s="107" t="str">
        <f>HYPERLINK("http://dota.nyoron.co/ti5/main6/1697618202.dem.zip","1697618202")</f>
        <v>1697618202</v>
      </c>
      <c r="N105" s="66" t="str">
        <f>HYPERLINK("http://dota.nyoron.co/ti5/main6/1697676707.dem.zip","1697676707")</f>
        <v>1697676707</v>
      </c>
      <c r="O105" s="202" t="str">
        <f>HYPERLINK("http://dota.nyoron.co/ti5/main6/1697737102.dem.zip","1697737102")</f>
        <v>1697737102</v>
      </c>
      <c r="P105" s="203" t="str">
        <f>HYPERLINK("http://dota.nyoron.co/ti5/main6/1697818230.dem.zip","1697818230")</f>
        <v>1697818230</v>
      </c>
      <c r="Q105" s="204" t="s">
        <v>44</v>
      </c>
      <c r="R105" s="205" t="str">
        <f>HYPERLINK("https://www.youtube.com/watch?v=6u2NuuVLFT0","The Grand Finals")</f>
        <v>The Grand Finals</v>
      </c>
      <c r="U105" s="206" t="s">
        <v>84</v>
      </c>
      <c r="V105" s="207" t="s">
        <v>32</v>
      </c>
      <c r="W105" s="19"/>
      <c r="X105" s="92" t="s">
        <v>161</v>
      </c>
      <c r="Y105" s="92" t="s">
        <v>33</v>
      </c>
      <c r="Z105" s="92" t="s">
        <v>162</v>
      </c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>
      <c r="A106" s="208"/>
      <c r="B106" s="209"/>
      <c r="C106" s="184"/>
      <c r="D106" s="184"/>
      <c r="E106" s="184"/>
      <c r="F106" s="184"/>
      <c r="G106" s="184"/>
      <c r="H106" s="184"/>
      <c r="I106" s="184"/>
      <c r="J106" s="184"/>
      <c r="K106" s="184"/>
      <c r="L106" s="210"/>
      <c r="M106" s="211"/>
      <c r="N106" s="211"/>
      <c r="O106" s="212"/>
      <c r="P106" s="213"/>
      <c r="Q106" s="213"/>
      <c r="R106" s="213"/>
      <c r="S106" s="214"/>
      <c r="T106" s="214"/>
      <c r="U106" s="215"/>
      <c r="V106" s="215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</row>
    <row r="107">
      <c r="A107" s="208"/>
      <c r="B107" s="209"/>
      <c r="C107" s="184"/>
      <c r="D107" s="184"/>
      <c r="E107" s="184"/>
      <c r="F107" s="184"/>
      <c r="G107" s="184"/>
      <c r="H107" s="184"/>
      <c r="I107" s="184"/>
      <c r="J107" s="184"/>
      <c r="K107" s="184"/>
      <c r="L107" s="210"/>
      <c r="M107" s="211"/>
      <c r="N107" s="211"/>
      <c r="O107" s="212"/>
      <c r="P107" s="184"/>
      <c r="Q107" s="184"/>
      <c r="R107" s="184"/>
      <c r="S107" s="214"/>
      <c r="T107" s="214"/>
      <c r="U107" s="215"/>
      <c r="V107" s="215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</row>
    <row r="108">
      <c r="A108" s="208"/>
      <c r="B108" s="209"/>
      <c r="C108" s="184"/>
      <c r="D108" s="184"/>
      <c r="E108" s="184"/>
      <c r="F108" s="184"/>
      <c r="G108" s="184"/>
      <c r="H108" s="184"/>
      <c r="I108" s="184"/>
      <c r="J108" s="184"/>
      <c r="K108" s="184"/>
      <c r="L108" s="210"/>
      <c r="M108" s="211"/>
      <c r="N108" s="211"/>
      <c r="O108" s="212"/>
      <c r="P108" s="184"/>
      <c r="Q108" s="184"/>
      <c r="R108" s="184"/>
      <c r="S108" s="214"/>
      <c r="T108" s="214"/>
      <c r="U108" s="215"/>
      <c r="V108" s="215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</row>
    <row r="109">
      <c r="A109" s="208"/>
      <c r="B109" s="209"/>
      <c r="C109" s="184"/>
      <c r="D109" s="184"/>
      <c r="E109" s="184"/>
      <c r="F109" s="184"/>
      <c r="G109" s="184"/>
      <c r="H109" s="184"/>
      <c r="I109" s="184"/>
      <c r="J109" s="184"/>
      <c r="K109" s="184"/>
      <c r="L109" s="210"/>
      <c r="M109" s="211"/>
      <c r="N109" s="211"/>
      <c r="O109" s="212"/>
      <c r="P109" s="184"/>
      <c r="Q109" s="184"/>
      <c r="R109" s="184"/>
      <c r="S109" s="214"/>
      <c r="T109" s="214"/>
      <c r="U109" s="215"/>
      <c r="V109" s="215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</row>
    <row r="110">
      <c r="A110" s="208"/>
      <c r="B110" s="209"/>
      <c r="C110" s="184"/>
      <c r="D110" s="184"/>
      <c r="E110" s="184"/>
      <c r="F110" s="184"/>
      <c r="G110" s="184"/>
      <c r="H110" s="184"/>
      <c r="I110" s="184"/>
      <c r="J110" s="184"/>
      <c r="K110" s="184"/>
      <c r="L110" s="210"/>
      <c r="M110" s="211"/>
      <c r="N110" s="211"/>
      <c r="O110" s="212"/>
      <c r="P110" s="184"/>
      <c r="Q110" s="184"/>
      <c r="R110" s="184"/>
      <c r="S110" s="214"/>
      <c r="T110" s="214"/>
      <c r="U110" s="215"/>
      <c r="V110" s="215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</row>
    <row r="111">
      <c r="A111" s="208"/>
      <c r="B111" s="209"/>
      <c r="C111" s="184"/>
      <c r="D111" s="184"/>
      <c r="E111" s="184"/>
      <c r="F111" s="184"/>
      <c r="G111" s="184"/>
      <c r="H111" s="184"/>
      <c r="I111" s="184"/>
      <c r="J111" s="184"/>
      <c r="K111" s="184"/>
      <c r="L111" s="210"/>
      <c r="M111" s="211"/>
      <c r="N111" s="211"/>
      <c r="O111" s="212"/>
      <c r="P111" s="184"/>
      <c r="Q111" s="184"/>
      <c r="R111" s="184"/>
      <c r="S111" s="214"/>
      <c r="T111" s="214"/>
      <c r="U111" s="215"/>
      <c r="V111" s="215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</row>
    <row r="112">
      <c r="A112" s="208"/>
      <c r="B112" s="209"/>
      <c r="C112" s="184"/>
      <c r="D112" s="184"/>
      <c r="E112" s="184"/>
      <c r="F112" s="184"/>
      <c r="G112" s="184"/>
      <c r="H112" s="184"/>
      <c r="I112" s="184"/>
      <c r="J112" s="184"/>
      <c r="K112" s="184"/>
      <c r="L112" s="210"/>
      <c r="M112" s="211"/>
      <c r="N112" s="211"/>
      <c r="O112" s="212"/>
      <c r="P112" s="184"/>
      <c r="Q112" s="184"/>
      <c r="R112" s="184"/>
      <c r="S112" s="216"/>
      <c r="T112" s="216"/>
      <c r="U112" s="215"/>
      <c r="V112" s="215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</row>
    <row r="113">
      <c r="A113" s="208"/>
      <c r="B113" s="209"/>
      <c r="C113" s="184"/>
      <c r="D113" s="184"/>
      <c r="E113" s="184"/>
      <c r="F113" s="184"/>
      <c r="G113" s="184"/>
      <c r="H113" s="184"/>
      <c r="I113" s="184"/>
      <c r="J113" s="184"/>
      <c r="K113" s="184"/>
      <c r="L113" s="210"/>
      <c r="M113" s="211"/>
      <c r="N113" s="211"/>
      <c r="O113" s="212"/>
      <c r="P113" s="184"/>
      <c r="Q113" s="184"/>
      <c r="R113" s="184"/>
      <c r="S113" s="216"/>
      <c r="T113" s="216"/>
      <c r="U113" s="215"/>
      <c r="V113" s="215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</row>
    <row r="114">
      <c r="A114" s="208"/>
      <c r="B114" s="209"/>
      <c r="C114" s="184"/>
      <c r="D114" s="184"/>
      <c r="E114" s="184"/>
      <c r="F114" s="184"/>
      <c r="G114" s="184"/>
      <c r="H114" s="184"/>
      <c r="I114" s="184"/>
      <c r="J114" s="184"/>
      <c r="K114" s="184"/>
      <c r="L114" s="210"/>
      <c r="M114" s="211"/>
      <c r="N114" s="211"/>
      <c r="O114" s="212"/>
      <c r="P114" s="184"/>
      <c r="Q114" s="184"/>
      <c r="R114" s="184"/>
      <c r="S114" s="216"/>
      <c r="T114" s="216"/>
      <c r="U114" s="215"/>
      <c r="V114" s="215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</row>
    <row r="115">
      <c r="A115" s="208"/>
      <c r="B115" s="209"/>
      <c r="C115" s="184"/>
      <c r="D115" s="184"/>
      <c r="E115" s="184"/>
      <c r="F115" s="184"/>
      <c r="G115" s="184"/>
      <c r="H115" s="184"/>
      <c r="I115" s="184"/>
      <c r="J115" s="184"/>
      <c r="K115" s="184"/>
      <c r="L115" s="210"/>
      <c r="M115" s="211"/>
      <c r="N115" s="211"/>
      <c r="O115" s="212"/>
      <c r="P115" s="184"/>
      <c r="Q115" s="184"/>
      <c r="R115" s="184"/>
      <c r="S115" s="216"/>
      <c r="T115" s="216"/>
      <c r="U115" s="215"/>
      <c r="V115" s="215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</row>
    <row r="116">
      <c r="A116" s="208"/>
      <c r="B116" s="209"/>
      <c r="C116" s="184"/>
      <c r="D116" s="184"/>
      <c r="E116" s="184"/>
      <c r="F116" s="184"/>
      <c r="G116" s="184"/>
      <c r="H116" s="184"/>
      <c r="I116" s="184"/>
      <c r="J116" s="184"/>
      <c r="K116" s="184"/>
      <c r="L116" s="210"/>
      <c r="M116" s="211"/>
      <c r="N116" s="211"/>
      <c r="O116" s="212"/>
      <c r="P116" s="184"/>
      <c r="Q116" s="184"/>
      <c r="R116" s="184"/>
      <c r="S116" s="216"/>
      <c r="T116" s="216"/>
      <c r="U116" s="215"/>
      <c r="V116" s="215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</row>
    <row r="117">
      <c r="A117" s="208"/>
      <c r="B117" s="209"/>
      <c r="C117" s="184"/>
      <c r="D117" s="184"/>
      <c r="E117" s="184"/>
      <c r="F117" s="184"/>
      <c r="G117" s="184"/>
      <c r="H117" s="184"/>
      <c r="I117" s="184"/>
      <c r="J117" s="184"/>
      <c r="K117" s="184"/>
      <c r="L117" s="210"/>
      <c r="M117" s="211"/>
      <c r="N117" s="211"/>
      <c r="O117" s="212"/>
      <c r="P117" s="184"/>
      <c r="Q117" s="184"/>
      <c r="R117" s="184"/>
      <c r="S117" s="216"/>
      <c r="T117" s="216"/>
      <c r="U117" s="215"/>
      <c r="V117" s="215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</row>
    <row r="118">
      <c r="A118" s="208"/>
      <c r="B118" s="209"/>
      <c r="C118" s="184"/>
      <c r="D118" s="184"/>
      <c r="E118" s="184"/>
      <c r="F118" s="184"/>
      <c r="G118" s="184"/>
      <c r="H118" s="184"/>
      <c r="I118" s="184"/>
      <c r="J118" s="184"/>
      <c r="K118" s="184"/>
      <c r="L118" s="210"/>
      <c r="M118" s="211"/>
      <c r="N118" s="211"/>
      <c r="O118" s="212"/>
      <c r="P118" s="184"/>
      <c r="Q118" s="184"/>
      <c r="R118" s="184"/>
      <c r="S118" s="216"/>
      <c r="T118" s="216"/>
      <c r="U118" s="215"/>
      <c r="V118" s="215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</row>
    <row r="119">
      <c r="A119" s="208"/>
      <c r="B119" s="209"/>
      <c r="C119" s="184"/>
      <c r="D119" s="184"/>
      <c r="E119" s="184"/>
      <c r="F119" s="184"/>
      <c r="G119" s="184"/>
      <c r="H119" s="184"/>
      <c r="I119" s="184"/>
      <c r="J119" s="184"/>
      <c r="K119" s="184"/>
      <c r="L119" s="210"/>
      <c r="M119" s="211"/>
      <c r="N119" s="211"/>
      <c r="O119" s="212"/>
      <c r="P119" s="184"/>
      <c r="Q119" s="184"/>
      <c r="R119" s="184"/>
      <c r="S119" s="216"/>
      <c r="T119" s="216"/>
      <c r="U119" s="215"/>
      <c r="V119" s="215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</row>
    <row r="120">
      <c r="A120" s="208"/>
      <c r="B120" s="209"/>
      <c r="C120" s="184"/>
      <c r="D120" s="184"/>
      <c r="E120" s="184"/>
      <c r="F120" s="184"/>
      <c r="G120" s="184"/>
      <c r="H120" s="184"/>
      <c r="I120" s="184"/>
      <c r="J120" s="184"/>
      <c r="K120" s="184"/>
      <c r="L120" s="210"/>
      <c r="M120" s="211"/>
      <c r="N120" s="211"/>
      <c r="O120" s="212"/>
      <c r="P120" s="184"/>
      <c r="Q120" s="184"/>
      <c r="R120" s="184"/>
      <c r="S120" s="216"/>
      <c r="T120" s="216"/>
      <c r="U120" s="215"/>
      <c r="V120" s="215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</row>
    <row r="121">
      <c r="A121" s="208"/>
      <c r="B121" s="209"/>
      <c r="C121" s="184"/>
      <c r="D121" s="184"/>
      <c r="E121" s="184"/>
      <c r="F121" s="184"/>
      <c r="G121" s="184"/>
      <c r="H121" s="184"/>
      <c r="I121" s="184"/>
      <c r="J121" s="184"/>
      <c r="K121" s="184"/>
      <c r="L121" s="210"/>
      <c r="M121" s="211"/>
      <c r="N121" s="211"/>
      <c r="O121" s="212"/>
      <c r="P121" s="184"/>
      <c r="Q121" s="184"/>
      <c r="R121" s="184"/>
      <c r="S121" s="216"/>
      <c r="T121" s="216"/>
      <c r="U121" s="215"/>
      <c r="V121" s="215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</row>
    <row r="122">
      <c r="A122" s="208"/>
      <c r="B122" s="209"/>
      <c r="C122" s="184"/>
      <c r="D122" s="184"/>
      <c r="E122" s="184"/>
      <c r="F122" s="184"/>
      <c r="G122" s="184"/>
      <c r="H122" s="184"/>
      <c r="I122" s="184"/>
      <c r="J122" s="184"/>
      <c r="K122" s="184"/>
      <c r="L122" s="210"/>
      <c r="M122" s="211"/>
      <c r="N122" s="211"/>
      <c r="O122" s="212"/>
      <c r="P122" s="184"/>
      <c r="Q122" s="184"/>
      <c r="R122" s="184"/>
      <c r="S122" s="216"/>
      <c r="T122" s="216"/>
      <c r="U122" s="215"/>
      <c r="V122" s="215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</row>
    <row r="123">
      <c r="A123" s="208"/>
      <c r="B123" s="209"/>
      <c r="C123" s="184"/>
      <c r="D123" s="184"/>
      <c r="E123" s="184"/>
      <c r="F123" s="184"/>
      <c r="G123" s="184"/>
      <c r="H123" s="184"/>
      <c r="I123" s="184"/>
      <c r="J123" s="184"/>
      <c r="K123" s="184"/>
      <c r="L123" s="210"/>
      <c r="M123" s="211"/>
      <c r="N123" s="211"/>
      <c r="O123" s="212"/>
      <c r="P123" s="184"/>
      <c r="Q123" s="184"/>
      <c r="R123" s="184"/>
      <c r="S123" s="216"/>
      <c r="T123" s="216"/>
      <c r="U123" s="215"/>
      <c r="V123" s="215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</row>
    <row r="124">
      <c r="A124" s="208"/>
      <c r="B124" s="209"/>
      <c r="C124" s="184"/>
      <c r="D124" s="184"/>
      <c r="E124" s="184"/>
      <c r="F124" s="184"/>
      <c r="G124" s="184"/>
      <c r="H124" s="184"/>
      <c r="I124" s="184"/>
      <c r="J124" s="184"/>
      <c r="K124" s="184"/>
      <c r="L124" s="210"/>
      <c r="M124" s="211"/>
      <c r="N124" s="211"/>
      <c r="O124" s="212"/>
      <c r="P124" s="184"/>
      <c r="Q124" s="184"/>
      <c r="R124" s="184"/>
      <c r="S124" s="216"/>
      <c r="T124" s="216"/>
      <c r="U124" s="215"/>
      <c r="V124" s="215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</row>
    <row r="125">
      <c r="A125" s="208"/>
      <c r="B125" s="209"/>
      <c r="C125" s="184"/>
      <c r="D125" s="184"/>
      <c r="E125" s="184"/>
      <c r="F125" s="184"/>
      <c r="G125" s="184"/>
      <c r="H125" s="184"/>
      <c r="I125" s="184"/>
      <c r="J125" s="184"/>
      <c r="K125" s="184"/>
      <c r="L125" s="210"/>
      <c r="M125" s="211"/>
      <c r="N125" s="211"/>
      <c r="O125" s="212"/>
      <c r="P125" s="184"/>
      <c r="Q125" s="184"/>
      <c r="R125" s="184"/>
      <c r="S125" s="216"/>
      <c r="T125" s="216"/>
      <c r="U125" s="215"/>
      <c r="V125" s="215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</row>
    <row r="126">
      <c r="A126" s="208"/>
      <c r="B126" s="209"/>
      <c r="C126" s="184"/>
      <c r="D126" s="184"/>
      <c r="E126" s="184"/>
      <c r="F126" s="184"/>
      <c r="G126" s="184"/>
      <c r="H126" s="184"/>
      <c r="I126" s="184"/>
      <c r="J126" s="184"/>
      <c r="K126" s="184"/>
      <c r="L126" s="210"/>
      <c r="M126" s="211"/>
      <c r="N126" s="211"/>
      <c r="O126" s="212"/>
      <c r="P126" s="184"/>
      <c r="Q126" s="184"/>
      <c r="R126" s="184"/>
      <c r="S126" s="216"/>
      <c r="T126" s="216"/>
      <c r="U126" s="215"/>
      <c r="V126" s="215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</row>
    <row r="127">
      <c r="A127" s="208"/>
      <c r="B127" s="209"/>
      <c r="C127" s="184"/>
      <c r="D127" s="184"/>
      <c r="E127" s="184"/>
      <c r="F127" s="184"/>
      <c r="G127" s="184"/>
      <c r="H127" s="184"/>
      <c r="I127" s="184"/>
      <c r="J127" s="184"/>
      <c r="K127" s="184"/>
      <c r="L127" s="210"/>
      <c r="M127" s="211"/>
      <c r="N127" s="211"/>
      <c r="O127" s="212"/>
      <c r="P127" s="184"/>
      <c r="Q127" s="184"/>
      <c r="R127" s="184"/>
      <c r="S127" s="216"/>
      <c r="T127" s="216"/>
      <c r="U127" s="215"/>
      <c r="V127" s="215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</row>
    <row r="128">
      <c r="A128" s="208"/>
      <c r="B128" s="209"/>
      <c r="C128" s="184"/>
      <c r="D128" s="184"/>
      <c r="E128" s="184"/>
      <c r="F128" s="184"/>
      <c r="G128" s="184"/>
      <c r="H128" s="184"/>
      <c r="I128" s="184"/>
      <c r="J128" s="184"/>
      <c r="K128" s="184"/>
      <c r="L128" s="210"/>
      <c r="M128" s="211"/>
      <c r="N128" s="211"/>
      <c r="O128" s="212"/>
      <c r="P128" s="184"/>
      <c r="Q128" s="184"/>
      <c r="R128" s="184"/>
      <c r="S128" s="216"/>
      <c r="T128" s="216"/>
      <c r="U128" s="215"/>
      <c r="V128" s="215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</row>
    <row r="129">
      <c r="A129" s="208"/>
      <c r="B129" s="209"/>
      <c r="C129" s="184"/>
      <c r="D129" s="184"/>
      <c r="E129" s="184"/>
      <c r="F129" s="184"/>
      <c r="G129" s="184"/>
      <c r="H129" s="184"/>
      <c r="I129" s="184"/>
      <c r="J129" s="184"/>
      <c r="K129" s="184"/>
      <c r="L129" s="210"/>
      <c r="M129" s="211"/>
      <c r="N129" s="211"/>
      <c r="O129" s="212"/>
      <c r="P129" s="184"/>
      <c r="Q129" s="184"/>
      <c r="R129" s="184"/>
      <c r="S129" s="216"/>
      <c r="T129" s="216"/>
      <c r="U129" s="215"/>
      <c r="V129" s="215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</row>
    <row r="130">
      <c r="A130" s="217"/>
      <c r="B130" s="218"/>
      <c r="C130" s="219"/>
      <c r="D130" s="220"/>
      <c r="E130" s="221"/>
      <c r="F130" s="222"/>
      <c r="G130" s="223"/>
      <c r="H130" s="224"/>
      <c r="I130" s="19"/>
      <c r="J130" s="19"/>
      <c r="K130" s="19"/>
      <c r="L130" s="225"/>
      <c r="M130" s="226"/>
      <c r="N130" s="226"/>
      <c r="O130" s="227"/>
      <c r="P130" s="19"/>
      <c r="Q130" s="19"/>
      <c r="R130" s="19"/>
      <c r="S130" s="228"/>
      <c r="T130" s="228"/>
      <c r="U130" s="229"/>
      <c r="V130" s="22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>
      <c r="A131" s="217"/>
      <c r="B131" s="218"/>
      <c r="C131" s="219"/>
      <c r="D131" s="220"/>
      <c r="E131" s="221"/>
      <c r="F131" s="222"/>
      <c r="G131" s="223"/>
      <c r="H131" s="224"/>
      <c r="I131" s="19"/>
      <c r="J131" s="19"/>
      <c r="K131" s="19"/>
      <c r="L131" s="225"/>
      <c r="M131" s="226"/>
      <c r="N131" s="226"/>
      <c r="O131" s="227"/>
      <c r="P131" s="19"/>
      <c r="Q131" s="19"/>
      <c r="R131" s="19"/>
      <c r="S131" s="228"/>
      <c r="T131" s="228"/>
      <c r="U131" s="229"/>
      <c r="V131" s="22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>
      <c r="A132" s="217"/>
      <c r="B132" s="218"/>
      <c r="C132" s="219"/>
      <c r="D132" s="220"/>
      <c r="E132" s="221"/>
      <c r="F132" s="222"/>
      <c r="G132" s="223"/>
      <c r="H132" s="224"/>
      <c r="I132" s="19"/>
      <c r="J132" s="19"/>
      <c r="K132" s="19"/>
      <c r="L132" s="225"/>
      <c r="M132" s="226"/>
      <c r="N132" s="226"/>
      <c r="O132" s="227"/>
      <c r="P132" s="19"/>
      <c r="Q132" s="19"/>
      <c r="R132" s="19"/>
      <c r="S132" s="228"/>
      <c r="T132" s="228"/>
      <c r="U132" s="229"/>
      <c r="V132" s="22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>
      <c r="A133" s="217"/>
      <c r="B133" s="218"/>
      <c r="C133" s="219"/>
      <c r="D133" s="220"/>
      <c r="E133" s="221"/>
      <c r="F133" s="222"/>
      <c r="G133" s="223"/>
      <c r="H133" s="224"/>
      <c r="I133" s="19"/>
      <c r="J133" s="19"/>
      <c r="K133" s="19"/>
      <c r="L133" s="225"/>
      <c r="M133" s="226"/>
      <c r="N133" s="226"/>
      <c r="O133" s="227"/>
      <c r="P133" s="19"/>
      <c r="Q133" s="19"/>
      <c r="R133" s="19"/>
      <c r="S133" s="228"/>
      <c r="T133" s="228"/>
      <c r="U133" s="229"/>
      <c r="V133" s="22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>
      <c r="A134" s="217"/>
      <c r="B134" s="218"/>
      <c r="C134" s="219"/>
      <c r="D134" s="220"/>
      <c r="E134" s="221"/>
      <c r="F134" s="222"/>
      <c r="G134" s="223"/>
      <c r="H134" s="224"/>
      <c r="I134" s="19"/>
      <c r="J134" s="19"/>
      <c r="K134" s="19"/>
      <c r="L134" s="225"/>
      <c r="M134" s="226"/>
      <c r="N134" s="226"/>
      <c r="O134" s="227"/>
      <c r="P134" s="19"/>
      <c r="Q134" s="19"/>
      <c r="R134" s="19"/>
      <c r="S134" s="228"/>
      <c r="T134" s="228"/>
      <c r="U134" s="229"/>
      <c r="V134" s="22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>
      <c r="A135" s="217"/>
      <c r="B135" s="218"/>
      <c r="C135" s="219"/>
      <c r="D135" s="220"/>
      <c r="E135" s="221"/>
      <c r="F135" s="222"/>
      <c r="G135" s="223"/>
      <c r="H135" s="224"/>
      <c r="I135" s="19"/>
      <c r="J135" s="19"/>
      <c r="K135" s="19"/>
      <c r="L135" s="225"/>
      <c r="M135" s="226"/>
      <c r="N135" s="226"/>
      <c r="O135" s="227"/>
      <c r="P135" s="19"/>
      <c r="Q135" s="19"/>
      <c r="R135" s="19"/>
      <c r="S135" s="228"/>
      <c r="T135" s="228"/>
      <c r="U135" s="229"/>
      <c r="V135" s="22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>
      <c r="A136" s="217"/>
      <c r="B136" s="218"/>
      <c r="C136" s="219"/>
      <c r="D136" s="220"/>
      <c r="E136" s="221"/>
      <c r="F136" s="222"/>
      <c r="G136" s="223"/>
      <c r="H136" s="224"/>
      <c r="I136" s="19"/>
      <c r="J136" s="19"/>
      <c r="K136" s="19"/>
      <c r="L136" s="225"/>
      <c r="M136" s="226"/>
      <c r="N136" s="226"/>
      <c r="O136" s="227"/>
      <c r="P136" s="19"/>
      <c r="Q136" s="19"/>
      <c r="R136" s="19"/>
      <c r="S136" s="228"/>
      <c r="T136" s="228"/>
      <c r="U136" s="229"/>
      <c r="V136" s="22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>
      <c r="A137" s="217"/>
      <c r="B137" s="218"/>
      <c r="C137" s="219"/>
      <c r="D137" s="220"/>
      <c r="E137" s="221"/>
      <c r="F137" s="222"/>
      <c r="G137" s="223"/>
      <c r="H137" s="224"/>
      <c r="I137" s="19"/>
      <c r="J137" s="19"/>
      <c r="K137" s="19"/>
      <c r="L137" s="225"/>
      <c r="M137" s="226"/>
      <c r="N137" s="226"/>
      <c r="O137" s="227"/>
      <c r="P137" s="19"/>
      <c r="Q137" s="19"/>
      <c r="R137" s="19"/>
      <c r="S137" s="228"/>
      <c r="T137" s="228"/>
      <c r="U137" s="229"/>
      <c r="V137" s="22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>
      <c r="A138" s="217"/>
      <c r="B138" s="218"/>
      <c r="C138" s="219"/>
      <c r="D138" s="220"/>
      <c r="E138" s="221"/>
      <c r="F138" s="222"/>
      <c r="G138" s="223"/>
      <c r="H138" s="224"/>
      <c r="I138" s="19"/>
      <c r="J138" s="19"/>
      <c r="K138" s="19"/>
      <c r="L138" s="225"/>
      <c r="M138" s="226"/>
      <c r="N138" s="226"/>
      <c r="O138" s="227"/>
      <c r="P138" s="19"/>
      <c r="Q138" s="19"/>
      <c r="R138" s="19"/>
      <c r="S138" s="228"/>
      <c r="T138" s="228"/>
      <c r="U138" s="229"/>
      <c r="V138" s="22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>
      <c r="A139" s="217"/>
      <c r="B139" s="218"/>
      <c r="C139" s="219"/>
      <c r="D139" s="220"/>
      <c r="E139" s="221"/>
      <c r="F139" s="222"/>
      <c r="G139" s="223"/>
      <c r="H139" s="224"/>
      <c r="I139" s="19"/>
      <c r="J139" s="19"/>
      <c r="K139" s="19"/>
      <c r="L139" s="225"/>
      <c r="M139" s="226"/>
      <c r="N139" s="226"/>
      <c r="O139" s="227"/>
      <c r="P139" s="19"/>
      <c r="Q139" s="19"/>
      <c r="R139" s="19"/>
      <c r="S139" s="228"/>
      <c r="T139" s="228"/>
      <c r="U139" s="229"/>
      <c r="V139" s="22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>
      <c r="A140" s="217"/>
      <c r="B140" s="218"/>
      <c r="C140" s="219"/>
      <c r="D140" s="220"/>
      <c r="E140" s="221"/>
      <c r="F140" s="222"/>
      <c r="G140" s="223"/>
      <c r="H140" s="224"/>
      <c r="I140" s="19"/>
      <c r="J140" s="19"/>
      <c r="K140" s="19"/>
      <c r="L140" s="225"/>
      <c r="M140" s="226"/>
      <c r="N140" s="226"/>
      <c r="O140" s="227"/>
      <c r="P140" s="19"/>
      <c r="Q140" s="19"/>
      <c r="R140" s="19"/>
      <c r="S140" s="228"/>
      <c r="T140" s="228"/>
      <c r="U140" s="229"/>
      <c r="V140" s="22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>
      <c r="A141" s="217"/>
      <c r="B141" s="218"/>
      <c r="C141" s="219"/>
      <c r="D141" s="220"/>
      <c r="E141" s="221"/>
      <c r="F141" s="222"/>
      <c r="G141" s="223"/>
      <c r="H141" s="224"/>
      <c r="I141" s="19"/>
      <c r="J141" s="19"/>
      <c r="K141" s="19"/>
      <c r="L141" s="225"/>
      <c r="M141" s="226"/>
      <c r="N141" s="226"/>
      <c r="O141" s="227"/>
      <c r="P141" s="19"/>
      <c r="Q141" s="19"/>
      <c r="R141" s="19"/>
      <c r="S141" s="228"/>
      <c r="T141" s="228"/>
      <c r="U141" s="229"/>
      <c r="V141" s="22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>
      <c r="A142" s="217"/>
      <c r="B142" s="218"/>
      <c r="C142" s="219"/>
      <c r="D142" s="220"/>
      <c r="E142" s="221"/>
      <c r="F142" s="222"/>
      <c r="G142" s="223"/>
      <c r="H142" s="224"/>
      <c r="I142" s="19"/>
      <c r="J142" s="19"/>
      <c r="K142" s="19"/>
      <c r="L142" s="225"/>
      <c r="M142" s="226"/>
      <c r="N142" s="226"/>
      <c r="O142" s="227"/>
      <c r="P142" s="19"/>
      <c r="Q142" s="19"/>
      <c r="R142" s="19"/>
      <c r="S142" s="228"/>
      <c r="T142" s="228"/>
      <c r="U142" s="229"/>
      <c r="V142" s="22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>
      <c r="A143" s="217"/>
      <c r="B143" s="218"/>
      <c r="C143" s="219"/>
      <c r="D143" s="220"/>
      <c r="E143" s="221"/>
      <c r="F143" s="222"/>
      <c r="G143" s="223"/>
      <c r="H143" s="224"/>
      <c r="I143" s="19"/>
      <c r="J143" s="19"/>
      <c r="K143" s="19"/>
      <c r="L143" s="225"/>
      <c r="M143" s="226"/>
      <c r="N143" s="226"/>
      <c r="O143" s="227"/>
      <c r="P143" s="19"/>
      <c r="Q143" s="19"/>
      <c r="R143" s="19"/>
      <c r="S143" s="228"/>
      <c r="T143" s="228"/>
      <c r="U143" s="229"/>
      <c r="V143" s="22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>
      <c r="A144" s="217"/>
      <c r="B144" s="218"/>
      <c r="C144" s="219"/>
      <c r="D144" s="220"/>
      <c r="E144" s="221"/>
      <c r="F144" s="222"/>
      <c r="G144" s="223"/>
      <c r="H144" s="224"/>
      <c r="I144" s="19"/>
      <c r="J144" s="19"/>
      <c r="K144" s="19"/>
      <c r="L144" s="225"/>
      <c r="M144" s="226"/>
      <c r="N144" s="226"/>
      <c r="O144" s="227"/>
      <c r="P144" s="19"/>
      <c r="Q144" s="19"/>
      <c r="R144" s="19"/>
      <c r="S144" s="228"/>
      <c r="T144" s="228"/>
      <c r="U144" s="229"/>
      <c r="V144" s="22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>
      <c r="A145" s="217"/>
      <c r="B145" s="218"/>
      <c r="C145" s="219"/>
      <c r="D145" s="220"/>
      <c r="E145" s="221"/>
      <c r="F145" s="222"/>
      <c r="G145" s="223"/>
      <c r="H145" s="224"/>
      <c r="I145" s="19"/>
      <c r="J145" s="19"/>
      <c r="K145" s="19"/>
      <c r="L145" s="225"/>
      <c r="M145" s="226"/>
      <c r="N145" s="226"/>
      <c r="O145" s="227"/>
      <c r="P145" s="19"/>
      <c r="Q145" s="19"/>
      <c r="R145" s="19"/>
      <c r="S145" s="228"/>
      <c r="T145" s="228"/>
      <c r="U145" s="229"/>
      <c r="V145" s="22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>
      <c r="A146" s="217"/>
      <c r="B146" s="218"/>
      <c r="C146" s="219"/>
      <c r="D146" s="220"/>
      <c r="E146" s="221"/>
      <c r="F146" s="222"/>
      <c r="G146" s="223"/>
      <c r="H146" s="224"/>
      <c r="I146" s="19"/>
      <c r="J146" s="19"/>
      <c r="K146" s="19"/>
      <c r="L146" s="225"/>
      <c r="M146" s="226"/>
      <c r="N146" s="226"/>
      <c r="O146" s="227"/>
      <c r="P146" s="19"/>
      <c r="Q146" s="19"/>
      <c r="R146" s="19"/>
      <c r="S146" s="228"/>
      <c r="T146" s="228"/>
      <c r="U146" s="229"/>
      <c r="V146" s="22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>
      <c r="A147" s="217"/>
      <c r="B147" s="218"/>
      <c r="C147" s="219"/>
      <c r="D147" s="220"/>
      <c r="E147" s="221"/>
      <c r="F147" s="222"/>
      <c r="G147" s="223"/>
      <c r="H147" s="224"/>
      <c r="I147" s="19"/>
      <c r="J147" s="19"/>
      <c r="K147" s="19"/>
      <c r="L147" s="225"/>
      <c r="M147" s="226"/>
      <c r="N147" s="226"/>
      <c r="O147" s="227"/>
      <c r="P147" s="19"/>
      <c r="Q147" s="19"/>
      <c r="R147" s="19"/>
      <c r="S147" s="228"/>
      <c r="T147" s="228"/>
      <c r="U147" s="229"/>
      <c r="V147" s="22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>
      <c r="A148" s="217"/>
      <c r="B148" s="218"/>
      <c r="C148" s="219"/>
      <c r="D148" s="220"/>
      <c r="E148" s="221"/>
      <c r="F148" s="222"/>
      <c r="G148" s="223"/>
      <c r="H148" s="224"/>
      <c r="I148" s="19"/>
      <c r="J148" s="19"/>
      <c r="K148" s="19"/>
      <c r="L148" s="225"/>
      <c r="M148" s="226"/>
      <c r="N148" s="226"/>
      <c r="O148" s="227"/>
      <c r="P148" s="19"/>
      <c r="Q148" s="19"/>
      <c r="R148" s="19"/>
      <c r="S148" s="228"/>
      <c r="T148" s="228"/>
      <c r="U148" s="229"/>
      <c r="V148" s="22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>
      <c r="A149" s="217"/>
      <c r="B149" s="218"/>
      <c r="C149" s="219"/>
      <c r="D149" s="220"/>
      <c r="E149" s="221"/>
      <c r="F149" s="222"/>
      <c r="G149" s="223"/>
      <c r="H149" s="224"/>
      <c r="I149" s="19"/>
      <c r="J149" s="19"/>
      <c r="K149" s="19"/>
      <c r="L149" s="225"/>
      <c r="M149" s="226"/>
      <c r="N149" s="226"/>
      <c r="O149" s="227"/>
      <c r="P149" s="19"/>
      <c r="Q149" s="19"/>
      <c r="R149" s="19"/>
      <c r="S149" s="228"/>
      <c r="T149" s="228"/>
      <c r="U149" s="229"/>
      <c r="V149" s="22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>
      <c r="A150" s="217"/>
      <c r="B150" s="218"/>
      <c r="C150" s="219"/>
      <c r="D150" s="220"/>
      <c r="E150" s="221"/>
      <c r="F150" s="222"/>
      <c r="G150" s="223"/>
      <c r="H150" s="224"/>
      <c r="I150" s="19"/>
      <c r="J150" s="19"/>
      <c r="K150" s="19"/>
      <c r="L150" s="225"/>
      <c r="M150" s="226"/>
      <c r="N150" s="226"/>
      <c r="O150" s="227"/>
      <c r="P150" s="19"/>
      <c r="Q150" s="19"/>
      <c r="R150" s="19"/>
      <c r="S150" s="228"/>
      <c r="T150" s="228"/>
      <c r="U150" s="229"/>
      <c r="V150" s="22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>
      <c r="A151" s="217"/>
      <c r="B151" s="218"/>
      <c r="C151" s="219"/>
      <c r="D151" s="220"/>
      <c r="E151" s="221"/>
      <c r="F151" s="222"/>
      <c r="G151" s="223"/>
      <c r="H151" s="224"/>
      <c r="I151" s="19"/>
      <c r="J151" s="19"/>
      <c r="K151" s="19"/>
      <c r="L151" s="225"/>
      <c r="M151" s="226"/>
      <c r="N151" s="226"/>
      <c r="O151" s="227"/>
      <c r="P151" s="19"/>
      <c r="Q151" s="19"/>
      <c r="R151" s="19"/>
      <c r="S151" s="228"/>
      <c r="T151" s="228"/>
      <c r="U151" s="229"/>
      <c r="V151" s="22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>
      <c r="A152" s="217"/>
      <c r="B152" s="218"/>
      <c r="C152" s="219"/>
      <c r="D152" s="220"/>
      <c r="E152" s="221"/>
      <c r="F152" s="222"/>
      <c r="G152" s="223"/>
      <c r="H152" s="224"/>
      <c r="I152" s="19"/>
      <c r="J152" s="19"/>
      <c r="K152" s="19"/>
      <c r="L152" s="225"/>
      <c r="M152" s="226"/>
      <c r="N152" s="226"/>
      <c r="O152" s="227"/>
      <c r="P152" s="19"/>
      <c r="Q152" s="19"/>
      <c r="R152" s="19"/>
      <c r="S152" s="228"/>
      <c r="T152" s="228"/>
      <c r="U152" s="229"/>
      <c r="V152" s="22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>
      <c r="A153" s="217"/>
      <c r="B153" s="218"/>
      <c r="C153" s="219"/>
      <c r="D153" s="220"/>
      <c r="E153" s="221"/>
      <c r="F153" s="222"/>
      <c r="G153" s="223"/>
      <c r="H153" s="224"/>
      <c r="I153" s="19"/>
      <c r="J153" s="19"/>
      <c r="K153" s="19"/>
      <c r="L153" s="225"/>
      <c r="M153" s="226"/>
      <c r="N153" s="226"/>
      <c r="O153" s="227"/>
      <c r="P153" s="19"/>
      <c r="Q153" s="19"/>
      <c r="R153" s="19"/>
      <c r="S153" s="228"/>
      <c r="T153" s="228"/>
      <c r="U153" s="229"/>
      <c r="V153" s="22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>
      <c r="A154" s="217"/>
      <c r="B154" s="218"/>
      <c r="C154" s="219"/>
      <c r="D154" s="220"/>
      <c r="E154" s="221"/>
      <c r="F154" s="222"/>
      <c r="G154" s="223"/>
      <c r="H154" s="224"/>
      <c r="I154" s="19"/>
      <c r="J154" s="19"/>
      <c r="K154" s="19"/>
      <c r="L154" s="225"/>
      <c r="M154" s="226"/>
      <c r="N154" s="226"/>
      <c r="O154" s="227"/>
      <c r="P154" s="19"/>
      <c r="Q154" s="19"/>
      <c r="R154" s="19"/>
      <c r="S154" s="228"/>
      <c r="T154" s="228"/>
      <c r="U154" s="229"/>
      <c r="V154" s="22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>
      <c r="A155" s="217"/>
      <c r="B155" s="218"/>
      <c r="C155" s="219"/>
      <c r="D155" s="220"/>
      <c r="E155" s="221"/>
      <c r="F155" s="222"/>
      <c r="G155" s="223"/>
      <c r="H155" s="224"/>
      <c r="I155" s="19"/>
      <c r="J155" s="19"/>
      <c r="K155" s="19"/>
      <c r="L155" s="225"/>
      <c r="M155" s="226"/>
      <c r="N155" s="226"/>
      <c r="O155" s="227"/>
      <c r="P155" s="19"/>
      <c r="Q155" s="19"/>
      <c r="R155" s="19"/>
      <c r="S155" s="228"/>
      <c r="T155" s="228"/>
      <c r="U155" s="229"/>
      <c r="V155" s="22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>
      <c r="A156" s="217"/>
      <c r="B156" s="218"/>
      <c r="C156" s="219"/>
      <c r="D156" s="220"/>
      <c r="E156" s="221"/>
      <c r="F156" s="222"/>
      <c r="G156" s="223"/>
      <c r="H156" s="224"/>
      <c r="I156" s="19"/>
      <c r="J156" s="19"/>
      <c r="K156" s="19"/>
      <c r="L156" s="225"/>
      <c r="M156" s="226"/>
      <c r="N156" s="226"/>
      <c r="O156" s="227"/>
      <c r="P156" s="19"/>
      <c r="Q156" s="19"/>
      <c r="R156" s="19"/>
      <c r="S156" s="228"/>
      <c r="T156" s="228"/>
      <c r="U156" s="229"/>
      <c r="V156" s="22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>
      <c r="A157" s="217"/>
      <c r="B157" s="218"/>
      <c r="C157" s="219"/>
      <c r="D157" s="220"/>
      <c r="E157" s="221"/>
      <c r="F157" s="222"/>
      <c r="G157" s="223"/>
      <c r="H157" s="224"/>
      <c r="I157" s="19"/>
      <c r="J157" s="19"/>
      <c r="K157" s="19"/>
      <c r="L157" s="225"/>
      <c r="M157" s="226"/>
      <c r="N157" s="226"/>
      <c r="O157" s="227"/>
      <c r="P157" s="19"/>
      <c r="Q157" s="19"/>
      <c r="R157" s="19"/>
      <c r="S157" s="228"/>
      <c r="T157" s="228"/>
      <c r="U157" s="229"/>
      <c r="V157" s="22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>
      <c r="A158" s="217"/>
      <c r="B158" s="218"/>
      <c r="C158" s="219"/>
      <c r="D158" s="220"/>
      <c r="E158" s="221"/>
      <c r="F158" s="222"/>
      <c r="G158" s="223"/>
      <c r="H158" s="224"/>
      <c r="I158" s="19"/>
      <c r="J158" s="19"/>
      <c r="K158" s="19"/>
      <c r="L158" s="225"/>
      <c r="M158" s="226"/>
      <c r="N158" s="226"/>
      <c r="O158" s="227"/>
      <c r="P158" s="19"/>
      <c r="Q158" s="19"/>
      <c r="R158" s="19"/>
      <c r="S158" s="228"/>
      <c r="T158" s="228"/>
      <c r="U158" s="229"/>
      <c r="V158" s="22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>
      <c r="A159" s="217"/>
      <c r="B159" s="218"/>
      <c r="C159" s="219"/>
      <c r="D159" s="220"/>
      <c r="E159" s="221"/>
      <c r="F159" s="222"/>
      <c r="G159" s="223"/>
      <c r="H159" s="224"/>
      <c r="I159" s="19"/>
      <c r="J159" s="19"/>
      <c r="K159" s="19"/>
      <c r="L159" s="225"/>
      <c r="M159" s="226"/>
      <c r="N159" s="226"/>
      <c r="O159" s="227"/>
      <c r="P159" s="19"/>
      <c r="Q159" s="19"/>
      <c r="R159" s="19"/>
      <c r="S159" s="228"/>
      <c r="T159" s="228"/>
      <c r="U159" s="229"/>
      <c r="V159" s="22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>
      <c r="A160" s="217"/>
      <c r="B160" s="218"/>
      <c r="C160" s="219"/>
      <c r="D160" s="220"/>
      <c r="E160" s="221"/>
      <c r="F160" s="222"/>
      <c r="G160" s="223"/>
      <c r="H160" s="224"/>
      <c r="I160" s="19"/>
      <c r="J160" s="19"/>
      <c r="K160" s="19"/>
      <c r="L160" s="225"/>
      <c r="M160" s="226"/>
      <c r="N160" s="226"/>
      <c r="O160" s="227"/>
      <c r="P160" s="19"/>
      <c r="Q160" s="19"/>
      <c r="R160" s="19"/>
      <c r="S160" s="228"/>
      <c r="T160" s="228"/>
      <c r="U160" s="229"/>
      <c r="V160" s="22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>
      <c r="A161" s="217"/>
      <c r="B161" s="218"/>
      <c r="C161" s="219"/>
      <c r="D161" s="220"/>
      <c r="E161" s="221"/>
      <c r="F161" s="222"/>
      <c r="G161" s="223"/>
      <c r="H161" s="224"/>
      <c r="I161" s="19"/>
      <c r="J161" s="19"/>
      <c r="K161" s="19"/>
      <c r="L161" s="225"/>
      <c r="M161" s="226"/>
      <c r="N161" s="226"/>
      <c r="O161" s="227"/>
      <c r="P161" s="19"/>
      <c r="Q161" s="19"/>
      <c r="R161" s="19"/>
      <c r="S161" s="228"/>
      <c r="T161" s="228"/>
      <c r="U161" s="229"/>
      <c r="V161" s="22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>
      <c r="A162" s="217"/>
      <c r="B162" s="218"/>
      <c r="C162" s="219"/>
      <c r="D162" s="220"/>
      <c r="E162" s="221"/>
      <c r="F162" s="222"/>
      <c r="G162" s="223"/>
      <c r="H162" s="224"/>
      <c r="I162" s="19"/>
      <c r="J162" s="19"/>
      <c r="K162" s="19"/>
      <c r="L162" s="225"/>
      <c r="M162" s="226"/>
      <c r="N162" s="226"/>
      <c r="O162" s="227"/>
      <c r="P162" s="19"/>
      <c r="Q162" s="19"/>
      <c r="R162" s="19"/>
      <c r="S162" s="228"/>
      <c r="T162" s="228"/>
      <c r="U162" s="229"/>
      <c r="V162" s="22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>
      <c r="A163" s="217"/>
      <c r="B163" s="218"/>
      <c r="C163" s="219"/>
      <c r="D163" s="220"/>
      <c r="E163" s="221"/>
      <c r="F163" s="222"/>
      <c r="G163" s="223"/>
      <c r="H163" s="224"/>
      <c r="I163" s="19"/>
      <c r="J163" s="19"/>
      <c r="K163" s="19"/>
      <c r="L163" s="225"/>
      <c r="M163" s="226"/>
      <c r="N163" s="226"/>
      <c r="O163" s="227"/>
      <c r="P163" s="19"/>
      <c r="Q163" s="19"/>
      <c r="R163" s="19"/>
      <c r="S163" s="228"/>
      <c r="T163" s="228"/>
      <c r="U163" s="229"/>
      <c r="V163" s="22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>
      <c r="A164" s="217"/>
      <c r="B164" s="218"/>
      <c r="C164" s="219"/>
      <c r="D164" s="220"/>
      <c r="E164" s="221"/>
      <c r="F164" s="222"/>
      <c r="G164" s="223"/>
      <c r="H164" s="224"/>
      <c r="I164" s="19"/>
      <c r="J164" s="19"/>
      <c r="K164" s="19"/>
      <c r="L164" s="225"/>
      <c r="M164" s="226"/>
      <c r="N164" s="226"/>
      <c r="O164" s="227"/>
      <c r="P164" s="19"/>
      <c r="Q164" s="19"/>
      <c r="R164" s="19"/>
      <c r="S164" s="228"/>
      <c r="T164" s="228"/>
      <c r="U164" s="229"/>
      <c r="V164" s="22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>
      <c r="A165" s="217"/>
      <c r="B165" s="218"/>
      <c r="C165" s="219"/>
      <c r="D165" s="220"/>
      <c r="E165" s="221"/>
      <c r="F165" s="222"/>
      <c r="G165" s="223"/>
      <c r="H165" s="224"/>
      <c r="I165" s="19"/>
      <c r="J165" s="19"/>
      <c r="K165" s="19"/>
      <c r="L165" s="225"/>
      <c r="M165" s="226"/>
      <c r="N165" s="226"/>
      <c r="O165" s="227"/>
      <c r="P165" s="19"/>
      <c r="Q165" s="19"/>
      <c r="R165" s="19"/>
      <c r="S165" s="228"/>
      <c r="T165" s="228"/>
      <c r="U165" s="229"/>
      <c r="V165" s="22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>
      <c r="A166" s="217"/>
      <c r="B166" s="218"/>
      <c r="C166" s="219"/>
      <c r="D166" s="220"/>
      <c r="E166" s="221"/>
      <c r="F166" s="222"/>
      <c r="G166" s="223"/>
      <c r="H166" s="224"/>
      <c r="I166" s="19"/>
      <c r="J166" s="19"/>
      <c r="K166" s="19"/>
      <c r="L166" s="225"/>
      <c r="M166" s="226"/>
      <c r="N166" s="226"/>
      <c r="O166" s="227"/>
      <c r="P166" s="19"/>
      <c r="Q166" s="19"/>
      <c r="R166" s="19"/>
      <c r="S166" s="228"/>
      <c r="T166" s="228"/>
      <c r="U166" s="229"/>
      <c r="V166" s="22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>
      <c r="A167" s="217"/>
      <c r="B167" s="218"/>
      <c r="C167" s="219"/>
      <c r="D167" s="220"/>
      <c r="E167" s="221"/>
      <c r="F167" s="222"/>
      <c r="G167" s="223"/>
      <c r="H167" s="224"/>
      <c r="I167" s="19"/>
      <c r="J167" s="19"/>
      <c r="K167" s="19"/>
      <c r="L167" s="225"/>
      <c r="M167" s="226"/>
      <c r="N167" s="226"/>
      <c r="O167" s="227"/>
      <c r="P167" s="19"/>
      <c r="Q167" s="19"/>
      <c r="R167" s="19"/>
      <c r="S167" s="228"/>
      <c r="T167" s="228"/>
      <c r="U167" s="229"/>
      <c r="V167" s="22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>
      <c r="A168" s="217"/>
      <c r="B168" s="218"/>
      <c r="C168" s="219"/>
      <c r="D168" s="220"/>
      <c r="E168" s="221"/>
      <c r="F168" s="222"/>
      <c r="G168" s="223"/>
      <c r="H168" s="224"/>
      <c r="I168" s="19"/>
      <c r="J168" s="19"/>
      <c r="K168" s="19"/>
      <c r="L168" s="225"/>
      <c r="M168" s="226"/>
      <c r="N168" s="226"/>
      <c r="O168" s="227"/>
      <c r="P168" s="19"/>
      <c r="Q168" s="19"/>
      <c r="R168" s="19"/>
      <c r="S168" s="228"/>
      <c r="T168" s="228"/>
      <c r="U168" s="229"/>
      <c r="V168" s="22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>
      <c r="A169" s="217"/>
      <c r="B169" s="218"/>
      <c r="C169" s="219"/>
      <c r="D169" s="220"/>
      <c r="E169" s="221"/>
      <c r="F169" s="222"/>
      <c r="G169" s="223"/>
      <c r="H169" s="224"/>
      <c r="I169" s="19"/>
      <c r="J169" s="19"/>
      <c r="K169" s="19"/>
      <c r="L169" s="225"/>
      <c r="M169" s="226"/>
      <c r="N169" s="226"/>
      <c r="O169" s="227"/>
      <c r="P169" s="19"/>
      <c r="Q169" s="19"/>
      <c r="R169" s="19"/>
      <c r="S169" s="228"/>
      <c r="T169" s="228"/>
      <c r="U169" s="229"/>
      <c r="V169" s="22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>
      <c r="A170" s="217"/>
      <c r="B170" s="218"/>
      <c r="C170" s="219"/>
      <c r="D170" s="220"/>
      <c r="E170" s="221"/>
      <c r="F170" s="222"/>
      <c r="G170" s="223"/>
      <c r="H170" s="224"/>
      <c r="I170" s="19"/>
      <c r="J170" s="19"/>
      <c r="K170" s="19"/>
      <c r="L170" s="225"/>
      <c r="M170" s="226"/>
      <c r="N170" s="226"/>
      <c r="O170" s="227"/>
      <c r="P170" s="19"/>
      <c r="Q170" s="19"/>
      <c r="R170" s="19"/>
      <c r="S170" s="228"/>
      <c r="T170" s="228"/>
      <c r="U170" s="229"/>
      <c r="V170" s="22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>
      <c r="A171" s="217"/>
      <c r="B171" s="218"/>
      <c r="C171" s="219"/>
      <c r="D171" s="220"/>
      <c r="E171" s="221"/>
      <c r="F171" s="222"/>
      <c r="G171" s="223"/>
      <c r="H171" s="224"/>
      <c r="I171" s="19"/>
      <c r="J171" s="19"/>
      <c r="K171" s="19"/>
      <c r="L171" s="225"/>
      <c r="M171" s="226"/>
      <c r="N171" s="226"/>
      <c r="O171" s="227"/>
      <c r="P171" s="19"/>
      <c r="Q171" s="19"/>
      <c r="R171" s="19"/>
      <c r="S171" s="228"/>
      <c r="T171" s="228"/>
      <c r="U171" s="229"/>
      <c r="V171" s="22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>
      <c r="A172" s="217"/>
      <c r="B172" s="218"/>
      <c r="C172" s="219"/>
      <c r="D172" s="220"/>
      <c r="E172" s="221"/>
      <c r="F172" s="222"/>
      <c r="G172" s="223"/>
      <c r="H172" s="224"/>
      <c r="I172" s="19"/>
      <c r="J172" s="19"/>
      <c r="K172" s="19"/>
      <c r="L172" s="225"/>
      <c r="M172" s="226"/>
      <c r="N172" s="226"/>
      <c r="O172" s="227"/>
      <c r="P172" s="19"/>
      <c r="Q172" s="19"/>
      <c r="R172" s="19"/>
      <c r="S172" s="228"/>
      <c r="T172" s="228"/>
      <c r="U172" s="229"/>
      <c r="V172" s="22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>
      <c r="A173" s="217"/>
      <c r="B173" s="218"/>
      <c r="C173" s="219"/>
      <c r="D173" s="220"/>
      <c r="E173" s="221"/>
      <c r="F173" s="222"/>
      <c r="G173" s="223"/>
      <c r="H173" s="224"/>
      <c r="I173" s="19"/>
      <c r="J173" s="19"/>
      <c r="K173" s="19"/>
      <c r="L173" s="225"/>
      <c r="M173" s="226"/>
      <c r="N173" s="226"/>
      <c r="O173" s="227"/>
      <c r="P173" s="19"/>
      <c r="Q173" s="19"/>
      <c r="R173" s="19"/>
      <c r="S173" s="228"/>
      <c r="T173" s="228"/>
      <c r="U173" s="229"/>
      <c r="V173" s="22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>
      <c r="A174" s="217"/>
      <c r="B174" s="218"/>
      <c r="C174" s="219"/>
      <c r="D174" s="220"/>
      <c r="E174" s="221"/>
      <c r="F174" s="222"/>
      <c r="G174" s="223"/>
      <c r="H174" s="224"/>
      <c r="I174" s="19"/>
      <c r="J174" s="19"/>
      <c r="K174" s="19"/>
      <c r="L174" s="225"/>
      <c r="M174" s="226"/>
      <c r="N174" s="226"/>
      <c r="O174" s="227"/>
      <c r="P174" s="19"/>
      <c r="Q174" s="19"/>
      <c r="R174" s="19"/>
      <c r="S174" s="228"/>
      <c r="T174" s="228"/>
      <c r="U174" s="229"/>
      <c r="V174" s="22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>
      <c r="A175" s="217"/>
      <c r="B175" s="218"/>
      <c r="C175" s="219"/>
      <c r="D175" s="220"/>
      <c r="E175" s="221"/>
      <c r="F175" s="222"/>
      <c r="G175" s="223"/>
      <c r="H175" s="224"/>
      <c r="I175" s="19"/>
      <c r="J175" s="19"/>
      <c r="K175" s="19"/>
      <c r="L175" s="225"/>
      <c r="M175" s="226"/>
      <c r="N175" s="226"/>
      <c r="O175" s="227"/>
      <c r="P175" s="19"/>
      <c r="Q175" s="19"/>
      <c r="R175" s="19"/>
      <c r="S175" s="228"/>
      <c r="T175" s="228"/>
      <c r="U175" s="229"/>
      <c r="V175" s="22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>
      <c r="A176" s="217"/>
      <c r="B176" s="218"/>
      <c r="C176" s="219"/>
      <c r="D176" s="220"/>
      <c r="E176" s="221"/>
      <c r="F176" s="222"/>
      <c r="G176" s="223"/>
      <c r="H176" s="224"/>
      <c r="I176" s="19"/>
      <c r="J176" s="19"/>
      <c r="K176" s="19"/>
      <c r="L176" s="225"/>
      <c r="M176" s="226"/>
      <c r="N176" s="226"/>
      <c r="O176" s="227"/>
      <c r="P176" s="19"/>
      <c r="Q176" s="19"/>
      <c r="R176" s="19"/>
      <c r="S176" s="228"/>
      <c r="T176" s="228"/>
      <c r="U176" s="229"/>
      <c r="V176" s="22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>
      <c r="A177" s="217"/>
      <c r="B177" s="218"/>
      <c r="C177" s="219"/>
      <c r="D177" s="220"/>
      <c r="E177" s="221"/>
      <c r="F177" s="222"/>
      <c r="G177" s="223"/>
      <c r="H177" s="224"/>
      <c r="I177" s="19"/>
      <c r="J177" s="19"/>
      <c r="K177" s="19"/>
      <c r="L177" s="225"/>
      <c r="M177" s="226"/>
      <c r="N177" s="226"/>
      <c r="O177" s="227"/>
      <c r="P177" s="19"/>
      <c r="Q177" s="19"/>
      <c r="R177" s="19"/>
      <c r="S177" s="228"/>
      <c r="T177" s="228"/>
      <c r="U177" s="229"/>
      <c r="V177" s="22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>
      <c r="A178" s="217"/>
      <c r="B178" s="218"/>
      <c r="C178" s="219"/>
      <c r="D178" s="220"/>
      <c r="E178" s="221"/>
      <c r="F178" s="222"/>
      <c r="G178" s="223"/>
      <c r="H178" s="224"/>
      <c r="I178" s="19"/>
      <c r="J178" s="19"/>
      <c r="K178" s="19"/>
      <c r="L178" s="225"/>
      <c r="M178" s="226"/>
      <c r="N178" s="226"/>
      <c r="O178" s="227"/>
      <c r="P178" s="19"/>
      <c r="Q178" s="19"/>
      <c r="R178" s="19"/>
      <c r="S178" s="228"/>
      <c r="T178" s="228"/>
      <c r="U178" s="229"/>
      <c r="V178" s="22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>
      <c r="A179" s="217"/>
      <c r="B179" s="218"/>
      <c r="C179" s="219"/>
      <c r="D179" s="220"/>
      <c r="E179" s="221"/>
      <c r="F179" s="222"/>
      <c r="G179" s="223"/>
      <c r="H179" s="224"/>
      <c r="I179" s="19"/>
      <c r="J179" s="19"/>
      <c r="K179" s="19"/>
      <c r="L179" s="225"/>
      <c r="M179" s="226"/>
      <c r="N179" s="226"/>
      <c r="O179" s="227"/>
      <c r="P179" s="19"/>
      <c r="Q179" s="19"/>
      <c r="R179" s="19"/>
      <c r="S179" s="228"/>
      <c r="T179" s="228"/>
      <c r="U179" s="229"/>
      <c r="V179" s="22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>
      <c r="A180" s="217"/>
      <c r="B180" s="218"/>
      <c r="C180" s="219"/>
      <c r="D180" s="220"/>
      <c r="E180" s="221"/>
      <c r="F180" s="222"/>
      <c r="G180" s="223"/>
      <c r="H180" s="224"/>
      <c r="I180" s="19"/>
      <c r="J180" s="19"/>
      <c r="K180" s="19"/>
      <c r="L180" s="225"/>
      <c r="M180" s="226"/>
      <c r="N180" s="226"/>
      <c r="O180" s="227"/>
      <c r="P180" s="19"/>
      <c r="Q180" s="19"/>
      <c r="R180" s="19"/>
      <c r="S180" s="228"/>
      <c r="T180" s="228"/>
      <c r="U180" s="229"/>
      <c r="V180" s="22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>
      <c r="A181" s="217"/>
      <c r="B181" s="218"/>
      <c r="C181" s="219"/>
      <c r="D181" s="220"/>
      <c r="E181" s="221"/>
      <c r="F181" s="222"/>
      <c r="G181" s="223"/>
      <c r="H181" s="224"/>
      <c r="I181" s="19"/>
      <c r="J181" s="19"/>
      <c r="K181" s="19"/>
      <c r="L181" s="225"/>
      <c r="M181" s="226"/>
      <c r="N181" s="226"/>
      <c r="O181" s="227"/>
      <c r="P181" s="19"/>
      <c r="Q181" s="19"/>
      <c r="R181" s="19"/>
      <c r="S181" s="228"/>
      <c r="T181" s="228"/>
      <c r="U181" s="229"/>
      <c r="V181" s="22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>
      <c r="A182" s="217"/>
      <c r="B182" s="218"/>
      <c r="C182" s="219"/>
      <c r="D182" s="220"/>
      <c r="E182" s="221"/>
      <c r="F182" s="222"/>
      <c r="G182" s="223"/>
      <c r="H182" s="224"/>
      <c r="I182" s="19"/>
      <c r="J182" s="19"/>
      <c r="K182" s="19"/>
      <c r="L182" s="225"/>
      <c r="M182" s="226"/>
      <c r="N182" s="226"/>
      <c r="O182" s="227"/>
      <c r="P182" s="19"/>
      <c r="Q182" s="19"/>
      <c r="R182" s="19"/>
      <c r="S182" s="228"/>
      <c r="T182" s="228"/>
      <c r="U182" s="229"/>
      <c r="V182" s="22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>
      <c r="A183" s="217"/>
      <c r="B183" s="218"/>
      <c r="C183" s="219"/>
      <c r="D183" s="220"/>
      <c r="E183" s="221"/>
      <c r="F183" s="222"/>
      <c r="G183" s="223"/>
      <c r="H183" s="224"/>
      <c r="I183" s="19"/>
      <c r="J183" s="19"/>
      <c r="K183" s="19"/>
      <c r="L183" s="225"/>
      <c r="M183" s="226"/>
      <c r="N183" s="226"/>
      <c r="O183" s="227"/>
      <c r="P183" s="19"/>
      <c r="Q183" s="19"/>
      <c r="R183" s="19"/>
      <c r="S183" s="228"/>
      <c r="T183" s="228"/>
      <c r="U183" s="229"/>
      <c r="V183" s="22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>
      <c r="A184" s="217"/>
      <c r="B184" s="218"/>
      <c r="C184" s="219"/>
      <c r="D184" s="220"/>
      <c r="E184" s="221"/>
      <c r="F184" s="222"/>
      <c r="G184" s="223"/>
      <c r="H184" s="224"/>
      <c r="I184" s="19"/>
      <c r="J184" s="19"/>
      <c r="K184" s="19"/>
      <c r="L184" s="225"/>
      <c r="M184" s="226"/>
      <c r="N184" s="226"/>
      <c r="O184" s="227"/>
      <c r="P184" s="19"/>
      <c r="Q184" s="19"/>
      <c r="R184" s="19"/>
      <c r="S184" s="228"/>
      <c r="T184" s="228"/>
      <c r="U184" s="229"/>
      <c r="V184" s="22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>
      <c r="A185" s="217"/>
      <c r="B185" s="218"/>
      <c r="C185" s="219"/>
      <c r="D185" s="220"/>
      <c r="E185" s="221"/>
      <c r="F185" s="222"/>
      <c r="G185" s="223"/>
      <c r="H185" s="224"/>
      <c r="I185" s="19"/>
      <c r="J185" s="19"/>
      <c r="K185" s="19"/>
      <c r="L185" s="225"/>
      <c r="M185" s="226"/>
      <c r="N185" s="226"/>
      <c r="O185" s="227"/>
      <c r="P185" s="19"/>
      <c r="Q185" s="19"/>
      <c r="R185" s="19"/>
      <c r="S185" s="228"/>
      <c r="T185" s="228"/>
      <c r="U185" s="229"/>
      <c r="V185" s="22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>
      <c r="A186" s="217"/>
      <c r="B186" s="218"/>
      <c r="C186" s="219"/>
      <c r="D186" s="220"/>
      <c r="E186" s="221"/>
      <c r="F186" s="222"/>
      <c r="G186" s="223"/>
      <c r="H186" s="224"/>
      <c r="I186" s="19"/>
      <c r="J186" s="19"/>
      <c r="K186" s="19"/>
      <c r="L186" s="225"/>
      <c r="M186" s="226"/>
      <c r="N186" s="226"/>
      <c r="O186" s="227"/>
      <c r="P186" s="19"/>
      <c r="Q186" s="19"/>
      <c r="R186" s="19"/>
      <c r="S186" s="228"/>
      <c r="T186" s="228"/>
      <c r="U186" s="229"/>
      <c r="V186" s="22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>
      <c r="A187" s="217"/>
      <c r="B187" s="218"/>
      <c r="C187" s="219"/>
      <c r="D187" s="220"/>
      <c r="E187" s="221"/>
      <c r="F187" s="222"/>
      <c r="G187" s="223"/>
      <c r="H187" s="224"/>
      <c r="I187" s="19"/>
      <c r="J187" s="19"/>
      <c r="K187" s="19"/>
      <c r="L187" s="225"/>
      <c r="M187" s="226"/>
      <c r="N187" s="226"/>
      <c r="O187" s="227"/>
      <c r="P187" s="19"/>
      <c r="Q187" s="19"/>
      <c r="R187" s="19"/>
      <c r="S187" s="228"/>
      <c r="T187" s="228"/>
      <c r="U187" s="229"/>
      <c r="V187" s="22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>
      <c r="A188" s="217"/>
      <c r="B188" s="218"/>
      <c r="C188" s="219"/>
      <c r="D188" s="220"/>
      <c r="E188" s="221"/>
      <c r="F188" s="222"/>
      <c r="G188" s="223"/>
      <c r="H188" s="224"/>
      <c r="I188" s="19"/>
      <c r="J188" s="19"/>
      <c r="K188" s="19"/>
      <c r="L188" s="225"/>
      <c r="M188" s="226"/>
      <c r="N188" s="226"/>
      <c r="O188" s="227"/>
      <c r="P188" s="19"/>
      <c r="Q188" s="19"/>
      <c r="R188" s="19"/>
      <c r="S188" s="228"/>
      <c r="T188" s="228"/>
      <c r="U188" s="229"/>
      <c r="V188" s="22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>
      <c r="A189" s="217"/>
      <c r="B189" s="218"/>
      <c r="C189" s="219"/>
      <c r="D189" s="220"/>
      <c r="E189" s="221"/>
      <c r="F189" s="222"/>
      <c r="G189" s="223"/>
      <c r="H189" s="224"/>
      <c r="I189" s="19"/>
      <c r="J189" s="19"/>
      <c r="K189" s="19"/>
      <c r="L189" s="225"/>
      <c r="M189" s="226"/>
      <c r="N189" s="226"/>
      <c r="O189" s="227"/>
      <c r="P189" s="19"/>
      <c r="Q189" s="19"/>
      <c r="R189" s="19"/>
      <c r="S189" s="228"/>
      <c r="T189" s="228"/>
      <c r="U189" s="229"/>
      <c r="V189" s="22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>
      <c r="A190" s="217"/>
      <c r="B190" s="218"/>
      <c r="C190" s="219"/>
      <c r="D190" s="220"/>
      <c r="E190" s="221"/>
      <c r="F190" s="222"/>
      <c r="G190" s="223"/>
      <c r="H190" s="224"/>
      <c r="I190" s="19"/>
      <c r="J190" s="19"/>
      <c r="K190" s="19"/>
      <c r="L190" s="225"/>
      <c r="M190" s="226"/>
      <c r="N190" s="226"/>
      <c r="O190" s="227"/>
      <c r="P190" s="19"/>
      <c r="Q190" s="19"/>
      <c r="R190" s="19"/>
      <c r="S190" s="228"/>
      <c r="T190" s="228"/>
      <c r="U190" s="229"/>
      <c r="V190" s="22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>
      <c r="A191" s="217"/>
      <c r="B191" s="218"/>
      <c r="C191" s="219"/>
      <c r="D191" s="220"/>
      <c r="E191" s="221"/>
      <c r="F191" s="222"/>
      <c r="G191" s="223"/>
      <c r="H191" s="224"/>
      <c r="I191" s="19"/>
      <c r="J191" s="19"/>
      <c r="K191" s="19"/>
      <c r="L191" s="225"/>
      <c r="M191" s="226"/>
      <c r="N191" s="226"/>
      <c r="O191" s="227"/>
      <c r="P191" s="19"/>
      <c r="Q191" s="19"/>
      <c r="R191" s="19"/>
      <c r="S191" s="228"/>
      <c r="T191" s="228"/>
      <c r="U191" s="229"/>
      <c r="V191" s="22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>
      <c r="A192" s="217"/>
      <c r="B192" s="218"/>
      <c r="C192" s="219"/>
      <c r="D192" s="220"/>
      <c r="E192" s="221"/>
      <c r="F192" s="222"/>
      <c r="G192" s="223"/>
      <c r="H192" s="224"/>
      <c r="I192" s="19"/>
      <c r="J192" s="19"/>
      <c r="K192" s="19"/>
      <c r="L192" s="225"/>
      <c r="M192" s="226"/>
      <c r="N192" s="226"/>
      <c r="O192" s="227"/>
      <c r="P192" s="19"/>
      <c r="Q192" s="19"/>
      <c r="R192" s="19"/>
      <c r="S192" s="228"/>
      <c r="T192" s="228"/>
      <c r="U192" s="229"/>
      <c r="V192" s="22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>
      <c r="A193" s="217"/>
      <c r="B193" s="218"/>
      <c r="C193" s="219"/>
      <c r="D193" s="220"/>
      <c r="E193" s="221"/>
      <c r="F193" s="222"/>
      <c r="G193" s="223"/>
      <c r="H193" s="224"/>
      <c r="I193" s="19"/>
      <c r="J193" s="19"/>
      <c r="K193" s="19"/>
      <c r="L193" s="225"/>
      <c r="M193" s="226"/>
      <c r="N193" s="226"/>
      <c r="O193" s="227"/>
      <c r="P193" s="19"/>
      <c r="Q193" s="19"/>
      <c r="R193" s="19"/>
      <c r="S193" s="228"/>
      <c r="T193" s="228"/>
      <c r="U193" s="229"/>
      <c r="V193" s="22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>
      <c r="A194" s="217"/>
      <c r="B194" s="218"/>
      <c r="C194" s="219"/>
      <c r="D194" s="220"/>
      <c r="E194" s="221"/>
      <c r="F194" s="222"/>
      <c r="G194" s="223"/>
      <c r="H194" s="224"/>
      <c r="I194" s="19"/>
      <c r="J194" s="19"/>
      <c r="K194" s="19"/>
      <c r="L194" s="225"/>
      <c r="M194" s="226"/>
      <c r="N194" s="226"/>
      <c r="O194" s="227"/>
      <c r="P194" s="19"/>
      <c r="Q194" s="19"/>
      <c r="R194" s="19"/>
      <c r="S194" s="228"/>
      <c r="T194" s="228"/>
      <c r="U194" s="229"/>
      <c r="V194" s="22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>
      <c r="A195" s="217"/>
      <c r="B195" s="218"/>
      <c r="C195" s="219"/>
      <c r="D195" s="220"/>
      <c r="E195" s="221"/>
      <c r="F195" s="222"/>
      <c r="G195" s="223"/>
      <c r="H195" s="224"/>
      <c r="I195" s="19"/>
      <c r="J195" s="19"/>
      <c r="K195" s="19"/>
      <c r="L195" s="225"/>
      <c r="M195" s="226"/>
      <c r="N195" s="226"/>
      <c r="O195" s="227"/>
      <c r="P195" s="19"/>
      <c r="Q195" s="19"/>
      <c r="R195" s="19"/>
      <c r="S195" s="228"/>
      <c r="T195" s="228"/>
      <c r="U195" s="229"/>
      <c r="V195" s="22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>
      <c r="A196" s="217"/>
      <c r="B196" s="218"/>
      <c r="C196" s="219"/>
      <c r="D196" s="220"/>
      <c r="E196" s="221"/>
      <c r="F196" s="222"/>
      <c r="G196" s="223"/>
      <c r="H196" s="224"/>
      <c r="I196" s="19"/>
      <c r="J196" s="19"/>
      <c r="K196" s="19"/>
      <c r="L196" s="225"/>
      <c r="M196" s="226"/>
      <c r="N196" s="226"/>
      <c r="O196" s="227"/>
      <c r="P196" s="19"/>
      <c r="Q196" s="19"/>
      <c r="R196" s="19"/>
      <c r="S196" s="228"/>
      <c r="T196" s="228"/>
      <c r="U196" s="229"/>
      <c r="V196" s="22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>
      <c r="A197" s="217"/>
      <c r="B197" s="218"/>
      <c r="C197" s="219"/>
      <c r="D197" s="220"/>
      <c r="E197" s="221"/>
      <c r="F197" s="222"/>
      <c r="G197" s="223"/>
      <c r="H197" s="224"/>
      <c r="I197" s="19"/>
      <c r="J197" s="19"/>
      <c r="K197" s="19"/>
      <c r="L197" s="225"/>
      <c r="M197" s="226"/>
      <c r="N197" s="226"/>
      <c r="O197" s="227"/>
      <c r="P197" s="19"/>
      <c r="Q197" s="19"/>
      <c r="R197" s="19"/>
      <c r="S197" s="228"/>
      <c r="T197" s="228"/>
      <c r="U197" s="229"/>
      <c r="V197" s="22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>
      <c r="A198" s="217"/>
      <c r="B198" s="218"/>
      <c r="C198" s="219"/>
      <c r="D198" s="220"/>
      <c r="E198" s="221"/>
      <c r="F198" s="222"/>
      <c r="G198" s="223"/>
      <c r="H198" s="224"/>
      <c r="I198" s="19"/>
      <c r="J198" s="19"/>
      <c r="K198" s="19"/>
      <c r="L198" s="225"/>
      <c r="M198" s="226"/>
      <c r="N198" s="226"/>
      <c r="O198" s="227"/>
      <c r="P198" s="19"/>
      <c r="Q198" s="19"/>
      <c r="R198" s="19"/>
      <c r="S198" s="228"/>
      <c r="T198" s="228"/>
      <c r="U198" s="229"/>
      <c r="V198" s="22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>
      <c r="A199" s="217"/>
      <c r="B199" s="218"/>
      <c r="C199" s="219"/>
      <c r="D199" s="220"/>
      <c r="E199" s="221"/>
      <c r="F199" s="222"/>
      <c r="G199" s="223"/>
      <c r="H199" s="224"/>
      <c r="I199" s="19"/>
      <c r="J199" s="19"/>
      <c r="K199" s="19"/>
      <c r="L199" s="225"/>
      <c r="M199" s="226"/>
      <c r="N199" s="226"/>
      <c r="O199" s="227"/>
      <c r="P199" s="19"/>
      <c r="Q199" s="19"/>
      <c r="R199" s="19"/>
      <c r="S199" s="228"/>
      <c r="T199" s="228"/>
      <c r="U199" s="229"/>
      <c r="V199" s="22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>
      <c r="A200" s="217"/>
      <c r="B200" s="218"/>
      <c r="C200" s="219"/>
      <c r="D200" s="220"/>
      <c r="E200" s="221"/>
      <c r="F200" s="222"/>
      <c r="G200" s="223"/>
      <c r="H200" s="224"/>
      <c r="I200" s="19"/>
      <c r="J200" s="19"/>
      <c r="K200" s="19"/>
      <c r="L200" s="225"/>
      <c r="M200" s="226"/>
      <c r="N200" s="226"/>
      <c r="O200" s="227"/>
      <c r="P200" s="19"/>
      <c r="Q200" s="19"/>
      <c r="R200" s="19"/>
      <c r="S200" s="228"/>
      <c r="T200" s="228"/>
      <c r="U200" s="229"/>
      <c r="V200" s="22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>
      <c r="A201" s="217"/>
      <c r="B201" s="218"/>
      <c r="C201" s="219"/>
      <c r="D201" s="220"/>
      <c r="E201" s="221"/>
      <c r="F201" s="222"/>
      <c r="G201" s="223"/>
      <c r="H201" s="224"/>
      <c r="I201" s="19"/>
      <c r="J201" s="19"/>
      <c r="K201" s="19"/>
      <c r="L201" s="225"/>
      <c r="M201" s="226"/>
      <c r="N201" s="226"/>
      <c r="O201" s="227"/>
      <c r="P201" s="19"/>
      <c r="Q201" s="19"/>
      <c r="R201" s="19"/>
      <c r="S201" s="228"/>
      <c r="T201" s="228"/>
      <c r="U201" s="229"/>
      <c r="V201" s="22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>
      <c r="A202" s="217"/>
      <c r="B202" s="218"/>
      <c r="C202" s="219"/>
      <c r="D202" s="220"/>
      <c r="E202" s="221"/>
      <c r="F202" s="222"/>
      <c r="G202" s="223"/>
      <c r="H202" s="224"/>
      <c r="I202" s="19"/>
      <c r="J202" s="19"/>
      <c r="K202" s="19"/>
      <c r="L202" s="225"/>
      <c r="M202" s="226"/>
      <c r="N202" s="226"/>
      <c r="O202" s="227"/>
      <c r="P202" s="19"/>
      <c r="Q202" s="19"/>
      <c r="R202" s="19"/>
      <c r="S202" s="228"/>
      <c r="T202" s="228"/>
      <c r="U202" s="229"/>
      <c r="V202" s="22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>
      <c r="A203" s="217"/>
      <c r="B203" s="218"/>
      <c r="C203" s="219"/>
      <c r="D203" s="220"/>
      <c r="E203" s="221"/>
      <c r="F203" s="222"/>
      <c r="G203" s="223"/>
      <c r="H203" s="224"/>
      <c r="I203" s="19"/>
      <c r="J203" s="19"/>
      <c r="K203" s="19"/>
      <c r="L203" s="225"/>
      <c r="M203" s="226"/>
      <c r="N203" s="226"/>
      <c r="O203" s="227"/>
      <c r="P203" s="19"/>
      <c r="Q203" s="19"/>
      <c r="R203" s="19"/>
      <c r="S203" s="228"/>
      <c r="T203" s="228"/>
      <c r="U203" s="229"/>
      <c r="V203" s="22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>
      <c r="A204" s="217"/>
      <c r="B204" s="218"/>
      <c r="C204" s="219"/>
      <c r="D204" s="220"/>
      <c r="E204" s="221"/>
      <c r="F204" s="222"/>
      <c r="G204" s="223"/>
      <c r="H204" s="224"/>
      <c r="I204" s="19"/>
      <c r="J204" s="19"/>
      <c r="K204" s="19"/>
      <c r="L204" s="225"/>
      <c r="M204" s="226"/>
      <c r="N204" s="226"/>
      <c r="O204" s="227"/>
      <c r="P204" s="19"/>
      <c r="Q204" s="19"/>
      <c r="R204" s="19"/>
      <c r="S204" s="228"/>
      <c r="T204" s="228"/>
      <c r="U204" s="229"/>
      <c r="V204" s="22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>
      <c r="A205" s="217"/>
      <c r="B205" s="218"/>
      <c r="C205" s="219"/>
      <c r="D205" s="220"/>
      <c r="E205" s="221"/>
      <c r="F205" s="222"/>
      <c r="G205" s="223"/>
      <c r="H205" s="224"/>
      <c r="I205" s="19"/>
      <c r="J205" s="19"/>
      <c r="K205" s="19"/>
      <c r="L205" s="225"/>
      <c r="M205" s="226"/>
      <c r="N205" s="226"/>
      <c r="O205" s="227"/>
      <c r="P205" s="19"/>
      <c r="Q205" s="19"/>
      <c r="R205" s="19"/>
      <c r="S205" s="228"/>
      <c r="T205" s="228"/>
      <c r="U205" s="229"/>
      <c r="V205" s="22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>
      <c r="A206" s="217"/>
      <c r="B206" s="218"/>
      <c r="C206" s="219"/>
      <c r="D206" s="220"/>
      <c r="E206" s="221"/>
      <c r="F206" s="222"/>
      <c r="G206" s="223"/>
      <c r="H206" s="224"/>
      <c r="I206" s="19"/>
      <c r="J206" s="19"/>
      <c r="K206" s="19"/>
      <c r="L206" s="225"/>
      <c r="M206" s="226"/>
      <c r="N206" s="226"/>
      <c r="O206" s="227"/>
      <c r="P206" s="19"/>
      <c r="Q206" s="19"/>
      <c r="R206" s="19"/>
      <c r="S206" s="228"/>
      <c r="T206" s="228"/>
      <c r="U206" s="229"/>
      <c r="V206" s="22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>
      <c r="A207" s="217"/>
      <c r="B207" s="218"/>
      <c r="C207" s="219"/>
      <c r="D207" s="220"/>
      <c r="E207" s="221"/>
      <c r="F207" s="222"/>
      <c r="G207" s="223"/>
      <c r="H207" s="224"/>
      <c r="I207" s="19"/>
      <c r="J207" s="19"/>
      <c r="K207" s="19"/>
      <c r="L207" s="225"/>
      <c r="M207" s="226"/>
      <c r="N207" s="226"/>
      <c r="O207" s="227"/>
      <c r="P207" s="19"/>
      <c r="Q207" s="19"/>
      <c r="R207" s="19"/>
      <c r="S207" s="228"/>
      <c r="T207" s="228"/>
      <c r="U207" s="229"/>
      <c r="V207" s="22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>
      <c r="A208" s="217"/>
      <c r="B208" s="218"/>
      <c r="C208" s="219"/>
      <c r="D208" s="220"/>
      <c r="E208" s="221"/>
      <c r="F208" s="222"/>
      <c r="G208" s="223"/>
      <c r="H208" s="224"/>
      <c r="I208" s="19"/>
      <c r="J208" s="19"/>
      <c r="K208" s="19"/>
      <c r="L208" s="225"/>
      <c r="M208" s="226"/>
      <c r="N208" s="226"/>
      <c r="O208" s="227"/>
      <c r="P208" s="19"/>
      <c r="Q208" s="19"/>
      <c r="R208" s="19"/>
      <c r="S208" s="228"/>
      <c r="T208" s="228"/>
      <c r="U208" s="229"/>
      <c r="V208" s="22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>
      <c r="A209" s="217"/>
      <c r="B209" s="218"/>
      <c r="C209" s="219"/>
      <c r="D209" s="220"/>
      <c r="E209" s="221"/>
      <c r="F209" s="222"/>
      <c r="G209" s="223"/>
      <c r="H209" s="224"/>
      <c r="I209" s="19"/>
      <c r="J209" s="19"/>
      <c r="K209" s="19"/>
      <c r="L209" s="225"/>
      <c r="M209" s="226"/>
      <c r="N209" s="226"/>
      <c r="O209" s="227"/>
      <c r="P209" s="19"/>
      <c r="Q209" s="19"/>
      <c r="R209" s="19"/>
      <c r="S209" s="228"/>
      <c r="T209" s="228"/>
      <c r="U209" s="229"/>
      <c r="V209" s="22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>
      <c r="A210" s="217"/>
      <c r="B210" s="218"/>
      <c r="C210" s="219"/>
      <c r="D210" s="220"/>
      <c r="E210" s="221"/>
      <c r="F210" s="222"/>
      <c r="G210" s="223"/>
      <c r="H210" s="224"/>
      <c r="I210" s="19"/>
      <c r="J210" s="19"/>
      <c r="K210" s="19"/>
      <c r="L210" s="225"/>
      <c r="M210" s="226"/>
      <c r="N210" s="226"/>
      <c r="O210" s="227"/>
      <c r="P210" s="19"/>
      <c r="Q210" s="19"/>
      <c r="R210" s="19"/>
      <c r="S210" s="228"/>
      <c r="T210" s="228"/>
      <c r="U210" s="229"/>
      <c r="V210" s="22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>
      <c r="A211" s="217"/>
      <c r="B211" s="218"/>
      <c r="C211" s="219"/>
      <c r="D211" s="220"/>
      <c r="E211" s="221"/>
      <c r="F211" s="222"/>
      <c r="G211" s="223"/>
      <c r="H211" s="224"/>
      <c r="I211" s="19"/>
      <c r="J211" s="19"/>
      <c r="K211" s="19"/>
      <c r="L211" s="225"/>
      <c r="M211" s="226"/>
      <c r="N211" s="226"/>
      <c r="O211" s="227"/>
      <c r="P211" s="19"/>
      <c r="Q211" s="19"/>
      <c r="R211" s="19"/>
      <c r="S211" s="228"/>
      <c r="T211" s="228"/>
      <c r="U211" s="229"/>
      <c r="V211" s="22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>
      <c r="A212" s="217"/>
      <c r="B212" s="218"/>
      <c r="C212" s="219"/>
      <c r="D212" s="220"/>
      <c r="E212" s="221"/>
      <c r="F212" s="222"/>
      <c r="G212" s="223"/>
      <c r="H212" s="224"/>
      <c r="I212" s="19"/>
      <c r="J212" s="19"/>
      <c r="K212" s="19"/>
      <c r="L212" s="225"/>
      <c r="M212" s="226"/>
      <c r="N212" s="226"/>
      <c r="O212" s="227"/>
      <c r="P212" s="19"/>
      <c r="Q212" s="19"/>
      <c r="R212" s="19"/>
      <c r="S212" s="228"/>
      <c r="T212" s="228"/>
      <c r="U212" s="229"/>
      <c r="V212" s="22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>
      <c r="A213" s="217"/>
      <c r="B213" s="218"/>
      <c r="C213" s="219"/>
      <c r="D213" s="220"/>
      <c r="E213" s="221"/>
      <c r="F213" s="222"/>
      <c r="G213" s="223"/>
      <c r="H213" s="224"/>
      <c r="I213" s="19"/>
      <c r="J213" s="19"/>
      <c r="K213" s="19"/>
      <c r="L213" s="225"/>
      <c r="M213" s="226"/>
      <c r="N213" s="226"/>
      <c r="O213" s="227"/>
      <c r="P213" s="19"/>
      <c r="Q213" s="19"/>
      <c r="R213" s="19"/>
      <c r="S213" s="228"/>
      <c r="T213" s="228"/>
      <c r="U213" s="229"/>
      <c r="V213" s="22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>
      <c r="A214" s="217"/>
      <c r="B214" s="218"/>
      <c r="C214" s="219"/>
      <c r="D214" s="220"/>
      <c r="E214" s="221"/>
      <c r="F214" s="222"/>
      <c r="G214" s="223"/>
      <c r="H214" s="224"/>
      <c r="I214" s="19"/>
      <c r="J214" s="19"/>
      <c r="K214" s="19"/>
      <c r="L214" s="225"/>
      <c r="M214" s="226"/>
      <c r="N214" s="226"/>
      <c r="O214" s="227"/>
      <c r="P214" s="19"/>
      <c r="Q214" s="19"/>
      <c r="R214" s="19"/>
      <c r="S214" s="228"/>
      <c r="T214" s="228"/>
      <c r="U214" s="229"/>
      <c r="V214" s="22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>
      <c r="A215" s="217"/>
      <c r="B215" s="218"/>
      <c r="C215" s="219"/>
      <c r="D215" s="220"/>
      <c r="E215" s="221"/>
      <c r="F215" s="222"/>
      <c r="G215" s="223"/>
      <c r="H215" s="224"/>
      <c r="I215" s="19"/>
      <c r="J215" s="19"/>
      <c r="K215" s="19"/>
      <c r="L215" s="225"/>
      <c r="M215" s="226"/>
      <c r="N215" s="226"/>
      <c r="O215" s="227"/>
      <c r="P215" s="19"/>
      <c r="Q215" s="19"/>
      <c r="R215" s="19"/>
      <c r="S215" s="228"/>
      <c r="T215" s="228"/>
      <c r="U215" s="229"/>
      <c r="V215" s="22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>
      <c r="A216" s="217"/>
      <c r="B216" s="218"/>
      <c r="C216" s="219"/>
      <c r="D216" s="220"/>
      <c r="E216" s="221"/>
      <c r="F216" s="222"/>
      <c r="G216" s="223"/>
      <c r="H216" s="224"/>
      <c r="I216" s="19"/>
      <c r="J216" s="19"/>
      <c r="K216" s="19"/>
      <c r="L216" s="225"/>
      <c r="M216" s="226"/>
      <c r="N216" s="226"/>
      <c r="O216" s="227"/>
      <c r="P216" s="19"/>
      <c r="Q216" s="19"/>
      <c r="R216" s="19"/>
      <c r="S216" s="228"/>
      <c r="T216" s="228"/>
      <c r="U216" s="229"/>
      <c r="V216" s="22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>
      <c r="A217" s="217"/>
      <c r="B217" s="218"/>
      <c r="C217" s="219"/>
      <c r="D217" s="220"/>
      <c r="E217" s="221"/>
      <c r="F217" s="222"/>
      <c r="G217" s="223"/>
      <c r="H217" s="224"/>
      <c r="I217" s="19"/>
      <c r="J217" s="19"/>
      <c r="K217" s="19"/>
      <c r="L217" s="225"/>
      <c r="M217" s="226"/>
      <c r="N217" s="226"/>
      <c r="O217" s="227"/>
      <c r="P217" s="19"/>
      <c r="Q217" s="19"/>
      <c r="R217" s="19"/>
      <c r="S217" s="228"/>
      <c r="T217" s="228"/>
      <c r="U217" s="229"/>
      <c r="V217" s="22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>
      <c r="A218" s="217"/>
      <c r="B218" s="218"/>
      <c r="C218" s="219"/>
      <c r="D218" s="220"/>
      <c r="E218" s="221"/>
      <c r="F218" s="222"/>
      <c r="G218" s="223"/>
      <c r="H218" s="224"/>
      <c r="I218" s="19"/>
      <c r="J218" s="19"/>
      <c r="K218" s="19"/>
      <c r="L218" s="225"/>
      <c r="M218" s="226"/>
      <c r="N218" s="226"/>
      <c r="O218" s="227"/>
      <c r="P218" s="19"/>
      <c r="Q218" s="19"/>
      <c r="R218" s="19"/>
      <c r="S218" s="228"/>
      <c r="T218" s="228"/>
      <c r="U218" s="229"/>
      <c r="V218" s="22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>
      <c r="A219" s="217"/>
      <c r="B219" s="218"/>
      <c r="C219" s="219"/>
      <c r="D219" s="220"/>
      <c r="E219" s="221"/>
      <c r="F219" s="222"/>
      <c r="G219" s="223"/>
      <c r="H219" s="224"/>
      <c r="I219" s="19"/>
      <c r="J219" s="19"/>
      <c r="K219" s="19"/>
      <c r="L219" s="225"/>
      <c r="M219" s="226"/>
      <c r="N219" s="226"/>
      <c r="O219" s="227"/>
      <c r="P219" s="19"/>
      <c r="Q219" s="19"/>
      <c r="R219" s="19"/>
      <c r="S219" s="228"/>
      <c r="T219" s="228"/>
      <c r="U219" s="229"/>
      <c r="V219" s="22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>
      <c r="A220" s="217"/>
      <c r="B220" s="218"/>
      <c r="C220" s="219"/>
      <c r="D220" s="220"/>
      <c r="E220" s="221"/>
      <c r="F220" s="222"/>
      <c r="G220" s="223"/>
      <c r="H220" s="224"/>
      <c r="I220" s="19"/>
      <c r="J220" s="19"/>
      <c r="K220" s="19"/>
      <c r="L220" s="225"/>
      <c r="M220" s="226"/>
      <c r="N220" s="226"/>
      <c r="O220" s="227"/>
      <c r="P220" s="19"/>
      <c r="Q220" s="19"/>
      <c r="R220" s="19"/>
      <c r="S220" s="228"/>
      <c r="T220" s="228"/>
      <c r="U220" s="229"/>
      <c r="V220" s="22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>
      <c r="A221" s="217"/>
      <c r="B221" s="218"/>
      <c r="C221" s="219"/>
      <c r="D221" s="220"/>
      <c r="E221" s="221"/>
      <c r="F221" s="222"/>
      <c r="G221" s="223"/>
      <c r="H221" s="224"/>
      <c r="I221" s="19"/>
      <c r="J221" s="19"/>
      <c r="K221" s="19"/>
      <c r="L221" s="225"/>
      <c r="M221" s="226"/>
      <c r="N221" s="226"/>
      <c r="O221" s="227"/>
      <c r="P221" s="19"/>
      <c r="Q221" s="19"/>
      <c r="R221" s="19"/>
      <c r="S221" s="228"/>
      <c r="T221" s="228"/>
      <c r="U221" s="229"/>
      <c r="V221" s="22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>
      <c r="A222" s="217"/>
      <c r="B222" s="218"/>
      <c r="C222" s="219"/>
      <c r="D222" s="220"/>
      <c r="E222" s="221"/>
      <c r="F222" s="222"/>
      <c r="G222" s="223"/>
      <c r="H222" s="224"/>
      <c r="I222" s="19"/>
      <c r="J222" s="19"/>
      <c r="K222" s="19"/>
      <c r="L222" s="225"/>
      <c r="M222" s="226"/>
      <c r="N222" s="226"/>
      <c r="O222" s="227"/>
      <c r="P222" s="19"/>
      <c r="Q222" s="19"/>
      <c r="R222" s="19"/>
      <c r="S222" s="228"/>
      <c r="T222" s="228"/>
      <c r="U222" s="229"/>
      <c r="V222" s="22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>
      <c r="A223" s="217"/>
      <c r="B223" s="218"/>
      <c r="C223" s="219"/>
      <c r="D223" s="220"/>
      <c r="E223" s="221"/>
      <c r="F223" s="222"/>
      <c r="G223" s="223"/>
      <c r="H223" s="224"/>
      <c r="I223" s="19"/>
      <c r="J223" s="19"/>
      <c r="K223" s="19"/>
      <c r="L223" s="225"/>
      <c r="M223" s="226"/>
      <c r="N223" s="226"/>
      <c r="O223" s="227"/>
      <c r="P223" s="19"/>
      <c r="Q223" s="19"/>
      <c r="R223" s="19"/>
      <c r="S223" s="228"/>
      <c r="T223" s="228"/>
      <c r="U223" s="229"/>
      <c r="V223" s="22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>
      <c r="A224" s="217"/>
      <c r="B224" s="218"/>
      <c r="C224" s="219"/>
      <c r="D224" s="220"/>
      <c r="E224" s="221"/>
      <c r="F224" s="222"/>
      <c r="G224" s="223"/>
      <c r="H224" s="224"/>
      <c r="I224" s="19"/>
      <c r="J224" s="19"/>
      <c r="K224" s="19"/>
      <c r="L224" s="225"/>
      <c r="M224" s="226"/>
      <c r="N224" s="226"/>
      <c r="O224" s="227"/>
      <c r="P224" s="19"/>
      <c r="Q224" s="19"/>
      <c r="R224" s="19"/>
      <c r="S224" s="228"/>
      <c r="T224" s="228"/>
      <c r="U224" s="229"/>
      <c r="V224" s="22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>
      <c r="A225" s="217"/>
      <c r="B225" s="218"/>
      <c r="C225" s="219"/>
      <c r="D225" s="220"/>
      <c r="E225" s="221"/>
      <c r="F225" s="222"/>
      <c r="G225" s="223"/>
      <c r="H225" s="224"/>
      <c r="I225" s="19"/>
      <c r="J225" s="19"/>
      <c r="K225" s="19"/>
      <c r="L225" s="225"/>
      <c r="M225" s="226"/>
      <c r="N225" s="226"/>
      <c r="O225" s="227"/>
      <c r="P225" s="19"/>
      <c r="Q225" s="19"/>
      <c r="R225" s="19"/>
      <c r="S225" s="228"/>
      <c r="T225" s="228"/>
      <c r="U225" s="229"/>
      <c r="V225" s="22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>
      <c r="A226" s="217"/>
      <c r="B226" s="218"/>
      <c r="C226" s="219"/>
      <c r="D226" s="220"/>
      <c r="E226" s="221"/>
      <c r="F226" s="222"/>
      <c r="G226" s="223"/>
      <c r="H226" s="224"/>
      <c r="I226" s="19"/>
      <c r="J226" s="19"/>
      <c r="K226" s="19"/>
      <c r="L226" s="225"/>
      <c r="M226" s="226"/>
      <c r="N226" s="226"/>
      <c r="O226" s="227"/>
      <c r="P226" s="19"/>
      <c r="Q226" s="19"/>
      <c r="R226" s="19"/>
      <c r="S226" s="228"/>
      <c r="T226" s="228"/>
      <c r="U226" s="229"/>
      <c r="V226" s="22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>
      <c r="A227" s="217"/>
      <c r="B227" s="218"/>
      <c r="C227" s="219"/>
      <c r="D227" s="220"/>
      <c r="E227" s="221"/>
      <c r="F227" s="222"/>
      <c r="G227" s="223"/>
      <c r="H227" s="224"/>
      <c r="I227" s="19"/>
      <c r="J227" s="19"/>
      <c r="K227" s="19"/>
      <c r="L227" s="225"/>
      <c r="M227" s="226"/>
      <c r="N227" s="226"/>
      <c r="O227" s="227"/>
      <c r="P227" s="19"/>
      <c r="Q227" s="19"/>
      <c r="R227" s="19"/>
      <c r="S227" s="228"/>
      <c r="T227" s="228"/>
      <c r="U227" s="229"/>
      <c r="V227" s="22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>
      <c r="A228" s="217"/>
      <c r="B228" s="218"/>
      <c r="C228" s="219"/>
      <c r="D228" s="220"/>
      <c r="E228" s="221"/>
      <c r="F228" s="222"/>
      <c r="G228" s="223"/>
      <c r="H228" s="224"/>
      <c r="I228" s="19"/>
      <c r="J228" s="19"/>
      <c r="K228" s="19"/>
      <c r="L228" s="225"/>
      <c r="M228" s="226"/>
      <c r="N228" s="226"/>
      <c r="O228" s="227"/>
      <c r="P228" s="19"/>
      <c r="Q228" s="19"/>
      <c r="R228" s="19"/>
      <c r="S228" s="228"/>
      <c r="T228" s="228"/>
      <c r="U228" s="229"/>
      <c r="V228" s="22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>
      <c r="A229" s="217"/>
      <c r="B229" s="218"/>
      <c r="C229" s="219"/>
      <c r="D229" s="220"/>
      <c r="E229" s="221"/>
      <c r="F229" s="222"/>
      <c r="G229" s="223"/>
      <c r="H229" s="224"/>
      <c r="I229" s="19"/>
      <c r="J229" s="19"/>
      <c r="K229" s="19"/>
      <c r="L229" s="225"/>
      <c r="M229" s="226"/>
      <c r="N229" s="226"/>
      <c r="O229" s="227"/>
      <c r="P229" s="19"/>
      <c r="Q229" s="19"/>
      <c r="R229" s="19"/>
      <c r="S229" s="228"/>
      <c r="T229" s="228"/>
      <c r="U229" s="229"/>
      <c r="V229" s="22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>
      <c r="A230" s="217"/>
      <c r="B230" s="218"/>
      <c r="C230" s="219"/>
      <c r="D230" s="220"/>
      <c r="E230" s="221"/>
      <c r="F230" s="222"/>
      <c r="G230" s="223"/>
      <c r="H230" s="224"/>
      <c r="I230" s="19"/>
      <c r="J230" s="19"/>
      <c r="K230" s="19"/>
      <c r="L230" s="225"/>
      <c r="M230" s="226"/>
      <c r="N230" s="226"/>
      <c r="O230" s="227"/>
      <c r="P230" s="19"/>
      <c r="Q230" s="19"/>
      <c r="R230" s="19"/>
      <c r="S230" s="228"/>
      <c r="T230" s="228"/>
      <c r="U230" s="229"/>
      <c r="V230" s="22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>
      <c r="A231" s="217"/>
      <c r="B231" s="218"/>
      <c r="C231" s="219"/>
      <c r="D231" s="220"/>
      <c r="E231" s="221"/>
      <c r="F231" s="222"/>
      <c r="G231" s="223"/>
      <c r="H231" s="224"/>
      <c r="I231" s="19"/>
      <c r="J231" s="19"/>
      <c r="K231" s="19"/>
      <c r="L231" s="225"/>
      <c r="M231" s="226"/>
      <c r="N231" s="226"/>
      <c r="O231" s="227"/>
      <c r="P231" s="19"/>
      <c r="Q231" s="19"/>
      <c r="R231" s="19"/>
      <c r="S231" s="228"/>
      <c r="T231" s="228"/>
      <c r="U231" s="229"/>
      <c r="V231" s="22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>
      <c r="A232" s="217"/>
      <c r="B232" s="218"/>
      <c r="C232" s="219"/>
      <c r="D232" s="220"/>
      <c r="E232" s="221"/>
      <c r="F232" s="222"/>
      <c r="G232" s="223"/>
      <c r="H232" s="224"/>
      <c r="I232" s="19"/>
      <c r="J232" s="19"/>
      <c r="K232" s="19"/>
      <c r="L232" s="225"/>
      <c r="M232" s="226"/>
      <c r="N232" s="226"/>
      <c r="O232" s="227"/>
      <c r="P232" s="19"/>
      <c r="Q232" s="19"/>
      <c r="R232" s="19"/>
      <c r="S232" s="228"/>
      <c r="T232" s="228"/>
      <c r="U232" s="229"/>
      <c r="V232" s="22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>
      <c r="A233" s="217"/>
      <c r="B233" s="218"/>
      <c r="C233" s="219"/>
      <c r="D233" s="220"/>
      <c r="E233" s="221"/>
      <c r="F233" s="222"/>
      <c r="G233" s="223"/>
      <c r="H233" s="224"/>
      <c r="I233" s="19"/>
      <c r="J233" s="19"/>
      <c r="K233" s="19"/>
      <c r="L233" s="225"/>
      <c r="M233" s="226"/>
      <c r="N233" s="226"/>
      <c r="O233" s="227"/>
      <c r="P233" s="19"/>
      <c r="Q233" s="19"/>
      <c r="R233" s="19"/>
      <c r="S233" s="228"/>
      <c r="T233" s="228"/>
      <c r="U233" s="229"/>
      <c r="V233" s="22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>
      <c r="A234" s="217"/>
      <c r="B234" s="218"/>
      <c r="C234" s="219"/>
      <c r="D234" s="220"/>
      <c r="E234" s="221"/>
      <c r="F234" s="222"/>
      <c r="G234" s="223"/>
      <c r="H234" s="224"/>
      <c r="I234" s="19"/>
      <c r="J234" s="19"/>
      <c r="K234" s="19"/>
      <c r="L234" s="225"/>
      <c r="M234" s="226"/>
      <c r="N234" s="226"/>
      <c r="O234" s="227"/>
      <c r="P234" s="19"/>
      <c r="Q234" s="19"/>
      <c r="R234" s="19"/>
      <c r="S234" s="228"/>
      <c r="T234" s="228"/>
      <c r="U234" s="229"/>
      <c r="V234" s="22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>
      <c r="A235" s="217"/>
      <c r="B235" s="218"/>
      <c r="C235" s="219"/>
      <c r="D235" s="220"/>
      <c r="E235" s="221"/>
      <c r="F235" s="222"/>
      <c r="G235" s="223"/>
      <c r="H235" s="224"/>
      <c r="I235" s="19"/>
      <c r="J235" s="19"/>
      <c r="K235" s="19"/>
      <c r="L235" s="225"/>
      <c r="M235" s="226"/>
      <c r="N235" s="226"/>
      <c r="O235" s="227"/>
      <c r="P235" s="19"/>
      <c r="Q235" s="19"/>
      <c r="R235" s="19"/>
      <c r="S235" s="228"/>
      <c r="T235" s="228"/>
      <c r="U235" s="229"/>
      <c r="V235" s="22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>
      <c r="A236" s="217"/>
      <c r="B236" s="218"/>
      <c r="C236" s="219"/>
      <c r="D236" s="220"/>
      <c r="E236" s="221"/>
      <c r="F236" s="222"/>
      <c r="G236" s="223"/>
      <c r="H236" s="224"/>
      <c r="I236" s="19"/>
      <c r="J236" s="19"/>
      <c r="K236" s="19"/>
      <c r="L236" s="225"/>
      <c r="M236" s="226"/>
      <c r="N236" s="226"/>
      <c r="O236" s="227"/>
      <c r="P236" s="19"/>
      <c r="Q236" s="19"/>
      <c r="R236" s="19"/>
      <c r="S236" s="228"/>
      <c r="T236" s="228"/>
      <c r="U236" s="229"/>
      <c r="V236" s="22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>
      <c r="A237" s="217"/>
      <c r="B237" s="218"/>
      <c r="C237" s="219"/>
      <c r="D237" s="220"/>
      <c r="E237" s="221"/>
      <c r="F237" s="222"/>
      <c r="G237" s="223"/>
      <c r="H237" s="224"/>
      <c r="I237" s="19"/>
      <c r="J237" s="19"/>
      <c r="K237" s="19"/>
      <c r="L237" s="225"/>
      <c r="M237" s="226"/>
      <c r="N237" s="226"/>
      <c r="O237" s="227"/>
      <c r="P237" s="19"/>
      <c r="Q237" s="19"/>
      <c r="R237" s="19"/>
      <c r="S237" s="228"/>
      <c r="T237" s="228"/>
      <c r="U237" s="229"/>
      <c r="V237" s="22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>
      <c r="A238" s="217"/>
      <c r="B238" s="218"/>
      <c r="C238" s="219"/>
      <c r="D238" s="220"/>
      <c r="E238" s="221"/>
      <c r="F238" s="222"/>
      <c r="G238" s="223"/>
      <c r="H238" s="224"/>
      <c r="I238" s="19"/>
      <c r="J238" s="19"/>
      <c r="K238" s="19"/>
      <c r="L238" s="225"/>
      <c r="M238" s="226"/>
      <c r="N238" s="226"/>
      <c r="O238" s="227"/>
      <c r="P238" s="19"/>
      <c r="Q238" s="19"/>
      <c r="R238" s="19"/>
      <c r="S238" s="228"/>
      <c r="T238" s="228"/>
      <c r="U238" s="229"/>
      <c r="V238" s="22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>
      <c r="A239" s="217"/>
      <c r="B239" s="218"/>
      <c r="C239" s="219"/>
      <c r="D239" s="220"/>
      <c r="E239" s="221"/>
      <c r="F239" s="222"/>
      <c r="G239" s="223"/>
      <c r="H239" s="224"/>
      <c r="I239" s="19"/>
      <c r="J239" s="19"/>
      <c r="K239" s="19"/>
      <c r="L239" s="225"/>
      <c r="M239" s="226"/>
      <c r="N239" s="226"/>
      <c r="O239" s="227"/>
      <c r="P239" s="19"/>
      <c r="Q239" s="19"/>
      <c r="R239" s="19"/>
      <c r="S239" s="228"/>
      <c r="T239" s="228"/>
      <c r="U239" s="229"/>
      <c r="V239" s="22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>
      <c r="A240" s="217"/>
      <c r="B240" s="218"/>
      <c r="C240" s="219"/>
      <c r="D240" s="220"/>
      <c r="E240" s="221"/>
      <c r="F240" s="222"/>
      <c r="G240" s="223"/>
      <c r="H240" s="224"/>
      <c r="I240" s="19"/>
      <c r="J240" s="19"/>
      <c r="K240" s="19"/>
      <c r="L240" s="225"/>
      <c r="M240" s="226"/>
      <c r="N240" s="226"/>
      <c r="O240" s="227"/>
      <c r="P240" s="19"/>
      <c r="Q240" s="19"/>
      <c r="R240" s="19"/>
      <c r="S240" s="228"/>
      <c r="T240" s="228"/>
      <c r="U240" s="229"/>
      <c r="V240" s="22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>
      <c r="A241" s="217"/>
      <c r="B241" s="218"/>
      <c r="C241" s="219"/>
      <c r="D241" s="220"/>
      <c r="E241" s="221"/>
      <c r="F241" s="222"/>
      <c r="G241" s="223"/>
      <c r="H241" s="224"/>
      <c r="I241" s="19"/>
      <c r="J241" s="19"/>
      <c r="K241" s="19"/>
      <c r="L241" s="225"/>
      <c r="M241" s="226"/>
      <c r="N241" s="226"/>
      <c r="O241" s="227"/>
      <c r="P241" s="19"/>
      <c r="Q241" s="19"/>
      <c r="R241" s="19"/>
      <c r="S241" s="228"/>
      <c r="T241" s="228"/>
      <c r="U241" s="229"/>
      <c r="V241" s="22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>
      <c r="A242" s="217"/>
      <c r="B242" s="218"/>
      <c r="C242" s="219"/>
      <c r="D242" s="220"/>
      <c r="E242" s="221"/>
      <c r="F242" s="222"/>
      <c r="G242" s="223"/>
      <c r="H242" s="224"/>
      <c r="I242" s="19"/>
      <c r="J242" s="19"/>
      <c r="K242" s="19"/>
      <c r="L242" s="225"/>
      <c r="M242" s="226"/>
      <c r="N242" s="226"/>
      <c r="O242" s="227"/>
      <c r="P242" s="19"/>
      <c r="Q242" s="19"/>
      <c r="R242" s="19"/>
      <c r="S242" s="228"/>
      <c r="T242" s="228"/>
      <c r="U242" s="229"/>
      <c r="V242" s="22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>
      <c r="A243" s="217"/>
      <c r="B243" s="218"/>
      <c r="C243" s="219"/>
      <c r="D243" s="220"/>
      <c r="E243" s="221"/>
      <c r="F243" s="222"/>
      <c r="G243" s="223"/>
      <c r="H243" s="224"/>
      <c r="I243" s="19"/>
      <c r="J243" s="19"/>
      <c r="K243" s="19"/>
      <c r="L243" s="225"/>
      <c r="M243" s="226"/>
      <c r="N243" s="226"/>
      <c r="O243" s="227"/>
      <c r="P243" s="19"/>
      <c r="Q243" s="19"/>
      <c r="R243" s="19"/>
      <c r="S243" s="228"/>
      <c r="T243" s="228"/>
      <c r="U243" s="229"/>
      <c r="V243" s="22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>
      <c r="A244" s="217"/>
      <c r="B244" s="218"/>
      <c r="C244" s="219"/>
      <c r="D244" s="220"/>
      <c r="E244" s="221"/>
      <c r="F244" s="222"/>
      <c r="G244" s="223"/>
      <c r="H244" s="224"/>
      <c r="I244" s="19"/>
      <c r="J244" s="19"/>
      <c r="K244" s="19"/>
      <c r="L244" s="225"/>
      <c r="M244" s="226"/>
      <c r="N244" s="226"/>
      <c r="O244" s="227"/>
      <c r="P244" s="19"/>
      <c r="Q244" s="19"/>
      <c r="R244" s="19"/>
      <c r="S244" s="228"/>
      <c r="T244" s="228"/>
      <c r="U244" s="229"/>
      <c r="V244" s="22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>
      <c r="A245" s="217"/>
      <c r="B245" s="218"/>
      <c r="C245" s="219"/>
      <c r="D245" s="220"/>
      <c r="E245" s="221"/>
      <c r="F245" s="222"/>
      <c r="G245" s="223"/>
      <c r="H245" s="224"/>
      <c r="I245" s="19"/>
      <c r="J245" s="19"/>
      <c r="K245" s="19"/>
      <c r="L245" s="225"/>
      <c r="M245" s="226"/>
      <c r="N245" s="226"/>
      <c r="O245" s="227"/>
      <c r="P245" s="19"/>
      <c r="Q245" s="19"/>
      <c r="R245" s="19"/>
      <c r="S245" s="228"/>
      <c r="T245" s="228"/>
      <c r="U245" s="229"/>
      <c r="V245" s="22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>
      <c r="A246" s="217"/>
      <c r="B246" s="218"/>
      <c r="C246" s="219"/>
      <c r="D246" s="220"/>
      <c r="E246" s="221"/>
      <c r="F246" s="222"/>
      <c r="G246" s="223"/>
      <c r="H246" s="224"/>
      <c r="I246" s="19"/>
      <c r="J246" s="19"/>
      <c r="K246" s="19"/>
      <c r="L246" s="225"/>
      <c r="M246" s="226"/>
      <c r="N246" s="226"/>
      <c r="O246" s="227"/>
      <c r="P246" s="19"/>
      <c r="Q246" s="19"/>
      <c r="R246" s="19"/>
      <c r="S246" s="228"/>
      <c r="T246" s="228"/>
      <c r="U246" s="229"/>
      <c r="V246" s="22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>
      <c r="A247" s="217"/>
      <c r="B247" s="218"/>
      <c r="C247" s="219"/>
      <c r="D247" s="220"/>
      <c r="E247" s="221"/>
      <c r="F247" s="222"/>
      <c r="G247" s="223"/>
      <c r="H247" s="224"/>
      <c r="I247" s="19"/>
      <c r="J247" s="19"/>
      <c r="K247" s="19"/>
      <c r="L247" s="225"/>
      <c r="M247" s="226"/>
      <c r="N247" s="226"/>
      <c r="O247" s="227"/>
      <c r="P247" s="19"/>
      <c r="Q247" s="19"/>
      <c r="R247" s="19"/>
      <c r="S247" s="228"/>
      <c r="T247" s="228"/>
      <c r="U247" s="229"/>
      <c r="V247" s="22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>
      <c r="A248" s="217"/>
      <c r="B248" s="218"/>
      <c r="C248" s="219"/>
      <c r="D248" s="220"/>
      <c r="E248" s="221"/>
      <c r="F248" s="222"/>
      <c r="G248" s="223"/>
      <c r="H248" s="224"/>
      <c r="I248" s="19"/>
      <c r="J248" s="19"/>
      <c r="K248" s="19"/>
      <c r="L248" s="225"/>
      <c r="M248" s="226"/>
      <c r="N248" s="226"/>
      <c r="O248" s="227"/>
      <c r="P248" s="19"/>
      <c r="Q248" s="19"/>
      <c r="R248" s="19"/>
      <c r="S248" s="228"/>
      <c r="T248" s="228"/>
      <c r="U248" s="229"/>
      <c r="V248" s="22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>
      <c r="A249" s="217"/>
      <c r="B249" s="218"/>
      <c r="C249" s="219"/>
      <c r="D249" s="220"/>
      <c r="E249" s="221"/>
      <c r="F249" s="222"/>
      <c r="G249" s="223"/>
      <c r="H249" s="224"/>
      <c r="I249" s="19"/>
      <c r="J249" s="19"/>
      <c r="K249" s="19"/>
      <c r="L249" s="225"/>
      <c r="M249" s="226"/>
      <c r="N249" s="226"/>
      <c r="O249" s="227"/>
      <c r="P249" s="19"/>
      <c r="Q249" s="19"/>
      <c r="R249" s="19"/>
      <c r="S249" s="228"/>
      <c r="T249" s="228"/>
      <c r="U249" s="229"/>
      <c r="V249" s="22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>
      <c r="A250" s="217"/>
      <c r="B250" s="218"/>
      <c r="C250" s="219"/>
      <c r="D250" s="220"/>
      <c r="E250" s="221"/>
      <c r="F250" s="222"/>
      <c r="G250" s="223"/>
      <c r="H250" s="224"/>
      <c r="I250" s="19"/>
      <c r="J250" s="19"/>
      <c r="K250" s="19"/>
      <c r="L250" s="225"/>
      <c r="M250" s="226"/>
      <c r="N250" s="226"/>
      <c r="O250" s="227"/>
      <c r="P250" s="19"/>
      <c r="Q250" s="19"/>
      <c r="R250" s="19"/>
      <c r="S250" s="228"/>
      <c r="T250" s="228"/>
      <c r="U250" s="229"/>
      <c r="V250" s="22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>
      <c r="A251" s="217"/>
      <c r="B251" s="218"/>
      <c r="C251" s="219"/>
      <c r="D251" s="220"/>
      <c r="E251" s="221"/>
      <c r="F251" s="222"/>
      <c r="G251" s="223"/>
      <c r="H251" s="224"/>
      <c r="I251" s="19"/>
      <c r="J251" s="19"/>
      <c r="K251" s="19"/>
      <c r="L251" s="225"/>
      <c r="M251" s="226"/>
      <c r="N251" s="226"/>
      <c r="O251" s="227"/>
      <c r="P251" s="19"/>
      <c r="Q251" s="19"/>
      <c r="R251" s="19"/>
      <c r="S251" s="228"/>
      <c r="T251" s="228"/>
      <c r="U251" s="229"/>
      <c r="V251" s="22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>
      <c r="A252" s="217"/>
      <c r="B252" s="218"/>
      <c r="C252" s="219"/>
      <c r="D252" s="220"/>
      <c r="E252" s="221"/>
      <c r="F252" s="222"/>
      <c r="G252" s="223"/>
      <c r="H252" s="224"/>
      <c r="I252" s="19"/>
      <c r="J252" s="19"/>
      <c r="K252" s="19"/>
      <c r="L252" s="225"/>
      <c r="M252" s="226"/>
      <c r="N252" s="226"/>
      <c r="O252" s="227"/>
      <c r="P252" s="19"/>
      <c r="Q252" s="19"/>
      <c r="R252" s="19"/>
      <c r="S252" s="228"/>
      <c r="T252" s="228"/>
      <c r="U252" s="229"/>
      <c r="V252" s="22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>
      <c r="A253" s="217"/>
      <c r="B253" s="218"/>
      <c r="C253" s="219"/>
      <c r="D253" s="220"/>
      <c r="E253" s="221"/>
      <c r="F253" s="222"/>
      <c r="G253" s="223"/>
      <c r="H253" s="224"/>
      <c r="I253" s="19"/>
      <c r="J253" s="19"/>
      <c r="K253" s="19"/>
      <c r="L253" s="225"/>
      <c r="M253" s="226"/>
      <c r="N253" s="226"/>
      <c r="O253" s="227"/>
      <c r="P253" s="19"/>
      <c r="Q253" s="19"/>
      <c r="R253" s="19"/>
      <c r="S253" s="228"/>
      <c r="T253" s="228"/>
      <c r="U253" s="229"/>
      <c r="V253" s="22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>
      <c r="A254" s="217"/>
      <c r="B254" s="218"/>
      <c r="C254" s="219"/>
      <c r="D254" s="220"/>
      <c r="E254" s="221"/>
      <c r="F254" s="222"/>
      <c r="G254" s="223"/>
      <c r="H254" s="224"/>
      <c r="I254" s="19"/>
      <c r="J254" s="19"/>
      <c r="K254" s="19"/>
      <c r="L254" s="225"/>
      <c r="M254" s="226"/>
      <c r="N254" s="226"/>
      <c r="O254" s="227"/>
      <c r="P254" s="19"/>
      <c r="Q254" s="19"/>
      <c r="R254" s="19"/>
      <c r="S254" s="228"/>
      <c r="T254" s="228"/>
      <c r="U254" s="229"/>
      <c r="V254" s="22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>
      <c r="A255" s="217"/>
      <c r="B255" s="218"/>
      <c r="C255" s="219"/>
      <c r="D255" s="220"/>
      <c r="E255" s="221"/>
      <c r="F255" s="222"/>
      <c r="G255" s="223"/>
      <c r="H255" s="224"/>
      <c r="I255" s="19"/>
      <c r="J255" s="19"/>
      <c r="K255" s="19"/>
      <c r="L255" s="225"/>
      <c r="M255" s="226"/>
      <c r="N255" s="226"/>
      <c r="O255" s="227"/>
      <c r="P255" s="19"/>
      <c r="Q255" s="19"/>
      <c r="R255" s="19"/>
      <c r="S255" s="228"/>
      <c r="T255" s="228"/>
      <c r="U255" s="229"/>
      <c r="V255" s="22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>
      <c r="A256" s="217"/>
      <c r="B256" s="218"/>
      <c r="C256" s="219"/>
      <c r="D256" s="220"/>
      <c r="E256" s="221"/>
      <c r="F256" s="222"/>
      <c r="G256" s="223"/>
      <c r="H256" s="224"/>
      <c r="I256" s="19"/>
      <c r="J256" s="19"/>
      <c r="K256" s="19"/>
      <c r="L256" s="225"/>
      <c r="M256" s="226"/>
      <c r="N256" s="226"/>
      <c r="O256" s="227"/>
      <c r="P256" s="19"/>
      <c r="Q256" s="19"/>
      <c r="R256" s="19"/>
      <c r="S256" s="228"/>
      <c r="T256" s="228"/>
      <c r="U256" s="229"/>
      <c r="V256" s="22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>
      <c r="A257" s="217"/>
      <c r="B257" s="218"/>
      <c r="C257" s="219"/>
      <c r="D257" s="220"/>
      <c r="E257" s="221"/>
      <c r="F257" s="222"/>
      <c r="G257" s="223"/>
      <c r="H257" s="224"/>
      <c r="I257" s="19"/>
      <c r="J257" s="19"/>
      <c r="K257" s="19"/>
      <c r="L257" s="225"/>
      <c r="M257" s="226"/>
      <c r="N257" s="226"/>
      <c r="O257" s="227"/>
      <c r="P257" s="19"/>
      <c r="Q257" s="19"/>
      <c r="R257" s="19"/>
      <c r="S257" s="228"/>
      <c r="T257" s="228"/>
      <c r="U257" s="229"/>
      <c r="V257" s="22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>
      <c r="A258" s="217"/>
      <c r="B258" s="218"/>
      <c r="C258" s="219"/>
      <c r="D258" s="220"/>
      <c r="E258" s="221"/>
      <c r="F258" s="222"/>
      <c r="G258" s="223"/>
      <c r="H258" s="224"/>
      <c r="I258" s="19"/>
      <c r="J258" s="19"/>
      <c r="K258" s="19"/>
      <c r="L258" s="225"/>
      <c r="M258" s="226"/>
      <c r="N258" s="226"/>
      <c r="O258" s="227"/>
      <c r="P258" s="19"/>
      <c r="Q258" s="19"/>
      <c r="R258" s="19"/>
      <c r="S258" s="228"/>
      <c r="T258" s="228"/>
      <c r="U258" s="229"/>
      <c r="V258" s="22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>
      <c r="A259" s="217"/>
      <c r="B259" s="218"/>
      <c r="C259" s="219"/>
      <c r="D259" s="220"/>
      <c r="E259" s="221"/>
      <c r="F259" s="222"/>
      <c r="G259" s="223"/>
      <c r="H259" s="224"/>
      <c r="I259" s="19"/>
      <c r="J259" s="19"/>
      <c r="K259" s="19"/>
      <c r="L259" s="225"/>
      <c r="M259" s="226"/>
      <c r="N259" s="226"/>
      <c r="O259" s="227"/>
      <c r="P259" s="19"/>
      <c r="Q259" s="19"/>
      <c r="R259" s="19"/>
      <c r="S259" s="228"/>
      <c r="T259" s="228"/>
      <c r="U259" s="229"/>
      <c r="V259" s="22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>
      <c r="A260" s="217"/>
      <c r="B260" s="218"/>
      <c r="C260" s="219"/>
      <c r="D260" s="220"/>
      <c r="E260" s="221"/>
      <c r="F260" s="222"/>
      <c r="G260" s="223"/>
      <c r="H260" s="224"/>
      <c r="I260" s="19"/>
      <c r="J260" s="19"/>
      <c r="K260" s="19"/>
      <c r="L260" s="225"/>
      <c r="M260" s="226"/>
      <c r="N260" s="226"/>
      <c r="O260" s="227"/>
      <c r="P260" s="19"/>
      <c r="Q260" s="19"/>
      <c r="R260" s="19"/>
      <c r="S260" s="228"/>
      <c r="T260" s="228"/>
      <c r="U260" s="229"/>
      <c r="V260" s="22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>
      <c r="A261" s="217"/>
      <c r="B261" s="218"/>
      <c r="C261" s="219"/>
      <c r="D261" s="220"/>
      <c r="E261" s="221"/>
      <c r="F261" s="222"/>
      <c r="G261" s="223"/>
      <c r="H261" s="224"/>
      <c r="I261" s="19"/>
      <c r="J261" s="19"/>
      <c r="K261" s="19"/>
      <c r="L261" s="225"/>
      <c r="M261" s="226"/>
      <c r="N261" s="226"/>
      <c r="O261" s="227"/>
      <c r="P261" s="19"/>
      <c r="Q261" s="19"/>
      <c r="R261" s="19"/>
      <c r="S261" s="228"/>
      <c r="T261" s="228"/>
      <c r="U261" s="229"/>
      <c r="V261" s="22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>
      <c r="A262" s="217"/>
      <c r="B262" s="218"/>
      <c r="C262" s="219"/>
      <c r="D262" s="220"/>
      <c r="E262" s="221"/>
      <c r="F262" s="222"/>
      <c r="G262" s="223"/>
      <c r="H262" s="224"/>
      <c r="I262" s="19"/>
      <c r="J262" s="19"/>
      <c r="K262" s="19"/>
      <c r="L262" s="225"/>
      <c r="M262" s="226"/>
      <c r="N262" s="226"/>
      <c r="O262" s="227"/>
      <c r="P262" s="19"/>
      <c r="Q262" s="19"/>
      <c r="R262" s="19"/>
      <c r="S262" s="228"/>
      <c r="T262" s="228"/>
      <c r="U262" s="229"/>
      <c r="V262" s="22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</row>
    <row r="263">
      <c r="A263" s="217"/>
      <c r="B263" s="218"/>
      <c r="C263" s="219"/>
      <c r="D263" s="220"/>
      <c r="E263" s="221"/>
      <c r="F263" s="222"/>
      <c r="G263" s="223"/>
      <c r="H263" s="224"/>
      <c r="I263" s="19"/>
      <c r="J263" s="19"/>
      <c r="K263" s="19"/>
      <c r="L263" s="225"/>
      <c r="M263" s="226"/>
      <c r="N263" s="226"/>
      <c r="O263" s="227"/>
      <c r="P263" s="19"/>
      <c r="Q263" s="19"/>
      <c r="R263" s="19"/>
      <c r="S263" s="228"/>
      <c r="T263" s="228"/>
      <c r="U263" s="229"/>
      <c r="V263" s="22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</row>
    <row r="264">
      <c r="A264" s="217"/>
      <c r="B264" s="218"/>
      <c r="C264" s="219"/>
      <c r="D264" s="220"/>
      <c r="E264" s="221"/>
      <c r="F264" s="222"/>
      <c r="G264" s="223"/>
      <c r="H264" s="224"/>
      <c r="I264" s="19"/>
      <c r="J264" s="19"/>
      <c r="K264" s="19"/>
      <c r="L264" s="225"/>
      <c r="M264" s="226"/>
      <c r="N264" s="226"/>
      <c r="O264" s="227"/>
      <c r="P264" s="19"/>
      <c r="Q264" s="19"/>
      <c r="R264" s="19"/>
      <c r="S264" s="228"/>
      <c r="T264" s="228"/>
      <c r="U264" s="229"/>
      <c r="V264" s="22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</row>
    <row r="265">
      <c r="A265" s="217"/>
      <c r="B265" s="218"/>
      <c r="C265" s="219"/>
      <c r="D265" s="220"/>
      <c r="E265" s="221"/>
      <c r="F265" s="222"/>
      <c r="G265" s="223"/>
      <c r="H265" s="224"/>
      <c r="I265" s="19"/>
      <c r="J265" s="19"/>
      <c r="K265" s="19"/>
      <c r="L265" s="225"/>
      <c r="M265" s="226"/>
      <c r="N265" s="226"/>
      <c r="O265" s="227"/>
      <c r="P265" s="19"/>
      <c r="Q265" s="19"/>
      <c r="R265" s="19"/>
      <c r="S265" s="228"/>
      <c r="T265" s="228"/>
      <c r="U265" s="229"/>
      <c r="V265" s="22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</row>
    <row r="266">
      <c r="A266" s="217"/>
      <c r="B266" s="218"/>
      <c r="C266" s="219"/>
      <c r="D266" s="220"/>
      <c r="E266" s="221"/>
      <c r="F266" s="222"/>
      <c r="G266" s="223"/>
      <c r="H266" s="224"/>
      <c r="I266" s="19"/>
      <c r="J266" s="19"/>
      <c r="K266" s="19"/>
      <c r="L266" s="225"/>
      <c r="M266" s="226"/>
      <c r="N266" s="226"/>
      <c r="O266" s="227"/>
      <c r="P266" s="19"/>
      <c r="Q266" s="19"/>
      <c r="R266" s="19"/>
      <c r="S266" s="228"/>
      <c r="T266" s="228"/>
      <c r="U266" s="229"/>
      <c r="V266" s="22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>
      <c r="A267" s="217"/>
      <c r="B267" s="218"/>
      <c r="C267" s="219"/>
      <c r="D267" s="220"/>
      <c r="E267" s="221"/>
      <c r="F267" s="222"/>
      <c r="G267" s="223"/>
      <c r="H267" s="224"/>
      <c r="I267" s="19"/>
      <c r="J267" s="19"/>
      <c r="K267" s="19"/>
      <c r="L267" s="225"/>
      <c r="M267" s="226"/>
      <c r="N267" s="226"/>
      <c r="O267" s="227"/>
      <c r="P267" s="19"/>
      <c r="Q267" s="19"/>
      <c r="R267" s="19"/>
      <c r="S267" s="228"/>
      <c r="T267" s="228"/>
      <c r="U267" s="229"/>
      <c r="V267" s="22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>
      <c r="A268" s="217"/>
      <c r="B268" s="218"/>
      <c r="C268" s="219"/>
      <c r="D268" s="220"/>
      <c r="E268" s="221"/>
      <c r="F268" s="222"/>
      <c r="G268" s="223"/>
      <c r="H268" s="224"/>
      <c r="I268" s="19"/>
      <c r="J268" s="19"/>
      <c r="K268" s="19"/>
      <c r="L268" s="225"/>
      <c r="M268" s="226"/>
      <c r="N268" s="226"/>
      <c r="O268" s="227"/>
      <c r="P268" s="19"/>
      <c r="Q268" s="19"/>
      <c r="R268" s="19"/>
      <c r="S268" s="228"/>
      <c r="T268" s="228"/>
      <c r="U268" s="229"/>
      <c r="V268" s="22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>
      <c r="A269" s="217"/>
      <c r="B269" s="218"/>
      <c r="C269" s="219"/>
      <c r="D269" s="220"/>
      <c r="E269" s="221"/>
      <c r="F269" s="222"/>
      <c r="G269" s="223"/>
      <c r="H269" s="224"/>
      <c r="I269" s="19"/>
      <c r="J269" s="19"/>
      <c r="K269" s="19"/>
      <c r="L269" s="225"/>
      <c r="M269" s="226"/>
      <c r="N269" s="226"/>
      <c r="O269" s="227"/>
      <c r="P269" s="19"/>
      <c r="Q269" s="19"/>
      <c r="R269" s="19"/>
      <c r="S269" s="228"/>
      <c r="T269" s="228"/>
      <c r="U269" s="229"/>
      <c r="V269" s="22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</row>
    <row r="270">
      <c r="A270" s="217"/>
      <c r="B270" s="218"/>
      <c r="C270" s="219"/>
      <c r="D270" s="220"/>
      <c r="E270" s="221"/>
      <c r="F270" s="222"/>
      <c r="G270" s="223"/>
      <c r="H270" s="224"/>
      <c r="I270" s="19"/>
      <c r="J270" s="19"/>
      <c r="K270" s="19"/>
      <c r="L270" s="225"/>
      <c r="M270" s="226"/>
      <c r="N270" s="226"/>
      <c r="O270" s="227"/>
      <c r="P270" s="19"/>
      <c r="Q270" s="19"/>
      <c r="R270" s="19"/>
      <c r="S270" s="228"/>
      <c r="T270" s="228"/>
      <c r="U270" s="229"/>
      <c r="V270" s="22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</row>
    <row r="271">
      <c r="A271" s="217"/>
      <c r="B271" s="218"/>
      <c r="C271" s="219"/>
      <c r="D271" s="220"/>
      <c r="E271" s="221"/>
      <c r="F271" s="222"/>
      <c r="G271" s="223"/>
      <c r="H271" s="224"/>
      <c r="I271" s="19"/>
      <c r="J271" s="19"/>
      <c r="K271" s="19"/>
      <c r="L271" s="225"/>
      <c r="M271" s="226"/>
      <c r="N271" s="226"/>
      <c r="O271" s="227"/>
      <c r="P271" s="19"/>
      <c r="Q271" s="19"/>
      <c r="R271" s="19"/>
      <c r="S271" s="228"/>
      <c r="T271" s="228"/>
      <c r="U271" s="229"/>
      <c r="V271" s="22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</row>
    <row r="272">
      <c r="A272" s="217"/>
      <c r="B272" s="218"/>
      <c r="C272" s="219"/>
      <c r="D272" s="220"/>
      <c r="E272" s="221"/>
      <c r="F272" s="222"/>
      <c r="G272" s="223"/>
      <c r="H272" s="224"/>
      <c r="I272" s="19"/>
      <c r="J272" s="19"/>
      <c r="K272" s="19"/>
      <c r="L272" s="225"/>
      <c r="M272" s="226"/>
      <c r="N272" s="226"/>
      <c r="O272" s="227"/>
      <c r="P272" s="19"/>
      <c r="Q272" s="19"/>
      <c r="R272" s="19"/>
      <c r="S272" s="228"/>
      <c r="T272" s="228"/>
      <c r="U272" s="229"/>
      <c r="V272" s="22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</row>
    <row r="273">
      <c r="A273" s="217"/>
      <c r="B273" s="218"/>
      <c r="C273" s="219"/>
      <c r="D273" s="220"/>
      <c r="E273" s="221"/>
      <c r="F273" s="222"/>
      <c r="G273" s="223"/>
      <c r="H273" s="224"/>
      <c r="I273" s="19"/>
      <c r="J273" s="19"/>
      <c r="K273" s="19"/>
      <c r="L273" s="225"/>
      <c r="M273" s="226"/>
      <c r="N273" s="226"/>
      <c r="O273" s="227"/>
      <c r="P273" s="19"/>
      <c r="Q273" s="19"/>
      <c r="R273" s="19"/>
      <c r="S273" s="228"/>
      <c r="T273" s="228"/>
      <c r="U273" s="229"/>
      <c r="V273" s="22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</row>
    <row r="274">
      <c r="A274" s="217"/>
      <c r="B274" s="218"/>
      <c r="C274" s="219"/>
      <c r="D274" s="220"/>
      <c r="E274" s="221"/>
      <c r="F274" s="222"/>
      <c r="G274" s="223"/>
      <c r="H274" s="224"/>
      <c r="I274" s="19"/>
      <c r="J274" s="19"/>
      <c r="K274" s="19"/>
      <c r="L274" s="225"/>
      <c r="M274" s="226"/>
      <c r="N274" s="226"/>
      <c r="O274" s="227"/>
      <c r="P274" s="19"/>
      <c r="Q274" s="19"/>
      <c r="R274" s="19"/>
      <c r="S274" s="228"/>
      <c r="T274" s="228"/>
      <c r="U274" s="229"/>
      <c r="V274" s="22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</row>
    <row r="275">
      <c r="A275" s="217"/>
      <c r="B275" s="218"/>
      <c r="C275" s="219"/>
      <c r="D275" s="220"/>
      <c r="E275" s="221"/>
      <c r="F275" s="222"/>
      <c r="G275" s="223"/>
      <c r="H275" s="224"/>
      <c r="I275" s="19"/>
      <c r="J275" s="19"/>
      <c r="K275" s="19"/>
      <c r="L275" s="225"/>
      <c r="M275" s="226"/>
      <c r="N275" s="226"/>
      <c r="O275" s="227"/>
      <c r="P275" s="19"/>
      <c r="Q275" s="19"/>
      <c r="R275" s="19"/>
      <c r="S275" s="228"/>
      <c r="T275" s="228"/>
      <c r="U275" s="229"/>
      <c r="V275" s="22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</row>
    <row r="276">
      <c r="A276" s="217"/>
      <c r="B276" s="218"/>
      <c r="C276" s="219"/>
      <c r="D276" s="220"/>
      <c r="E276" s="221"/>
      <c r="F276" s="222"/>
      <c r="G276" s="223"/>
      <c r="H276" s="224"/>
      <c r="I276" s="19"/>
      <c r="J276" s="19"/>
      <c r="K276" s="19"/>
      <c r="L276" s="225"/>
      <c r="M276" s="226"/>
      <c r="N276" s="226"/>
      <c r="O276" s="227"/>
      <c r="P276" s="19"/>
      <c r="Q276" s="19"/>
      <c r="R276" s="19"/>
      <c r="S276" s="228"/>
      <c r="T276" s="228"/>
      <c r="U276" s="229"/>
      <c r="V276" s="22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</row>
    <row r="277">
      <c r="A277" s="217"/>
      <c r="B277" s="218"/>
      <c r="C277" s="219"/>
      <c r="D277" s="220"/>
      <c r="E277" s="221"/>
      <c r="F277" s="222"/>
      <c r="G277" s="223"/>
      <c r="H277" s="224"/>
      <c r="I277" s="19"/>
      <c r="J277" s="19"/>
      <c r="K277" s="19"/>
      <c r="L277" s="225"/>
      <c r="M277" s="226"/>
      <c r="N277" s="226"/>
      <c r="O277" s="227"/>
      <c r="P277" s="19"/>
      <c r="Q277" s="19"/>
      <c r="R277" s="19"/>
      <c r="S277" s="228"/>
      <c r="T277" s="228"/>
      <c r="U277" s="229"/>
      <c r="V277" s="22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</row>
    <row r="278">
      <c r="A278" s="217"/>
      <c r="B278" s="218"/>
      <c r="C278" s="219"/>
      <c r="D278" s="220"/>
      <c r="E278" s="221"/>
      <c r="F278" s="222"/>
      <c r="G278" s="223"/>
      <c r="H278" s="224"/>
      <c r="I278" s="19"/>
      <c r="J278" s="19"/>
      <c r="K278" s="19"/>
      <c r="L278" s="225"/>
      <c r="M278" s="226"/>
      <c r="N278" s="226"/>
      <c r="O278" s="227"/>
      <c r="P278" s="19"/>
      <c r="Q278" s="19"/>
      <c r="R278" s="19"/>
      <c r="S278" s="228"/>
      <c r="T278" s="228"/>
      <c r="U278" s="229"/>
      <c r="V278" s="22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>
      <c r="A279" s="217"/>
      <c r="B279" s="218"/>
      <c r="C279" s="219"/>
      <c r="D279" s="220"/>
      <c r="E279" s="221"/>
      <c r="F279" s="222"/>
      <c r="G279" s="223"/>
      <c r="H279" s="224"/>
      <c r="I279" s="19"/>
      <c r="J279" s="19"/>
      <c r="K279" s="19"/>
      <c r="L279" s="225"/>
      <c r="M279" s="226"/>
      <c r="N279" s="226"/>
      <c r="O279" s="227"/>
      <c r="P279" s="19"/>
      <c r="Q279" s="19"/>
      <c r="R279" s="19"/>
      <c r="S279" s="228"/>
      <c r="T279" s="228"/>
      <c r="U279" s="229"/>
      <c r="V279" s="22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>
      <c r="A280" s="217"/>
      <c r="B280" s="218"/>
      <c r="C280" s="219"/>
      <c r="D280" s="220"/>
      <c r="E280" s="221"/>
      <c r="F280" s="222"/>
      <c r="G280" s="223"/>
      <c r="H280" s="224"/>
      <c r="I280" s="19"/>
      <c r="J280" s="19"/>
      <c r="K280" s="19"/>
      <c r="L280" s="225"/>
      <c r="M280" s="226"/>
      <c r="N280" s="226"/>
      <c r="O280" s="227"/>
      <c r="P280" s="19"/>
      <c r="Q280" s="19"/>
      <c r="R280" s="19"/>
      <c r="S280" s="228"/>
      <c r="T280" s="228"/>
      <c r="U280" s="229"/>
      <c r="V280" s="22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</row>
    <row r="281">
      <c r="A281" s="217"/>
      <c r="B281" s="218"/>
      <c r="C281" s="219"/>
      <c r="D281" s="220"/>
      <c r="E281" s="221"/>
      <c r="F281" s="222"/>
      <c r="G281" s="223"/>
      <c r="H281" s="224"/>
      <c r="I281" s="19"/>
      <c r="J281" s="19"/>
      <c r="K281" s="19"/>
      <c r="L281" s="225"/>
      <c r="M281" s="226"/>
      <c r="N281" s="226"/>
      <c r="O281" s="227"/>
      <c r="P281" s="19"/>
      <c r="Q281" s="19"/>
      <c r="R281" s="19"/>
      <c r="S281" s="228"/>
      <c r="T281" s="228"/>
      <c r="U281" s="229"/>
      <c r="V281" s="22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>
      <c r="A282" s="217"/>
      <c r="B282" s="218"/>
      <c r="C282" s="219"/>
      <c r="D282" s="220"/>
      <c r="E282" s="221"/>
      <c r="F282" s="222"/>
      <c r="G282" s="223"/>
      <c r="H282" s="224"/>
      <c r="I282" s="19"/>
      <c r="J282" s="19"/>
      <c r="K282" s="19"/>
      <c r="L282" s="225"/>
      <c r="M282" s="226"/>
      <c r="N282" s="226"/>
      <c r="O282" s="227"/>
      <c r="P282" s="19"/>
      <c r="Q282" s="19"/>
      <c r="R282" s="19"/>
      <c r="S282" s="228"/>
      <c r="T282" s="228"/>
      <c r="U282" s="229"/>
      <c r="V282" s="22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</row>
    <row r="283">
      <c r="A283" s="217"/>
      <c r="B283" s="218"/>
      <c r="C283" s="219"/>
      <c r="D283" s="220"/>
      <c r="E283" s="221"/>
      <c r="F283" s="222"/>
      <c r="G283" s="223"/>
      <c r="H283" s="224"/>
      <c r="I283" s="19"/>
      <c r="J283" s="19"/>
      <c r="K283" s="19"/>
      <c r="L283" s="225"/>
      <c r="M283" s="226"/>
      <c r="N283" s="226"/>
      <c r="O283" s="227"/>
      <c r="P283" s="19"/>
      <c r="Q283" s="19"/>
      <c r="R283" s="19"/>
      <c r="S283" s="228"/>
      <c r="T283" s="228"/>
      <c r="U283" s="229"/>
      <c r="V283" s="22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>
      <c r="A284" s="217"/>
      <c r="B284" s="218"/>
      <c r="C284" s="219"/>
      <c r="D284" s="220"/>
      <c r="E284" s="221"/>
      <c r="F284" s="222"/>
      <c r="G284" s="223"/>
      <c r="H284" s="224"/>
      <c r="I284" s="19"/>
      <c r="J284" s="19"/>
      <c r="K284" s="19"/>
      <c r="L284" s="225"/>
      <c r="M284" s="226"/>
      <c r="N284" s="226"/>
      <c r="O284" s="227"/>
      <c r="P284" s="19"/>
      <c r="Q284" s="19"/>
      <c r="R284" s="19"/>
      <c r="S284" s="228"/>
      <c r="T284" s="228"/>
      <c r="U284" s="229"/>
      <c r="V284" s="22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>
      <c r="A285" s="217"/>
      <c r="B285" s="218"/>
      <c r="C285" s="219"/>
      <c r="D285" s="220"/>
      <c r="E285" s="221"/>
      <c r="F285" s="222"/>
      <c r="G285" s="223"/>
      <c r="H285" s="224"/>
      <c r="I285" s="19"/>
      <c r="J285" s="19"/>
      <c r="K285" s="19"/>
      <c r="L285" s="225"/>
      <c r="M285" s="226"/>
      <c r="N285" s="226"/>
      <c r="O285" s="227"/>
      <c r="P285" s="19"/>
      <c r="Q285" s="19"/>
      <c r="R285" s="19"/>
      <c r="S285" s="228"/>
      <c r="T285" s="228"/>
      <c r="U285" s="229"/>
      <c r="V285" s="22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>
      <c r="A286" s="217"/>
      <c r="B286" s="218"/>
      <c r="C286" s="219"/>
      <c r="D286" s="220"/>
      <c r="E286" s="221"/>
      <c r="F286" s="222"/>
      <c r="G286" s="223"/>
      <c r="H286" s="224"/>
      <c r="I286" s="19"/>
      <c r="J286" s="19"/>
      <c r="K286" s="19"/>
      <c r="L286" s="225"/>
      <c r="M286" s="226"/>
      <c r="N286" s="226"/>
      <c r="O286" s="227"/>
      <c r="P286" s="19"/>
      <c r="Q286" s="19"/>
      <c r="R286" s="19"/>
      <c r="S286" s="228"/>
      <c r="T286" s="228"/>
      <c r="U286" s="229"/>
      <c r="V286" s="22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</row>
    <row r="287">
      <c r="A287" s="217"/>
      <c r="B287" s="218"/>
      <c r="C287" s="219"/>
      <c r="D287" s="220"/>
      <c r="E287" s="221"/>
      <c r="F287" s="222"/>
      <c r="G287" s="223"/>
      <c r="H287" s="224"/>
      <c r="I287" s="19"/>
      <c r="J287" s="19"/>
      <c r="K287" s="19"/>
      <c r="L287" s="225"/>
      <c r="M287" s="226"/>
      <c r="N287" s="226"/>
      <c r="O287" s="227"/>
      <c r="P287" s="19"/>
      <c r="Q287" s="19"/>
      <c r="R287" s="19"/>
      <c r="S287" s="228"/>
      <c r="T287" s="228"/>
      <c r="U287" s="229"/>
      <c r="V287" s="22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</row>
    <row r="288">
      <c r="A288" s="217"/>
      <c r="B288" s="218"/>
      <c r="C288" s="219"/>
      <c r="D288" s="220"/>
      <c r="E288" s="221"/>
      <c r="F288" s="222"/>
      <c r="G288" s="223"/>
      <c r="H288" s="224"/>
      <c r="I288" s="19"/>
      <c r="J288" s="19"/>
      <c r="K288" s="19"/>
      <c r="L288" s="225"/>
      <c r="M288" s="226"/>
      <c r="N288" s="226"/>
      <c r="O288" s="227"/>
      <c r="P288" s="19"/>
      <c r="Q288" s="19"/>
      <c r="R288" s="19"/>
      <c r="S288" s="228"/>
      <c r="T288" s="228"/>
      <c r="U288" s="229"/>
      <c r="V288" s="22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</row>
    <row r="289">
      <c r="A289" s="217"/>
      <c r="B289" s="218"/>
      <c r="C289" s="219"/>
      <c r="D289" s="220"/>
      <c r="E289" s="221"/>
      <c r="F289" s="222"/>
      <c r="G289" s="223"/>
      <c r="H289" s="224"/>
      <c r="I289" s="19"/>
      <c r="J289" s="19"/>
      <c r="K289" s="19"/>
      <c r="L289" s="225"/>
      <c r="M289" s="226"/>
      <c r="N289" s="226"/>
      <c r="O289" s="227"/>
      <c r="P289" s="19"/>
      <c r="Q289" s="19"/>
      <c r="R289" s="19"/>
      <c r="S289" s="228"/>
      <c r="T289" s="228"/>
      <c r="U289" s="229"/>
      <c r="V289" s="22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>
      <c r="A290" s="217"/>
      <c r="B290" s="218"/>
      <c r="C290" s="219"/>
      <c r="D290" s="220"/>
      <c r="E290" s="221"/>
      <c r="F290" s="222"/>
      <c r="G290" s="223"/>
      <c r="H290" s="224"/>
      <c r="I290" s="19"/>
      <c r="J290" s="19"/>
      <c r="K290" s="19"/>
      <c r="L290" s="225"/>
      <c r="M290" s="226"/>
      <c r="N290" s="226"/>
      <c r="O290" s="227"/>
      <c r="P290" s="19"/>
      <c r="Q290" s="19"/>
      <c r="R290" s="19"/>
      <c r="S290" s="228"/>
      <c r="T290" s="228"/>
      <c r="U290" s="229"/>
      <c r="V290" s="22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</row>
    <row r="291">
      <c r="A291" s="217"/>
      <c r="B291" s="218"/>
      <c r="C291" s="219"/>
      <c r="D291" s="220"/>
      <c r="E291" s="221"/>
      <c r="F291" s="222"/>
      <c r="G291" s="223"/>
      <c r="H291" s="224"/>
      <c r="I291" s="19"/>
      <c r="J291" s="19"/>
      <c r="K291" s="19"/>
      <c r="L291" s="225"/>
      <c r="M291" s="226"/>
      <c r="N291" s="226"/>
      <c r="O291" s="227"/>
      <c r="P291" s="19"/>
      <c r="Q291" s="19"/>
      <c r="R291" s="19"/>
      <c r="S291" s="228"/>
      <c r="T291" s="228"/>
      <c r="U291" s="229"/>
      <c r="V291" s="22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</row>
    <row r="292">
      <c r="A292" s="217"/>
      <c r="B292" s="218"/>
      <c r="C292" s="219"/>
      <c r="D292" s="220"/>
      <c r="E292" s="221"/>
      <c r="F292" s="222"/>
      <c r="G292" s="223"/>
      <c r="H292" s="224"/>
      <c r="I292" s="19"/>
      <c r="J292" s="19"/>
      <c r="K292" s="19"/>
      <c r="L292" s="225"/>
      <c r="M292" s="226"/>
      <c r="N292" s="226"/>
      <c r="O292" s="227"/>
      <c r="P292" s="19"/>
      <c r="Q292" s="19"/>
      <c r="R292" s="19"/>
      <c r="S292" s="228"/>
      <c r="T292" s="228"/>
      <c r="U292" s="229"/>
      <c r="V292" s="22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</row>
    <row r="293">
      <c r="A293" s="217"/>
      <c r="B293" s="218"/>
      <c r="C293" s="219"/>
      <c r="D293" s="220"/>
      <c r="E293" s="221"/>
      <c r="F293" s="222"/>
      <c r="G293" s="223"/>
      <c r="H293" s="224"/>
      <c r="I293" s="19"/>
      <c r="J293" s="19"/>
      <c r="K293" s="19"/>
      <c r="L293" s="225"/>
      <c r="M293" s="226"/>
      <c r="N293" s="226"/>
      <c r="O293" s="227"/>
      <c r="P293" s="19"/>
      <c r="Q293" s="19"/>
      <c r="R293" s="19"/>
      <c r="S293" s="228"/>
      <c r="T293" s="228"/>
      <c r="U293" s="229"/>
      <c r="V293" s="22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</row>
    <row r="294">
      <c r="A294" s="217"/>
      <c r="B294" s="218"/>
      <c r="C294" s="219"/>
      <c r="D294" s="220"/>
      <c r="E294" s="221"/>
      <c r="F294" s="222"/>
      <c r="G294" s="223"/>
      <c r="H294" s="224"/>
      <c r="I294" s="19"/>
      <c r="J294" s="19"/>
      <c r="K294" s="19"/>
      <c r="L294" s="225"/>
      <c r="M294" s="226"/>
      <c r="N294" s="226"/>
      <c r="O294" s="227"/>
      <c r="P294" s="19"/>
      <c r="Q294" s="19"/>
      <c r="R294" s="19"/>
      <c r="S294" s="228"/>
      <c r="T294" s="228"/>
      <c r="U294" s="229"/>
      <c r="V294" s="22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>
      <c r="A295" s="217"/>
      <c r="B295" s="218"/>
      <c r="C295" s="219"/>
      <c r="D295" s="220"/>
      <c r="E295" s="221"/>
      <c r="F295" s="222"/>
      <c r="G295" s="223"/>
      <c r="H295" s="224"/>
      <c r="I295" s="19"/>
      <c r="J295" s="19"/>
      <c r="K295" s="19"/>
      <c r="L295" s="225"/>
      <c r="M295" s="226"/>
      <c r="N295" s="226"/>
      <c r="O295" s="227"/>
      <c r="P295" s="19"/>
      <c r="Q295" s="19"/>
      <c r="R295" s="19"/>
      <c r="S295" s="228"/>
      <c r="T295" s="228"/>
      <c r="U295" s="229"/>
      <c r="V295" s="22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</row>
    <row r="296">
      <c r="A296" s="217"/>
      <c r="B296" s="218"/>
      <c r="C296" s="219"/>
      <c r="D296" s="220"/>
      <c r="E296" s="221"/>
      <c r="F296" s="222"/>
      <c r="G296" s="223"/>
      <c r="H296" s="224"/>
      <c r="I296" s="19"/>
      <c r="J296" s="19"/>
      <c r="K296" s="19"/>
      <c r="L296" s="225"/>
      <c r="M296" s="226"/>
      <c r="N296" s="226"/>
      <c r="O296" s="227"/>
      <c r="P296" s="19"/>
      <c r="Q296" s="19"/>
      <c r="R296" s="19"/>
      <c r="S296" s="228"/>
      <c r="T296" s="228"/>
      <c r="U296" s="229"/>
      <c r="V296" s="22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</row>
    <row r="297">
      <c r="A297" s="217"/>
      <c r="B297" s="218"/>
      <c r="C297" s="219"/>
      <c r="D297" s="220"/>
      <c r="E297" s="221"/>
      <c r="F297" s="222"/>
      <c r="G297" s="223"/>
      <c r="H297" s="224"/>
      <c r="I297" s="19"/>
      <c r="J297" s="19"/>
      <c r="K297" s="19"/>
      <c r="L297" s="225"/>
      <c r="M297" s="226"/>
      <c r="N297" s="226"/>
      <c r="O297" s="227"/>
      <c r="P297" s="19"/>
      <c r="Q297" s="19"/>
      <c r="R297" s="19"/>
      <c r="S297" s="228"/>
      <c r="T297" s="228"/>
      <c r="U297" s="229"/>
      <c r="V297" s="22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</row>
    <row r="298">
      <c r="A298" s="217"/>
      <c r="B298" s="218"/>
      <c r="C298" s="219"/>
      <c r="D298" s="220"/>
      <c r="E298" s="221"/>
      <c r="F298" s="222"/>
      <c r="G298" s="223"/>
      <c r="H298" s="224"/>
      <c r="I298" s="19"/>
      <c r="J298" s="19"/>
      <c r="K298" s="19"/>
      <c r="L298" s="225"/>
      <c r="M298" s="226"/>
      <c r="N298" s="226"/>
      <c r="O298" s="227"/>
      <c r="P298" s="19"/>
      <c r="Q298" s="19"/>
      <c r="R298" s="19"/>
      <c r="S298" s="228"/>
      <c r="T298" s="228"/>
      <c r="U298" s="229"/>
      <c r="V298" s="22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</row>
    <row r="299">
      <c r="A299" s="217"/>
      <c r="B299" s="218"/>
      <c r="C299" s="219"/>
      <c r="D299" s="220"/>
      <c r="E299" s="221"/>
      <c r="F299" s="222"/>
      <c r="G299" s="223"/>
      <c r="H299" s="224"/>
      <c r="I299" s="19"/>
      <c r="J299" s="19"/>
      <c r="K299" s="19"/>
      <c r="L299" s="225"/>
      <c r="M299" s="226"/>
      <c r="N299" s="226"/>
      <c r="O299" s="227"/>
      <c r="P299" s="19"/>
      <c r="Q299" s="19"/>
      <c r="R299" s="19"/>
      <c r="S299" s="228"/>
      <c r="T299" s="228"/>
      <c r="U299" s="229"/>
      <c r="V299" s="22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</row>
    <row r="300">
      <c r="A300" s="217"/>
      <c r="B300" s="218"/>
      <c r="C300" s="219"/>
      <c r="D300" s="220"/>
      <c r="E300" s="221"/>
      <c r="F300" s="222"/>
      <c r="G300" s="223"/>
      <c r="H300" s="224"/>
      <c r="I300" s="19"/>
      <c r="J300" s="19"/>
      <c r="K300" s="19"/>
      <c r="L300" s="225"/>
      <c r="M300" s="226"/>
      <c r="N300" s="226"/>
      <c r="O300" s="227"/>
      <c r="P300" s="19"/>
      <c r="Q300" s="19"/>
      <c r="R300" s="19"/>
      <c r="S300" s="228"/>
      <c r="T300" s="228"/>
      <c r="U300" s="229"/>
      <c r="V300" s="22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>
      <c r="A301" s="217"/>
      <c r="B301" s="218"/>
      <c r="C301" s="219"/>
      <c r="D301" s="220"/>
      <c r="E301" s="221"/>
      <c r="F301" s="222"/>
      <c r="G301" s="223"/>
      <c r="H301" s="224"/>
      <c r="I301" s="19"/>
      <c r="J301" s="19"/>
      <c r="K301" s="19"/>
      <c r="L301" s="225"/>
      <c r="M301" s="226"/>
      <c r="N301" s="226"/>
      <c r="O301" s="227"/>
      <c r="P301" s="19"/>
      <c r="Q301" s="19"/>
      <c r="R301" s="19"/>
      <c r="S301" s="228"/>
      <c r="T301" s="228"/>
      <c r="U301" s="229"/>
      <c r="V301" s="22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</row>
    <row r="302">
      <c r="A302" s="217"/>
      <c r="B302" s="218"/>
      <c r="C302" s="219"/>
      <c r="D302" s="220"/>
      <c r="E302" s="221"/>
      <c r="F302" s="222"/>
      <c r="G302" s="223"/>
      <c r="H302" s="224"/>
      <c r="I302" s="19"/>
      <c r="J302" s="19"/>
      <c r="K302" s="19"/>
      <c r="L302" s="225"/>
      <c r="M302" s="226"/>
      <c r="N302" s="226"/>
      <c r="O302" s="227"/>
      <c r="P302" s="19"/>
      <c r="Q302" s="19"/>
      <c r="R302" s="19"/>
      <c r="S302" s="228"/>
      <c r="T302" s="228"/>
      <c r="U302" s="229"/>
      <c r="V302" s="22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>
      <c r="A303" s="217"/>
      <c r="B303" s="218"/>
      <c r="C303" s="219"/>
      <c r="D303" s="220"/>
      <c r="E303" s="221"/>
      <c r="F303" s="222"/>
      <c r="G303" s="223"/>
      <c r="H303" s="224"/>
      <c r="I303" s="19"/>
      <c r="J303" s="19"/>
      <c r="K303" s="19"/>
      <c r="L303" s="225"/>
      <c r="M303" s="226"/>
      <c r="N303" s="226"/>
      <c r="O303" s="227"/>
      <c r="P303" s="19"/>
      <c r="Q303" s="19"/>
      <c r="R303" s="19"/>
      <c r="S303" s="228"/>
      <c r="T303" s="228"/>
      <c r="U303" s="229"/>
      <c r="V303" s="22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</row>
    <row r="304">
      <c r="A304" s="217"/>
      <c r="B304" s="218"/>
      <c r="C304" s="219"/>
      <c r="D304" s="220"/>
      <c r="E304" s="221"/>
      <c r="F304" s="222"/>
      <c r="G304" s="223"/>
      <c r="H304" s="224"/>
      <c r="I304" s="19"/>
      <c r="J304" s="19"/>
      <c r="K304" s="19"/>
      <c r="L304" s="225"/>
      <c r="M304" s="226"/>
      <c r="N304" s="226"/>
      <c r="O304" s="227"/>
      <c r="P304" s="19"/>
      <c r="Q304" s="19"/>
      <c r="R304" s="19"/>
      <c r="S304" s="228"/>
      <c r="T304" s="228"/>
      <c r="U304" s="229"/>
      <c r="V304" s="22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>
      <c r="A305" s="217"/>
      <c r="B305" s="218"/>
      <c r="C305" s="219"/>
      <c r="D305" s="220"/>
      <c r="E305" s="221"/>
      <c r="F305" s="222"/>
      <c r="G305" s="223"/>
      <c r="H305" s="224"/>
      <c r="I305" s="19"/>
      <c r="J305" s="19"/>
      <c r="K305" s="19"/>
      <c r="L305" s="225"/>
      <c r="M305" s="226"/>
      <c r="N305" s="226"/>
      <c r="O305" s="227"/>
      <c r="P305" s="19"/>
      <c r="Q305" s="19"/>
      <c r="R305" s="19"/>
      <c r="S305" s="228"/>
      <c r="T305" s="228"/>
      <c r="U305" s="229"/>
      <c r="V305" s="22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</row>
    <row r="306">
      <c r="A306" s="217"/>
      <c r="B306" s="218"/>
      <c r="C306" s="219"/>
      <c r="D306" s="220"/>
      <c r="E306" s="221"/>
      <c r="F306" s="222"/>
      <c r="G306" s="223"/>
      <c r="H306" s="224"/>
      <c r="I306" s="19"/>
      <c r="J306" s="19"/>
      <c r="K306" s="19"/>
      <c r="L306" s="225"/>
      <c r="M306" s="226"/>
      <c r="N306" s="226"/>
      <c r="O306" s="227"/>
      <c r="P306" s="19"/>
      <c r="Q306" s="19"/>
      <c r="R306" s="19"/>
      <c r="S306" s="228"/>
      <c r="T306" s="228"/>
      <c r="U306" s="229"/>
      <c r="V306" s="22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</row>
    <row r="307">
      <c r="A307" s="217"/>
      <c r="B307" s="218"/>
      <c r="C307" s="219"/>
      <c r="D307" s="220"/>
      <c r="E307" s="221"/>
      <c r="F307" s="222"/>
      <c r="G307" s="223"/>
      <c r="H307" s="224"/>
      <c r="I307" s="19"/>
      <c r="J307" s="19"/>
      <c r="K307" s="19"/>
      <c r="L307" s="225"/>
      <c r="M307" s="226"/>
      <c r="N307" s="226"/>
      <c r="O307" s="227"/>
      <c r="P307" s="19"/>
      <c r="Q307" s="19"/>
      <c r="R307" s="19"/>
      <c r="S307" s="228"/>
      <c r="T307" s="228"/>
      <c r="U307" s="229"/>
      <c r="V307" s="22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>
      <c r="A308" s="217"/>
      <c r="B308" s="218"/>
      <c r="C308" s="219"/>
      <c r="D308" s="220"/>
      <c r="E308" s="221"/>
      <c r="F308" s="222"/>
      <c r="G308" s="223"/>
      <c r="H308" s="224"/>
      <c r="I308" s="19"/>
      <c r="J308" s="19"/>
      <c r="K308" s="19"/>
      <c r="L308" s="225"/>
      <c r="M308" s="226"/>
      <c r="N308" s="226"/>
      <c r="O308" s="227"/>
      <c r="P308" s="19"/>
      <c r="Q308" s="19"/>
      <c r="R308" s="19"/>
      <c r="S308" s="228"/>
      <c r="T308" s="228"/>
      <c r="U308" s="229"/>
      <c r="V308" s="22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</row>
    <row r="309">
      <c r="A309" s="217"/>
      <c r="B309" s="218"/>
      <c r="C309" s="219"/>
      <c r="D309" s="220"/>
      <c r="E309" s="221"/>
      <c r="F309" s="222"/>
      <c r="G309" s="223"/>
      <c r="H309" s="224"/>
      <c r="I309" s="19"/>
      <c r="J309" s="19"/>
      <c r="K309" s="19"/>
      <c r="L309" s="225"/>
      <c r="M309" s="226"/>
      <c r="N309" s="226"/>
      <c r="O309" s="227"/>
      <c r="P309" s="19"/>
      <c r="Q309" s="19"/>
      <c r="R309" s="19"/>
      <c r="S309" s="228"/>
      <c r="T309" s="228"/>
      <c r="U309" s="229"/>
      <c r="V309" s="22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>
      <c r="A310" s="217"/>
      <c r="B310" s="218"/>
      <c r="C310" s="219"/>
      <c r="D310" s="220"/>
      <c r="E310" s="221"/>
      <c r="F310" s="222"/>
      <c r="G310" s="223"/>
      <c r="H310" s="224"/>
      <c r="I310" s="19"/>
      <c r="J310" s="19"/>
      <c r="K310" s="19"/>
      <c r="L310" s="225"/>
      <c r="M310" s="226"/>
      <c r="N310" s="226"/>
      <c r="O310" s="227"/>
      <c r="P310" s="19"/>
      <c r="Q310" s="19"/>
      <c r="R310" s="19"/>
      <c r="S310" s="228"/>
      <c r="T310" s="228"/>
      <c r="U310" s="229"/>
      <c r="V310" s="22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</row>
    <row r="311">
      <c r="A311" s="217"/>
      <c r="B311" s="218"/>
      <c r="C311" s="219"/>
      <c r="D311" s="220"/>
      <c r="E311" s="221"/>
      <c r="F311" s="222"/>
      <c r="G311" s="223"/>
      <c r="H311" s="224"/>
      <c r="I311" s="19"/>
      <c r="J311" s="19"/>
      <c r="K311" s="19"/>
      <c r="L311" s="225"/>
      <c r="M311" s="226"/>
      <c r="N311" s="226"/>
      <c r="O311" s="227"/>
      <c r="P311" s="19"/>
      <c r="Q311" s="19"/>
      <c r="R311" s="19"/>
      <c r="S311" s="228"/>
      <c r="T311" s="228"/>
      <c r="U311" s="229"/>
      <c r="V311" s="22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>
      <c r="A312" s="217"/>
      <c r="B312" s="218"/>
      <c r="C312" s="219"/>
      <c r="D312" s="220"/>
      <c r="E312" s="221"/>
      <c r="F312" s="222"/>
      <c r="G312" s="223"/>
      <c r="H312" s="224"/>
      <c r="I312" s="19"/>
      <c r="J312" s="19"/>
      <c r="K312" s="19"/>
      <c r="L312" s="225"/>
      <c r="M312" s="226"/>
      <c r="N312" s="226"/>
      <c r="O312" s="227"/>
      <c r="P312" s="19"/>
      <c r="Q312" s="19"/>
      <c r="R312" s="19"/>
      <c r="S312" s="228"/>
      <c r="T312" s="228"/>
      <c r="U312" s="229"/>
      <c r="V312" s="22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</row>
    <row r="313">
      <c r="A313" s="217"/>
      <c r="B313" s="218"/>
      <c r="C313" s="219"/>
      <c r="D313" s="220"/>
      <c r="E313" s="221"/>
      <c r="F313" s="222"/>
      <c r="G313" s="223"/>
      <c r="H313" s="224"/>
      <c r="I313" s="19"/>
      <c r="J313" s="19"/>
      <c r="K313" s="19"/>
      <c r="L313" s="225"/>
      <c r="M313" s="226"/>
      <c r="N313" s="226"/>
      <c r="O313" s="227"/>
      <c r="P313" s="19"/>
      <c r="Q313" s="19"/>
      <c r="R313" s="19"/>
      <c r="S313" s="228"/>
      <c r="T313" s="228"/>
      <c r="U313" s="229"/>
      <c r="V313" s="22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</row>
    <row r="314">
      <c r="A314" s="217"/>
      <c r="B314" s="218"/>
      <c r="C314" s="219"/>
      <c r="D314" s="220"/>
      <c r="E314" s="221"/>
      <c r="F314" s="222"/>
      <c r="G314" s="223"/>
      <c r="H314" s="224"/>
      <c r="I314" s="19"/>
      <c r="J314" s="19"/>
      <c r="K314" s="19"/>
      <c r="L314" s="225"/>
      <c r="M314" s="226"/>
      <c r="N314" s="226"/>
      <c r="O314" s="227"/>
      <c r="P314" s="19"/>
      <c r="Q314" s="19"/>
      <c r="R314" s="19"/>
      <c r="S314" s="228"/>
      <c r="T314" s="228"/>
      <c r="U314" s="229"/>
      <c r="V314" s="22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</row>
    <row r="315">
      <c r="A315" s="217"/>
      <c r="B315" s="218"/>
      <c r="C315" s="219"/>
      <c r="D315" s="220"/>
      <c r="E315" s="221"/>
      <c r="F315" s="222"/>
      <c r="G315" s="223"/>
      <c r="H315" s="224"/>
      <c r="I315" s="19"/>
      <c r="J315" s="19"/>
      <c r="K315" s="19"/>
      <c r="L315" s="225"/>
      <c r="M315" s="226"/>
      <c r="N315" s="226"/>
      <c r="O315" s="227"/>
      <c r="P315" s="19"/>
      <c r="Q315" s="19"/>
      <c r="R315" s="19"/>
      <c r="S315" s="228"/>
      <c r="T315" s="228"/>
      <c r="U315" s="229"/>
      <c r="V315" s="22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</row>
    <row r="316">
      <c r="A316" s="217"/>
      <c r="B316" s="218"/>
      <c r="C316" s="219"/>
      <c r="D316" s="220"/>
      <c r="E316" s="221"/>
      <c r="F316" s="222"/>
      <c r="G316" s="223"/>
      <c r="H316" s="224"/>
      <c r="I316" s="19"/>
      <c r="J316" s="19"/>
      <c r="K316" s="19"/>
      <c r="L316" s="225"/>
      <c r="M316" s="226"/>
      <c r="N316" s="226"/>
      <c r="O316" s="227"/>
      <c r="P316" s="19"/>
      <c r="Q316" s="19"/>
      <c r="R316" s="19"/>
      <c r="S316" s="228"/>
      <c r="T316" s="228"/>
      <c r="U316" s="229"/>
      <c r="V316" s="22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</row>
    <row r="317">
      <c r="A317" s="217"/>
      <c r="B317" s="218"/>
      <c r="C317" s="219"/>
      <c r="D317" s="220"/>
      <c r="E317" s="221"/>
      <c r="F317" s="222"/>
      <c r="G317" s="223"/>
      <c r="H317" s="224"/>
      <c r="I317" s="19"/>
      <c r="J317" s="19"/>
      <c r="K317" s="19"/>
      <c r="L317" s="225"/>
      <c r="M317" s="226"/>
      <c r="N317" s="226"/>
      <c r="O317" s="227"/>
      <c r="P317" s="19"/>
      <c r="Q317" s="19"/>
      <c r="R317" s="19"/>
      <c r="S317" s="228"/>
      <c r="T317" s="228"/>
      <c r="U317" s="229"/>
      <c r="V317" s="22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</row>
    <row r="318">
      <c r="A318" s="217"/>
      <c r="B318" s="218"/>
      <c r="C318" s="219"/>
      <c r="D318" s="220"/>
      <c r="E318" s="221"/>
      <c r="F318" s="222"/>
      <c r="G318" s="223"/>
      <c r="H318" s="224"/>
      <c r="I318" s="19"/>
      <c r="J318" s="19"/>
      <c r="K318" s="19"/>
      <c r="L318" s="225"/>
      <c r="M318" s="226"/>
      <c r="N318" s="226"/>
      <c r="O318" s="227"/>
      <c r="P318" s="19"/>
      <c r="Q318" s="19"/>
      <c r="R318" s="19"/>
      <c r="S318" s="228"/>
      <c r="T318" s="228"/>
      <c r="U318" s="229"/>
      <c r="V318" s="22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</row>
    <row r="319">
      <c r="A319" s="217"/>
      <c r="B319" s="218"/>
      <c r="C319" s="219"/>
      <c r="D319" s="220"/>
      <c r="E319" s="221"/>
      <c r="F319" s="222"/>
      <c r="G319" s="223"/>
      <c r="H319" s="224"/>
      <c r="I319" s="19"/>
      <c r="J319" s="19"/>
      <c r="K319" s="19"/>
      <c r="L319" s="225"/>
      <c r="M319" s="226"/>
      <c r="N319" s="226"/>
      <c r="O319" s="227"/>
      <c r="P319" s="19"/>
      <c r="Q319" s="19"/>
      <c r="R319" s="19"/>
      <c r="S319" s="228"/>
      <c r="T319" s="228"/>
      <c r="U319" s="229"/>
      <c r="V319" s="22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</row>
    <row r="320">
      <c r="A320" s="217"/>
      <c r="B320" s="218"/>
      <c r="C320" s="219"/>
      <c r="D320" s="220"/>
      <c r="E320" s="221"/>
      <c r="F320" s="222"/>
      <c r="G320" s="223"/>
      <c r="H320" s="224"/>
      <c r="I320" s="19"/>
      <c r="J320" s="19"/>
      <c r="K320" s="19"/>
      <c r="L320" s="225"/>
      <c r="M320" s="226"/>
      <c r="N320" s="226"/>
      <c r="O320" s="227"/>
      <c r="P320" s="19"/>
      <c r="Q320" s="19"/>
      <c r="R320" s="19"/>
      <c r="S320" s="228"/>
      <c r="T320" s="228"/>
      <c r="U320" s="229"/>
      <c r="V320" s="22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</row>
    <row r="321">
      <c r="A321" s="217"/>
      <c r="B321" s="218"/>
      <c r="C321" s="219"/>
      <c r="D321" s="220"/>
      <c r="E321" s="221"/>
      <c r="F321" s="222"/>
      <c r="G321" s="223"/>
      <c r="H321" s="224"/>
      <c r="I321" s="19"/>
      <c r="J321" s="19"/>
      <c r="K321" s="19"/>
      <c r="L321" s="225"/>
      <c r="M321" s="226"/>
      <c r="N321" s="226"/>
      <c r="O321" s="227"/>
      <c r="P321" s="19"/>
      <c r="Q321" s="19"/>
      <c r="R321" s="19"/>
      <c r="S321" s="228"/>
      <c r="T321" s="228"/>
      <c r="U321" s="229"/>
      <c r="V321" s="22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>
      <c r="A322" s="217"/>
      <c r="B322" s="218"/>
      <c r="C322" s="219"/>
      <c r="D322" s="220"/>
      <c r="E322" s="221"/>
      <c r="F322" s="222"/>
      <c r="G322" s="223"/>
      <c r="H322" s="224"/>
      <c r="I322" s="19"/>
      <c r="J322" s="19"/>
      <c r="K322" s="19"/>
      <c r="L322" s="225"/>
      <c r="M322" s="226"/>
      <c r="N322" s="226"/>
      <c r="O322" s="227"/>
      <c r="P322" s="19"/>
      <c r="Q322" s="19"/>
      <c r="R322" s="19"/>
      <c r="S322" s="228"/>
      <c r="T322" s="228"/>
      <c r="U322" s="229"/>
      <c r="V322" s="22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>
      <c r="A323" s="217"/>
      <c r="B323" s="218"/>
      <c r="C323" s="219"/>
      <c r="D323" s="220"/>
      <c r="E323" s="221"/>
      <c r="F323" s="222"/>
      <c r="G323" s="223"/>
      <c r="H323" s="224"/>
      <c r="I323" s="19"/>
      <c r="J323" s="19"/>
      <c r="K323" s="19"/>
      <c r="L323" s="225"/>
      <c r="M323" s="226"/>
      <c r="N323" s="226"/>
      <c r="O323" s="227"/>
      <c r="P323" s="19"/>
      <c r="Q323" s="19"/>
      <c r="R323" s="19"/>
      <c r="S323" s="228"/>
      <c r="T323" s="228"/>
      <c r="U323" s="229"/>
      <c r="V323" s="22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</row>
    <row r="324">
      <c r="A324" s="217"/>
      <c r="B324" s="218"/>
      <c r="C324" s="219"/>
      <c r="D324" s="220"/>
      <c r="E324" s="221"/>
      <c r="F324" s="222"/>
      <c r="G324" s="223"/>
      <c r="H324" s="224"/>
      <c r="I324" s="19"/>
      <c r="J324" s="19"/>
      <c r="K324" s="19"/>
      <c r="L324" s="225"/>
      <c r="M324" s="226"/>
      <c r="N324" s="226"/>
      <c r="O324" s="227"/>
      <c r="P324" s="19"/>
      <c r="Q324" s="19"/>
      <c r="R324" s="19"/>
      <c r="S324" s="228"/>
      <c r="T324" s="228"/>
      <c r="U324" s="229"/>
      <c r="V324" s="22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</row>
    <row r="325">
      <c r="A325" s="217"/>
      <c r="B325" s="218"/>
      <c r="C325" s="219"/>
      <c r="D325" s="220"/>
      <c r="E325" s="221"/>
      <c r="F325" s="222"/>
      <c r="G325" s="223"/>
      <c r="H325" s="224"/>
      <c r="I325" s="19"/>
      <c r="J325" s="19"/>
      <c r="K325" s="19"/>
      <c r="L325" s="225"/>
      <c r="M325" s="226"/>
      <c r="N325" s="226"/>
      <c r="O325" s="227"/>
      <c r="P325" s="19"/>
      <c r="Q325" s="19"/>
      <c r="R325" s="19"/>
      <c r="S325" s="228"/>
      <c r="T325" s="228"/>
      <c r="U325" s="229"/>
      <c r="V325" s="22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</row>
    <row r="326">
      <c r="A326" s="217"/>
      <c r="B326" s="218"/>
      <c r="C326" s="219"/>
      <c r="D326" s="220"/>
      <c r="E326" s="221"/>
      <c r="F326" s="222"/>
      <c r="G326" s="223"/>
      <c r="H326" s="224"/>
      <c r="I326" s="19"/>
      <c r="J326" s="19"/>
      <c r="K326" s="19"/>
      <c r="L326" s="225"/>
      <c r="M326" s="226"/>
      <c r="N326" s="226"/>
      <c r="O326" s="227"/>
      <c r="P326" s="19"/>
      <c r="Q326" s="19"/>
      <c r="R326" s="19"/>
      <c r="S326" s="228"/>
      <c r="T326" s="228"/>
      <c r="U326" s="229"/>
      <c r="V326" s="22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</row>
    <row r="327">
      <c r="A327" s="217"/>
      <c r="B327" s="218"/>
      <c r="C327" s="219"/>
      <c r="D327" s="220"/>
      <c r="E327" s="221"/>
      <c r="F327" s="222"/>
      <c r="G327" s="223"/>
      <c r="H327" s="224"/>
      <c r="I327" s="19"/>
      <c r="J327" s="19"/>
      <c r="K327" s="19"/>
      <c r="L327" s="225"/>
      <c r="M327" s="226"/>
      <c r="N327" s="226"/>
      <c r="O327" s="227"/>
      <c r="P327" s="19"/>
      <c r="Q327" s="19"/>
      <c r="R327" s="19"/>
      <c r="S327" s="228"/>
      <c r="T327" s="228"/>
      <c r="U327" s="229"/>
      <c r="V327" s="22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</row>
    <row r="328">
      <c r="A328" s="217"/>
      <c r="B328" s="218"/>
      <c r="C328" s="219"/>
      <c r="D328" s="220"/>
      <c r="E328" s="221"/>
      <c r="F328" s="222"/>
      <c r="G328" s="223"/>
      <c r="H328" s="224"/>
      <c r="I328" s="19"/>
      <c r="J328" s="19"/>
      <c r="K328" s="19"/>
      <c r="L328" s="225"/>
      <c r="M328" s="226"/>
      <c r="N328" s="226"/>
      <c r="O328" s="227"/>
      <c r="P328" s="19"/>
      <c r="Q328" s="19"/>
      <c r="R328" s="19"/>
      <c r="S328" s="228"/>
      <c r="T328" s="228"/>
      <c r="U328" s="229"/>
      <c r="V328" s="22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</row>
    <row r="329">
      <c r="A329" s="217"/>
      <c r="B329" s="218"/>
      <c r="C329" s="219"/>
      <c r="D329" s="220"/>
      <c r="E329" s="221"/>
      <c r="F329" s="222"/>
      <c r="G329" s="223"/>
      <c r="H329" s="224"/>
      <c r="I329" s="19"/>
      <c r="J329" s="19"/>
      <c r="K329" s="19"/>
      <c r="L329" s="225"/>
      <c r="M329" s="226"/>
      <c r="N329" s="226"/>
      <c r="O329" s="227"/>
      <c r="P329" s="19"/>
      <c r="Q329" s="19"/>
      <c r="R329" s="19"/>
      <c r="S329" s="228"/>
      <c r="T329" s="228"/>
      <c r="U329" s="229"/>
      <c r="V329" s="22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</row>
    <row r="330">
      <c r="A330" s="217"/>
      <c r="B330" s="218"/>
      <c r="C330" s="219"/>
      <c r="D330" s="220"/>
      <c r="E330" s="221"/>
      <c r="F330" s="222"/>
      <c r="G330" s="223"/>
      <c r="H330" s="224"/>
      <c r="I330" s="19"/>
      <c r="J330" s="19"/>
      <c r="K330" s="19"/>
      <c r="L330" s="225"/>
      <c r="M330" s="226"/>
      <c r="N330" s="226"/>
      <c r="O330" s="227"/>
      <c r="P330" s="19"/>
      <c r="Q330" s="19"/>
      <c r="R330" s="19"/>
      <c r="S330" s="228"/>
      <c r="T330" s="228"/>
      <c r="U330" s="229"/>
      <c r="V330" s="22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</row>
    <row r="331">
      <c r="A331" s="217"/>
      <c r="B331" s="218"/>
      <c r="C331" s="219"/>
      <c r="D331" s="220"/>
      <c r="E331" s="221"/>
      <c r="F331" s="222"/>
      <c r="G331" s="223"/>
      <c r="H331" s="224"/>
      <c r="I331" s="19"/>
      <c r="J331" s="19"/>
      <c r="K331" s="19"/>
      <c r="L331" s="225"/>
      <c r="M331" s="226"/>
      <c r="N331" s="226"/>
      <c r="O331" s="227"/>
      <c r="P331" s="19"/>
      <c r="Q331" s="19"/>
      <c r="R331" s="19"/>
      <c r="S331" s="228"/>
      <c r="T331" s="228"/>
      <c r="U331" s="229"/>
      <c r="V331" s="22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</row>
    <row r="332">
      <c r="A332" s="217"/>
      <c r="B332" s="218"/>
      <c r="C332" s="219"/>
      <c r="D332" s="220"/>
      <c r="E332" s="221"/>
      <c r="F332" s="222"/>
      <c r="G332" s="223"/>
      <c r="H332" s="224"/>
      <c r="I332" s="19"/>
      <c r="J332" s="19"/>
      <c r="K332" s="19"/>
      <c r="L332" s="225"/>
      <c r="M332" s="226"/>
      <c r="N332" s="226"/>
      <c r="O332" s="227"/>
      <c r="P332" s="19"/>
      <c r="Q332" s="19"/>
      <c r="R332" s="19"/>
      <c r="S332" s="228"/>
      <c r="T332" s="228"/>
      <c r="U332" s="229"/>
      <c r="V332" s="22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</row>
    <row r="333">
      <c r="A333" s="217"/>
      <c r="B333" s="218"/>
      <c r="C333" s="219"/>
      <c r="D333" s="220"/>
      <c r="E333" s="221"/>
      <c r="F333" s="222"/>
      <c r="G333" s="223"/>
      <c r="H333" s="224"/>
      <c r="I333" s="19"/>
      <c r="J333" s="19"/>
      <c r="K333" s="19"/>
      <c r="L333" s="225"/>
      <c r="M333" s="226"/>
      <c r="N333" s="226"/>
      <c r="O333" s="227"/>
      <c r="P333" s="19"/>
      <c r="Q333" s="19"/>
      <c r="R333" s="19"/>
      <c r="S333" s="228"/>
      <c r="T333" s="228"/>
      <c r="U333" s="229"/>
      <c r="V333" s="22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</row>
    <row r="334">
      <c r="A334" s="217"/>
      <c r="B334" s="218"/>
      <c r="C334" s="219"/>
      <c r="D334" s="220"/>
      <c r="E334" s="221"/>
      <c r="F334" s="222"/>
      <c r="G334" s="223"/>
      <c r="H334" s="224"/>
      <c r="I334" s="19"/>
      <c r="J334" s="19"/>
      <c r="K334" s="19"/>
      <c r="L334" s="225"/>
      <c r="M334" s="226"/>
      <c r="N334" s="226"/>
      <c r="O334" s="227"/>
      <c r="P334" s="19"/>
      <c r="Q334" s="19"/>
      <c r="R334" s="19"/>
      <c r="S334" s="228"/>
      <c r="T334" s="228"/>
      <c r="U334" s="229"/>
      <c r="V334" s="22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</row>
    <row r="335">
      <c r="A335" s="217"/>
      <c r="B335" s="218"/>
      <c r="C335" s="219"/>
      <c r="D335" s="220"/>
      <c r="E335" s="221"/>
      <c r="F335" s="222"/>
      <c r="G335" s="223"/>
      <c r="H335" s="224"/>
      <c r="I335" s="19"/>
      <c r="J335" s="19"/>
      <c r="K335" s="19"/>
      <c r="L335" s="225"/>
      <c r="M335" s="226"/>
      <c r="N335" s="226"/>
      <c r="O335" s="227"/>
      <c r="P335" s="19"/>
      <c r="Q335" s="19"/>
      <c r="R335" s="19"/>
      <c r="S335" s="228"/>
      <c r="T335" s="228"/>
      <c r="U335" s="229"/>
      <c r="V335" s="22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</row>
    <row r="336">
      <c r="A336" s="217"/>
      <c r="B336" s="218"/>
      <c r="C336" s="219"/>
      <c r="D336" s="220"/>
      <c r="E336" s="221"/>
      <c r="F336" s="222"/>
      <c r="G336" s="223"/>
      <c r="H336" s="224"/>
      <c r="I336" s="19"/>
      <c r="J336" s="19"/>
      <c r="K336" s="19"/>
      <c r="L336" s="225"/>
      <c r="M336" s="226"/>
      <c r="N336" s="226"/>
      <c r="O336" s="227"/>
      <c r="P336" s="19"/>
      <c r="Q336" s="19"/>
      <c r="R336" s="19"/>
      <c r="S336" s="228"/>
      <c r="T336" s="228"/>
      <c r="U336" s="229"/>
      <c r="V336" s="22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>
      <c r="A337" s="217"/>
      <c r="B337" s="218"/>
      <c r="C337" s="219"/>
      <c r="D337" s="220"/>
      <c r="E337" s="221"/>
      <c r="F337" s="222"/>
      <c r="G337" s="223"/>
      <c r="H337" s="224"/>
      <c r="I337" s="19"/>
      <c r="J337" s="19"/>
      <c r="K337" s="19"/>
      <c r="L337" s="225"/>
      <c r="M337" s="226"/>
      <c r="N337" s="226"/>
      <c r="O337" s="227"/>
      <c r="P337" s="19"/>
      <c r="Q337" s="19"/>
      <c r="R337" s="19"/>
      <c r="S337" s="228"/>
      <c r="T337" s="228"/>
      <c r="U337" s="229"/>
      <c r="V337" s="22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</row>
    <row r="338">
      <c r="A338" s="217"/>
      <c r="B338" s="218"/>
      <c r="C338" s="219"/>
      <c r="D338" s="220"/>
      <c r="E338" s="221"/>
      <c r="F338" s="222"/>
      <c r="G338" s="223"/>
      <c r="H338" s="224"/>
      <c r="I338" s="19"/>
      <c r="J338" s="19"/>
      <c r="K338" s="19"/>
      <c r="L338" s="225"/>
      <c r="M338" s="226"/>
      <c r="N338" s="226"/>
      <c r="O338" s="227"/>
      <c r="P338" s="19"/>
      <c r="Q338" s="19"/>
      <c r="R338" s="19"/>
      <c r="S338" s="228"/>
      <c r="T338" s="228"/>
      <c r="U338" s="229"/>
      <c r="V338" s="22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</row>
    <row r="339">
      <c r="A339" s="217"/>
      <c r="B339" s="218"/>
      <c r="C339" s="219"/>
      <c r="D339" s="220"/>
      <c r="E339" s="221"/>
      <c r="F339" s="222"/>
      <c r="G339" s="223"/>
      <c r="H339" s="224"/>
      <c r="I339" s="19"/>
      <c r="J339" s="19"/>
      <c r="K339" s="19"/>
      <c r="L339" s="225"/>
      <c r="M339" s="226"/>
      <c r="N339" s="226"/>
      <c r="O339" s="227"/>
      <c r="P339" s="19"/>
      <c r="Q339" s="19"/>
      <c r="R339" s="19"/>
      <c r="S339" s="228"/>
      <c r="T339" s="228"/>
      <c r="U339" s="229"/>
      <c r="V339" s="22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</row>
    <row r="340">
      <c r="A340" s="217"/>
      <c r="B340" s="218"/>
      <c r="C340" s="219"/>
      <c r="D340" s="220"/>
      <c r="E340" s="221"/>
      <c r="F340" s="222"/>
      <c r="G340" s="223"/>
      <c r="H340" s="224"/>
      <c r="I340" s="19"/>
      <c r="J340" s="19"/>
      <c r="K340" s="19"/>
      <c r="L340" s="225"/>
      <c r="M340" s="226"/>
      <c r="N340" s="226"/>
      <c r="O340" s="227"/>
      <c r="P340" s="19"/>
      <c r="Q340" s="19"/>
      <c r="R340" s="19"/>
      <c r="S340" s="228"/>
      <c r="T340" s="228"/>
      <c r="U340" s="229"/>
      <c r="V340" s="22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</row>
    <row r="341">
      <c r="A341" s="217"/>
      <c r="B341" s="218"/>
      <c r="C341" s="219"/>
      <c r="D341" s="220"/>
      <c r="E341" s="221"/>
      <c r="F341" s="222"/>
      <c r="G341" s="223"/>
      <c r="H341" s="224"/>
      <c r="I341" s="19"/>
      <c r="J341" s="19"/>
      <c r="K341" s="19"/>
      <c r="L341" s="225"/>
      <c r="M341" s="226"/>
      <c r="N341" s="226"/>
      <c r="O341" s="227"/>
      <c r="P341" s="19"/>
      <c r="Q341" s="19"/>
      <c r="R341" s="19"/>
      <c r="S341" s="228"/>
      <c r="T341" s="228"/>
      <c r="U341" s="229"/>
      <c r="V341" s="22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</row>
    <row r="342">
      <c r="A342" s="217"/>
      <c r="B342" s="218"/>
      <c r="C342" s="219"/>
      <c r="D342" s="220"/>
      <c r="E342" s="221"/>
      <c r="F342" s="222"/>
      <c r="G342" s="223"/>
      <c r="H342" s="224"/>
      <c r="I342" s="19"/>
      <c r="J342" s="19"/>
      <c r="K342" s="19"/>
      <c r="L342" s="225"/>
      <c r="M342" s="226"/>
      <c r="N342" s="226"/>
      <c r="O342" s="227"/>
      <c r="P342" s="19"/>
      <c r="Q342" s="19"/>
      <c r="R342" s="19"/>
      <c r="S342" s="228"/>
      <c r="T342" s="228"/>
      <c r="U342" s="229"/>
      <c r="V342" s="22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</row>
    <row r="343">
      <c r="A343" s="217"/>
      <c r="B343" s="218"/>
      <c r="C343" s="219"/>
      <c r="D343" s="220"/>
      <c r="E343" s="221"/>
      <c r="F343" s="222"/>
      <c r="G343" s="223"/>
      <c r="H343" s="224"/>
      <c r="I343" s="19"/>
      <c r="J343" s="19"/>
      <c r="K343" s="19"/>
      <c r="L343" s="225"/>
      <c r="M343" s="226"/>
      <c r="N343" s="226"/>
      <c r="O343" s="227"/>
      <c r="P343" s="19"/>
      <c r="Q343" s="19"/>
      <c r="R343" s="19"/>
      <c r="S343" s="228"/>
      <c r="T343" s="228"/>
      <c r="U343" s="229"/>
      <c r="V343" s="22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</row>
    <row r="344">
      <c r="A344" s="217"/>
      <c r="B344" s="218"/>
      <c r="C344" s="219"/>
      <c r="D344" s="220"/>
      <c r="E344" s="221"/>
      <c r="F344" s="222"/>
      <c r="G344" s="223"/>
      <c r="H344" s="224"/>
      <c r="I344" s="19"/>
      <c r="J344" s="19"/>
      <c r="K344" s="19"/>
      <c r="L344" s="225"/>
      <c r="M344" s="226"/>
      <c r="N344" s="226"/>
      <c r="O344" s="227"/>
      <c r="P344" s="19"/>
      <c r="Q344" s="19"/>
      <c r="R344" s="19"/>
      <c r="S344" s="228"/>
      <c r="T344" s="228"/>
      <c r="U344" s="229"/>
      <c r="V344" s="22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</row>
    <row r="345">
      <c r="A345" s="217"/>
      <c r="B345" s="218"/>
      <c r="C345" s="219"/>
      <c r="D345" s="220"/>
      <c r="E345" s="221"/>
      <c r="F345" s="222"/>
      <c r="G345" s="223"/>
      <c r="H345" s="224"/>
      <c r="I345" s="19"/>
      <c r="J345" s="19"/>
      <c r="K345" s="19"/>
      <c r="L345" s="225"/>
      <c r="M345" s="226"/>
      <c r="N345" s="226"/>
      <c r="O345" s="227"/>
      <c r="P345" s="19"/>
      <c r="Q345" s="19"/>
      <c r="R345" s="19"/>
      <c r="S345" s="228"/>
      <c r="T345" s="228"/>
      <c r="U345" s="229"/>
      <c r="V345" s="22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>
      <c r="A346" s="217"/>
      <c r="B346" s="218"/>
      <c r="C346" s="219"/>
      <c r="D346" s="220"/>
      <c r="E346" s="221"/>
      <c r="F346" s="222"/>
      <c r="G346" s="223"/>
      <c r="H346" s="224"/>
      <c r="I346" s="19"/>
      <c r="J346" s="19"/>
      <c r="K346" s="19"/>
      <c r="L346" s="225"/>
      <c r="M346" s="226"/>
      <c r="N346" s="226"/>
      <c r="O346" s="227"/>
      <c r="P346" s="19"/>
      <c r="Q346" s="19"/>
      <c r="R346" s="19"/>
      <c r="S346" s="228"/>
      <c r="T346" s="228"/>
      <c r="U346" s="229"/>
      <c r="V346" s="22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</row>
    <row r="347">
      <c r="A347" s="217"/>
      <c r="B347" s="218"/>
      <c r="C347" s="219"/>
      <c r="D347" s="220"/>
      <c r="E347" s="221"/>
      <c r="F347" s="222"/>
      <c r="G347" s="223"/>
      <c r="H347" s="224"/>
      <c r="I347" s="19"/>
      <c r="J347" s="19"/>
      <c r="K347" s="19"/>
      <c r="L347" s="225"/>
      <c r="M347" s="226"/>
      <c r="N347" s="226"/>
      <c r="O347" s="227"/>
      <c r="P347" s="19"/>
      <c r="Q347" s="19"/>
      <c r="R347" s="19"/>
      <c r="S347" s="228"/>
      <c r="T347" s="228"/>
      <c r="U347" s="229"/>
      <c r="V347" s="22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>
      <c r="A348" s="217"/>
      <c r="B348" s="218"/>
      <c r="C348" s="219"/>
      <c r="D348" s="220"/>
      <c r="E348" s="221"/>
      <c r="F348" s="222"/>
      <c r="G348" s="223"/>
      <c r="H348" s="224"/>
      <c r="I348" s="19"/>
      <c r="J348" s="19"/>
      <c r="K348" s="19"/>
      <c r="L348" s="225"/>
      <c r="M348" s="226"/>
      <c r="N348" s="226"/>
      <c r="O348" s="227"/>
      <c r="P348" s="19"/>
      <c r="Q348" s="19"/>
      <c r="R348" s="19"/>
      <c r="S348" s="228"/>
      <c r="T348" s="228"/>
      <c r="U348" s="229"/>
      <c r="V348" s="22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</row>
    <row r="349">
      <c r="A349" s="217"/>
      <c r="B349" s="218"/>
      <c r="C349" s="219"/>
      <c r="D349" s="220"/>
      <c r="E349" s="221"/>
      <c r="F349" s="222"/>
      <c r="G349" s="223"/>
      <c r="H349" s="224"/>
      <c r="I349" s="19"/>
      <c r="J349" s="19"/>
      <c r="K349" s="19"/>
      <c r="L349" s="225"/>
      <c r="M349" s="226"/>
      <c r="N349" s="226"/>
      <c r="O349" s="227"/>
      <c r="P349" s="19"/>
      <c r="Q349" s="19"/>
      <c r="R349" s="19"/>
      <c r="S349" s="228"/>
      <c r="T349" s="228"/>
      <c r="U349" s="229"/>
      <c r="V349" s="22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</row>
    <row r="350">
      <c r="A350" s="217"/>
      <c r="B350" s="218"/>
      <c r="C350" s="219"/>
      <c r="D350" s="220"/>
      <c r="E350" s="221"/>
      <c r="F350" s="222"/>
      <c r="G350" s="223"/>
      <c r="H350" s="224"/>
      <c r="I350" s="19"/>
      <c r="J350" s="19"/>
      <c r="K350" s="19"/>
      <c r="L350" s="225"/>
      <c r="M350" s="226"/>
      <c r="N350" s="226"/>
      <c r="O350" s="227"/>
      <c r="P350" s="19"/>
      <c r="Q350" s="19"/>
      <c r="R350" s="19"/>
      <c r="S350" s="228"/>
      <c r="T350" s="228"/>
      <c r="U350" s="229"/>
      <c r="V350" s="22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</row>
    <row r="351">
      <c r="A351" s="217"/>
      <c r="B351" s="218"/>
      <c r="C351" s="219"/>
      <c r="D351" s="220"/>
      <c r="E351" s="221"/>
      <c r="F351" s="222"/>
      <c r="G351" s="223"/>
      <c r="H351" s="224"/>
      <c r="I351" s="19"/>
      <c r="J351" s="19"/>
      <c r="K351" s="19"/>
      <c r="L351" s="225"/>
      <c r="M351" s="226"/>
      <c r="N351" s="226"/>
      <c r="O351" s="227"/>
      <c r="P351" s="19"/>
      <c r="Q351" s="19"/>
      <c r="R351" s="19"/>
      <c r="S351" s="228"/>
      <c r="T351" s="228"/>
      <c r="U351" s="229"/>
      <c r="V351" s="22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</row>
    <row r="352">
      <c r="A352" s="217"/>
      <c r="B352" s="218"/>
      <c r="C352" s="219"/>
      <c r="D352" s="220"/>
      <c r="E352" s="221"/>
      <c r="F352" s="222"/>
      <c r="G352" s="223"/>
      <c r="H352" s="224"/>
      <c r="I352" s="19"/>
      <c r="J352" s="19"/>
      <c r="K352" s="19"/>
      <c r="L352" s="225"/>
      <c r="M352" s="226"/>
      <c r="N352" s="226"/>
      <c r="O352" s="227"/>
      <c r="P352" s="19"/>
      <c r="Q352" s="19"/>
      <c r="R352" s="19"/>
      <c r="S352" s="228"/>
      <c r="T352" s="228"/>
      <c r="U352" s="229"/>
      <c r="V352" s="22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</row>
    <row r="353">
      <c r="A353" s="217"/>
      <c r="B353" s="218"/>
      <c r="C353" s="219"/>
      <c r="D353" s="220"/>
      <c r="E353" s="221"/>
      <c r="F353" s="222"/>
      <c r="G353" s="223"/>
      <c r="H353" s="224"/>
      <c r="I353" s="19"/>
      <c r="J353" s="19"/>
      <c r="K353" s="19"/>
      <c r="L353" s="225"/>
      <c r="M353" s="226"/>
      <c r="N353" s="226"/>
      <c r="O353" s="227"/>
      <c r="P353" s="19"/>
      <c r="Q353" s="19"/>
      <c r="R353" s="19"/>
      <c r="S353" s="228"/>
      <c r="T353" s="228"/>
      <c r="U353" s="229"/>
      <c r="V353" s="22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</row>
    <row r="354">
      <c r="A354" s="217"/>
      <c r="B354" s="218"/>
      <c r="C354" s="219"/>
      <c r="D354" s="220"/>
      <c r="E354" s="221"/>
      <c r="F354" s="222"/>
      <c r="G354" s="223"/>
      <c r="H354" s="224"/>
      <c r="I354" s="19"/>
      <c r="J354" s="19"/>
      <c r="K354" s="19"/>
      <c r="L354" s="225"/>
      <c r="M354" s="226"/>
      <c r="N354" s="226"/>
      <c r="O354" s="227"/>
      <c r="P354" s="19"/>
      <c r="Q354" s="19"/>
      <c r="R354" s="19"/>
      <c r="S354" s="228"/>
      <c r="T354" s="228"/>
      <c r="U354" s="229"/>
      <c r="V354" s="22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</row>
    <row r="355">
      <c r="A355" s="217"/>
      <c r="B355" s="218"/>
      <c r="C355" s="219"/>
      <c r="D355" s="220"/>
      <c r="E355" s="221"/>
      <c r="F355" s="222"/>
      <c r="G355" s="223"/>
      <c r="H355" s="224"/>
      <c r="I355" s="19"/>
      <c r="J355" s="19"/>
      <c r="K355" s="19"/>
      <c r="L355" s="225"/>
      <c r="M355" s="226"/>
      <c r="N355" s="226"/>
      <c r="O355" s="227"/>
      <c r="P355" s="19"/>
      <c r="Q355" s="19"/>
      <c r="R355" s="19"/>
      <c r="S355" s="228"/>
      <c r="T355" s="228"/>
      <c r="U355" s="229"/>
      <c r="V355" s="22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</row>
    <row r="356">
      <c r="A356" s="217"/>
      <c r="B356" s="218"/>
      <c r="C356" s="219"/>
      <c r="D356" s="220"/>
      <c r="E356" s="221"/>
      <c r="F356" s="222"/>
      <c r="G356" s="223"/>
      <c r="H356" s="224"/>
      <c r="I356" s="19"/>
      <c r="J356" s="19"/>
      <c r="K356" s="19"/>
      <c r="L356" s="225"/>
      <c r="M356" s="226"/>
      <c r="N356" s="226"/>
      <c r="O356" s="227"/>
      <c r="P356" s="19"/>
      <c r="Q356" s="19"/>
      <c r="R356" s="19"/>
      <c r="S356" s="228"/>
      <c r="T356" s="228"/>
      <c r="U356" s="229"/>
      <c r="V356" s="22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>
      <c r="A357" s="217"/>
      <c r="B357" s="218"/>
      <c r="C357" s="219"/>
      <c r="D357" s="220"/>
      <c r="E357" s="221"/>
      <c r="F357" s="222"/>
      <c r="G357" s="223"/>
      <c r="H357" s="224"/>
      <c r="I357" s="19"/>
      <c r="J357" s="19"/>
      <c r="K357" s="19"/>
      <c r="L357" s="225"/>
      <c r="M357" s="226"/>
      <c r="N357" s="226"/>
      <c r="O357" s="227"/>
      <c r="P357" s="19"/>
      <c r="Q357" s="19"/>
      <c r="R357" s="19"/>
      <c r="S357" s="228"/>
      <c r="T357" s="228"/>
      <c r="U357" s="229"/>
      <c r="V357" s="22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</row>
    <row r="358">
      <c r="A358" s="217"/>
      <c r="B358" s="218"/>
      <c r="C358" s="219"/>
      <c r="D358" s="220"/>
      <c r="E358" s="221"/>
      <c r="F358" s="222"/>
      <c r="G358" s="223"/>
      <c r="H358" s="224"/>
      <c r="I358" s="19"/>
      <c r="J358" s="19"/>
      <c r="K358" s="19"/>
      <c r="L358" s="225"/>
      <c r="M358" s="226"/>
      <c r="N358" s="226"/>
      <c r="O358" s="227"/>
      <c r="P358" s="19"/>
      <c r="Q358" s="19"/>
      <c r="R358" s="19"/>
      <c r="S358" s="228"/>
      <c r="T358" s="228"/>
      <c r="U358" s="229"/>
      <c r="V358" s="22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</row>
    <row r="359">
      <c r="A359" s="217"/>
      <c r="B359" s="218"/>
      <c r="C359" s="219"/>
      <c r="D359" s="220"/>
      <c r="E359" s="221"/>
      <c r="F359" s="222"/>
      <c r="G359" s="223"/>
      <c r="H359" s="224"/>
      <c r="I359" s="19"/>
      <c r="J359" s="19"/>
      <c r="K359" s="19"/>
      <c r="L359" s="225"/>
      <c r="M359" s="226"/>
      <c r="N359" s="226"/>
      <c r="O359" s="227"/>
      <c r="P359" s="19"/>
      <c r="Q359" s="19"/>
      <c r="R359" s="19"/>
      <c r="S359" s="228"/>
      <c r="T359" s="228"/>
      <c r="U359" s="229"/>
      <c r="V359" s="22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>
      <c r="A360" s="217"/>
      <c r="B360" s="218"/>
      <c r="C360" s="219"/>
      <c r="D360" s="220"/>
      <c r="E360" s="221"/>
      <c r="F360" s="222"/>
      <c r="G360" s="223"/>
      <c r="H360" s="224"/>
      <c r="I360" s="19"/>
      <c r="J360" s="19"/>
      <c r="K360" s="19"/>
      <c r="L360" s="225"/>
      <c r="M360" s="226"/>
      <c r="N360" s="226"/>
      <c r="O360" s="227"/>
      <c r="P360" s="19"/>
      <c r="Q360" s="19"/>
      <c r="R360" s="19"/>
      <c r="S360" s="228"/>
      <c r="T360" s="228"/>
      <c r="U360" s="229"/>
      <c r="V360" s="22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</row>
    <row r="361">
      <c r="A361" s="217"/>
      <c r="B361" s="218"/>
      <c r="C361" s="219"/>
      <c r="D361" s="220"/>
      <c r="E361" s="221"/>
      <c r="F361" s="222"/>
      <c r="G361" s="223"/>
      <c r="H361" s="224"/>
      <c r="I361" s="19"/>
      <c r="J361" s="19"/>
      <c r="K361" s="19"/>
      <c r="L361" s="225"/>
      <c r="M361" s="226"/>
      <c r="N361" s="226"/>
      <c r="O361" s="227"/>
      <c r="P361" s="19"/>
      <c r="Q361" s="19"/>
      <c r="R361" s="19"/>
      <c r="S361" s="228"/>
      <c r="T361" s="228"/>
      <c r="U361" s="229"/>
      <c r="V361" s="22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</row>
    <row r="362">
      <c r="A362" s="217"/>
      <c r="B362" s="218"/>
      <c r="C362" s="219"/>
      <c r="D362" s="220"/>
      <c r="E362" s="221"/>
      <c r="F362" s="222"/>
      <c r="G362" s="223"/>
      <c r="H362" s="224"/>
      <c r="I362" s="19"/>
      <c r="J362" s="19"/>
      <c r="K362" s="19"/>
      <c r="L362" s="225"/>
      <c r="M362" s="226"/>
      <c r="N362" s="226"/>
      <c r="O362" s="227"/>
      <c r="P362" s="19"/>
      <c r="Q362" s="19"/>
      <c r="R362" s="19"/>
      <c r="S362" s="228"/>
      <c r="T362" s="228"/>
      <c r="U362" s="229"/>
      <c r="V362" s="22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>
      <c r="A363" s="217"/>
      <c r="B363" s="218"/>
      <c r="C363" s="219"/>
      <c r="D363" s="220"/>
      <c r="E363" s="221"/>
      <c r="F363" s="222"/>
      <c r="G363" s="223"/>
      <c r="H363" s="224"/>
      <c r="I363" s="19"/>
      <c r="J363" s="19"/>
      <c r="K363" s="19"/>
      <c r="L363" s="225"/>
      <c r="M363" s="226"/>
      <c r="N363" s="226"/>
      <c r="O363" s="227"/>
      <c r="P363" s="19"/>
      <c r="Q363" s="19"/>
      <c r="R363" s="19"/>
      <c r="S363" s="228"/>
      <c r="T363" s="228"/>
      <c r="U363" s="229"/>
      <c r="V363" s="22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>
      <c r="A364" s="217"/>
      <c r="B364" s="218"/>
      <c r="C364" s="219"/>
      <c r="D364" s="220"/>
      <c r="E364" s="221"/>
      <c r="F364" s="222"/>
      <c r="G364" s="223"/>
      <c r="H364" s="224"/>
      <c r="I364" s="19"/>
      <c r="J364" s="19"/>
      <c r="K364" s="19"/>
      <c r="L364" s="225"/>
      <c r="M364" s="226"/>
      <c r="N364" s="226"/>
      <c r="O364" s="227"/>
      <c r="P364" s="19"/>
      <c r="Q364" s="19"/>
      <c r="R364" s="19"/>
      <c r="S364" s="228"/>
      <c r="T364" s="228"/>
      <c r="U364" s="229"/>
      <c r="V364" s="22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</row>
    <row r="365">
      <c r="A365" s="217"/>
      <c r="B365" s="218"/>
      <c r="C365" s="219"/>
      <c r="D365" s="220"/>
      <c r="E365" s="221"/>
      <c r="F365" s="222"/>
      <c r="G365" s="223"/>
      <c r="H365" s="224"/>
      <c r="I365" s="19"/>
      <c r="J365" s="19"/>
      <c r="K365" s="19"/>
      <c r="L365" s="225"/>
      <c r="M365" s="226"/>
      <c r="N365" s="226"/>
      <c r="O365" s="227"/>
      <c r="P365" s="19"/>
      <c r="Q365" s="19"/>
      <c r="R365" s="19"/>
      <c r="S365" s="228"/>
      <c r="T365" s="228"/>
      <c r="U365" s="229"/>
      <c r="V365" s="22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>
      <c r="A366" s="217"/>
      <c r="B366" s="218"/>
      <c r="C366" s="219"/>
      <c r="D366" s="220"/>
      <c r="E366" s="221"/>
      <c r="F366" s="222"/>
      <c r="G366" s="223"/>
      <c r="H366" s="224"/>
      <c r="I366" s="19"/>
      <c r="J366" s="19"/>
      <c r="K366" s="19"/>
      <c r="L366" s="225"/>
      <c r="M366" s="226"/>
      <c r="N366" s="226"/>
      <c r="O366" s="227"/>
      <c r="P366" s="19"/>
      <c r="Q366" s="19"/>
      <c r="R366" s="19"/>
      <c r="S366" s="228"/>
      <c r="T366" s="228"/>
      <c r="U366" s="229"/>
      <c r="V366" s="22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</row>
    <row r="367">
      <c r="A367" s="217"/>
      <c r="B367" s="218"/>
      <c r="C367" s="219"/>
      <c r="D367" s="220"/>
      <c r="E367" s="221"/>
      <c r="F367" s="222"/>
      <c r="G367" s="223"/>
      <c r="H367" s="224"/>
      <c r="I367" s="19"/>
      <c r="J367" s="19"/>
      <c r="K367" s="19"/>
      <c r="L367" s="225"/>
      <c r="M367" s="226"/>
      <c r="N367" s="226"/>
      <c r="O367" s="227"/>
      <c r="P367" s="19"/>
      <c r="Q367" s="19"/>
      <c r="R367" s="19"/>
      <c r="S367" s="228"/>
      <c r="T367" s="228"/>
      <c r="U367" s="229"/>
      <c r="V367" s="22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</row>
    <row r="368">
      <c r="A368" s="217"/>
      <c r="B368" s="218"/>
      <c r="C368" s="219"/>
      <c r="D368" s="220"/>
      <c r="E368" s="221"/>
      <c r="F368" s="222"/>
      <c r="G368" s="223"/>
      <c r="H368" s="224"/>
      <c r="I368" s="19"/>
      <c r="J368" s="19"/>
      <c r="K368" s="19"/>
      <c r="L368" s="225"/>
      <c r="M368" s="226"/>
      <c r="N368" s="226"/>
      <c r="O368" s="227"/>
      <c r="P368" s="19"/>
      <c r="Q368" s="19"/>
      <c r="R368" s="19"/>
      <c r="S368" s="228"/>
      <c r="T368" s="228"/>
      <c r="U368" s="229"/>
      <c r="V368" s="22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>
      <c r="A369" s="217"/>
      <c r="B369" s="218"/>
      <c r="C369" s="219"/>
      <c r="D369" s="220"/>
      <c r="E369" s="221"/>
      <c r="F369" s="222"/>
      <c r="G369" s="223"/>
      <c r="H369" s="224"/>
      <c r="I369" s="19"/>
      <c r="J369" s="19"/>
      <c r="K369" s="19"/>
      <c r="L369" s="225"/>
      <c r="M369" s="226"/>
      <c r="N369" s="226"/>
      <c r="O369" s="227"/>
      <c r="P369" s="19"/>
      <c r="Q369" s="19"/>
      <c r="R369" s="19"/>
      <c r="S369" s="228"/>
      <c r="T369" s="228"/>
      <c r="U369" s="229"/>
      <c r="V369" s="22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</row>
    <row r="370">
      <c r="A370" s="217"/>
      <c r="B370" s="218"/>
      <c r="C370" s="219"/>
      <c r="D370" s="220"/>
      <c r="E370" s="221"/>
      <c r="F370" s="222"/>
      <c r="G370" s="223"/>
      <c r="H370" s="224"/>
      <c r="I370" s="19"/>
      <c r="J370" s="19"/>
      <c r="K370" s="19"/>
      <c r="L370" s="225"/>
      <c r="M370" s="226"/>
      <c r="N370" s="226"/>
      <c r="O370" s="227"/>
      <c r="P370" s="19"/>
      <c r="Q370" s="19"/>
      <c r="R370" s="19"/>
      <c r="S370" s="228"/>
      <c r="T370" s="228"/>
      <c r="U370" s="229"/>
      <c r="V370" s="22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>
      <c r="A371" s="217"/>
      <c r="B371" s="218"/>
      <c r="C371" s="219"/>
      <c r="D371" s="220"/>
      <c r="E371" s="221"/>
      <c r="F371" s="222"/>
      <c r="G371" s="223"/>
      <c r="H371" s="224"/>
      <c r="I371" s="19"/>
      <c r="J371" s="19"/>
      <c r="K371" s="19"/>
      <c r="L371" s="225"/>
      <c r="M371" s="226"/>
      <c r="N371" s="226"/>
      <c r="O371" s="227"/>
      <c r="P371" s="19"/>
      <c r="Q371" s="19"/>
      <c r="R371" s="19"/>
      <c r="S371" s="228"/>
      <c r="T371" s="228"/>
      <c r="U371" s="229"/>
      <c r="V371" s="22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>
      <c r="A372" s="217"/>
      <c r="B372" s="218"/>
      <c r="C372" s="219"/>
      <c r="D372" s="220"/>
      <c r="E372" s="221"/>
      <c r="F372" s="222"/>
      <c r="G372" s="223"/>
      <c r="H372" s="224"/>
      <c r="I372" s="19"/>
      <c r="J372" s="19"/>
      <c r="K372" s="19"/>
      <c r="L372" s="225"/>
      <c r="M372" s="226"/>
      <c r="N372" s="226"/>
      <c r="O372" s="227"/>
      <c r="P372" s="19"/>
      <c r="Q372" s="19"/>
      <c r="R372" s="19"/>
      <c r="S372" s="228"/>
      <c r="T372" s="228"/>
      <c r="U372" s="229"/>
      <c r="V372" s="22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</row>
    <row r="373">
      <c r="A373" s="217"/>
      <c r="B373" s="218"/>
      <c r="C373" s="219"/>
      <c r="D373" s="220"/>
      <c r="E373" s="221"/>
      <c r="F373" s="222"/>
      <c r="G373" s="223"/>
      <c r="H373" s="224"/>
      <c r="I373" s="19"/>
      <c r="J373" s="19"/>
      <c r="K373" s="19"/>
      <c r="L373" s="225"/>
      <c r="M373" s="226"/>
      <c r="N373" s="226"/>
      <c r="O373" s="227"/>
      <c r="P373" s="19"/>
      <c r="Q373" s="19"/>
      <c r="R373" s="19"/>
      <c r="S373" s="228"/>
      <c r="T373" s="228"/>
      <c r="U373" s="229"/>
      <c r="V373" s="22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</row>
    <row r="374">
      <c r="A374" s="217"/>
      <c r="B374" s="218"/>
      <c r="C374" s="219"/>
      <c r="D374" s="220"/>
      <c r="E374" s="221"/>
      <c r="F374" s="222"/>
      <c r="G374" s="223"/>
      <c r="H374" s="224"/>
      <c r="I374" s="19"/>
      <c r="J374" s="19"/>
      <c r="K374" s="19"/>
      <c r="L374" s="225"/>
      <c r="M374" s="226"/>
      <c r="N374" s="226"/>
      <c r="O374" s="227"/>
      <c r="P374" s="19"/>
      <c r="Q374" s="19"/>
      <c r="R374" s="19"/>
      <c r="S374" s="228"/>
      <c r="T374" s="228"/>
      <c r="U374" s="229"/>
      <c r="V374" s="22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>
      <c r="A375" s="217"/>
      <c r="B375" s="218"/>
      <c r="C375" s="219"/>
      <c r="D375" s="220"/>
      <c r="E375" s="221"/>
      <c r="F375" s="222"/>
      <c r="G375" s="223"/>
      <c r="H375" s="224"/>
      <c r="I375" s="19"/>
      <c r="J375" s="19"/>
      <c r="K375" s="19"/>
      <c r="L375" s="225"/>
      <c r="M375" s="226"/>
      <c r="N375" s="226"/>
      <c r="O375" s="227"/>
      <c r="P375" s="19"/>
      <c r="Q375" s="19"/>
      <c r="R375" s="19"/>
      <c r="S375" s="228"/>
      <c r="T375" s="228"/>
      <c r="U375" s="229"/>
      <c r="V375" s="22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</row>
    <row r="376">
      <c r="A376" s="217"/>
      <c r="B376" s="218"/>
      <c r="C376" s="219"/>
      <c r="D376" s="220"/>
      <c r="E376" s="221"/>
      <c r="F376" s="222"/>
      <c r="G376" s="223"/>
      <c r="H376" s="224"/>
      <c r="I376" s="19"/>
      <c r="J376" s="19"/>
      <c r="K376" s="19"/>
      <c r="L376" s="225"/>
      <c r="M376" s="226"/>
      <c r="N376" s="226"/>
      <c r="O376" s="227"/>
      <c r="P376" s="19"/>
      <c r="Q376" s="19"/>
      <c r="R376" s="19"/>
      <c r="S376" s="228"/>
      <c r="T376" s="228"/>
      <c r="U376" s="229"/>
      <c r="V376" s="22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>
      <c r="A377" s="217"/>
      <c r="B377" s="218"/>
      <c r="C377" s="219"/>
      <c r="D377" s="220"/>
      <c r="E377" s="221"/>
      <c r="F377" s="222"/>
      <c r="G377" s="223"/>
      <c r="H377" s="224"/>
      <c r="I377" s="19"/>
      <c r="J377" s="19"/>
      <c r="K377" s="19"/>
      <c r="L377" s="225"/>
      <c r="M377" s="226"/>
      <c r="N377" s="226"/>
      <c r="O377" s="227"/>
      <c r="P377" s="19"/>
      <c r="Q377" s="19"/>
      <c r="R377" s="19"/>
      <c r="S377" s="228"/>
      <c r="T377" s="228"/>
      <c r="U377" s="229"/>
      <c r="V377" s="22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>
      <c r="A378" s="217"/>
      <c r="B378" s="218"/>
      <c r="C378" s="219"/>
      <c r="D378" s="220"/>
      <c r="E378" s="221"/>
      <c r="F378" s="222"/>
      <c r="G378" s="223"/>
      <c r="H378" s="224"/>
      <c r="I378" s="19"/>
      <c r="J378" s="19"/>
      <c r="K378" s="19"/>
      <c r="L378" s="225"/>
      <c r="M378" s="226"/>
      <c r="N378" s="226"/>
      <c r="O378" s="227"/>
      <c r="P378" s="19"/>
      <c r="Q378" s="19"/>
      <c r="R378" s="19"/>
      <c r="S378" s="228"/>
      <c r="T378" s="228"/>
      <c r="U378" s="229"/>
      <c r="V378" s="22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>
      <c r="A379" s="217"/>
      <c r="B379" s="218"/>
      <c r="C379" s="219"/>
      <c r="D379" s="220"/>
      <c r="E379" s="221"/>
      <c r="F379" s="222"/>
      <c r="G379" s="223"/>
      <c r="H379" s="224"/>
      <c r="I379" s="19"/>
      <c r="J379" s="19"/>
      <c r="K379" s="19"/>
      <c r="L379" s="225"/>
      <c r="M379" s="226"/>
      <c r="N379" s="226"/>
      <c r="O379" s="227"/>
      <c r="P379" s="19"/>
      <c r="Q379" s="19"/>
      <c r="R379" s="19"/>
      <c r="S379" s="228"/>
      <c r="T379" s="228"/>
      <c r="U379" s="229"/>
      <c r="V379" s="22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</row>
    <row r="380">
      <c r="A380" s="217"/>
      <c r="B380" s="218"/>
      <c r="C380" s="219"/>
      <c r="D380" s="220"/>
      <c r="E380" s="221"/>
      <c r="F380" s="222"/>
      <c r="G380" s="223"/>
      <c r="H380" s="224"/>
      <c r="I380" s="19"/>
      <c r="J380" s="19"/>
      <c r="K380" s="19"/>
      <c r="L380" s="225"/>
      <c r="M380" s="226"/>
      <c r="N380" s="226"/>
      <c r="O380" s="227"/>
      <c r="P380" s="19"/>
      <c r="Q380" s="19"/>
      <c r="R380" s="19"/>
      <c r="S380" s="228"/>
      <c r="T380" s="228"/>
      <c r="U380" s="229"/>
      <c r="V380" s="22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</row>
    <row r="381">
      <c r="A381" s="217"/>
      <c r="B381" s="218"/>
      <c r="C381" s="219"/>
      <c r="D381" s="220"/>
      <c r="E381" s="221"/>
      <c r="F381" s="222"/>
      <c r="G381" s="223"/>
      <c r="H381" s="224"/>
      <c r="I381" s="19"/>
      <c r="J381" s="19"/>
      <c r="K381" s="19"/>
      <c r="L381" s="225"/>
      <c r="M381" s="226"/>
      <c r="N381" s="226"/>
      <c r="O381" s="227"/>
      <c r="P381" s="19"/>
      <c r="Q381" s="19"/>
      <c r="R381" s="19"/>
      <c r="S381" s="228"/>
      <c r="T381" s="228"/>
      <c r="U381" s="229"/>
      <c r="V381" s="22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</row>
    <row r="382">
      <c r="A382" s="217"/>
      <c r="B382" s="218"/>
      <c r="C382" s="219"/>
      <c r="D382" s="220"/>
      <c r="E382" s="221"/>
      <c r="F382" s="222"/>
      <c r="G382" s="223"/>
      <c r="H382" s="224"/>
      <c r="I382" s="19"/>
      <c r="J382" s="19"/>
      <c r="K382" s="19"/>
      <c r="L382" s="225"/>
      <c r="M382" s="226"/>
      <c r="N382" s="226"/>
      <c r="O382" s="227"/>
      <c r="P382" s="19"/>
      <c r="Q382" s="19"/>
      <c r="R382" s="19"/>
      <c r="S382" s="228"/>
      <c r="T382" s="228"/>
      <c r="U382" s="229"/>
      <c r="V382" s="22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</row>
    <row r="383">
      <c r="A383" s="217"/>
      <c r="B383" s="218"/>
      <c r="C383" s="219"/>
      <c r="D383" s="220"/>
      <c r="E383" s="221"/>
      <c r="F383" s="222"/>
      <c r="G383" s="223"/>
      <c r="H383" s="224"/>
      <c r="I383" s="19"/>
      <c r="J383" s="19"/>
      <c r="K383" s="19"/>
      <c r="L383" s="225"/>
      <c r="M383" s="226"/>
      <c r="N383" s="226"/>
      <c r="O383" s="227"/>
      <c r="P383" s="19"/>
      <c r="Q383" s="19"/>
      <c r="R383" s="19"/>
      <c r="S383" s="228"/>
      <c r="T383" s="228"/>
      <c r="U383" s="229"/>
      <c r="V383" s="22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>
      <c r="A384" s="217"/>
      <c r="B384" s="218"/>
      <c r="C384" s="219"/>
      <c r="D384" s="220"/>
      <c r="E384" s="221"/>
      <c r="F384" s="222"/>
      <c r="G384" s="223"/>
      <c r="H384" s="224"/>
      <c r="I384" s="19"/>
      <c r="J384" s="19"/>
      <c r="K384" s="19"/>
      <c r="L384" s="225"/>
      <c r="M384" s="226"/>
      <c r="N384" s="226"/>
      <c r="O384" s="227"/>
      <c r="P384" s="19"/>
      <c r="Q384" s="19"/>
      <c r="R384" s="19"/>
      <c r="S384" s="228"/>
      <c r="T384" s="228"/>
      <c r="U384" s="229"/>
      <c r="V384" s="22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</row>
    <row r="385">
      <c r="A385" s="217"/>
      <c r="B385" s="218"/>
      <c r="C385" s="219"/>
      <c r="D385" s="220"/>
      <c r="E385" s="221"/>
      <c r="F385" s="222"/>
      <c r="G385" s="223"/>
      <c r="H385" s="224"/>
      <c r="I385" s="19"/>
      <c r="J385" s="19"/>
      <c r="K385" s="19"/>
      <c r="L385" s="225"/>
      <c r="M385" s="226"/>
      <c r="N385" s="226"/>
      <c r="O385" s="227"/>
      <c r="P385" s="19"/>
      <c r="Q385" s="19"/>
      <c r="R385" s="19"/>
      <c r="S385" s="228"/>
      <c r="T385" s="228"/>
      <c r="U385" s="229"/>
      <c r="V385" s="22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</row>
    <row r="386">
      <c r="A386" s="217"/>
      <c r="B386" s="218"/>
      <c r="C386" s="219"/>
      <c r="D386" s="220"/>
      <c r="E386" s="221"/>
      <c r="F386" s="222"/>
      <c r="G386" s="223"/>
      <c r="H386" s="224"/>
      <c r="I386" s="19"/>
      <c r="J386" s="19"/>
      <c r="K386" s="19"/>
      <c r="L386" s="225"/>
      <c r="M386" s="226"/>
      <c r="N386" s="226"/>
      <c r="O386" s="227"/>
      <c r="P386" s="19"/>
      <c r="Q386" s="19"/>
      <c r="R386" s="19"/>
      <c r="S386" s="228"/>
      <c r="T386" s="228"/>
      <c r="U386" s="229"/>
      <c r="V386" s="22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</row>
    <row r="387">
      <c r="A387" s="217"/>
      <c r="B387" s="218"/>
      <c r="C387" s="219"/>
      <c r="D387" s="220"/>
      <c r="E387" s="221"/>
      <c r="F387" s="222"/>
      <c r="G387" s="223"/>
      <c r="H387" s="224"/>
      <c r="I387" s="19"/>
      <c r="J387" s="19"/>
      <c r="K387" s="19"/>
      <c r="L387" s="225"/>
      <c r="M387" s="226"/>
      <c r="N387" s="226"/>
      <c r="O387" s="227"/>
      <c r="P387" s="19"/>
      <c r="Q387" s="19"/>
      <c r="R387" s="19"/>
      <c r="S387" s="228"/>
      <c r="T387" s="228"/>
      <c r="U387" s="229"/>
      <c r="V387" s="22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>
      <c r="A388" s="217"/>
      <c r="B388" s="218"/>
      <c r="C388" s="219"/>
      <c r="D388" s="220"/>
      <c r="E388" s="221"/>
      <c r="F388" s="222"/>
      <c r="G388" s="223"/>
      <c r="H388" s="224"/>
      <c r="I388" s="19"/>
      <c r="J388" s="19"/>
      <c r="K388" s="19"/>
      <c r="L388" s="225"/>
      <c r="M388" s="226"/>
      <c r="N388" s="226"/>
      <c r="O388" s="227"/>
      <c r="P388" s="19"/>
      <c r="Q388" s="19"/>
      <c r="R388" s="19"/>
      <c r="S388" s="228"/>
      <c r="T388" s="228"/>
      <c r="U388" s="229"/>
      <c r="V388" s="22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</row>
    <row r="389">
      <c r="A389" s="217"/>
      <c r="B389" s="218"/>
      <c r="C389" s="219"/>
      <c r="D389" s="220"/>
      <c r="E389" s="221"/>
      <c r="F389" s="222"/>
      <c r="G389" s="223"/>
      <c r="H389" s="224"/>
      <c r="I389" s="19"/>
      <c r="J389" s="19"/>
      <c r="K389" s="19"/>
      <c r="L389" s="225"/>
      <c r="M389" s="226"/>
      <c r="N389" s="226"/>
      <c r="O389" s="227"/>
      <c r="P389" s="19"/>
      <c r="Q389" s="19"/>
      <c r="R389" s="19"/>
      <c r="S389" s="228"/>
      <c r="T389" s="228"/>
      <c r="U389" s="229"/>
      <c r="V389" s="22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</row>
    <row r="390">
      <c r="A390" s="217"/>
      <c r="B390" s="218"/>
      <c r="C390" s="219"/>
      <c r="D390" s="220"/>
      <c r="E390" s="221"/>
      <c r="F390" s="222"/>
      <c r="G390" s="223"/>
      <c r="H390" s="224"/>
      <c r="I390" s="19"/>
      <c r="J390" s="19"/>
      <c r="K390" s="19"/>
      <c r="L390" s="225"/>
      <c r="M390" s="226"/>
      <c r="N390" s="226"/>
      <c r="O390" s="227"/>
      <c r="P390" s="19"/>
      <c r="Q390" s="19"/>
      <c r="R390" s="19"/>
      <c r="S390" s="228"/>
      <c r="T390" s="228"/>
      <c r="U390" s="229"/>
      <c r="V390" s="22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>
      <c r="A391" s="217"/>
      <c r="B391" s="218"/>
      <c r="C391" s="219"/>
      <c r="D391" s="220"/>
      <c r="E391" s="221"/>
      <c r="F391" s="222"/>
      <c r="G391" s="223"/>
      <c r="H391" s="224"/>
      <c r="I391" s="19"/>
      <c r="J391" s="19"/>
      <c r="K391" s="19"/>
      <c r="L391" s="225"/>
      <c r="M391" s="226"/>
      <c r="N391" s="226"/>
      <c r="O391" s="227"/>
      <c r="P391" s="19"/>
      <c r="Q391" s="19"/>
      <c r="R391" s="19"/>
      <c r="S391" s="228"/>
      <c r="T391" s="228"/>
      <c r="U391" s="229"/>
      <c r="V391" s="22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</row>
    <row r="392">
      <c r="A392" s="217"/>
      <c r="B392" s="218"/>
      <c r="C392" s="219"/>
      <c r="D392" s="220"/>
      <c r="E392" s="221"/>
      <c r="F392" s="222"/>
      <c r="G392" s="223"/>
      <c r="H392" s="224"/>
      <c r="I392" s="19"/>
      <c r="J392" s="19"/>
      <c r="K392" s="19"/>
      <c r="L392" s="225"/>
      <c r="M392" s="226"/>
      <c r="N392" s="226"/>
      <c r="O392" s="227"/>
      <c r="P392" s="19"/>
      <c r="Q392" s="19"/>
      <c r="R392" s="19"/>
      <c r="S392" s="228"/>
      <c r="T392" s="228"/>
      <c r="U392" s="229"/>
      <c r="V392" s="22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</row>
    <row r="393">
      <c r="A393" s="217"/>
      <c r="B393" s="218"/>
      <c r="C393" s="219"/>
      <c r="D393" s="220"/>
      <c r="E393" s="221"/>
      <c r="F393" s="222"/>
      <c r="G393" s="223"/>
      <c r="H393" s="224"/>
      <c r="I393" s="19"/>
      <c r="J393" s="19"/>
      <c r="K393" s="19"/>
      <c r="L393" s="225"/>
      <c r="M393" s="226"/>
      <c r="N393" s="226"/>
      <c r="O393" s="227"/>
      <c r="P393" s="19"/>
      <c r="Q393" s="19"/>
      <c r="R393" s="19"/>
      <c r="S393" s="228"/>
      <c r="T393" s="228"/>
      <c r="U393" s="229"/>
      <c r="V393" s="22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</row>
    <row r="394">
      <c r="A394" s="217"/>
      <c r="B394" s="218"/>
      <c r="C394" s="219"/>
      <c r="D394" s="220"/>
      <c r="E394" s="221"/>
      <c r="F394" s="222"/>
      <c r="G394" s="223"/>
      <c r="H394" s="224"/>
      <c r="I394" s="19"/>
      <c r="J394" s="19"/>
      <c r="K394" s="19"/>
      <c r="L394" s="225"/>
      <c r="M394" s="226"/>
      <c r="N394" s="226"/>
      <c r="O394" s="227"/>
      <c r="P394" s="19"/>
      <c r="Q394" s="19"/>
      <c r="R394" s="19"/>
      <c r="S394" s="228"/>
      <c r="T394" s="228"/>
      <c r="U394" s="229"/>
      <c r="V394" s="22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>
      <c r="A395" s="217"/>
      <c r="B395" s="218"/>
      <c r="C395" s="219"/>
      <c r="D395" s="220"/>
      <c r="E395" s="221"/>
      <c r="F395" s="222"/>
      <c r="G395" s="223"/>
      <c r="H395" s="224"/>
      <c r="I395" s="19"/>
      <c r="J395" s="19"/>
      <c r="K395" s="19"/>
      <c r="L395" s="225"/>
      <c r="M395" s="226"/>
      <c r="N395" s="226"/>
      <c r="O395" s="227"/>
      <c r="P395" s="19"/>
      <c r="Q395" s="19"/>
      <c r="R395" s="19"/>
      <c r="S395" s="228"/>
      <c r="T395" s="228"/>
      <c r="U395" s="229"/>
      <c r="V395" s="22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</row>
    <row r="396">
      <c r="A396" s="217"/>
      <c r="B396" s="218"/>
      <c r="C396" s="219"/>
      <c r="D396" s="220"/>
      <c r="E396" s="221"/>
      <c r="F396" s="222"/>
      <c r="G396" s="223"/>
      <c r="H396" s="224"/>
      <c r="I396" s="19"/>
      <c r="J396" s="19"/>
      <c r="K396" s="19"/>
      <c r="L396" s="225"/>
      <c r="M396" s="226"/>
      <c r="N396" s="226"/>
      <c r="O396" s="227"/>
      <c r="P396" s="19"/>
      <c r="Q396" s="19"/>
      <c r="R396" s="19"/>
      <c r="S396" s="228"/>
      <c r="T396" s="228"/>
      <c r="U396" s="229"/>
      <c r="V396" s="22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</row>
    <row r="397">
      <c r="A397" s="217"/>
      <c r="B397" s="218"/>
      <c r="C397" s="219"/>
      <c r="D397" s="220"/>
      <c r="E397" s="221"/>
      <c r="F397" s="222"/>
      <c r="G397" s="223"/>
      <c r="H397" s="224"/>
      <c r="I397" s="19"/>
      <c r="J397" s="19"/>
      <c r="K397" s="19"/>
      <c r="L397" s="225"/>
      <c r="M397" s="226"/>
      <c r="N397" s="226"/>
      <c r="O397" s="227"/>
      <c r="P397" s="19"/>
      <c r="Q397" s="19"/>
      <c r="R397" s="19"/>
      <c r="S397" s="228"/>
      <c r="T397" s="228"/>
      <c r="U397" s="229"/>
      <c r="V397" s="22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>
      <c r="A398" s="217"/>
      <c r="B398" s="218"/>
      <c r="C398" s="219"/>
      <c r="D398" s="220"/>
      <c r="E398" s="221"/>
      <c r="F398" s="222"/>
      <c r="G398" s="223"/>
      <c r="H398" s="224"/>
      <c r="I398" s="19"/>
      <c r="J398" s="19"/>
      <c r="K398" s="19"/>
      <c r="L398" s="225"/>
      <c r="M398" s="226"/>
      <c r="N398" s="226"/>
      <c r="O398" s="227"/>
      <c r="P398" s="19"/>
      <c r="Q398" s="19"/>
      <c r="R398" s="19"/>
      <c r="S398" s="228"/>
      <c r="T398" s="228"/>
      <c r="U398" s="229"/>
      <c r="V398" s="22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</row>
    <row r="399">
      <c r="A399" s="217"/>
      <c r="B399" s="218"/>
      <c r="C399" s="219"/>
      <c r="D399" s="220"/>
      <c r="E399" s="221"/>
      <c r="F399" s="222"/>
      <c r="G399" s="223"/>
      <c r="H399" s="224"/>
      <c r="I399" s="19"/>
      <c r="J399" s="19"/>
      <c r="K399" s="19"/>
      <c r="L399" s="225"/>
      <c r="M399" s="226"/>
      <c r="N399" s="226"/>
      <c r="O399" s="227"/>
      <c r="P399" s="19"/>
      <c r="Q399" s="19"/>
      <c r="R399" s="19"/>
      <c r="S399" s="228"/>
      <c r="T399" s="228"/>
      <c r="U399" s="229"/>
      <c r="V399" s="22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</row>
    <row r="400">
      <c r="A400" s="217"/>
      <c r="B400" s="218"/>
      <c r="C400" s="219"/>
      <c r="D400" s="220"/>
      <c r="E400" s="221"/>
      <c r="F400" s="222"/>
      <c r="G400" s="223"/>
      <c r="H400" s="224"/>
      <c r="I400" s="19"/>
      <c r="J400" s="19"/>
      <c r="K400" s="19"/>
      <c r="L400" s="225"/>
      <c r="M400" s="226"/>
      <c r="N400" s="226"/>
      <c r="O400" s="227"/>
      <c r="P400" s="19"/>
      <c r="Q400" s="19"/>
      <c r="R400" s="19"/>
      <c r="S400" s="228"/>
      <c r="T400" s="228"/>
      <c r="U400" s="229"/>
      <c r="V400" s="22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>
      <c r="A401" s="217"/>
      <c r="B401" s="218"/>
      <c r="C401" s="219"/>
      <c r="D401" s="220"/>
      <c r="E401" s="221"/>
      <c r="F401" s="222"/>
      <c r="G401" s="223"/>
      <c r="H401" s="224"/>
      <c r="I401" s="19"/>
      <c r="J401" s="19"/>
      <c r="K401" s="19"/>
      <c r="L401" s="225"/>
      <c r="M401" s="226"/>
      <c r="N401" s="226"/>
      <c r="O401" s="227"/>
      <c r="P401" s="19"/>
      <c r="Q401" s="19"/>
      <c r="R401" s="19"/>
      <c r="S401" s="228"/>
      <c r="T401" s="228"/>
      <c r="U401" s="229"/>
      <c r="V401" s="22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</row>
    <row r="402">
      <c r="A402" s="217"/>
      <c r="B402" s="218"/>
      <c r="C402" s="219"/>
      <c r="D402" s="220"/>
      <c r="E402" s="221"/>
      <c r="F402" s="222"/>
      <c r="G402" s="223"/>
      <c r="H402" s="224"/>
      <c r="I402" s="19"/>
      <c r="J402" s="19"/>
      <c r="K402" s="19"/>
      <c r="L402" s="225"/>
      <c r="M402" s="226"/>
      <c r="N402" s="226"/>
      <c r="O402" s="227"/>
      <c r="P402" s="19"/>
      <c r="Q402" s="19"/>
      <c r="R402" s="19"/>
      <c r="S402" s="228"/>
      <c r="T402" s="228"/>
      <c r="U402" s="229"/>
      <c r="V402" s="22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</row>
    <row r="403">
      <c r="A403" s="217"/>
      <c r="B403" s="218"/>
      <c r="C403" s="219"/>
      <c r="D403" s="220"/>
      <c r="E403" s="221"/>
      <c r="F403" s="222"/>
      <c r="G403" s="223"/>
      <c r="H403" s="224"/>
      <c r="I403" s="19"/>
      <c r="J403" s="19"/>
      <c r="K403" s="19"/>
      <c r="L403" s="225"/>
      <c r="M403" s="226"/>
      <c r="N403" s="226"/>
      <c r="O403" s="227"/>
      <c r="P403" s="19"/>
      <c r="Q403" s="19"/>
      <c r="R403" s="19"/>
      <c r="S403" s="228"/>
      <c r="T403" s="228"/>
      <c r="U403" s="229"/>
      <c r="V403" s="22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</row>
    <row r="404">
      <c r="A404" s="217"/>
      <c r="B404" s="218"/>
      <c r="C404" s="219"/>
      <c r="D404" s="220"/>
      <c r="E404" s="221"/>
      <c r="F404" s="222"/>
      <c r="G404" s="223"/>
      <c r="H404" s="224"/>
      <c r="I404" s="19"/>
      <c r="J404" s="19"/>
      <c r="K404" s="19"/>
      <c r="L404" s="225"/>
      <c r="M404" s="226"/>
      <c r="N404" s="226"/>
      <c r="O404" s="227"/>
      <c r="P404" s="19"/>
      <c r="Q404" s="19"/>
      <c r="R404" s="19"/>
      <c r="S404" s="228"/>
      <c r="T404" s="228"/>
      <c r="U404" s="229"/>
      <c r="V404" s="22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</row>
    <row r="405">
      <c r="A405" s="217"/>
      <c r="B405" s="218"/>
      <c r="C405" s="219"/>
      <c r="D405" s="220"/>
      <c r="E405" s="221"/>
      <c r="F405" s="222"/>
      <c r="G405" s="223"/>
      <c r="H405" s="224"/>
      <c r="I405" s="19"/>
      <c r="J405" s="19"/>
      <c r="K405" s="19"/>
      <c r="L405" s="225"/>
      <c r="M405" s="226"/>
      <c r="N405" s="226"/>
      <c r="O405" s="227"/>
      <c r="P405" s="19"/>
      <c r="Q405" s="19"/>
      <c r="R405" s="19"/>
      <c r="S405" s="228"/>
      <c r="T405" s="228"/>
      <c r="U405" s="229"/>
      <c r="V405" s="22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>
      <c r="A406" s="217"/>
      <c r="B406" s="218"/>
      <c r="C406" s="219"/>
      <c r="D406" s="220"/>
      <c r="E406" s="221"/>
      <c r="F406" s="222"/>
      <c r="G406" s="223"/>
      <c r="H406" s="224"/>
      <c r="I406" s="19"/>
      <c r="J406" s="19"/>
      <c r="K406" s="19"/>
      <c r="L406" s="225"/>
      <c r="M406" s="226"/>
      <c r="N406" s="226"/>
      <c r="O406" s="227"/>
      <c r="P406" s="19"/>
      <c r="Q406" s="19"/>
      <c r="R406" s="19"/>
      <c r="S406" s="228"/>
      <c r="T406" s="228"/>
      <c r="U406" s="229"/>
      <c r="V406" s="22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>
      <c r="A407" s="217"/>
      <c r="B407" s="218"/>
      <c r="C407" s="219"/>
      <c r="D407" s="220"/>
      <c r="E407" s="221"/>
      <c r="F407" s="222"/>
      <c r="G407" s="223"/>
      <c r="H407" s="224"/>
      <c r="I407" s="19"/>
      <c r="J407" s="19"/>
      <c r="K407" s="19"/>
      <c r="L407" s="225"/>
      <c r="M407" s="226"/>
      <c r="N407" s="226"/>
      <c r="O407" s="227"/>
      <c r="P407" s="19"/>
      <c r="Q407" s="19"/>
      <c r="R407" s="19"/>
      <c r="S407" s="228"/>
      <c r="T407" s="228"/>
      <c r="U407" s="229"/>
      <c r="V407" s="22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</row>
    <row r="408">
      <c r="A408" s="217"/>
      <c r="B408" s="218"/>
      <c r="C408" s="219"/>
      <c r="D408" s="220"/>
      <c r="E408" s="221"/>
      <c r="F408" s="222"/>
      <c r="G408" s="223"/>
      <c r="H408" s="224"/>
      <c r="I408" s="19"/>
      <c r="J408" s="19"/>
      <c r="K408" s="19"/>
      <c r="L408" s="225"/>
      <c r="M408" s="226"/>
      <c r="N408" s="226"/>
      <c r="O408" s="227"/>
      <c r="P408" s="19"/>
      <c r="Q408" s="19"/>
      <c r="R408" s="19"/>
      <c r="S408" s="228"/>
      <c r="T408" s="228"/>
      <c r="U408" s="229"/>
      <c r="V408" s="22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</row>
    <row r="409">
      <c r="A409" s="217"/>
      <c r="B409" s="218"/>
      <c r="C409" s="219"/>
      <c r="D409" s="220"/>
      <c r="E409" s="221"/>
      <c r="F409" s="222"/>
      <c r="G409" s="223"/>
      <c r="H409" s="224"/>
      <c r="I409" s="19"/>
      <c r="J409" s="19"/>
      <c r="K409" s="19"/>
      <c r="L409" s="225"/>
      <c r="M409" s="226"/>
      <c r="N409" s="226"/>
      <c r="O409" s="227"/>
      <c r="P409" s="19"/>
      <c r="Q409" s="19"/>
      <c r="R409" s="19"/>
      <c r="S409" s="228"/>
      <c r="T409" s="228"/>
      <c r="U409" s="229"/>
      <c r="V409" s="22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</row>
    <row r="410">
      <c r="A410" s="217"/>
      <c r="B410" s="218"/>
      <c r="C410" s="219"/>
      <c r="D410" s="220"/>
      <c r="E410" s="221"/>
      <c r="F410" s="222"/>
      <c r="G410" s="223"/>
      <c r="H410" s="224"/>
      <c r="I410" s="19"/>
      <c r="J410" s="19"/>
      <c r="K410" s="19"/>
      <c r="L410" s="225"/>
      <c r="M410" s="226"/>
      <c r="N410" s="226"/>
      <c r="O410" s="227"/>
      <c r="P410" s="19"/>
      <c r="Q410" s="19"/>
      <c r="R410" s="19"/>
      <c r="S410" s="228"/>
      <c r="T410" s="228"/>
      <c r="U410" s="229"/>
      <c r="V410" s="22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</row>
    <row r="411">
      <c r="A411" s="217"/>
      <c r="B411" s="218"/>
      <c r="C411" s="219"/>
      <c r="D411" s="220"/>
      <c r="E411" s="221"/>
      <c r="F411" s="222"/>
      <c r="G411" s="223"/>
      <c r="H411" s="224"/>
      <c r="I411" s="19"/>
      <c r="J411" s="19"/>
      <c r="K411" s="19"/>
      <c r="L411" s="225"/>
      <c r="M411" s="226"/>
      <c r="N411" s="226"/>
      <c r="O411" s="227"/>
      <c r="P411" s="19"/>
      <c r="Q411" s="19"/>
      <c r="R411" s="19"/>
      <c r="S411" s="228"/>
      <c r="T411" s="228"/>
      <c r="U411" s="229"/>
      <c r="V411" s="22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>
      <c r="A412" s="217"/>
      <c r="B412" s="218"/>
      <c r="C412" s="219"/>
      <c r="D412" s="220"/>
      <c r="E412" s="221"/>
      <c r="F412" s="222"/>
      <c r="G412" s="223"/>
      <c r="H412" s="224"/>
      <c r="I412" s="19"/>
      <c r="J412" s="19"/>
      <c r="K412" s="19"/>
      <c r="L412" s="225"/>
      <c r="M412" s="226"/>
      <c r="N412" s="226"/>
      <c r="O412" s="227"/>
      <c r="P412" s="19"/>
      <c r="Q412" s="19"/>
      <c r="R412" s="19"/>
      <c r="S412" s="228"/>
      <c r="T412" s="228"/>
      <c r="U412" s="229"/>
      <c r="V412" s="22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>
      <c r="A413" s="217"/>
      <c r="B413" s="218"/>
      <c r="C413" s="219"/>
      <c r="D413" s="220"/>
      <c r="E413" s="221"/>
      <c r="F413" s="222"/>
      <c r="G413" s="223"/>
      <c r="H413" s="224"/>
      <c r="I413" s="19"/>
      <c r="J413" s="19"/>
      <c r="K413" s="19"/>
      <c r="L413" s="225"/>
      <c r="M413" s="226"/>
      <c r="N413" s="226"/>
      <c r="O413" s="227"/>
      <c r="P413" s="19"/>
      <c r="Q413" s="19"/>
      <c r="R413" s="19"/>
      <c r="S413" s="228"/>
      <c r="T413" s="228"/>
      <c r="U413" s="229"/>
      <c r="V413" s="22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</row>
    <row r="414">
      <c r="A414" s="217"/>
      <c r="B414" s="218"/>
      <c r="C414" s="219"/>
      <c r="D414" s="220"/>
      <c r="E414" s="221"/>
      <c r="F414" s="222"/>
      <c r="G414" s="223"/>
      <c r="H414" s="224"/>
      <c r="I414" s="19"/>
      <c r="J414" s="19"/>
      <c r="K414" s="19"/>
      <c r="L414" s="225"/>
      <c r="M414" s="226"/>
      <c r="N414" s="226"/>
      <c r="O414" s="227"/>
      <c r="P414" s="19"/>
      <c r="Q414" s="19"/>
      <c r="R414" s="19"/>
      <c r="S414" s="228"/>
      <c r="T414" s="228"/>
      <c r="U414" s="229"/>
      <c r="V414" s="22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</row>
    <row r="415">
      <c r="A415" s="217"/>
      <c r="B415" s="218"/>
      <c r="C415" s="219"/>
      <c r="D415" s="220"/>
      <c r="E415" s="221"/>
      <c r="F415" s="222"/>
      <c r="G415" s="223"/>
      <c r="H415" s="224"/>
      <c r="I415" s="19"/>
      <c r="J415" s="19"/>
      <c r="K415" s="19"/>
      <c r="L415" s="225"/>
      <c r="M415" s="226"/>
      <c r="N415" s="226"/>
      <c r="O415" s="227"/>
      <c r="P415" s="19"/>
      <c r="Q415" s="19"/>
      <c r="R415" s="19"/>
      <c r="S415" s="228"/>
      <c r="T415" s="228"/>
      <c r="U415" s="229"/>
      <c r="V415" s="22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</row>
    <row r="416">
      <c r="A416" s="217"/>
      <c r="B416" s="218"/>
      <c r="C416" s="219"/>
      <c r="D416" s="220"/>
      <c r="E416" s="221"/>
      <c r="F416" s="222"/>
      <c r="G416" s="223"/>
      <c r="H416" s="224"/>
      <c r="I416" s="19"/>
      <c r="J416" s="19"/>
      <c r="K416" s="19"/>
      <c r="L416" s="225"/>
      <c r="M416" s="226"/>
      <c r="N416" s="226"/>
      <c r="O416" s="227"/>
      <c r="P416" s="19"/>
      <c r="Q416" s="19"/>
      <c r="R416" s="19"/>
      <c r="S416" s="228"/>
      <c r="T416" s="228"/>
      <c r="U416" s="229"/>
      <c r="V416" s="22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>
      <c r="A417" s="217"/>
      <c r="B417" s="218"/>
      <c r="C417" s="219"/>
      <c r="D417" s="220"/>
      <c r="E417" s="221"/>
      <c r="F417" s="222"/>
      <c r="G417" s="223"/>
      <c r="H417" s="224"/>
      <c r="I417" s="19"/>
      <c r="J417" s="19"/>
      <c r="K417" s="19"/>
      <c r="L417" s="225"/>
      <c r="M417" s="226"/>
      <c r="N417" s="226"/>
      <c r="O417" s="227"/>
      <c r="P417" s="19"/>
      <c r="Q417" s="19"/>
      <c r="R417" s="19"/>
      <c r="S417" s="228"/>
      <c r="T417" s="228"/>
      <c r="U417" s="229"/>
      <c r="V417" s="22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>
      <c r="A418" s="217"/>
      <c r="B418" s="218"/>
      <c r="C418" s="219"/>
      <c r="D418" s="220"/>
      <c r="E418" s="221"/>
      <c r="F418" s="222"/>
      <c r="G418" s="223"/>
      <c r="H418" s="224"/>
      <c r="I418" s="19"/>
      <c r="J418" s="19"/>
      <c r="K418" s="19"/>
      <c r="L418" s="225"/>
      <c r="M418" s="226"/>
      <c r="N418" s="226"/>
      <c r="O418" s="227"/>
      <c r="P418" s="19"/>
      <c r="Q418" s="19"/>
      <c r="R418" s="19"/>
      <c r="S418" s="228"/>
      <c r="T418" s="228"/>
      <c r="U418" s="229"/>
      <c r="V418" s="22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</row>
    <row r="419">
      <c r="A419" s="217"/>
      <c r="B419" s="218"/>
      <c r="C419" s="219"/>
      <c r="D419" s="220"/>
      <c r="E419" s="221"/>
      <c r="F419" s="222"/>
      <c r="G419" s="223"/>
      <c r="H419" s="224"/>
      <c r="I419" s="19"/>
      <c r="J419" s="19"/>
      <c r="K419" s="19"/>
      <c r="L419" s="225"/>
      <c r="M419" s="226"/>
      <c r="N419" s="226"/>
      <c r="O419" s="227"/>
      <c r="P419" s="19"/>
      <c r="Q419" s="19"/>
      <c r="R419" s="19"/>
      <c r="S419" s="228"/>
      <c r="T419" s="228"/>
      <c r="U419" s="229"/>
      <c r="V419" s="22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>
      <c r="A420" s="217"/>
      <c r="B420" s="218"/>
      <c r="C420" s="219"/>
      <c r="D420" s="220"/>
      <c r="E420" s="221"/>
      <c r="F420" s="222"/>
      <c r="G420" s="223"/>
      <c r="H420" s="224"/>
      <c r="I420" s="19"/>
      <c r="J420" s="19"/>
      <c r="K420" s="19"/>
      <c r="L420" s="225"/>
      <c r="M420" s="226"/>
      <c r="N420" s="226"/>
      <c r="O420" s="227"/>
      <c r="P420" s="19"/>
      <c r="Q420" s="19"/>
      <c r="R420" s="19"/>
      <c r="S420" s="228"/>
      <c r="T420" s="228"/>
      <c r="U420" s="229"/>
      <c r="V420" s="22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</row>
    <row r="421">
      <c r="A421" s="217"/>
      <c r="B421" s="218"/>
      <c r="C421" s="219"/>
      <c r="D421" s="220"/>
      <c r="E421" s="221"/>
      <c r="F421" s="222"/>
      <c r="G421" s="223"/>
      <c r="H421" s="224"/>
      <c r="I421" s="19"/>
      <c r="J421" s="19"/>
      <c r="K421" s="19"/>
      <c r="L421" s="225"/>
      <c r="M421" s="226"/>
      <c r="N421" s="226"/>
      <c r="O421" s="227"/>
      <c r="P421" s="19"/>
      <c r="Q421" s="19"/>
      <c r="R421" s="19"/>
      <c r="S421" s="228"/>
      <c r="T421" s="228"/>
      <c r="U421" s="229"/>
      <c r="V421" s="22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>
      <c r="A422" s="217"/>
      <c r="B422" s="218"/>
      <c r="C422" s="219"/>
      <c r="D422" s="220"/>
      <c r="E422" s="221"/>
      <c r="F422" s="222"/>
      <c r="G422" s="223"/>
      <c r="H422" s="224"/>
      <c r="I422" s="19"/>
      <c r="J422" s="19"/>
      <c r="K422" s="19"/>
      <c r="L422" s="225"/>
      <c r="M422" s="226"/>
      <c r="N422" s="226"/>
      <c r="O422" s="227"/>
      <c r="P422" s="19"/>
      <c r="Q422" s="19"/>
      <c r="R422" s="19"/>
      <c r="S422" s="228"/>
      <c r="T422" s="228"/>
      <c r="U422" s="229"/>
      <c r="V422" s="22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</row>
    <row r="423">
      <c r="A423" s="217"/>
      <c r="B423" s="218"/>
      <c r="C423" s="219"/>
      <c r="D423" s="220"/>
      <c r="E423" s="221"/>
      <c r="F423" s="222"/>
      <c r="G423" s="223"/>
      <c r="H423" s="224"/>
      <c r="I423" s="19"/>
      <c r="J423" s="19"/>
      <c r="K423" s="19"/>
      <c r="L423" s="225"/>
      <c r="M423" s="226"/>
      <c r="N423" s="226"/>
      <c r="O423" s="227"/>
      <c r="P423" s="19"/>
      <c r="Q423" s="19"/>
      <c r="R423" s="19"/>
      <c r="S423" s="228"/>
      <c r="T423" s="228"/>
      <c r="U423" s="229"/>
      <c r="V423" s="22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</row>
    <row r="424">
      <c r="A424" s="217"/>
      <c r="B424" s="218"/>
      <c r="C424" s="219"/>
      <c r="D424" s="220"/>
      <c r="E424" s="221"/>
      <c r="F424" s="222"/>
      <c r="G424" s="223"/>
      <c r="H424" s="224"/>
      <c r="I424" s="19"/>
      <c r="J424" s="19"/>
      <c r="K424" s="19"/>
      <c r="L424" s="225"/>
      <c r="M424" s="226"/>
      <c r="N424" s="226"/>
      <c r="O424" s="227"/>
      <c r="P424" s="19"/>
      <c r="Q424" s="19"/>
      <c r="R424" s="19"/>
      <c r="S424" s="228"/>
      <c r="T424" s="228"/>
      <c r="U424" s="229"/>
      <c r="V424" s="22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</row>
    <row r="425">
      <c r="A425" s="217"/>
      <c r="B425" s="218"/>
      <c r="C425" s="219"/>
      <c r="D425" s="220"/>
      <c r="E425" s="221"/>
      <c r="F425" s="222"/>
      <c r="G425" s="223"/>
      <c r="H425" s="224"/>
      <c r="I425" s="19"/>
      <c r="J425" s="19"/>
      <c r="K425" s="19"/>
      <c r="L425" s="225"/>
      <c r="M425" s="226"/>
      <c r="N425" s="226"/>
      <c r="O425" s="227"/>
      <c r="P425" s="19"/>
      <c r="Q425" s="19"/>
      <c r="R425" s="19"/>
      <c r="S425" s="228"/>
      <c r="T425" s="228"/>
      <c r="U425" s="229"/>
      <c r="V425" s="22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>
      <c r="A426" s="217"/>
      <c r="B426" s="218"/>
      <c r="C426" s="219"/>
      <c r="D426" s="220"/>
      <c r="E426" s="221"/>
      <c r="F426" s="222"/>
      <c r="G426" s="223"/>
      <c r="H426" s="224"/>
      <c r="I426" s="19"/>
      <c r="J426" s="19"/>
      <c r="K426" s="19"/>
      <c r="L426" s="225"/>
      <c r="M426" s="226"/>
      <c r="N426" s="226"/>
      <c r="O426" s="227"/>
      <c r="P426" s="19"/>
      <c r="Q426" s="19"/>
      <c r="R426" s="19"/>
      <c r="S426" s="228"/>
      <c r="T426" s="228"/>
      <c r="U426" s="229"/>
      <c r="V426" s="22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</row>
    <row r="427">
      <c r="A427" s="217"/>
      <c r="B427" s="218"/>
      <c r="C427" s="219"/>
      <c r="D427" s="220"/>
      <c r="E427" s="221"/>
      <c r="F427" s="222"/>
      <c r="G427" s="223"/>
      <c r="H427" s="224"/>
      <c r="I427" s="19"/>
      <c r="J427" s="19"/>
      <c r="K427" s="19"/>
      <c r="L427" s="225"/>
      <c r="M427" s="226"/>
      <c r="N427" s="226"/>
      <c r="O427" s="227"/>
      <c r="P427" s="19"/>
      <c r="Q427" s="19"/>
      <c r="R427" s="19"/>
      <c r="S427" s="228"/>
      <c r="T427" s="228"/>
      <c r="U427" s="229"/>
      <c r="V427" s="22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>
      <c r="A428" s="217"/>
      <c r="B428" s="218"/>
      <c r="C428" s="219"/>
      <c r="D428" s="220"/>
      <c r="E428" s="221"/>
      <c r="F428" s="222"/>
      <c r="G428" s="223"/>
      <c r="H428" s="224"/>
      <c r="I428" s="19"/>
      <c r="J428" s="19"/>
      <c r="K428" s="19"/>
      <c r="L428" s="225"/>
      <c r="M428" s="226"/>
      <c r="N428" s="226"/>
      <c r="O428" s="227"/>
      <c r="P428" s="19"/>
      <c r="Q428" s="19"/>
      <c r="R428" s="19"/>
      <c r="S428" s="228"/>
      <c r="T428" s="228"/>
      <c r="U428" s="229"/>
      <c r="V428" s="22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>
      <c r="A429" s="217"/>
      <c r="B429" s="218"/>
      <c r="C429" s="219"/>
      <c r="D429" s="220"/>
      <c r="E429" s="221"/>
      <c r="F429" s="222"/>
      <c r="G429" s="223"/>
      <c r="H429" s="224"/>
      <c r="I429" s="19"/>
      <c r="J429" s="19"/>
      <c r="K429" s="19"/>
      <c r="L429" s="225"/>
      <c r="M429" s="226"/>
      <c r="N429" s="226"/>
      <c r="O429" s="227"/>
      <c r="P429" s="19"/>
      <c r="Q429" s="19"/>
      <c r="R429" s="19"/>
      <c r="S429" s="228"/>
      <c r="T429" s="228"/>
      <c r="U429" s="229"/>
      <c r="V429" s="22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</row>
    <row r="430">
      <c r="A430" s="217"/>
      <c r="B430" s="218"/>
      <c r="C430" s="219"/>
      <c r="D430" s="220"/>
      <c r="E430" s="221"/>
      <c r="F430" s="222"/>
      <c r="G430" s="223"/>
      <c r="H430" s="224"/>
      <c r="I430" s="19"/>
      <c r="J430" s="19"/>
      <c r="K430" s="19"/>
      <c r="L430" s="225"/>
      <c r="M430" s="226"/>
      <c r="N430" s="226"/>
      <c r="O430" s="227"/>
      <c r="P430" s="19"/>
      <c r="Q430" s="19"/>
      <c r="R430" s="19"/>
      <c r="S430" s="228"/>
      <c r="T430" s="228"/>
      <c r="U430" s="229"/>
      <c r="V430" s="22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</row>
    <row r="431">
      <c r="A431" s="217"/>
      <c r="B431" s="218"/>
      <c r="C431" s="219"/>
      <c r="D431" s="220"/>
      <c r="E431" s="221"/>
      <c r="F431" s="222"/>
      <c r="G431" s="223"/>
      <c r="H431" s="224"/>
      <c r="I431" s="19"/>
      <c r="J431" s="19"/>
      <c r="K431" s="19"/>
      <c r="L431" s="225"/>
      <c r="M431" s="226"/>
      <c r="N431" s="226"/>
      <c r="O431" s="227"/>
      <c r="P431" s="19"/>
      <c r="Q431" s="19"/>
      <c r="R431" s="19"/>
      <c r="S431" s="228"/>
      <c r="T431" s="228"/>
      <c r="U431" s="229"/>
      <c r="V431" s="22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</row>
    <row r="432">
      <c r="A432" s="217"/>
      <c r="B432" s="218"/>
      <c r="C432" s="219"/>
      <c r="D432" s="220"/>
      <c r="E432" s="221"/>
      <c r="F432" s="222"/>
      <c r="G432" s="223"/>
      <c r="H432" s="224"/>
      <c r="I432" s="19"/>
      <c r="J432" s="19"/>
      <c r="K432" s="19"/>
      <c r="L432" s="225"/>
      <c r="M432" s="226"/>
      <c r="N432" s="226"/>
      <c r="O432" s="227"/>
      <c r="P432" s="19"/>
      <c r="Q432" s="19"/>
      <c r="R432" s="19"/>
      <c r="S432" s="228"/>
      <c r="T432" s="228"/>
      <c r="U432" s="229"/>
      <c r="V432" s="22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>
      <c r="A433" s="217"/>
      <c r="B433" s="218"/>
      <c r="C433" s="219"/>
      <c r="D433" s="220"/>
      <c r="E433" s="221"/>
      <c r="F433" s="222"/>
      <c r="G433" s="223"/>
      <c r="H433" s="224"/>
      <c r="I433" s="19"/>
      <c r="J433" s="19"/>
      <c r="K433" s="19"/>
      <c r="L433" s="225"/>
      <c r="M433" s="226"/>
      <c r="N433" s="226"/>
      <c r="O433" s="227"/>
      <c r="P433" s="19"/>
      <c r="Q433" s="19"/>
      <c r="R433" s="19"/>
      <c r="S433" s="228"/>
      <c r="T433" s="228"/>
      <c r="U433" s="229"/>
      <c r="V433" s="22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</row>
    <row r="434">
      <c r="A434" s="217"/>
      <c r="B434" s="218"/>
      <c r="C434" s="219"/>
      <c r="D434" s="220"/>
      <c r="E434" s="221"/>
      <c r="F434" s="222"/>
      <c r="G434" s="223"/>
      <c r="H434" s="224"/>
      <c r="I434" s="19"/>
      <c r="J434" s="19"/>
      <c r="K434" s="19"/>
      <c r="L434" s="225"/>
      <c r="M434" s="226"/>
      <c r="N434" s="226"/>
      <c r="O434" s="227"/>
      <c r="P434" s="19"/>
      <c r="Q434" s="19"/>
      <c r="R434" s="19"/>
      <c r="S434" s="228"/>
      <c r="T434" s="228"/>
      <c r="U434" s="229"/>
      <c r="V434" s="22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</row>
    <row r="435">
      <c r="A435" s="217"/>
      <c r="B435" s="218"/>
      <c r="C435" s="219"/>
      <c r="D435" s="220"/>
      <c r="E435" s="221"/>
      <c r="F435" s="222"/>
      <c r="G435" s="223"/>
      <c r="H435" s="224"/>
      <c r="I435" s="19"/>
      <c r="J435" s="19"/>
      <c r="K435" s="19"/>
      <c r="L435" s="225"/>
      <c r="M435" s="226"/>
      <c r="N435" s="226"/>
      <c r="O435" s="227"/>
      <c r="P435" s="19"/>
      <c r="Q435" s="19"/>
      <c r="R435" s="19"/>
      <c r="S435" s="228"/>
      <c r="T435" s="228"/>
      <c r="U435" s="229"/>
      <c r="V435" s="22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>
      <c r="A436" s="217"/>
      <c r="B436" s="218"/>
      <c r="C436" s="219"/>
      <c r="D436" s="220"/>
      <c r="E436" s="221"/>
      <c r="F436" s="222"/>
      <c r="G436" s="223"/>
      <c r="H436" s="224"/>
      <c r="I436" s="19"/>
      <c r="J436" s="19"/>
      <c r="K436" s="19"/>
      <c r="L436" s="225"/>
      <c r="M436" s="226"/>
      <c r="N436" s="226"/>
      <c r="O436" s="227"/>
      <c r="P436" s="19"/>
      <c r="Q436" s="19"/>
      <c r="R436" s="19"/>
      <c r="S436" s="228"/>
      <c r="T436" s="228"/>
      <c r="U436" s="229"/>
      <c r="V436" s="22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</row>
    <row r="437">
      <c r="A437" s="217"/>
      <c r="B437" s="218"/>
      <c r="C437" s="219"/>
      <c r="D437" s="220"/>
      <c r="E437" s="221"/>
      <c r="F437" s="222"/>
      <c r="G437" s="223"/>
      <c r="H437" s="224"/>
      <c r="I437" s="19"/>
      <c r="J437" s="19"/>
      <c r="K437" s="19"/>
      <c r="L437" s="225"/>
      <c r="M437" s="226"/>
      <c r="N437" s="226"/>
      <c r="O437" s="227"/>
      <c r="P437" s="19"/>
      <c r="Q437" s="19"/>
      <c r="R437" s="19"/>
      <c r="S437" s="228"/>
      <c r="T437" s="228"/>
      <c r="U437" s="229"/>
      <c r="V437" s="22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</row>
    <row r="438">
      <c r="A438" s="217"/>
      <c r="B438" s="218"/>
      <c r="C438" s="219"/>
      <c r="D438" s="220"/>
      <c r="E438" s="221"/>
      <c r="F438" s="222"/>
      <c r="G438" s="223"/>
      <c r="H438" s="224"/>
      <c r="I438" s="19"/>
      <c r="J438" s="19"/>
      <c r="K438" s="19"/>
      <c r="L438" s="225"/>
      <c r="M438" s="226"/>
      <c r="N438" s="226"/>
      <c r="O438" s="227"/>
      <c r="P438" s="19"/>
      <c r="Q438" s="19"/>
      <c r="R438" s="19"/>
      <c r="S438" s="228"/>
      <c r="T438" s="228"/>
      <c r="U438" s="229"/>
      <c r="V438" s="22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</row>
    <row r="439">
      <c r="A439" s="217"/>
      <c r="B439" s="218"/>
      <c r="C439" s="219"/>
      <c r="D439" s="220"/>
      <c r="E439" s="221"/>
      <c r="F439" s="222"/>
      <c r="G439" s="223"/>
      <c r="H439" s="224"/>
      <c r="I439" s="19"/>
      <c r="J439" s="19"/>
      <c r="K439" s="19"/>
      <c r="L439" s="225"/>
      <c r="M439" s="226"/>
      <c r="N439" s="226"/>
      <c r="O439" s="227"/>
      <c r="P439" s="19"/>
      <c r="Q439" s="19"/>
      <c r="R439" s="19"/>
      <c r="S439" s="228"/>
      <c r="T439" s="228"/>
      <c r="U439" s="229"/>
      <c r="V439" s="22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</row>
    <row r="440">
      <c r="A440" s="217"/>
      <c r="B440" s="218"/>
      <c r="C440" s="219"/>
      <c r="D440" s="220"/>
      <c r="E440" s="221"/>
      <c r="F440" s="222"/>
      <c r="G440" s="223"/>
      <c r="H440" s="224"/>
      <c r="I440" s="19"/>
      <c r="J440" s="19"/>
      <c r="K440" s="19"/>
      <c r="L440" s="225"/>
      <c r="M440" s="226"/>
      <c r="N440" s="226"/>
      <c r="O440" s="227"/>
      <c r="P440" s="19"/>
      <c r="Q440" s="19"/>
      <c r="R440" s="19"/>
      <c r="S440" s="228"/>
      <c r="T440" s="228"/>
      <c r="U440" s="229"/>
      <c r="V440" s="22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</row>
    <row r="441">
      <c r="A441" s="217"/>
      <c r="B441" s="218"/>
      <c r="C441" s="219"/>
      <c r="D441" s="220"/>
      <c r="E441" s="221"/>
      <c r="F441" s="222"/>
      <c r="G441" s="223"/>
      <c r="H441" s="224"/>
      <c r="I441" s="19"/>
      <c r="J441" s="19"/>
      <c r="K441" s="19"/>
      <c r="L441" s="225"/>
      <c r="M441" s="226"/>
      <c r="N441" s="226"/>
      <c r="O441" s="227"/>
      <c r="P441" s="19"/>
      <c r="Q441" s="19"/>
      <c r="R441" s="19"/>
      <c r="S441" s="228"/>
      <c r="T441" s="228"/>
      <c r="U441" s="229"/>
      <c r="V441" s="22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</row>
    <row r="442">
      <c r="A442" s="217"/>
      <c r="B442" s="218"/>
      <c r="C442" s="219"/>
      <c r="D442" s="220"/>
      <c r="E442" s="221"/>
      <c r="F442" s="222"/>
      <c r="G442" s="223"/>
      <c r="H442" s="224"/>
      <c r="I442" s="19"/>
      <c r="J442" s="19"/>
      <c r="K442" s="19"/>
      <c r="L442" s="225"/>
      <c r="M442" s="226"/>
      <c r="N442" s="226"/>
      <c r="O442" s="227"/>
      <c r="P442" s="19"/>
      <c r="Q442" s="19"/>
      <c r="R442" s="19"/>
      <c r="S442" s="228"/>
      <c r="T442" s="228"/>
      <c r="U442" s="229"/>
      <c r="V442" s="22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</row>
    <row r="443">
      <c r="A443" s="217"/>
      <c r="B443" s="218"/>
      <c r="C443" s="219"/>
      <c r="D443" s="220"/>
      <c r="E443" s="221"/>
      <c r="F443" s="222"/>
      <c r="G443" s="223"/>
      <c r="H443" s="224"/>
      <c r="I443" s="19"/>
      <c r="J443" s="19"/>
      <c r="K443" s="19"/>
      <c r="L443" s="225"/>
      <c r="M443" s="226"/>
      <c r="N443" s="226"/>
      <c r="O443" s="227"/>
      <c r="P443" s="19"/>
      <c r="Q443" s="19"/>
      <c r="R443" s="19"/>
      <c r="S443" s="228"/>
      <c r="T443" s="228"/>
      <c r="U443" s="229"/>
      <c r="V443" s="22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>
      <c r="A444" s="217"/>
      <c r="B444" s="218"/>
      <c r="C444" s="219"/>
      <c r="D444" s="220"/>
      <c r="E444" s="221"/>
      <c r="F444" s="222"/>
      <c r="G444" s="223"/>
      <c r="H444" s="224"/>
      <c r="I444" s="19"/>
      <c r="J444" s="19"/>
      <c r="K444" s="19"/>
      <c r="L444" s="225"/>
      <c r="M444" s="226"/>
      <c r="N444" s="226"/>
      <c r="O444" s="227"/>
      <c r="P444" s="19"/>
      <c r="Q444" s="19"/>
      <c r="R444" s="19"/>
      <c r="S444" s="228"/>
      <c r="T444" s="228"/>
      <c r="U444" s="229"/>
      <c r="V444" s="22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>
      <c r="A445" s="217"/>
      <c r="B445" s="218"/>
      <c r="C445" s="219"/>
      <c r="D445" s="220"/>
      <c r="E445" s="221"/>
      <c r="F445" s="222"/>
      <c r="G445" s="223"/>
      <c r="H445" s="224"/>
      <c r="I445" s="19"/>
      <c r="J445" s="19"/>
      <c r="K445" s="19"/>
      <c r="L445" s="225"/>
      <c r="M445" s="226"/>
      <c r="N445" s="226"/>
      <c r="O445" s="227"/>
      <c r="P445" s="19"/>
      <c r="Q445" s="19"/>
      <c r="R445" s="19"/>
      <c r="S445" s="228"/>
      <c r="T445" s="228"/>
      <c r="U445" s="229"/>
      <c r="V445" s="22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>
      <c r="A446" s="217"/>
      <c r="B446" s="218"/>
      <c r="C446" s="219"/>
      <c r="D446" s="220"/>
      <c r="E446" s="221"/>
      <c r="F446" s="222"/>
      <c r="G446" s="223"/>
      <c r="H446" s="224"/>
      <c r="I446" s="19"/>
      <c r="J446" s="19"/>
      <c r="K446" s="19"/>
      <c r="L446" s="225"/>
      <c r="M446" s="226"/>
      <c r="N446" s="226"/>
      <c r="O446" s="227"/>
      <c r="P446" s="19"/>
      <c r="Q446" s="19"/>
      <c r="R446" s="19"/>
      <c r="S446" s="228"/>
      <c r="T446" s="228"/>
      <c r="U446" s="229"/>
      <c r="V446" s="22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>
      <c r="A447" s="217"/>
      <c r="B447" s="218"/>
      <c r="C447" s="219"/>
      <c r="D447" s="220"/>
      <c r="E447" s="221"/>
      <c r="F447" s="222"/>
      <c r="G447" s="223"/>
      <c r="H447" s="224"/>
      <c r="I447" s="19"/>
      <c r="J447" s="19"/>
      <c r="K447" s="19"/>
      <c r="L447" s="225"/>
      <c r="M447" s="226"/>
      <c r="N447" s="226"/>
      <c r="O447" s="227"/>
      <c r="P447" s="19"/>
      <c r="Q447" s="19"/>
      <c r="R447" s="19"/>
      <c r="S447" s="228"/>
      <c r="T447" s="228"/>
      <c r="U447" s="229"/>
      <c r="V447" s="22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>
      <c r="A448" s="217"/>
      <c r="B448" s="218"/>
      <c r="C448" s="219"/>
      <c r="D448" s="220"/>
      <c r="E448" s="221"/>
      <c r="F448" s="222"/>
      <c r="G448" s="223"/>
      <c r="H448" s="224"/>
      <c r="I448" s="19"/>
      <c r="J448" s="19"/>
      <c r="K448" s="19"/>
      <c r="L448" s="225"/>
      <c r="M448" s="226"/>
      <c r="N448" s="226"/>
      <c r="O448" s="227"/>
      <c r="P448" s="19"/>
      <c r="Q448" s="19"/>
      <c r="R448" s="19"/>
      <c r="S448" s="228"/>
      <c r="T448" s="228"/>
      <c r="U448" s="229"/>
      <c r="V448" s="22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>
      <c r="A449" s="217"/>
      <c r="B449" s="218"/>
      <c r="C449" s="219"/>
      <c r="D449" s="220"/>
      <c r="E449" s="221"/>
      <c r="F449" s="222"/>
      <c r="G449" s="223"/>
      <c r="H449" s="224"/>
      <c r="I449" s="19"/>
      <c r="J449" s="19"/>
      <c r="K449" s="19"/>
      <c r="L449" s="225"/>
      <c r="M449" s="226"/>
      <c r="N449" s="226"/>
      <c r="O449" s="227"/>
      <c r="P449" s="19"/>
      <c r="Q449" s="19"/>
      <c r="R449" s="19"/>
      <c r="S449" s="228"/>
      <c r="T449" s="228"/>
      <c r="U449" s="229"/>
      <c r="V449" s="22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</row>
    <row r="450">
      <c r="A450" s="217"/>
      <c r="B450" s="218"/>
      <c r="C450" s="219"/>
      <c r="D450" s="220"/>
      <c r="E450" s="221"/>
      <c r="F450" s="222"/>
      <c r="G450" s="223"/>
      <c r="H450" s="224"/>
      <c r="I450" s="19"/>
      <c r="J450" s="19"/>
      <c r="K450" s="19"/>
      <c r="L450" s="225"/>
      <c r="M450" s="226"/>
      <c r="N450" s="226"/>
      <c r="O450" s="227"/>
      <c r="P450" s="19"/>
      <c r="Q450" s="19"/>
      <c r="R450" s="19"/>
      <c r="S450" s="228"/>
      <c r="T450" s="228"/>
      <c r="U450" s="229"/>
      <c r="V450" s="22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</row>
    <row r="451">
      <c r="A451" s="217"/>
      <c r="B451" s="218"/>
      <c r="C451" s="219"/>
      <c r="D451" s="220"/>
      <c r="E451" s="221"/>
      <c r="F451" s="222"/>
      <c r="G451" s="223"/>
      <c r="H451" s="224"/>
      <c r="I451" s="19"/>
      <c r="J451" s="19"/>
      <c r="K451" s="19"/>
      <c r="L451" s="225"/>
      <c r="M451" s="226"/>
      <c r="N451" s="226"/>
      <c r="O451" s="227"/>
      <c r="P451" s="19"/>
      <c r="Q451" s="19"/>
      <c r="R451" s="19"/>
      <c r="S451" s="228"/>
      <c r="T451" s="228"/>
      <c r="U451" s="229"/>
      <c r="V451" s="22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>
      <c r="A452" s="217"/>
      <c r="B452" s="218"/>
      <c r="C452" s="219"/>
      <c r="D452" s="220"/>
      <c r="E452" s="221"/>
      <c r="F452" s="222"/>
      <c r="G452" s="223"/>
      <c r="H452" s="224"/>
      <c r="I452" s="19"/>
      <c r="J452" s="19"/>
      <c r="K452" s="19"/>
      <c r="L452" s="225"/>
      <c r="M452" s="226"/>
      <c r="N452" s="226"/>
      <c r="O452" s="227"/>
      <c r="P452" s="19"/>
      <c r="Q452" s="19"/>
      <c r="R452" s="19"/>
      <c r="S452" s="228"/>
      <c r="T452" s="228"/>
      <c r="U452" s="229"/>
      <c r="V452" s="22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</row>
    <row r="453">
      <c r="A453" s="217"/>
      <c r="B453" s="218"/>
      <c r="C453" s="219"/>
      <c r="D453" s="220"/>
      <c r="E453" s="221"/>
      <c r="F453" s="222"/>
      <c r="G453" s="223"/>
      <c r="H453" s="224"/>
      <c r="I453" s="19"/>
      <c r="J453" s="19"/>
      <c r="K453" s="19"/>
      <c r="L453" s="225"/>
      <c r="M453" s="226"/>
      <c r="N453" s="226"/>
      <c r="O453" s="227"/>
      <c r="P453" s="19"/>
      <c r="Q453" s="19"/>
      <c r="R453" s="19"/>
      <c r="S453" s="228"/>
      <c r="T453" s="228"/>
      <c r="U453" s="229"/>
      <c r="V453" s="22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</row>
    <row r="454">
      <c r="A454" s="217"/>
      <c r="B454" s="218"/>
      <c r="C454" s="219"/>
      <c r="D454" s="220"/>
      <c r="E454" s="221"/>
      <c r="F454" s="222"/>
      <c r="G454" s="223"/>
      <c r="H454" s="224"/>
      <c r="I454" s="19"/>
      <c r="J454" s="19"/>
      <c r="K454" s="19"/>
      <c r="L454" s="225"/>
      <c r="M454" s="226"/>
      <c r="N454" s="226"/>
      <c r="O454" s="227"/>
      <c r="P454" s="19"/>
      <c r="Q454" s="19"/>
      <c r="R454" s="19"/>
      <c r="S454" s="228"/>
      <c r="T454" s="228"/>
      <c r="U454" s="229"/>
      <c r="V454" s="22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</row>
    <row r="455">
      <c r="A455" s="217"/>
      <c r="B455" s="218"/>
      <c r="C455" s="219"/>
      <c r="D455" s="220"/>
      <c r="E455" s="221"/>
      <c r="F455" s="222"/>
      <c r="G455" s="223"/>
      <c r="H455" s="224"/>
      <c r="I455" s="19"/>
      <c r="J455" s="19"/>
      <c r="K455" s="19"/>
      <c r="L455" s="225"/>
      <c r="M455" s="226"/>
      <c r="N455" s="226"/>
      <c r="O455" s="227"/>
      <c r="P455" s="19"/>
      <c r="Q455" s="19"/>
      <c r="R455" s="19"/>
      <c r="S455" s="228"/>
      <c r="T455" s="228"/>
      <c r="U455" s="229"/>
      <c r="V455" s="22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>
      <c r="A456" s="217"/>
      <c r="B456" s="218"/>
      <c r="C456" s="219"/>
      <c r="D456" s="220"/>
      <c r="E456" s="221"/>
      <c r="F456" s="222"/>
      <c r="G456" s="223"/>
      <c r="H456" s="224"/>
      <c r="I456" s="19"/>
      <c r="J456" s="19"/>
      <c r="K456" s="19"/>
      <c r="L456" s="225"/>
      <c r="M456" s="226"/>
      <c r="N456" s="226"/>
      <c r="O456" s="227"/>
      <c r="P456" s="19"/>
      <c r="Q456" s="19"/>
      <c r="R456" s="19"/>
      <c r="S456" s="228"/>
      <c r="T456" s="228"/>
      <c r="U456" s="229"/>
      <c r="V456" s="22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>
      <c r="A457" s="217"/>
      <c r="B457" s="218"/>
      <c r="C457" s="219"/>
      <c r="D457" s="220"/>
      <c r="E457" s="221"/>
      <c r="F457" s="222"/>
      <c r="G457" s="223"/>
      <c r="H457" s="224"/>
      <c r="I457" s="19"/>
      <c r="J457" s="19"/>
      <c r="K457" s="19"/>
      <c r="L457" s="225"/>
      <c r="M457" s="226"/>
      <c r="N457" s="226"/>
      <c r="O457" s="227"/>
      <c r="P457" s="19"/>
      <c r="Q457" s="19"/>
      <c r="R457" s="19"/>
      <c r="S457" s="228"/>
      <c r="T457" s="228"/>
      <c r="U457" s="229"/>
      <c r="V457" s="22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>
      <c r="A458" s="217"/>
      <c r="B458" s="218"/>
      <c r="C458" s="219"/>
      <c r="D458" s="220"/>
      <c r="E458" s="221"/>
      <c r="F458" s="222"/>
      <c r="G458" s="223"/>
      <c r="H458" s="224"/>
      <c r="I458" s="19"/>
      <c r="J458" s="19"/>
      <c r="K458" s="19"/>
      <c r="L458" s="225"/>
      <c r="M458" s="226"/>
      <c r="N458" s="226"/>
      <c r="O458" s="227"/>
      <c r="P458" s="19"/>
      <c r="Q458" s="19"/>
      <c r="R458" s="19"/>
      <c r="S458" s="228"/>
      <c r="T458" s="228"/>
      <c r="U458" s="229"/>
      <c r="V458" s="22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>
      <c r="A459" s="217"/>
      <c r="B459" s="218"/>
      <c r="C459" s="219"/>
      <c r="D459" s="220"/>
      <c r="E459" s="221"/>
      <c r="F459" s="222"/>
      <c r="G459" s="223"/>
      <c r="H459" s="224"/>
      <c r="I459" s="19"/>
      <c r="J459" s="19"/>
      <c r="K459" s="19"/>
      <c r="L459" s="225"/>
      <c r="M459" s="226"/>
      <c r="N459" s="226"/>
      <c r="O459" s="227"/>
      <c r="P459" s="19"/>
      <c r="Q459" s="19"/>
      <c r="R459" s="19"/>
      <c r="S459" s="228"/>
      <c r="T459" s="228"/>
      <c r="U459" s="229"/>
      <c r="V459" s="22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>
      <c r="A460" s="217"/>
      <c r="B460" s="218"/>
      <c r="C460" s="219"/>
      <c r="D460" s="220"/>
      <c r="E460" s="221"/>
      <c r="F460" s="222"/>
      <c r="G460" s="223"/>
      <c r="H460" s="224"/>
      <c r="I460" s="19"/>
      <c r="J460" s="19"/>
      <c r="K460" s="19"/>
      <c r="L460" s="225"/>
      <c r="M460" s="226"/>
      <c r="N460" s="226"/>
      <c r="O460" s="227"/>
      <c r="P460" s="19"/>
      <c r="Q460" s="19"/>
      <c r="R460" s="19"/>
      <c r="S460" s="228"/>
      <c r="T460" s="228"/>
      <c r="U460" s="229"/>
      <c r="V460" s="22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>
      <c r="A461" s="217"/>
      <c r="B461" s="218"/>
      <c r="C461" s="219"/>
      <c r="D461" s="220"/>
      <c r="E461" s="221"/>
      <c r="F461" s="222"/>
      <c r="G461" s="223"/>
      <c r="H461" s="224"/>
      <c r="I461" s="19"/>
      <c r="J461" s="19"/>
      <c r="K461" s="19"/>
      <c r="L461" s="225"/>
      <c r="M461" s="226"/>
      <c r="N461" s="226"/>
      <c r="O461" s="227"/>
      <c r="P461" s="19"/>
      <c r="Q461" s="19"/>
      <c r="R461" s="19"/>
      <c r="S461" s="228"/>
      <c r="T461" s="228"/>
      <c r="U461" s="229"/>
      <c r="V461" s="22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</row>
    <row r="462">
      <c r="A462" s="217"/>
      <c r="B462" s="218"/>
      <c r="C462" s="219"/>
      <c r="D462" s="220"/>
      <c r="E462" s="221"/>
      <c r="F462" s="222"/>
      <c r="G462" s="223"/>
      <c r="H462" s="224"/>
      <c r="I462" s="19"/>
      <c r="J462" s="19"/>
      <c r="K462" s="19"/>
      <c r="L462" s="225"/>
      <c r="M462" s="226"/>
      <c r="N462" s="226"/>
      <c r="O462" s="227"/>
      <c r="P462" s="19"/>
      <c r="Q462" s="19"/>
      <c r="R462" s="19"/>
      <c r="S462" s="228"/>
      <c r="T462" s="228"/>
      <c r="U462" s="229"/>
      <c r="V462" s="22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</row>
    <row r="463">
      <c r="A463" s="217"/>
      <c r="B463" s="218"/>
      <c r="C463" s="219"/>
      <c r="D463" s="220"/>
      <c r="E463" s="221"/>
      <c r="F463" s="222"/>
      <c r="G463" s="223"/>
      <c r="H463" s="224"/>
      <c r="I463" s="19"/>
      <c r="J463" s="19"/>
      <c r="K463" s="19"/>
      <c r="L463" s="225"/>
      <c r="M463" s="226"/>
      <c r="N463" s="226"/>
      <c r="O463" s="227"/>
      <c r="P463" s="19"/>
      <c r="Q463" s="19"/>
      <c r="R463" s="19"/>
      <c r="S463" s="228"/>
      <c r="T463" s="228"/>
      <c r="U463" s="229"/>
      <c r="V463" s="22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</row>
    <row r="464">
      <c r="A464" s="217"/>
      <c r="B464" s="218"/>
      <c r="C464" s="219"/>
      <c r="D464" s="220"/>
      <c r="E464" s="221"/>
      <c r="F464" s="222"/>
      <c r="G464" s="223"/>
      <c r="H464" s="224"/>
      <c r="I464" s="19"/>
      <c r="J464" s="19"/>
      <c r="K464" s="19"/>
      <c r="L464" s="225"/>
      <c r="M464" s="226"/>
      <c r="N464" s="226"/>
      <c r="O464" s="227"/>
      <c r="P464" s="19"/>
      <c r="Q464" s="19"/>
      <c r="R464" s="19"/>
      <c r="S464" s="228"/>
      <c r="T464" s="228"/>
      <c r="U464" s="229"/>
      <c r="V464" s="22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</row>
    <row r="465">
      <c r="A465" s="217"/>
      <c r="B465" s="218"/>
      <c r="C465" s="219"/>
      <c r="D465" s="220"/>
      <c r="E465" s="221"/>
      <c r="F465" s="222"/>
      <c r="G465" s="223"/>
      <c r="H465" s="224"/>
      <c r="I465" s="19"/>
      <c r="J465" s="19"/>
      <c r="K465" s="19"/>
      <c r="L465" s="225"/>
      <c r="M465" s="226"/>
      <c r="N465" s="226"/>
      <c r="O465" s="227"/>
      <c r="P465" s="19"/>
      <c r="Q465" s="19"/>
      <c r="R465" s="19"/>
      <c r="S465" s="228"/>
      <c r="T465" s="228"/>
      <c r="U465" s="229"/>
      <c r="V465" s="22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</row>
    <row r="466">
      <c r="A466" s="217"/>
      <c r="B466" s="218"/>
      <c r="C466" s="219"/>
      <c r="D466" s="220"/>
      <c r="E466" s="221"/>
      <c r="F466" s="222"/>
      <c r="G466" s="223"/>
      <c r="H466" s="224"/>
      <c r="I466" s="19"/>
      <c r="J466" s="19"/>
      <c r="K466" s="19"/>
      <c r="L466" s="225"/>
      <c r="M466" s="226"/>
      <c r="N466" s="226"/>
      <c r="O466" s="227"/>
      <c r="P466" s="19"/>
      <c r="Q466" s="19"/>
      <c r="R466" s="19"/>
      <c r="S466" s="228"/>
      <c r="T466" s="228"/>
      <c r="U466" s="229"/>
      <c r="V466" s="22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>
      <c r="A467" s="217"/>
      <c r="B467" s="218"/>
      <c r="C467" s="219"/>
      <c r="D467" s="220"/>
      <c r="E467" s="221"/>
      <c r="F467" s="222"/>
      <c r="G467" s="223"/>
      <c r="H467" s="224"/>
      <c r="I467" s="19"/>
      <c r="J467" s="19"/>
      <c r="K467" s="19"/>
      <c r="L467" s="225"/>
      <c r="M467" s="226"/>
      <c r="N467" s="226"/>
      <c r="O467" s="227"/>
      <c r="P467" s="19"/>
      <c r="Q467" s="19"/>
      <c r="R467" s="19"/>
      <c r="S467" s="228"/>
      <c r="T467" s="228"/>
      <c r="U467" s="229"/>
      <c r="V467" s="22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</row>
    <row r="468">
      <c r="A468" s="217"/>
      <c r="B468" s="218"/>
      <c r="C468" s="219"/>
      <c r="D468" s="220"/>
      <c r="E468" s="221"/>
      <c r="F468" s="222"/>
      <c r="G468" s="223"/>
      <c r="H468" s="224"/>
      <c r="I468" s="19"/>
      <c r="J468" s="19"/>
      <c r="K468" s="19"/>
      <c r="L468" s="225"/>
      <c r="M468" s="226"/>
      <c r="N468" s="226"/>
      <c r="O468" s="227"/>
      <c r="P468" s="19"/>
      <c r="Q468" s="19"/>
      <c r="R468" s="19"/>
      <c r="S468" s="228"/>
      <c r="T468" s="228"/>
      <c r="U468" s="229"/>
      <c r="V468" s="22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</row>
    <row r="469">
      <c r="A469" s="217"/>
      <c r="B469" s="218"/>
      <c r="C469" s="219"/>
      <c r="D469" s="220"/>
      <c r="E469" s="221"/>
      <c r="F469" s="222"/>
      <c r="G469" s="223"/>
      <c r="H469" s="224"/>
      <c r="I469" s="19"/>
      <c r="J469" s="19"/>
      <c r="K469" s="19"/>
      <c r="L469" s="225"/>
      <c r="M469" s="226"/>
      <c r="N469" s="226"/>
      <c r="O469" s="227"/>
      <c r="P469" s="19"/>
      <c r="Q469" s="19"/>
      <c r="R469" s="19"/>
      <c r="S469" s="228"/>
      <c r="T469" s="228"/>
      <c r="U469" s="229"/>
      <c r="V469" s="22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</row>
    <row r="470">
      <c r="A470" s="217"/>
      <c r="B470" s="218"/>
      <c r="C470" s="219"/>
      <c r="D470" s="220"/>
      <c r="E470" s="221"/>
      <c r="F470" s="222"/>
      <c r="G470" s="223"/>
      <c r="H470" s="224"/>
      <c r="I470" s="19"/>
      <c r="J470" s="19"/>
      <c r="K470" s="19"/>
      <c r="L470" s="225"/>
      <c r="M470" s="226"/>
      <c r="N470" s="226"/>
      <c r="O470" s="227"/>
      <c r="P470" s="19"/>
      <c r="Q470" s="19"/>
      <c r="R470" s="19"/>
      <c r="S470" s="228"/>
      <c r="T470" s="228"/>
      <c r="U470" s="229"/>
      <c r="V470" s="22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>
      <c r="A471" s="217"/>
      <c r="B471" s="218"/>
      <c r="C471" s="219"/>
      <c r="D471" s="220"/>
      <c r="E471" s="221"/>
      <c r="F471" s="222"/>
      <c r="G471" s="223"/>
      <c r="H471" s="224"/>
      <c r="I471" s="19"/>
      <c r="J471" s="19"/>
      <c r="K471" s="19"/>
      <c r="L471" s="225"/>
      <c r="M471" s="226"/>
      <c r="N471" s="226"/>
      <c r="O471" s="227"/>
      <c r="P471" s="19"/>
      <c r="Q471" s="19"/>
      <c r="R471" s="19"/>
      <c r="S471" s="228"/>
      <c r="T471" s="228"/>
      <c r="U471" s="229"/>
      <c r="V471" s="22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>
      <c r="A472" s="217"/>
      <c r="B472" s="218"/>
      <c r="C472" s="219"/>
      <c r="D472" s="220"/>
      <c r="E472" s="221"/>
      <c r="F472" s="222"/>
      <c r="G472" s="223"/>
      <c r="H472" s="224"/>
      <c r="I472" s="19"/>
      <c r="J472" s="19"/>
      <c r="K472" s="19"/>
      <c r="L472" s="225"/>
      <c r="M472" s="226"/>
      <c r="N472" s="226"/>
      <c r="O472" s="227"/>
      <c r="P472" s="19"/>
      <c r="Q472" s="19"/>
      <c r="R472" s="19"/>
      <c r="S472" s="228"/>
      <c r="T472" s="228"/>
      <c r="U472" s="229"/>
      <c r="V472" s="22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>
      <c r="A473" s="217"/>
      <c r="B473" s="218"/>
      <c r="C473" s="219"/>
      <c r="D473" s="220"/>
      <c r="E473" s="221"/>
      <c r="F473" s="222"/>
      <c r="G473" s="223"/>
      <c r="H473" s="224"/>
      <c r="I473" s="19"/>
      <c r="J473" s="19"/>
      <c r="K473" s="19"/>
      <c r="L473" s="225"/>
      <c r="M473" s="226"/>
      <c r="N473" s="226"/>
      <c r="O473" s="227"/>
      <c r="P473" s="19"/>
      <c r="Q473" s="19"/>
      <c r="R473" s="19"/>
      <c r="S473" s="228"/>
      <c r="T473" s="228"/>
      <c r="U473" s="229"/>
      <c r="V473" s="22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</row>
    <row r="474">
      <c r="A474" s="217"/>
      <c r="B474" s="218"/>
      <c r="C474" s="219"/>
      <c r="D474" s="220"/>
      <c r="E474" s="221"/>
      <c r="F474" s="222"/>
      <c r="G474" s="223"/>
      <c r="H474" s="224"/>
      <c r="I474" s="19"/>
      <c r="J474" s="19"/>
      <c r="K474" s="19"/>
      <c r="L474" s="225"/>
      <c r="M474" s="226"/>
      <c r="N474" s="226"/>
      <c r="O474" s="227"/>
      <c r="P474" s="19"/>
      <c r="Q474" s="19"/>
      <c r="R474" s="19"/>
      <c r="S474" s="228"/>
      <c r="T474" s="228"/>
      <c r="U474" s="229"/>
      <c r="V474" s="22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>
      <c r="A475" s="217"/>
      <c r="B475" s="218"/>
      <c r="C475" s="219"/>
      <c r="D475" s="220"/>
      <c r="E475" s="221"/>
      <c r="F475" s="222"/>
      <c r="G475" s="223"/>
      <c r="H475" s="224"/>
      <c r="I475" s="19"/>
      <c r="J475" s="19"/>
      <c r="K475" s="19"/>
      <c r="L475" s="225"/>
      <c r="M475" s="226"/>
      <c r="N475" s="226"/>
      <c r="O475" s="227"/>
      <c r="P475" s="19"/>
      <c r="Q475" s="19"/>
      <c r="R475" s="19"/>
      <c r="S475" s="228"/>
      <c r="T475" s="228"/>
      <c r="U475" s="229"/>
      <c r="V475" s="22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>
      <c r="A476" s="217"/>
      <c r="B476" s="218"/>
      <c r="C476" s="219"/>
      <c r="D476" s="220"/>
      <c r="E476" s="221"/>
      <c r="F476" s="222"/>
      <c r="G476" s="223"/>
      <c r="H476" s="224"/>
      <c r="I476" s="19"/>
      <c r="J476" s="19"/>
      <c r="K476" s="19"/>
      <c r="L476" s="225"/>
      <c r="M476" s="226"/>
      <c r="N476" s="226"/>
      <c r="O476" s="227"/>
      <c r="P476" s="19"/>
      <c r="Q476" s="19"/>
      <c r="R476" s="19"/>
      <c r="S476" s="228"/>
      <c r="T476" s="228"/>
      <c r="U476" s="229"/>
      <c r="V476" s="22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</row>
    <row r="477">
      <c r="A477" s="217"/>
      <c r="B477" s="218"/>
      <c r="C477" s="219"/>
      <c r="D477" s="220"/>
      <c r="E477" s="221"/>
      <c r="F477" s="222"/>
      <c r="G477" s="223"/>
      <c r="H477" s="224"/>
      <c r="I477" s="19"/>
      <c r="J477" s="19"/>
      <c r="K477" s="19"/>
      <c r="L477" s="225"/>
      <c r="M477" s="226"/>
      <c r="N477" s="226"/>
      <c r="O477" s="227"/>
      <c r="P477" s="19"/>
      <c r="Q477" s="19"/>
      <c r="R477" s="19"/>
      <c r="S477" s="228"/>
      <c r="T477" s="228"/>
      <c r="U477" s="229"/>
      <c r="V477" s="22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</row>
    <row r="478">
      <c r="A478" s="217"/>
      <c r="B478" s="218"/>
      <c r="C478" s="219"/>
      <c r="D478" s="220"/>
      <c r="E478" s="221"/>
      <c r="F478" s="222"/>
      <c r="G478" s="223"/>
      <c r="H478" s="224"/>
      <c r="I478" s="19"/>
      <c r="J478" s="19"/>
      <c r="K478" s="19"/>
      <c r="L478" s="225"/>
      <c r="M478" s="226"/>
      <c r="N478" s="226"/>
      <c r="O478" s="227"/>
      <c r="P478" s="19"/>
      <c r="Q478" s="19"/>
      <c r="R478" s="19"/>
      <c r="S478" s="228"/>
      <c r="T478" s="228"/>
      <c r="U478" s="229"/>
      <c r="V478" s="22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</row>
    <row r="479">
      <c r="A479" s="217"/>
      <c r="B479" s="218"/>
      <c r="C479" s="219"/>
      <c r="D479" s="220"/>
      <c r="E479" s="221"/>
      <c r="F479" s="222"/>
      <c r="G479" s="223"/>
      <c r="H479" s="224"/>
      <c r="I479" s="19"/>
      <c r="J479" s="19"/>
      <c r="K479" s="19"/>
      <c r="L479" s="225"/>
      <c r="M479" s="226"/>
      <c r="N479" s="226"/>
      <c r="O479" s="227"/>
      <c r="P479" s="19"/>
      <c r="Q479" s="19"/>
      <c r="R479" s="19"/>
      <c r="S479" s="228"/>
      <c r="T479" s="228"/>
      <c r="U479" s="229"/>
      <c r="V479" s="22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</row>
    <row r="480">
      <c r="A480" s="217"/>
      <c r="B480" s="218"/>
      <c r="C480" s="219"/>
      <c r="D480" s="220"/>
      <c r="E480" s="221"/>
      <c r="F480" s="222"/>
      <c r="G480" s="223"/>
      <c r="H480" s="224"/>
      <c r="I480" s="19"/>
      <c r="J480" s="19"/>
      <c r="K480" s="19"/>
      <c r="L480" s="225"/>
      <c r="M480" s="226"/>
      <c r="N480" s="226"/>
      <c r="O480" s="227"/>
      <c r="P480" s="19"/>
      <c r="Q480" s="19"/>
      <c r="R480" s="19"/>
      <c r="S480" s="228"/>
      <c r="T480" s="228"/>
      <c r="U480" s="229"/>
      <c r="V480" s="22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</row>
    <row r="481">
      <c r="A481" s="217"/>
      <c r="B481" s="218"/>
      <c r="C481" s="219"/>
      <c r="D481" s="220"/>
      <c r="E481" s="221"/>
      <c r="F481" s="222"/>
      <c r="G481" s="223"/>
      <c r="H481" s="224"/>
      <c r="I481" s="19"/>
      <c r="J481" s="19"/>
      <c r="K481" s="19"/>
      <c r="L481" s="225"/>
      <c r="M481" s="226"/>
      <c r="N481" s="226"/>
      <c r="O481" s="227"/>
      <c r="P481" s="19"/>
      <c r="Q481" s="19"/>
      <c r="R481" s="19"/>
      <c r="S481" s="228"/>
      <c r="T481" s="228"/>
      <c r="U481" s="229"/>
      <c r="V481" s="22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>
      <c r="A482" s="217"/>
      <c r="B482" s="218"/>
      <c r="C482" s="219"/>
      <c r="D482" s="220"/>
      <c r="E482" s="221"/>
      <c r="F482" s="222"/>
      <c r="G482" s="223"/>
      <c r="H482" s="224"/>
      <c r="I482" s="19"/>
      <c r="J482" s="19"/>
      <c r="K482" s="19"/>
      <c r="L482" s="225"/>
      <c r="M482" s="226"/>
      <c r="N482" s="226"/>
      <c r="O482" s="227"/>
      <c r="P482" s="19"/>
      <c r="Q482" s="19"/>
      <c r="R482" s="19"/>
      <c r="S482" s="228"/>
      <c r="T482" s="228"/>
      <c r="U482" s="229"/>
      <c r="V482" s="22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>
      <c r="A483" s="217"/>
      <c r="B483" s="218"/>
      <c r="C483" s="219"/>
      <c r="D483" s="220"/>
      <c r="E483" s="221"/>
      <c r="F483" s="222"/>
      <c r="G483" s="223"/>
      <c r="H483" s="224"/>
      <c r="I483" s="19"/>
      <c r="J483" s="19"/>
      <c r="K483" s="19"/>
      <c r="L483" s="225"/>
      <c r="M483" s="226"/>
      <c r="N483" s="226"/>
      <c r="O483" s="227"/>
      <c r="P483" s="19"/>
      <c r="Q483" s="19"/>
      <c r="R483" s="19"/>
      <c r="S483" s="228"/>
      <c r="T483" s="228"/>
      <c r="U483" s="229"/>
      <c r="V483" s="22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</row>
    <row r="484">
      <c r="A484" s="217"/>
      <c r="B484" s="218"/>
      <c r="C484" s="219"/>
      <c r="D484" s="220"/>
      <c r="E484" s="221"/>
      <c r="F484" s="222"/>
      <c r="G484" s="223"/>
      <c r="H484" s="224"/>
      <c r="I484" s="19"/>
      <c r="J484" s="19"/>
      <c r="K484" s="19"/>
      <c r="L484" s="225"/>
      <c r="M484" s="226"/>
      <c r="N484" s="226"/>
      <c r="O484" s="227"/>
      <c r="P484" s="19"/>
      <c r="Q484" s="19"/>
      <c r="R484" s="19"/>
      <c r="S484" s="228"/>
      <c r="T484" s="228"/>
      <c r="U484" s="229"/>
      <c r="V484" s="22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>
      <c r="A485" s="217"/>
      <c r="B485" s="218"/>
      <c r="C485" s="219"/>
      <c r="D485" s="220"/>
      <c r="E485" s="221"/>
      <c r="F485" s="222"/>
      <c r="G485" s="223"/>
      <c r="H485" s="224"/>
      <c r="I485" s="19"/>
      <c r="J485" s="19"/>
      <c r="K485" s="19"/>
      <c r="L485" s="225"/>
      <c r="M485" s="226"/>
      <c r="N485" s="226"/>
      <c r="O485" s="227"/>
      <c r="P485" s="19"/>
      <c r="Q485" s="19"/>
      <c r="R485" s="19"/>
      <c r="S485" s="228"/>
      <c r="T485" s="228"/>
      <c r="U485" s="229"/>
      <c r="V485" s="22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>
      <c r="A486" s="217"/>
      <c r="B486" s="218"/>
      <c r="C486" s="219"/>
      <c r="D486" s="220"/>
      <c r="E486" s="221"/>
      <c r="F486" s="222"/>
      <c r="G486" s="223"/>
      <c r="H486" s="224"/>
      <c r="I486" s="19"/>
      <c r="J486" s="19"/>
      <c r="K486" s="19"/>
      <c r="L486" s="225"/>
      <c r="M486" s="226"/>
      <c r="N486" s="226"/>
      <c r="O486" s="227"/>
      <c r="P486" s="19"/>
      <c r="Q486" s="19"/>
      <c r="R486" s="19"/>
      <c r="S486" s="228"/>
      <c r="T486" s="228"/>
      <c r="U486" s="229"/>
      <c r="V486" s="22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</row>
    <row r="487">
      <c r="A487" s="217"/>
      <c r="B487" s="218"/>
      <c r="C487" s="219"/>
      <c r="D487" s="220"/>
      <c r="E487" s="221"/>
      <c r="F487" s="222"/>
      <c r="G487" s="223"/>
      <c r="H487" s="224"/>
      <c r="I487" s="19"/>
      <c r="J487" s="19"/>
      <c r="K487" s="19"/>
      <c r="L487" s="225"/>
      <c r="M487" s="226"/>
      <c r="N487" s="226"/>
      <c r="O487" s="227"/>
      <c r="P487" s="19"/>
      <c r="Q487" s="19"/>
      <c r="R487" s="19"/>
      <c r="S487" s="228"/>
      <c r="T487" s="228"/>
      <c r="U487" s="229"/>
      <c r="V487" s="22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</row>
    <row r="488">
      <c r="A488" s="217"/>
      <c r="B488" s="218"/>
      <c r="C488" s="219"/>
      <c r="D488" s="220"/>
      <c r="E488" s="221"/>
      <c r="F488" s="222"/>
      <c r="G488" s="223"/>
      <c r="H488" s="224"/>
      <c r="I488" s="19"/>
      <c r="J488" s="19"/>
      <c r="K488" s="19"/>
      <c r="L488" s="225"/>
      <c r="M488" s="226"/>
      <c r="N488" s="226"/>
      <c r="O488" s="227"/>
      <c r="P488" s="19"/>
      <c r="Q488" s="19"/>
      <c r="R488" s="19"/>
      <c r="S488" s="228"/>
      <c r="T488" s="228"/>
      <c r="U488" s="229"/>
      <c r="V488" s="22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</row>
    <row r="489">
      <c r="A489" s="217"/>
      <c r="B489" s="218"/>
      <c r="C489" s="219"/>
      <c r="D489" s="220"/>
      <c r="E489" s="221"/>
      <c r="F489" s="222"/>
      <c r="G489" s="223"/>
      <c r="H489" s="224"/>
      <c r="I489" s="19"/>
      <c r="J489" s="19"/>
      <c r="K489" s="19"/>
      <c r="L489" s="225"/>
      <c r="M489" s="226"/>
      <c r="N489" s="226"/>
      <c r="O489" s="227"/>
      <c r="P489" s="19"/>
      <c r="Q489" s="19"/>
      <c r="R489" s="19"/>
      <c r="S489" s="228"/>
      <c r="T489" s="228"/>
      <c r="U489" s="229"/>
      <c r="V489" s="22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>
      <c r="A490" s="217"/>
      <c r="B490" s="218"/>
      <c r="C490" s="219"/>
      <c r="D490" s="220"/>
      <c r="E490" s="221"/>
      <c r="F490" s="222"/>
      <c r="G490" s="223"/>
      <c r="H490" s="224"/>
      <c r="I490" s="19"/>
      <c r="J490" s="19"/>
      <c r="K490" s="19"/>
      <c r="L490" s="225"/>
      <c r="M490" s="226"/>
      <c r="N490" s="226"/>
      <c r="O490" s="227"/>
      <c r="P490" s="19"/>
      <c r="Q490" s="19"/>
      <c r="R490" s="19"/>
      <c r="S490" s="228"/>
      <c r="T490" s="228"/>
      <c r="U490" s="229"/>
      <c r="V490" s="22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</row>
    <row r="491">
      <c r="A491" s="217"/>
      <c r="B491" s="218"/>
      <c r="C491" s="219"/>
      <c r="D491" s="220"/>
      <c r="E491" s="221"/>
      <c r="F491" s="222"/>
      <c r="G491" s="223"/>
      <c r="H491" s="224"/>
      <c r="I491" s="19"/>
      <c r="J491" s="19"/>
      <c r="K491" s="19"/>
      <c r="L491" s="225"/>
      <c r="M491" s="226"/>
      <c r="N491" s="226"/>
      <c r="O491" s="227"/>
      <c r="P491" s="19"/>
      <c r="Q491" s="19"/>
      <c r="R491" s="19"/>
      <c r="S491" s="228"/>
      <c r="T491" s="228"/>
      <c r="U491" s="229"/>
      <c r="V491" s="22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</row>
    <row r="492">
      <c r="A492" s="217"/>
      <c r="B492" s="218"/>
      <c r="C492" s="219"/>
      <c r="D492" s="220"/>
      <c r="E492" s="221"/>
      <c r="F492" s="222"/>
      <c r="G492" s="223"/>
      <c r="H492" s="224"/>
      <c r="I492" s="19"/>
      <c r="J492" s="19"/>
      <c r="K492" s="19"/>
      <c r="L492" s="225"/>
      <c r="M492" s="226"/>
      <c r="N492" s="226"/>
      <c r="O492" s="227"/>
      <c r="P492" s="19"/>
      <c r="Q492" s="19"/>
      <c r="R492" s="19"/>
      <c r="S492" s="228"/>
      <c r="T492" s="228"/>
      <c r="U492" s="229"/>
      <c r="V492" s="22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</row>
    <row r="493">
      <c r="A493" s="217"/>
      <c r="B493" s="218"/>
      <c r="C493" s="219"/>
      <c r="D493" s="220"/>
      <c r="E493" s="221"/>
      <c r="F493" s="222"/>
      <c r="G493" s="223"/>
      <c r="H493" s="224"/>
      <c r="I493" s="19"/>
      <c r="J493" s="19"/>
      <c r="K493" s="19"/>
      <c r="L493" s="225"/>
      <c r="M493" s="226"/>
      <c r="N493" s="226"/>
      <c r="O493" s="227"/>
      <c r="P493" s="19"/>
      <c r="Q493" s="19"/>
      <c r="R493" s="19"/>
      <c r="S493" s="228"/>
      <c r="T493" s="228"/>
      <c r="U493" s="229"/>
      <c r="V493" s="22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</row>
    <row r="494">
      <c r="A494" s="217"/>
      <c r="B494" s="218"/>
      <c r="C494" s="219"/>
      <c r="D494" s="220"/>
      <c r="E494" s="221"/>
      <c r="F494" s="222"/>
      <c r="G494" s="223"/>
      <c r="H494" s="224"/>
      <c r="I494" s="19"/>
      <c r="J494" s="19"/>
      <c r="K494" s="19"/>
      <c r="L494" s="225"/>
      <c r="M494" s="226"/>
      <c r="N494" s="226"/>
      <c r="O494" s="227"/>
      <c r="P494" s="19"/>
      <c r="Q494" s="19"/>
      <c r="R494" s="19"/>
      <c r="S494" s="228"/>
      <c r="T494" s="228"/>
      <c r="U494" s="229"/>
      <c r="V494" s="22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</row>
    <row r="495">
      <c r="A495" s="217"/>
      <c r="B495" s="218"/>
      <c r="C495" s="219"/>
      <c r="D495" s="220"/>
      <c r="E495" s="221"/>
      <c r="F495" s="222"/>
      <c r="G495" s="223"/>
      <c r="H495" s="224"/>
      <c r="I495" s="19"/>
      <c r="J495" s="19"/>
      <c r="K495" s="19"/>
      <c r="L495" s="225"/>
      <c r="M495" s="226"/>
      <c r="N495" s="226"/>
      <c r="O495" s="227"/>
      <c r="P495" s="19"/>
      <c r="Q495" s="19"/>
      <c r="R495" s="19"/>
      <c r="S495" s="228"/>
      <c r="T495" s="228"/>
      <c r="U495" s="229"/>
      <c r="V495" s="22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</row>
    <row r="496">
      <c r="A496" s="217"/>
      <c r="B496" s="218"/>
      <c r="C496" s="219"/>
      <c r="D496" s="220"/>
      <c r="E496" s="221"/>
      <c r="F496" s="222"/>
      <c r="G496" s="223"/>
      <c r="H496" s="224"/>
      <c r="I496" s="19"/>
      <c r="J496" s="19"/>
      <c r="K496" s="19"/>
      <c r="L496" s="225"/>
      <c r="M496" s="226"/>
      <c r="N496" s="226"/>
      <c r="O496" s="227"/>
      <c r="P496" s="19"/>
      <c r="Q496" s="19"/>
      <c r="R496" s="19"/>
      <c r="S496" s="228"/>
      <c r="T496" s="228"/>
      <c r="U496" s="229"/>
      <c r="V496" s="22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</row>
    <row r="497">
      <c r="A497" s="217"/>
      <c r="B497" s="218"/>
      <c r="C497" s="219"/>
      <c r="D497" s="220"/>
      <c r="E497" s="221"/>
      <c r="F497" s="222"/>
      <c r="G497" s="223"/>
      <c r="H497" s="224"/>
      <c r="I497" s="19"/>
      <c r="J497" s="19"/>
      <c r="K497" s="19"/>
      <c r="L497" s="225"/>
      <c r="M497" s="226"/>
      <c r="N497" s="226"/>
      <c r="O497" s="227"/>
      <c r="P497" s="19"/>
      <c r="Q497" s="19"/>
      <c r="R497" s="19"/>
      <c r="S497" s="228"/>
      <c r="T497" s="228"/>
      <c r="U497" s="229"/>
      <c r="V497" s="22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>
      <c r="A498" s="217"/>
      <c r="B498" s="218"/>
      <c r="C498" s="219"/>
      <c r="D498" s="220"/>
      <c r="E498" s="221"/>
      <c r="F498" s="222"/>
      <c r="G498" s="223"/>
      <c r="H498" s="224"/>
      <c r="I498" s="19"/>
      <c r="J498" s="19"/>
      <c r="K498" s="19"/>
      <c r="L498" s="225"/>
      <c r="M498" s="226"/>
      <c r="N498" s="226"/>
      <c r="O498" s="227"/>
      <c r="P498" s="19"/>
      <c r="Q498" s="19"/>
      <c r="R498" s="19"/>
      <c r="S498" s="228"/>
      <c r="T498" s="228"/>
      <c r="U498" s="229"/>
      <c r="V498" s="22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</row>
    <row r="499">
      <c r="A499" s="217"/>
      <c r="B499" s="218"/>
      <c r="C499" s="219"/>
      <c r="D499" s="220"/>
      <c r="E499" s="221"/>
      <c r="F499" s="222"/>
      <c r="G499" s="223"/>
      <c r="H499" s="224"/>
      <c r="I499" s="19"/>
      <c r="J499" s="19"/>
      <c r="K499" s="19"/>
      <c r="L499" s="225"/>
      <c r="M499" s="226"/>
      <c r="N499" s="226"/>
      <c r="O499" s="227"/>
      <c r="P499" s="19"/>
      <c r="Q499" s="19"/>
      <c r="R499" s="19"/>
      <c r="S499" s="228"/>
      <c r="T499" s="228"/>
      <c r="U499" s="229"/>
      <c r="V499" s="22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</row>
    <row r="500">
      <c r="A500" s="217"/>
      <c r="B500" s="218"/>
      <c r="C500" s="219"/>
      <c r="D500" s="220"/>
      <c r="E500" s="221"/>
      <c r="F500" s="222"/>
      <c r="G500" s="223"/>
      <c r="H500" s="224"/>
      <c r="I500" s="19"/>
      <c r="J500" s="19"/>
      <c r="K500" s="19"/>
      <c r="L500" s="225"/>
      <c r="M500" s="226"/>
      <c r="N500" s="226"/>
      <c r="O500" s="227"/>
      <c r="P500" s="19"/>
      <c r="Q500" s="19"/>
      <c r="R500" s="19"/>
      <c r="S500" s="228"/>
      <c r="T500" s="228"/>
      <c r="U500" s="229"/>
      <c r="V500" s="22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>
      <c r="A501" s="217"/>
      <c r="B501" s="218"/>
      <c r="C501" s="219"/>
      <c r="D501" s="220"/>
      <c r="E501" s="221"/>
      <c r="F501" s="222"/>
      <c r="G501" s="223"/>
      <c r="H501" s="224"/>
      <c r="I501" s="19"/>
      <c r="J501" s="19"/>
      <c r="K501" s="19"/>
      <c r="L501" s="225"/>
      <c r="M501" s="226"/>
      <c r="N501" s="226"/>
      <c r="O501" s="227"/>
      <c r="P501" s="19"/>
      <c r="Q501" s="19"/>
      <c r="R501" s="19"/>
      <c r="S501" s="228"/>
      <c r="T501" s="228"/>
      <c r="U501" s="229"/>
      <c r="V501" s="22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</row>
    <row r="502">
      <c r="A502" s="217"/>
      <c r="B502" s="218"/>
      <c r="C502" s="219"/>
      <c r="D502" s="220"/>
      <c r="E502" s="221"/>
      <c r="F502" s="222"/>
      <c r="G502" s="223"/>
      <c r="H502" s="224"/>
      <c r="I502" s="19"/>
      <c r="J502" s="19"/>
      <c r="K502" s="19"/>
      <c r="L502" s="225"/>
      <c r="M502" s="226"/>
      <c r="N502" s="226"/>
      <c r="O502" s="227"/>
      <c r="P502" s="19"/>
      <c r="Q502" s="19"/>
      <c r="R502" s="19"/>
      <c r="S502" s="228"/>
      <c r="T502" s="228"/>
      <c r="U502" s="229"/>
      <c r="V502" s="22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>
      <c r="A503" s="217"/>
      <c r="B503" s="218"/>
      <c r="C503" s="219"/>
      <c r="D503" s="220"/>
      <c r="E503" s="221"/>
      <c r="F503" s="222"/>
      <c r="G503" s="223"/>
      <c r="H503" s="224"/>
      <c r="I503" s="19"/>
      <c r="J503" s="19"/>
      <c r="K503" s="19"/>
      <c r="L503" s="225"/>
      <c r="M503" s="226"/>
      <c r="N503" s="226"/>
      <c r="O503" s="227"/>
      <c r="P503" s="19"/>
      <c r="Q503" s="19"/>
      <c r="R503" s="19"/>
      <c r="S503" s="228"/>
      <c r="T503" s="228"/>
      <c r="U503" s="229"/>
      <c r="V503" s="22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</row>
    <row r="504">
      <c r="A504" s="217"/>
      <c r="B504" s="218"/>
      <c r="C504" s="219"/>
      <c r="D504" s="220"/>
      <c r="E504" s="221"/>
      <c r="F504" s="222"/>
      <c r="G504" s="223"/>
      <c r="H504" s="224"/>
      <c r="I504" s="19"/>
      <c r="J504" s="19"/>
      <c r="K504" s="19"/>
      <c r="L504" s="225"/>
      <c r="M504" s="226"/>
      <c r="N504" s="226"/>
      <c r="O504" s="227"/>
      <c r="P504" s="19"/>
      <c r="Q504" s="19"/>
      <c r="R504" s="19"/>
      <c r="S504" s="228"/>
      <c r="T504" s="228"/>
      <c r="U504" s="229"/>
      <c r="V504" s="22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>
      <c r="A505" s="217"/>
      <c r="B505" s="218"/>
      <c r="C505" s="219"/>
      <c r="D505" s="220"/>
      <c r="E505" s="221"/>
      <c r="F505" s="222"/>
      <c r="G505" s="223"/>
      <c r="H505" s="224"/>
      <c r="I505" s="19"/>
      <c r="J505" s="19"/>
      <c r="K505" s="19"/>
      <c r="L505" s="225"/>
      <c r="M505" s="226"/>
      <c r="N505" s="226"/>
      <c r="O505" s="227"/>
      <c r="P505" s="19"/>
      <c r="Q505" s="19"/>
      <c r="R505" s="19"/>
      <c r="S505" s="228"/>
      <c r="T505" s="228"/>
      <c r="U505" s="229"/>
      <c r="V505" s="22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</row>
    <row r="506">
      <c r="A506" s="217"/>
      <c r="B506" s="218"/>
      <c r="C506" s="219"/>
      <c r="D506" s="220"/>
      <c r="E506" s="221"/>
      <c r="F506" s="222"/>
      <c r="G506" s="223"/>
      <c r="H506" s="224"/>
      <c r="I506" s="19"/>
      <c r="J506" s="19"/>
      <c r="K506" s="19"/>
      <c r="L506" s="225"/>
      <c r="M506" s="226"/>
      <c r="N506" s="226"/>
      <c r="O506" s="227"/>
      <c r="P506" s="19"/>
      <c r="Q506" s="19"/>
      <c r="R506" s="19"/>
      <c r="S506" s="228"/>
      <c r="T506" s="228"/>
      <c r="U506" s="229"/>
      <c r="V506" s="22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</row>
    <row r="507">
      <c r="A507" s="217"/>
      <c r="B507" s="218"/>
      <c r="C507" s="219"/>
      <c r="D507" s="220"/>
      <c r="E507" s="221"/>
      <c r="F507" s="222"/>
      <c r="G507" s="223"/>
      <c r="H507" s="224"/>
      <c r="I507" s="19"/>
      <c r="J507" s="19"/>
      <c r="K507" s="19"/>
      <c r="L507" s="225"/>
      <c r="M507" s="226"/>
      <c r="N507" s="226"/>
      <c r="O507" s="227"/>
      <c r="P507" s="19"/>
      <c r="Q507" s="19"/>
      <c r="R507" s="19"/>
      <c r="S507" s="228"/>
      <c r="T507" s="228"/>
      <c r="U507" s="229"/>
      <c r="V507" s="22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</row>
    <row r="508">
      <c r="A508" s="217"/>
      <c r="B508" s="218"/>
      <c r="C508" s="219"/>
      <c r="D508" s="220"/>
      <c r="E508" s="221"/>
      <c r="F508" s="222"/>
      <c r="G508" s="223"/>
      <c r="H508" s="224"/>
      <c r="I508" s="19"/>
      <c r="J508" s="19"/>
      <c r="K508" s="19"/>
      <c r="L508" s="225"/>
      <c r="M508" s="226"/>
      <c r="N508" s="226"/>
      <c r="O508" s="227"/>
      <c r="P508" s="19"/>
      <c r="Q508" s="19"/>
      <c r="R508" s="19"/>
      <c r="S508" s="228"/>
      <c r="T508" s="228"/>
      <c r="U508" s="229"/>
      <c r="V508" s="22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</row>
    <row r="509">
      <c r="A509" s="217"/>
      <c r="B509" s="218"/>
      <c r="C509" s="219"/>
      <c r="D509" s="220"/>
      <c r="E509" s="221"/>
      <c r="F509" s="222"/>
      <c r="G509" s="223"/>
      <c r="H509" s="224"/>
      <c r="I509" s="19"/>
      <c r="J509" s="19"/>
      <c r="K509" s="19"/>
      <c r="L509" s="225"/>
      <c r="M509" s="226"/>
      <c r="N509" s="226"/>
      <c r="O509" s="227"/>
      <c r="P509" s="19"/>
      <c r="Q509" s="19"/>
      <c r="R509" s="19"/>
      <c r="S509" s="228"/>
      <c r="T509" s="228"/>
      <c r="U509" s="229"/>
      <c r="V509" s="22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</row>
    <row r="510">
      <c r="A510" s="217"/>
      <c r="B510" s="218"/>
      <c r="C510" s="219"/>
      <c r="D510" s="220"/>
      <c r="E510" s="221"/>
      <c r="F510" s="222"/>
      <c r="G510" s="223"/>
      <c r="H510" s="224"/>
      <c r="I510" s="19"/>
      <c r="J510" s="19"/>
      <c r="K510" s="19"/>
      <c r="L510" s="225"/>
      <c r="M510" s="226"/>
      <c r="N510" s="226"/>
      <c r="O510" s="227"/>
      <c r="P510" s="19"/>
      <c r="Q510" s="19"/>
      <c r="R510" s="19"/>
      <c r="S510" s="228"/>
      <c r="T510" s="228"/>
      <c r="U510" s="229"/>
      <c r="V510" s="22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</row>
    <row r="511">
      <c r="A511" s="217"/>
      <c r="B511" s="218"/>
      <c r="C511" s="219"/>
      <c r="D511" s="220"/>
      <c r="E511" s="221"/>
      <c r="F511" s="222"/>
      <c r="G511" s="223"/>
      <c r="H511" s="224"/>
      <c r="I511" s="19"/>
      <c r="J511" s="19"/>
      <c r="K511" s="19"/>
      <c r="L511" s="225"/>
      <c r="M511" s="226"/>
      <c r="N511" s="226"/>
      <c r="O511" s="227"/>
      <c r="P511" s="19"/>
      <c r="Q511" s="19"/>
      <c r="R511" s="19"/>
      <c r="S511" s="228"/>
      <c r="T511" s="228"/>
      <c r="U511" s="229"/>
      <c r="V511" s="22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>
      <c r="A512" s="217"/>
      <c r="B512" s="218"/>
      <c r="C512" s="219"/>
      <c r="D512" s="220"/>
      <c r="E512" s="221"/>
      <c r="F512" s="222"/>
      <c r="G512" s="223"/>
      <c r="H512" s="224"/>
      <c r="I512" s="19"/>
      <c r="J512" s="19"/>
      <c r="K512" s="19"/>
      <c r="L512" s="225"/>
      <c r="M512" s="226"/>
      <c r="N512" s="226"/>
      <c r="O512" s="227"/>
      <c r="P512" s="19"/>
      <c r="Q512" s="19"/>
      <c r="R512" s="19"/>
      <c r="S512" s="228"/>
      <c r="T512" s="228"/>
      <c r="U512" s="229"/>
      <c r="V512" s="22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>
      <c r="A513" s="217"/>
      <c r="B513" s="218"/>
      <c r="C513" s="219"/>
      <c r="D513" s="220"/>
      <c r="E513" s="221"/>
      <c r="F513" s="222"/>
      <c r="G513" s="223"/>
      <c r="H513" s="224"/>
      <c r="I513" s="19"/>
      <c r="J513" s="19"/>
      <c r="K513" s="19"/>
      <c r="L513" s="225"/>
      <c r="M513" s="226"/>
      <c r="N513" s="226"/>
      <c r="O513" s="227"/>
      <c r="P513" s="19"/>
      <c r="Q513" s="19"/>
      <c r="R513" s="19"/>
      <c r="S513" s="228"/>
      <c r="T513" s="228"/>
      <c r="U513" s="229"/>
      <c r="V513" s="22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</row>
    <row r="514">
      <c r="A514" s="217"/>
      <c r="B514" s="218"/>
      <c r="C514" s="219"/>
      <c r="D514" s="220"/>
      <c r="E514" s="221"/>
      <c r="F514" s="222"/>
      <c r="G514" s="223"/>
      <c r="H514" s="224"/>
      <c r="I514" s="19"/>
      <c r="J514" s="19"/>
      <c r="K514" s="19"/>
      <c r="L514" s="225"/>
      <c r="M514" s="226"/>
      <c r="N514" s="226"/>
      <c r="O514" s="227"/>
      <c r="P514" s="19"/>
      <c r="Q514" s="19"/>
      <c r="R514" s="19"/>
      <c r="S514" s="228"/>
      <c r="T514" s="228"/>
      <c r="U514" s="229"/>
      <c r="V514" s="22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</row>
    <row r="515">
      <c r="A515" s="217"/>
      <c r="B515" s="218"/>
      <c r="C515" s="219"/>
      <c r="D515" s="220"/>
      <c r="E515" s="221"/>
      <c r="F515" s="222"/>
      <c r="G515" s="223"/>
      <c r="H515" s="224"/>
      <c r="I515" s="19"/>
      <c r="J515" s="19"/>
      <c r="K515" s="19"/>
      <c r="L515" s="225"/>
      <c r="M515" s="226"/>
      <c r="N515" s="226"/>
      <c r="O515" s="227"/>
      <c r="P515" s="19"/>
      <c r="Q515" s="19"/>
      <c r="R515" s="19"/>
      <c r="S515" s="228"/>
      <c r="T515" s="228"/>
      <c r="U515" s="229"/>
      <c r="V515" s="22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</row>
    <row r="516">
      <c r="A516" s="217"/>
      <c r="B516" s="218"/>
      <c r="C516" s="219"/>
      <c r="D516" s="220"/>
      <c r="E516" s="221"/>
      <c r="F516" s="222"/>
      <c r="G516" s="223"/>
      <c r="H516" s="224"/>
      <c r="I516" s="19"/>
      <c r="J516" s="19"/>
      <c r="K516" s="19"/>
      <c r="L516" s="225"/>
      <c r="M516" s="226"/>
      <c r="N516" s="226"/>
      <c r="O516" s="227"/>
      <c r="P516" s="19"/>
      <c r="Q516" s="19"/>
      <c r="R516" s="19"/>
      <c r="S516" s="228"/>
      <c r="T516" s="228"/>
      <c r="U516" s="229"/>
      <c r="V516" s="22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</row>
    <row r="517">
      <c r="A517" s="217"/>
      <c r="B517" s="218"/>
      <c r="C517" s="219"/>
      <c r="D517" s="220"/>
      <c r="E517" s="221"/>
      <c r="F517" s="222"/>
      <c r="G517" s="223"/>
      <c r="H517" s="224"/>
      <c r="I517" s="19"/>
      <c r="J517" s="19"/>
      <c r="K517" s="19"/>
      <c r="L517" s="225"/>
      <c r="M517" s="226"/>
      <c r="N517" s="226"/>
      <c r="O517" s="227"/>
      <c r="P517" s="19"/>
      <c r="Q517" s="19"/>
      <c r="R517" s="19"/>
      <c r="S517" s="228"/>
      <c r="T517" s="228"/>
      <c r="U517" s="229"/>
      <c r="V517" s="22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</row>
    <row r="518">
      <c r="A518" s="217"/>
      <c r="B518" s="218"/>
      <c r="C518" s="219"/>
      <c r="D518" s="220"/>
      <c r="E518" s="221"/>
      <c r="F518" s="222"/>
      <c r="G518" s="223"/>
      <c r="H518" s="224"/>
      <c r="I518" s="19"/>
      <c r="J518" s="19"/>
      <c r="K518" s="19"/>
      <c r="L518" s="225"/>
      <c r="M518" s="226"/>
      <c r="N518" s="226"/>
      <c r="O518" s="227"/>
      <c r="P518" s="19"/>
      <c r="Q518" s="19"/>
      <c r="R518" s="19"/>
      <c r="S518" s="228"/>
      <c r="T518" s="228"/>
      <c r="U518" s="229"/>
      <c r="V518" s="22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</row>
    <row r="519">
      <c r="A519" s="217"/>
      <c r="B519" s="218"/>
      <c r="C519" s="219"/>
      <c r="D519" s="220"/>
      <c r="E519" s="221"/>
      <c r="F519" s="222"/>
      <c r="G519" s="223"/>
      <c r="H519" s="224"/>
      <c r="I519" s="19"/>
      <c r="J519" s="19"/>
      <c r="K519" s="19"/>
      <c r="L519" s="225"/>
      <c r="M519" s="226"/>
      <c r="N519" s="226"/>
      <c r="O519" s="227"/>
      <c r="P519" s="19"/>
      <c r="Q519" s="19"/>
      <c r="R519" s="19"/>
      <c r="S519" s="228"/>
      <c r="T519" s="228"/>
      <c r="U519" s="229"/>
      <c r="V519" s="22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</row>
    <row r="520">
      <c r="A520" s="217"/>
      <c r="B520" s="218"/>
      <c r="C520" s="219"/>
      <c r="D520" s="220"/>
      <c r="E520" s="221"/>
      <c r="F520" s="222"/>
      <c r="G520" s="223"/>
      <c r="H520" s="224"/>
      <c r="I520" s="19"/>
      <c r="J520" s="19"/>
      <c r="K520" s="19"/>
      <c r="L520" s="225"/>
      <c r="M520" s="226"/>
      <c r="N520" s="226"/>
      <c r="O520" s="227"/>
      <c r="P520" s="19"/>
      <c r="Q520" s="19"/>
      <c r="R520" s="19"/>
      <c r="S520" s="228"/>
      <c r="T520" s="228"/>
      <c r="U520" s="229"/>
      <c r="V520" s="22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</row>
    <row r="521">
      <c r="A521" s="217"/>
      <c r="B521" s="218"/>
      <c r="C521" s="219"/>
      <c r="D521" s="220"/>
      <c r="E521" s="221"/>
      <c r="F521" s="222"/>
      <c r="G521" s="223"/>
      <c r="H521" s="224"/>
      <c r="I521" s="19"/>
      <c r="J521" s="19"/>
      <c r="K521" s="19"/>
      <c r="L521" s="225"/>
      <c r="M521" s="226"/>
      <c r="N521" s="226"/>
      <c r="O521" s="227"/>
      <c r="P521" s="19"/>
      <c r="Q521" s="19"/>
      <c r="R521" s="19"/>
      <c r="S521" s="228"/>
      <c r="T521" s="228"/>
      <c r="U521" s="229"/>
      <c r="V521" s="22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</row>
    <row r="522">
      <c r="A522" s="217"/>
      <c r="B522" s="218"/>
      <c r="C522" s="219"/>
      <c r="D522" s="220"/>
      <c r="E522" s="221"/>
      <c r="F522" s="222"/>
      <c r="G522" s="223"/>
      <c r="H522" s="224"/>
      <c r="I522" s="19"/>
      <c r="J522" s="19"/>
      <c r="K522" s="19"/>
      <c r="L522" s="225"/>
      <c r="M522" s="226"/>
      <c r="N522" s="226"/>
      <c r="O522" s="227"/>
      <c r="P522" s="19"/>
      <c r="Q522" s="19"/>
      <c r="R522" s="19"/>
      <c r="S522" s="228"/>
      <c r="T522" s="228"/>
      <c r="U522" s="229"/>
      <c r="V522" s="22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</row>
    <row r="523">
      <c r="A523" s="217"/>
      <c r="B523" s="218"/>
      <c r="C523" s="219"/>
      <c r="D523" s="220"/>
      <c r="E523" s="221"/>
      <c r="F523" s="222"/>
      <c r="G523" s="223"/>
      <c r="H523" s="224"/>
      <c r="I523" s="19"/>
      <c r="J523" s="19"/>
      <c r="K523" s="19"/>
      <c r="L523" s="225"/>
      <c r="M523" s="226"/>
      <c r="N523" s="226"/>
      <c r="O523" s="227"/>
      <c r="P523" s="19"/>
      <c r="Q523" s="19"/>
      <c r="R523" s="19"/>
      <c r="S523" s="228"/>
      <c r="T523" s="228"/>
      <c r="U523" s="229"/>
      <c r="V523" s="22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</row>
    <row r="524">
      <c r="A524" s="217"/>
      <c r="B524" s="218"/>
      <c r="C524" s="219"/>
      <c r="D524" s="220"/>
      <c r="E524" s="221"/>
      <c r="F524" s="222"/>
      <c r="G524" s="223"/>
      <c r="H524" s="224"/>
      <c r="I524" s="19"/>
      <c r="J524" s="19"/>
      <c r="K524" s="19"/>
      <c r="L524" s="225"/>
      <c r="M524" s="226"/>
      <c r="N524" s="226"/>
      <c r="O524" s="227"/>
      <c r="P524" s="19"/>
      <c r="Q524" s="19"/>
      <c r="R524" s="19"/>
      <c r="S524" s="228"/>
      <c r="T524" s="228"/>
      <c r="U524" s="229"/>
      <c r="V524" s="22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>
      <c r="A525" s="217"/>
      <c r="B525" s="218"/>
      <c r="C525" s="219"/>
      <c r="D525" s="220"/>
      <c r="E525" s="221"/>
      <c r="F525" s="222"/>
      <c r="G525" s="223"/>
      <c r="H525" s="224"/>
      <c r="I525" s="19"/>
      <c r="J525" s="19"/>
      <c r="K525" s="19"/>
      <c r="L525" s="225"/>
      <c r="M525" s="226"/>
      <c r="N525" s="226"/>
      <c r="O525" s="227"/>
      <c r="P525" s="19"/>
      <c r="Q525" s="19"/>
      <c r="R525" s="19"/>
      <c r="S525" s="228"/>
      <c r="T525" s="228"/>
      <c r="U525" s="229"/>
      <c r="V525" s="22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</row>
    <row r="526">
      <c r="A526" s="217"/>
      <c r="B526" s="218"/>
      <c r="C526" s="219"/>
      <c r="D526" s="220"/>
      <c r="E526" s="221"/>
      <c r="F526" s="222"/>
      <c r="G526" s="223"/>
      <c r="H526" s="224"/>
      <c r="I526" s="19"/>
      <c r="J526" s="19"/>
      <c r="K526" s="19"/>
      <c r="L526" s="225"/>
      <c r="M526" s="226"/>
      <c r="N526" s="226"/>
      <c r="O526" s="227"/>
      <c r="P526" s="19"/>
      <c r="Q526" s="19"/>
      <c r="R526" s="19"/>
      <c r="S526" s="228"/>
      <c r="T526" s="228"/>
      <c r="U526" s="229"/>
      <c r="V526" s="22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>
      <c r="A527" s="217"/>
      <c r="B527" s="218"/>
      <c r="C527" s="219"/>
      <c r="D527" s="220"/>
      <c r="E527" s="221"/>
      <c r="F527" s="222"/>
      <c r="G527" s="223"/>
      <c r="H527" s="224"/>
      <c r="I527" s="19"/>
      <c r="J527" s="19"/>
      <c r="K527" s="19"/>
      <c r="L527" s="225"/>
      <c r="M527" s="226"/>
      <c r="N527" s="226"/>
      <c r="O527" s="227"/>
      <c r="P527" s="19"/>
      <c r="Q527" s="19"/>
      <c r="R527" s="19"/>
      <c r="S527" s="228"/>
      <c r="T527" s="228"/>
      <c r="U527" s="229"/>
      <c r="V527" s="22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</row>
    <row r="528">
      <c r="A528" s="217"/>
      <c r="B528" s="218"/>
      <c r="C528" s="219"/>
      <c r="D528" s="220"/>
      <c r="E528" s="221"/>
      <c r="F528" s="222"/>
      <c r="G528" s="223"/>
      <c r="H528" s="224"/>
      <c r="I528" s="19"/>
      <c r="J528" s="19"/>
      <c r="K528" s="19"/>
      <c r="L528" s="225"/>
      <c r="M528" s="226"/>
      <c r="N528" s="226"/>
      <c r="O528" s="227"/>
      <c r="P528" s="19"/>
      <c r="Q528" s="19"/>
      <c r="R528" s="19"/>
      <c r="S528" s="228"/>
      <c r="T528" s="228"/>
      <c r="U528" s="229"/>
      <c r="V528" s="22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</row>
    <row r="529">
      <c r="A529" s="217"/>
      <c r="B529" s="218"/>
      <c r="C529" s="219"/>
      <c r="D529" s="220"/>
      <c r="E529" s="221"/>
      <c r="F529" s="222"/>
      <c r="G529" s="223"/>
      <c r="H529" s="224"/>
      <c r="I529" s="19"/>
      <c r="J529" s="19"/>
      <c r="K529" s="19"/>
      <c r="L529" s="225"/>
      <c r="M529" s="226"/>
      <c r="N529" s="226"/>
      <c r="O529" s="227"/>
      <c r="P529" s="19"/>
      <c r="Q529" s="19"/>
      <c r="R529" s="19"/>
      <c r="S529" s="228"/>
      <c r="T529" s="228"/>
      <c r="U529" s="229"/>
      <c r="V529" s="22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>
      <c r="A530" s="217"/>
      <c r="B530" s="218"/>
      <c r="C530" s="219"/>
      <c r="D530" s="220"/>
      <c r="E530" s="221"/>
      <c r="F530" s="222"/>
      <c r="G530" s="223"/>
      <c r="H530" s="224"/>
      <c r="I530" s="19"/>
      <c r="J530" s="19"/>
      <c r="K530" s="19"/>
      <c r="L530" s="225"/>
      <c r="M530" s="226"/>
      <c r="N530" s="226"/>
      <c r="O530" s="227"/>
      <c r="P530" s="19"/>
      <c r="Q530" s="19"/>
      <c r="R530" s="19"/>
      <c r="S530" s="228"/>
      <c r="T530" s="228"/>
      <c r="U530" s="229"/>
      <c r="V530" s="22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>
      <c r="A531" s="217"/>
      <c r="B531" s="218"/>
      <c r="C531" s="219"/>
      <c r="D531" s="220"/>
      <c r="E531" s="221"/>
      <c r="F531" s="222"/>
      <c r="G531" s="223"/>
      <c r="H531" s="224"/>
      <c r="I531" s="19"/>
      <c r="J531" s="19"/>
      <c r="K531" s="19"/>
      <c r="L531" s="225"/>
      <c r="M531" s="226"/>
      <c r="N531" s="226"/>
      <c r="O531" s="227"/>
      <c r="P531" s="19"/>
      <c r="Q531" s="19"/>
      <c r="R531" s="19"/>
      <c r="S531" s="228"/>
      <c r="T531" s="228"/>
      <c r="U531" s="229"/>
      <c r="V531" s="22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>
      <c r="A532" s="217"/>
      <c r="B532" s="218"/>
      <c r="C532" s="219"/>
      <c r="D532" s="220"/>
      <c r="E532" s="221"/>
      <c r="F532" s="222"/>
      <c r="G532" s="223"/>
      <c r="H532" s="224"/>
      <c r="I532" s="19"/>
      <c r="J532" s="19"/>
      <c r="K532" s="19"/>
      <c r="L532" s="225"/>
      <c r="M532" s="226"/>
      <c r="N532" s="226"/>
      <c r="O532" s="227"/>
      <c r="P532" s="19"/>
      <c r="Q532" s="19"/>
      <c r="R532" s="19"/>
      <c r="S532" s="228"/>
      <c r="T532" s="228"/>
      <c r="U532" s="229"/>
      <c r="V532" s="22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>
      <c r="A533" s="217"/>
      <c r="B533" s="218"/>
      <c r="C533" s="219"/>
      <c r="D533" s="220"/>
      <c r="E533" s="221"/>
      <c r="F533" s="222"/>
      <c r="G533" s="223"/>
      <c r="H533" s="224"/>
      <c r="I533" s="19"/>
      <c r="J533" s="19"/>
      <c r="K533" s="19"/>
      <c r="L533" s="225"/>
      <c r="M533" s="226"/>
      <c r="N533" s="226"/>
      <c r="O533" s="227"/>
      <c r="P533" s="19"/>
      <c r="Q533" s="19"/>
      <c r="R533" s="19"/>
      <c r="S533" s="228"/>
      <c r="T533" s="228"/>
      <c r="U533" s="229"/>
      <c r="V533" s="22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</row>
    <row r="534">
      <c r="A534" s="217"/>
      <c r="B534" s="218"/>
      <c r="C534" s="219"/>
      <c r="D534" s="220"/>
      <c r="E534" s="221"/>
      <c r="F534" s="222"/>
      <c r="G534" s="223"/>
      <c r="H534" s="224"/>
      <c r="I534" s="19"/>
      <c r="J534" s="19"/>
      <c r="K534" s="19"/>
      <c r="L534" s="225"/>
      <c r="M534" s="226"/>
      <c r="N534" s="226"/>
      <c r="O534" s="227"/>
      <c r="P534" s="19"/>
      <c r="Q534" s="19"/>
      <c r="R534" s="19"/>
      <c r="S534" s="228"/>
      <c r="T534" s="228"/>
      <c r="U534" s="229"/>
      <c r="V534" s="22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>
      <c r="A535" s="217"/>
      <c r="B535" s="218"/>
      <c r="C535" s="219"/>
      <c r="D535" s="220"/>
      <c r="E535" s="221"/>
      <c r="F535" s="222"/>
      <c r="G535" s="223"/>
      <c r="H535" s="224"/>
      <c r="I535" s="19"/>
      <c r="J535" s="19"/>
      <c r="K535" s="19"/>
      <c r="L535" s="225"/>
      <c r="M535" s="226"/>
      <c r="N535" s="226"/>
      <c r="O535" s="227"/>
      <c r="P535" s="19"/>
      <c r="Q535" s="19"/>
      <c r="R535" s="19"/>
      <c r="S535" s="228"/>
      <c r="T535" s="228"/>
      <c r="U535" s="229"/>
      <c r="V535" s="22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</row>
    <row r="536">
      <c r="A536" s="217"/>
      <c r="B536" s="218"/>
      <c r="C536" s="219"/>
      <c r="D536" s="220"/>
      <c r="E536" s="221"/>
      <c r="F536" s="222"/>
      <c r="G536" s="223"/>
      <c r="H536" s="224"/>
      <c r="I536" s="19"/>
      <c r="J536" s="19"/>
      <c r="K536" s="19"/>
      <c r="L536" s="225"/>
      <c r="M536" s="226"/>
      <c r="N536" s="226"/>
      <c r="O536" s="227"/>
      <c r="P536" s="19"/>
      <c r="Q536" s="19"/>
      <c r="R536" s="19"/>
      <c r="S536" s="228"/>
      <c r="T536" s="228"/>
      <c r="U536" s="229"/>
      <c r="V536" s="22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</row>
    <row r="537">
      <c r="A537" s="217"/>
      <c r="B537" s="218"/>
      <c r="C537" s="219"/>
      <c r="D537" s="220"/>
      <c r="E537" s="221"/>
      <c r="F537" s="222"/>
      <c r="G537" s="223"/>
      <c r="H537" s="224"/>
      <c r="I537" s="19"/>
      <c r="J537" s="19"/>
      <c r="K537" s="19"/>
      <c r="L537" s="225"/>
      <c r="M537" s="226"/>
      <c r="N537" s="226"/>
      <c r="O537" s="227"/>
      <c r="P537" s="19"/>
      <c r="Q537" s="19"/>
      <c r="R537" s="19"/>
      <c r="S537" s="228"/>
      <c r="T537" s="228"/>
      <c r="U537" s="229"/>
      <c r="V537" s="22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</row>
    <row r="538">
      <c r="A538" s="217"/>
      <c r="B538" s="218"/>
      <c r="C538" s="219"/>
      <c r="D538" s="220"/>
      <c r="E538" s="221"/>
      <c r="F538" s="222"/>
      <c r="G538" s="223"/>
      <c r="H538" s="224"/>
      <c r="I538" s="19"/>
      <c r="J538" s="19"/>
      <c r="K538" s="19"/>
      <c r="L538" s="225"/>
      <c r="M538" s="226"/>
      <c r="N538" s="226"/>
      <c r="O538" s="227"/>
      <c r="P538" s="19"/>
      <c r="Q538" s="19"/>
      <c r="R538" s="19"/>
      <c r="S538" s="228"/>
      <c r="T538" s="228"/>
      <c r="U538" s="229"/>
      <c r="V538" s="22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>
      <c r="A539" s="217"/>
      <c r="B539" s="218"/>
      <c r="C539" s="219"/>
      <c r="D539" s="220"/>
      <c r="E539" s="221"/>
      <c r="F539" s="222"/>
      <c r="G539" s="223"/>
      <c r="H539" s="224"/>
      <c r="I539" s="19"/>
      <c r="J539" s="19"/>
      <c r="K539" s="19"/>
      <c r="L539" s="225"/>
      <c r="M539" s="226"/>
      <c r="N539" s="226"/>
      <c r="O539" s="227"/>
      <c r="P539" s="19"/>
      <c r="Q539" s="19"/>
      <c r="R539" s="19"/>
      <c r="S539" s="228"/>
      <c r="T539" s="228"/>
      <c r="U539" s="229"/>
      <c r="V539" s="22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</row>
    <row r="540">
      <c r="A540" s="217"/>
      <c r="B540" s="218"/>
      <c r="C540" s="219"/>
      <c r="D540" s="220"/>
      <c r="E540" s="221"/>
      <c r="F540" s="222"/>
      <c r="G540" s="223"/>
      <c r="H540" s="224"/>
      <c r="I540" s="19"/>
      <c r="J540" s="19"/>
      <c r="K540" s="19"/>
      <c r="L540" s="225"/>
      <c r="M540" s="226"/>
      <c r="N540" s="226"/>
      <c r="O540" s="227"/>
      <c r="P540" s="19"/>
      <c r="Q540" s="19"/>
      <c r="R540" s="19"/>
      <c r="S540" s="228"/>
      <c r="T540" s="228"/>
      <c r="U540" s="229"/>
      <c r="V540" s="22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</row>
    <row r="541">
      <c r="A541" s="217"/>
      <c r="B541" s="218"/>
      <c r="C541" s="219"/>
      <c r="D541" s="220"/>
      <c r="E541" s="221"/>
      <c r="F541" s="222"/>
      <c r="G541" s="223"/>
      <c r="H541" s="224"/>
      <c r="I541" s="19"/>
      <c r="J541" s="19"/>
      <c r="K541" s="19"/>
      <c r="L541" s="225"/>
      <c r="M541" s="226"/>
      <c r="N541" s="226"/>
      <c r="O541" s="227"/>
      <c r="P541" s="19"/>
      <c r="Q541" s="19"/>
      <c r="R541" s="19"/>
      <c r="S541" s="228"/>
      <c r="T541" s="228"/>
      <c r="U541" s="229"/>
      <c r="V541" s="22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</row>
    <row r="542">
      <c r="A542" s="217"/>
      <c r="B542" s="218"/>
      <c r="C542" s="219"/>
      <c r="D542" s="220"/>
      <c r="E542" s="221"/>
      <c r="F542" s="222"/>
      <c r="G542" s="223"/>
      <c r="H542" s="224"/>
      <c r="I542" s="19"/>
      <c r="J542" s="19"/>
      <c r="K542" s="19"/>
      <c r="L542" s="225"/>
      <c r="M542" s="226"/>
      <c r="N542" s="226"/>
      <c r="O542" s="227"/>
      <c r="P542" s="19"/>
      <c r="Q542" s="19"/>
      <c r="R542" s="19"/>
      <c r="S542" s="228"/>
      <c r="T542" s="228"/>
      <c r="U542" s="229"/>
      <c r="V542" s="22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</row>
    <row r="543">
      <c r="A543" s="217"/>
      <c r="B543" s="218"/>
      <c r="C543" s="219"/>
      <c r="D543" s="220"/>
      <c r="E543" s="221"/>
      <c r="F543" s="222"/>
      <c r="G543" s="223"/>
      <c r="H543" s="224"/>
      <c r="I543" s="19"/>
      <c r="J543" s="19"/>
      <c r="K543" s="19"/>
      <c r="L543" s="225"/>
      <c r="M543" s="226"/>
      <c r="N543" s="226"/>
      <c r="O543" s="227"/>
      <c r="P543" s="19"/>
      <c r="Q543" s="19"/>
      <c r="R543" s="19"/>
      <c r="S543" s="228"/>
      <c r="T543" s="228"/>
      <c r="U543" s="229"/>
      <c r="V543" s="22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</row>
    <row r="544">
      <c r="A544" s="217"/>
      <c r="B544" s="218"/>
      <c r="C544" s="219"/>
      <c r="D544" s="220"/>
      <c r="E544" s="221"/>
      <c r="F544" s="222"/>
      <c r="G544" s="223"/>
      <c r="H544" s="224"/>
      <c r="I544" s="19"/>
      <c r="J544" s="19"/>
      <c r="K544" s="19"/>
      <c r="L544" s="225"/>
      <c r="M544" s="226"/>
      <c r="N544" s="226"/>
      <c r="O544" s="227"/>
      <c r="P544" s="19"/>
      <c r="Q544" s="19"/>
      <c r="R544" s="19"/>
      <c r="S544" s="228"/>
      <c r="T544" s="228"/>
      <c r="U544" s="229"/>
      <c r="V544" s="22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</row>
    <row r="545">
      <c r="A545" s="217"/>
      <c r="B545" s="218"/>
      <c r="C545" s="219"/>
      <c r="D545" s="220"/>
      <c r="E545" s="221"/>
      <c r="F545" s="222"/>
      <c r="G545" s="223"/>
      <c r="H545" s="224"/>
      <c r="I545" s="19"/>
      <c r="J545" s="19"/>
      <c r="K545" s="19"/>
      <c r="L545" s="225"/>
      <c r="M545" s="226"/>
      <c r="N545" s="226"/>
      <c r="O545" s="227"/>
      <c r="P545" s="19"/>
      <c r="Q545" s="19"/>
      <c r="R545" s="19"/>
      <c r="S545" s="228"/>
      <c r="T545" s="228"/>
      <c r="U545" s="229"/>
      <c r="V545" s="22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>
      <c r="A546" s="217"/>
      <c r="B546" s="218"/>
      <c r="C546" s="219"/>
      <c r="D546" s="220"/>
      <c r="E546" s="221"/>
      <c r="F546" s="222"/>
      <c r="G546" s="223"/>
      <c r="H546" s="224"/>
      <c r="I546" s="19"/>
      <c r="J546" s="19"/>
      <c r="K546" s="19"/>
      <c r="L546" s="225"/>
      <c r="M546" s="226"/>
      <c r="N546" s="226"/>
      <c r="O546" s="227"/>
      <c r="P546" s="19"/>
      <c r="Q546" s="19"/>
      <c r="R546" s="19"/>
      <c r="S546" s="228"/>
      <c r="T546" s="228"/>
      <c r="U546" s="229"/>
      <c r="V546" s="22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</row>
    <row r="547">
      <c r="A547" s="217"/>
      <c r="B547" s="218"/>
      <c r="C547" s="219"/>
      <c r="D547" s="220"/>
      <c r="E547" s="221"/>
      <c r="F547" s="222"/>
      <c r="G547" s="223"/>
      <c r="H547" s="224"/>
      <c r="I547" s="19"/>
      <c r="J547" s="19"/>
      <c r="K547" s="19"/>
      <c r="L547" s="225"/>
      <c r="M547" s="226"/>
      <c r="N547" s="226"/>
      <c r="O547" s="227"/>
      <c r="P547" s="19"/>
      <c r="Q547" s="19"/>
      <c r="R547" s="19"/>
      <c r="S547" s="228"/>
      <c r="T547" s="228"/>
      <c r="U547" s="229"/>
      <c r="V547" s="22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</row>
    <row r="548">
      <c r="A548" s="217"/>
      <c r="B548" s="218"/>
      <c r="C548" s="219"/>
      <c r="D548" s="220"/>
      <c r="E548" s="221"/>
      <c r="F548" s="222"/>
      <c r="G548" s="223"/>
      <c r="H548" s="224"/>
      <c r="I548" s="19"/>
      <c r="J548" s="19"/>
      <c r="K548" s="19"/>
      <c r="L548" s="225"/>
      <c r="M548" s="226"/>
      <c r="N548" s="226"/>
      <c r="O548" s="227"/>
      <c r="P548" s="19"/>
      <c r="Q548" s="19"/>
      <c r="R548" s="19"/>
      <c r="S548" s="228"/>
      <c r="T548" s="228"/>
      <c r="U548" s="229"/>
      <c r="V548" s="22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>
      <c r="A549" s="217"/>
      <c r="B549" s="218"/>
      <c r="C549" s="219"/>
      <c r="D549" s="220"/>
      <c r="E549" s="221"/>
      <c r="F549" s="222"/>
      <c r="G549" s="223"/>
      <c r="H549" s="224"/>
      <c r="I549" s="19"/>
      <c r="J549" s="19"/>
      <c r="K549" s="19"/>
      <c r="L549" s="225"/>
      <c r="M549" s="226"/>
      <c r="N549" s="226"/>
      <c r="O549" s="227"/>
      <c r="P549" s="19"/>
      <c r="Q549" s="19"/>
      <c r="R549" s="19"/>
      <c r="S549" s="228"/>
      <c r="T549" s="228"/>
      <c r="U549" s="229"/>
      <c r="V549" s="22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>
      <c r="A550" s="217"/>
      <c r="B550" s="218"/>
      <c r="C550" s="219"/>
      <c r="D550" s="220"/>
      <c r="E550" s="221"/>
      <c r="F550" s="222"/>
      <c r="G550" s="223"/>
      <c r="H550" s="224"/>
      <c r="I550" s="19"/>
      <c r="J550" s="19"/>
      <c r="K550" s="19"/>
      <c r="L550" s="225"/>
      <c r="M550" s="226"/>
      <c r="N550" s="226"/>
      <c r="O550" s="227"/>
      <c r="P550" s="19"/>
      <c r="Q550" s="19"/>
      <c r="R550" s="19"/>
      <c r="S550" s="228"/>
      <c r="T550" s="228"/>
      <c r="U550" s="229"/>
      <c r="V550" s="22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</row>
    <row r="551">
      <c r="A551" s="217"/>
      <c r="B551" s="218"/>
      <c r="C551" s="219"/>
      <c r="D551" s="220"/>
      <c r="E551" s="221"/>
      <c r="F551" s="222"/>
      <c r="G551" s="223"/>
      <c r="H551" s="224"/>
      <c r="I551" s="19"/>
      <c r="J551" s="19"/>
      <c r="K551" s="19"/>
      <c r="L551" s="225"/>
      <c r="M551" s="226"/>
      <c r="N551" s="226"/>
      <c r="O551" s="227"/>
      <c r="P551" s="19"/>
      <c r="Q551" s="19"/>
      <c r="R551" s="19"/>
      <c r="S551" s="228"/>
      <c r="T551" s="228"/>
      <c r="U551" s="229"/>
      <c r="V551" s="22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</row>
    <row r="552">
      <c r="A552" s="217"/>
      <c r="B552" s="218"/>
      <c r="C552" s="219"/>
      <c r="D552" s="220"/>
      <c r="E552" s="221"/>
      <c r="F552" s="222"/>
      <c r="G552" s="223"/>
      <c r="H552" s="224"/>
      <c r="I552" s="19"/>
      <c r="J552" s="19"/>
      <c r="K552" s="19"/>
      <c r="L552" s="225"/>
      <c r="M552" s="226"/>
      <c r="N552" s="226"/>
      <c r="O552" s="227"/>
      <c r="P552" s="19"/>
      <c r="Q552" s="19"/>
      <c r="R552" s="19"/>
      <c r="S552" s="228"/>
      <c r="T552" s="228"/>
      <c r="U552" s="229"/>
      <c r="V552" s="22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</row>
    <row r="553">
      <c r="A553" s="217"/>
      <c r="B553" s="218"/>
      <c r="C553" s="219"/>
      <c r="D553" s="220"/>
      <c r="E553" s="221"/>
      <c r="F553" s="222"/>
      <c r="G553" s="223"/>
      <c r="H553" s="224"/>
      <c r="I553" s="19"/>
      <c r="J553" s="19"/>
      <c r="K553" s="19"/>
      <c r="L553" s="225"/>
      <c r="M553" s="226"/>
      <c r="N553" s="226"/>
      <c r="O553" s="227"/>
      <c r="P553" s="19"/>
      <c r="Q553" s="19"/>
      <c r="R553" s="19"/>
      <c r="S553" s="228"/>
      <c r="T553" s="228"/>
      <c r="U553" s="229"/>
      <c r="V553" s="22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</row>
    <row r="554">
      <c r="A554" s="217"/>
      <c r="B554" s="218"/>
      <c r="C554" s="219"/>
      <c r="D554" s="220"/>
      <c r="E554" s="221"/>
      <c r="F554" s="222"/>
      <c r="G554" s="223"/>
      <c r="H554" s="224"/>
      <c r="I554" s="19"/>
      <c r="J554" s="19"/>
      <c r="K554" s="19"/>
      <c r="L554" s="225"/>
      <c r="M554" s="226"/>
      <c r="N554" s="226"/>
      <c r="O554" s="227"/>
      <c r="P554" s="19"/>
      <c r="Q554" s="19"/>
      <c r="R554" s="19"/>
      <c r="S554" s="228"/>
      <c r="T554" s="228"/>
      <c r="U554" s="229"/>
      <c r="V554" s="22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</row>
    <row r="555">
      <c r="A555" s="217"/>
      <c r="B555" s="218"/>
      <c r="C555" s="219"/>
      <c r="D555" s="220"/>
      <c r="E555" s="221"/>
      <c r="F555" s="222"/>
      <c r="G555" s="223"/>
      <c r="H555" s="224"/>
      <c r="I555" s="19"/>
      <c r="J555" s="19"/>
      <c r="K555" s="19"/>
      <c r="L555" s="225"/>
      <c r="M555" s="226"/>
      <c r="N555" s="226"/>
      <c r="O555" s="227"/>
      <c r="P555" s="19"/>
      <c r="Q555" s="19"/>
      <c r="R555" s="19"/>
      <c r="S555" s="228"/>
      <c r="T555" s="228"/>
      <c r="U555" s="229"/>
      <c r="V555" s="22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>
      <c r="A556" s="217"/>
      <c r="B556" s="218"/>
      <c r="C556" s="219"/>
      <c r="D556" s="220"/>
      <c r="E556" s="221"/>
      <c r="F556" s="222"/>
      <c r="G556" s="223"/>
      <c r="H556" s="224"/>
      <c r="I556" s="19"/>
      <c r="J556" s="19"/>
      <c r="K556" s="19"/>
      <c r="L556" s="225"/>
      <c r="M556" s="226"/>
      <c r="N556" s="226"/>
      <c r="O556" s="227"/>
      <c r="P556" s="19"/>
      <c r="Q556" s="19"/>
      <c r="R556" s="19"/>
      <c r="S556" s="228"/>
      <c r="T556" s="228"/>
      <c r="U556" s="229"/>
      <c r="V556" s="22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</row>
    <row r="557">
      <c r="A557" s="217"/>
      <c r="B557" s="218"/>
      <c r="C557" s="219"/>
      <c r="D557" s="220"/>
      <c r="E557" s="221"/>
      <c r="F557" s="222"/>
      <c r="G557" s="223"/>
      <c r="H557" s="224"/>
      <c r="I557" s="19"/>
      <c r="J557" s="19"/>
      <c r="K557" s="19"/>
      <c r="L557" s="225"/>
      <c r="M557" s="226"/>
      <c r="N557" s="226"/>
      <c r="O557" s="227"/>
      <c r="P557" s="19"/>
      <c r="Q557" s="19"/>
      <c r="R557" s="19"/>
      <c r="S557" s="228"/>
      <c r="T557" s="228"/>
      <c r="U557" s="229"/>
      <c r="V557" s="22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</row>
    <row r="558">
      <c r="A558" s="217"/>
      <c r="B558" s="218"/>
      <c r="C558" s="219"/>
      <c r="D558" s="220"/>
      <c r="E558" s="221"/>
      <c r="F558" s="222"/>
      <c r="G558" s="223"/>
      <c r="H558" s="224"/>
      <c r="I558" s="19"/>
      <c r="J558" s="19"/>
      <c r="K558" s="19"/>
      <c r="L558" s="225"/>
      <c r="M558" s="226"/>
      <c r="N558" s="226"/>
      <c r="O558" s="227"/>
      <c r="P558" s="19"/>
      <c r="Q558" s="19"/>
      <c r="R558" s="19"/>
      <c r="S558" s="228"/>
      <c r="T558" s="228"/>
      <c r="U558" s="229"/>
      <c r="V558" s="22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</row>
    <row r="559">
      <c r="A559" s="217"/>
      <c r="B559" s="218"/>
      <c r="C559" s="219"/>
      <c r="D559" s="220"/>
      <c r="E559" s="221"/>
      <c r="F559" s="222"/>
      <c r="G559" s="223"/>
      <c r="H559" s="224"/>
      <c r="I559" s="19"/>
      <c r="J559" s="19"/>
      <c r="K559" s="19"/>
      <c r="L559" s="225"/>
      <c r="M559" s="226"/>
      <c r="N559" s="226"/>
      <c r="O559" s="227"/>
      <c r="P559" s="19"/>
      <c r="Q559" s="19"/>
      <c r="R559" s="19"/>
      <c r="S559" s="228"/>
      <c r="T559" s="228"/>
      <c r="U559" s="229"/>
      <c r="V559" s="22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>
      <c r="A560" s="217"/>
      <c r="B560" s="218"/>
      <c r="C560" s="219"/>
      <c r="D560" s="220"/>
      <c r="E560" s="221"/>
      <c r="F560" s="222"/>
      <c r="G560" s="223"/>
      <c r="H560" s="224"/>
      <c r="I560" s="19"/>
      <c r="J560" s="19"/>
      <c r="K560" s="19"/>
      <c r="L560" s="225"/>
      <c r="M560" s="226"/>
      <c r="N560" s="226"/>
      <c r="O560" s="227"/>
      <c r="P560" s="19"/>
      <c r="Q560" s="19"/>
      <c r="R560" s="19"/>
      <c r="S560" s="228"/>
      <c r="T560" s="228"/>
      <c r="U560" s="229"/>
      <c r="V560" s="22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</row>
    <row r="561">
      <c r="A561" s="217"/>
      <c r="B561" s="218"/>
      <c r="C561" s="219"/>
      <c r="D561" s="220"/>
      <c r="E561" s="221"/>
      <c r="F561" s="222"/>
      <c r="G561" s="223"/>
      <c r="H561" s="224"/>
      <c r="I561" s="19"/>
      <c r="J561" s="19"/>
      <c r="K561" s="19"/>
      <c r="L561" s="225"/>
      <c r="M561" s="226"/>
      <c r="N561" s="226"/>
      <c r="O561" s="227"/>
      <c r="P561" s="19"/>
      <c r="Q561" s="19"/>
      <c r="R561" s="19"/>
      <c r="S561" s="228"/>
      <c r="T561" s="228"/>
      <c r="U561" s="229"/>
      <c r="V561" s="22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>
      <c r="A562" s="217"/>
      <c r="B562" s="218"/>
      <c r="C562" s="219"/>
      <c r="D562" s="220"/>
      <c r="E562" s="221"/>
      <c r="F562" s="222"/>
      <c r="G562" s="223"/>
      <c r="H562" s="224"/>
      <c r="I562" s="19"/>
      <c r="J562" s="19"/>
      <c r="K562" s="19"/>
      <c r="L562" s="225"/>
      <c r="M562" s="226"/>
      <c r="N562" s="226"/>
      <c r="O562" s="227"/>
      <c r="P562" s="19"/>
      <c r="Q562" s="19"/>
      <c r="R562" s="19"/>
      <c r="S562" s="228"/>
      <c r="T562" s="228"/>
      <c r="U562" s="229"/>
      <c r="V562" s="22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</row>
    <row r="563">
      <c r="A563" s="217"/>
      <c r="B563" s="218"/>
      <c r="C563" s="219"/>
      <c r="D563" s="220"/>
      <c r="E563" s="221"/>
      <c r="F563" s="222"/>
      <c r="G563" s="223"/>
      <c r="H563" s="224"/>
      <c r="I563" s="19"/>
      <c r="J563" s="19"/>
      <c r="K563" s="19"/>
      <c r="L563" s="225"/>
      <c r="M563" s="226"/>
      <c r="N563" s="226"/>
      <c r="O563" s="227"/>
      <c r="P563" s="19"/>
      <c r="Q563" s="19"/>
      <c r="R563" s="19"/>
      <c r="S563" s="228"/>
      <c r="T563" s="228"/>
      <c r="U563" s="229"/>
      <c r="V563" s="22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</row>
    <row r="564">
      <c r="A564" s="217"/>
      <c r="B564" s="218"/>
      <c r="C564" s="219"/>
      <c r="D564" s="220"/>
      <c r="E564" s="221"/>
      <c r="F564" s="222"/>
      <c r="G564" s="223"/>
      <c r="H564" s="224"/>
      <c r="I564" s="19"/>
      <c r="J564" s="19"/>
      <c r="K564" s="19"/>
      <c r="L564" s="225"/>
      <c r="M564" s="226"/>
      <c r="N564" s="226"/>
      <c r="O564" s="227"/>
      <c r="P564" s="19"/>
      <c r="Q564" s="19"/>
      <c r="R564" s="19"/>
      <c r="S564" s="228"/>
      <c r="T564" s="228"/>
      <c r="U564" s="229"/>
      <c r="V564" s="22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</row>
    <row r="565">
      <c r="A565" s="217"/>
      <c r="B565" s="218"/>
      <c r="C565" s="219"/>
      <c r="D565" s="220"/>
      <c r="E565" s="221"/>
      <c r="F565" s="222"/>
      <c r="G565" s="223"/>
      <c r="H565" s="224"/>
      <c r="I565" s="19"/>
      <c r="J565" s="19"/>
      <c r="K565" s="19"/>
      <c r="L565" s="225"/>
      <c r="M565" s="226"/>
      <c r="N565" s="226"/>
      <c r="O565" s="227"/>
      <c r="P565" s="19"/>
      <c r="Q565" s="19"/>
      <c r="R565" s="19"/>
      <c r="S565" s="228"/>
      <c r="T565" s="228"/>
      <c r="U565" s="229"/>
      <c r="V565" s="22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</row>
    <row r="566">
      <c r="A566" s="217"/>
      <c r="B566" s="218"/>
      <c r="C566" s="219"/>
      <c r="D566" s="220"/>
      <c r="E566" s="221"/>
      <c r="F566" s="222"/>
      <c r="G566" s="223"/>
      <c r="H566" s="224"/>
      <c r="I566" s="19"/>
      <c r="J566" s="19"/>
      <c r="K566" s="19"/>
      <c r="L566" s="225"/>
      <c r="M566" s="226"/>
      <c r="N566" s="226"/>
      <c r="O566" s="227"/>
      <c r="P566" s="19"/>
      <c r="Q566" s="19"/>
      <c r="R566" s="19"/>
      <c r="S566" s="228"/>
      <c r="T566" s="228"/>
      <c r="U566" s="229"/>
      <c r="V566" s="22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</row>
    <row r="567">
      <c r="A567" s="217"/>
      <c r="B567" s="218"/>
      <c r="C567" s="219"/>
      <c r="D567" s="220"/>
      <c r="E567" s="221"/>
      <c r="F567" s="222"/>
      <c r="G567" s="223"/>
      <c r="H567" s="224"/>
      <c r="I567" s="19"/>
      <c r="J567" s="19"/>
      <c r="K567" s="19"/>
      <c r="L567" s="225"/>
      <c r="M567" s="226"/>
      <c r="N567" s="226"/>
      <c r="O567" s="227"/>
      <c r="P567" s="19"/>
      <c r="Q567" s="19"/>
      <c r="R567" s="19"/>
      <c r="S567" s="228"/>
      <c r="T567" s="228"/>
      <c r="U567" s="229"/>
      <c r="V567" s="22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</row>
    <row r="568">
      <c r="A568" s="217"/>
      <c r="B568" s="218"/>
      <c r="C568" s="219"/>
      <c r="D568" s="220"/>
      <c r="E568" s="221"/>
      <c r="F568" s="222"/>
      <c r="G568" s="223"/>
      <c r="H568" s="224"/>
      <c r="I568" s="19"/>
      <c r="J568" s="19"/>
      <c r="K568" s="19"/>
      <c r="L568" s="225"/>
      <c r="M568" s="226"/>
      <c r="N568" s="226"/>
      <c r="O568" s="227"/>
      <c r="P568" s="19"/>
      <c r="Q568" s="19"/>
      <c r="R568" s="19"/>
      <c r="S568" s="228"/>
      <c r="T568" s="228"/>
      <c r="U568" s="229"/>
      <c r="V568" s="22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>
      <c r="A569" s="217"/>
      <c r="B569" s="218"/>
      <c r="C569" s="219"/>
      <c r="D569" s="220"/>
      <c r="E569" s="221"/>
      <c r="F569" s="222"/>
      <c r="G569" s="223"/>
      <c r="H569" s="224"/>
      <c r="I569" s="19"/>
      <c r="J569" s="19"/>
      <c r="K569" s="19"/>
      <c r="L569" s="225"/>
      <c r="M569" s="226"/>
      <c r="N569" s="226"/>
      <c r="O569" s="227"/>
      <c r="P569" s="19"/>
      <c r="Q569" s="19"/>
      <c r="R569" s="19"/>
      <c r="S569" s="228"/>
      <c r="T569" s="228"/>
      <c r="U569" s="229"/>
      <c r="V569" s="22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</row>
    <row r="570">
      <c r="A570" s="217"/>
      <c r="B570" s="218"/>
      <c r="C570" s="219"/>
      <c r="D570" s="220"/>
      <c r="E570" s="221"/>
      <c r="F570" s="222"/>
      <c r="G570" s="223"/>
      <c r="H570" s="224"/>
      <c r="I570" s="19"/>
      <c r="J570" s="19"/>
      <c r="K570" s="19"/>
      <c r="L570" s="225"/>
      <c r="M570" s="226"/>
      <c r="N570" s="226"/>
      <c r="O570" s="227"/>
      <c r="P570" s="19"/>
      <c r="Q570" s="19"/>
      <c r="R570" s="19"/>
      <c r="S570" s="228"/>
      <c r="T570" s="228"/>
      <c r="U570" s="229"/>
      <c r="V570" s="22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>
      <c r="A571" s="217"/>
      <c r="B571" s="218"/>
      <c r="C571" s="219"/>
      <c r="D571" s="220"/>
      <c r="E571" s="221"/>
      <c r="F571" s="222"/>
      <c r="G571" s="223"/>
      <c r="H571" s="224"/>
      <c r="I571" s="19"/>
      <c r="J571" s="19"/>
      <c r="K571" s="19"/>
      <c r="L571" s="225"/>
      <c r="M571" s="226"/>
      <c r="N571" s="226"/>
      <c r="O571" s="227"/>
      <c r="P571" s="19"/>
      <c r="Q571" s="19"/>
      <c r="R571" s="19"/>
      <c r="S571" s="228"/>
      <c r="T571" s="228"/>
      <c r="U571" s="229"/>
      <c r="V571" s="22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</row>
    <row r="572">
      <c r="A572" s="217"/>
      <c r="B572" s="218"/>
      <c r="C572" s="219"/>
      <c r="D572" s="220"/>
      <c r="E572" s="221"/>
      <c r="F572" s="222"/>
      <c r="G572" s="223"/>
      <c r="H572" s="224"/>
      <c r="I572" s="19"/>
      <c r="J572" s="19"/>
      <c r="K572" s="19"/>
      <c r="L572" s="225"/>
      <c r="M572" s="226"/>
      <c r="N572" s="226"/>
      <c r="O572" s="227"/>
      <c r="P572" s="19"/>
      <c r="Q572" s="19"/>
      <c r="R572" s="19"/>
      <c r="S572" s="228"/>
      <c r="T572" s="228"/>
      <c r="U572" s="229"/>
      <c r="V572" s="22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</row>
    <row r="573">
      <c r="A573" s="217"/>
      <c r="B573" s="218"/>
      <c r="C573" s="219"/>
      <c r="D573" s="220"/>
      <c r="E573" s="221"/>
      <c r="F573" s="222"/>
      <c r="G573" s="223"/>
      <c r="H573" s="224"/>
      <c r="I573" s="19"/>
      <c r="J573" s="19"/>
      <c r="K573" s="19"/>
      <c r="L573" s="225"/>
      <c r="M573" s="226"/>
      <c r="N573" s="226"/>
      <c r="O573" s="227"/>
      <c r="P573" s="19"/>
      <c r="Q573" s="19"/>
      <c r="R573" s="19"/>
      <c r="S573" s="228"/>
      <c r="T573" s="228"/>
      <c r="U573" s="229"/>
      <c r="V573" s="22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</row>
    <row r="574">
      <c r="A574" s="217"/>
      <c r="B574" s="218"/>
      <c r="C574" s="219"/>
      <c r="D574" s="220"/>
      <c r="E574" s="221"/>
      <c r="F574" s="222"/>
      <c r="G574" s="223"/>
      <c r="H574" s="224"/>
      <c r="I574" s="19"/>
      <c r="J574" s="19"/>
      <c r="K574" s="19"/>
      <c r="L574" s="225"/>
      <c r="M574" s="226"/>
      <c r="N574" s="226"/>
      <c r="O574" s="227"/>
      <c r="P574" s="19"/>
      <c r="Q574" s="19"/>
      <c r="R574" s="19"/>
      <c r="S574" s="228"/>
      <c r="T574" s="228"/>
      <c r="U574" s="229"/>
      <c r="V574" s="22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</row>
    <row r="575">
      <c r="A575" s="217"/>
      <c r="B575" s="218"/>
      <c r="C575" s="219"/>
      <c r="D575" s="220"/>
      <c r="E575" s="221"/>
      <c r="F575" s="222"/>
      <c r="G575" s="223"/>
      <c r="H575" s="224"/>
      <c r="I575" s="19"/>
      <c r="J575" s="19"/>
      <c r="K575" s="19"/>
      <c r="L575" s="225"/>
      <c r="M575" s="226"/>
      <c r="N575" s="226"/>
      <c r="O575" s="227"/>
      <c r="P575" s="19"/>
      <c r="Q575" s="19"/>
      <c r="R575" s="19"/>
      <c r="S575" s="228"/>
      <c r="T575" s="228"/>
      <c r="U575" s="229"/>
      <c r="V575" s="22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>
      <c r="A576" s="217"/>
      <c r="B576" s="218"/>
      <c r="C576" s="219"/>
      <c r="D576" s="220"/>
      <c r="E576" s="221"/>
      <c r="F576" s="222"/>
      <c r="G576" s="223"/>
      <c r="H576" s="224"/>
      <c r="I576" s="19"/>
      <c r="J576" s="19"/>
      <c r="K576" s="19"/>
      <c r="L576" s="225"/>
      <c r="M576" s="226"/>
      <c r="N576" s="226"/>
      <c r="O576" s="227"/>
      <c r="P576" s="19"/>
      <c r="Q576" s="19"/>
      <c r="R576" s="19"/>
      <c r="S576" s="228"/>
      <c r="T576" s="228"/>
      <c r="U576" s="229"/>
      <c r="V576" s="22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</row>
    <row r="577">
      <c r="A577" s="217"/>
      <c r="B577" s="218"/>
      <c r="C577" s="219"/>
      <c r="D577" s="220"/>
      <c r="E577" s="221"/>
      <c r="F577" s="222"/>
      <c r="G577" s="223"/>
      <c r="H577" s="224"/>
      <c r="I577" s="19"/>
      <c r="J577" s="19"/>
      <c r="K577" s="19"/>
      <c r="L577" s="225"/>
      <c r="M577" s="226"/>
      <c r="N577" s="226"/>
      <c r="O577" s="227"/>
      <c r="P577" s="19"/>
      <c r="Q577" s="19"/>
      <c r="R577" s="19"/>
      <c r="S577" s="228"/>
      <c r="T577" s="228"/>
      <c r="U577" s="229"/>
      <c r="V577" s="22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</row>
    <row r="578">
      <c r="A578" s="217"/>
      <c r="B578" s="218"/>
      <c r="C578" s="219"/>
      <c r="D578" s="220"/>
      <c r="E578" s="221"/>
      <c r="F578" s="222"/>
      <c r="G578" s="223"/>
      <c r="H578" s="224"/>
      <c r="I578" s="19"/>
      <c r="J578" s="19"/>
      <c r="K578" s="19"/>
      <c r="L578" s="225"/>
      <c r="M578" s="226"/>
      <c r="N578" s="226"/>
      <c r="O578" s="227"/>
      <c r="P578" s="19"/>
      <c r="Q578" s="19"/>
      <c r="R578" s="19"/>
      <c r="S578" s="228"/>
      <c r="T578" s="228"/>
      <c r="U578" s="229"/>
      <c r="V578" s="22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</row>
    <row r="579">
      <c r="A579" s="217"/>
      <c r="B579" s="218"/>
      <c r="C579" s="219"/>
      <c r="D579" s="220"/>
      <c r="E579" s="221"/>
      <c r="F579" s="222"/>
      <c r="G579" s="223"/>
      <c r="H579" s="224"/>
      <c r="I579" s="19"/>
      <c r="J579" s="19"/>
      <c r="K579" s="19"/>
      <c r="L579" s="225"/>
      <c r="M579" s="226"/>
      <c r="N579" s="226"/>
      <c r="O579" s="227"/>
      <c r="P579" s="19"/>
      <c r="Q579" s="19"/>
      <c r="R579" s="19"/>
      <c r="S579" s="228"/>
      <c r="T579" s="228"/>
      <c r="U579" s="229"/>
      <c r="V579" s="22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</row>
    <row r="580">
      <c r="A580" s="217"/>
      <c r="B580" s="218"/>
      <c r="C580" s="219"/>
      <c r="D580" s="220"/>
      <c r="E580" s="221"/>
      <c r="F580" s="222"/>
      <c r="G580" s="223"/>
      <c r="H580" s="224"/>
      <c r="I580" s="19"/>
      <c r="J580" s="19"/>
      <c r="K580" s="19"/>
      <c r="L580" s="225"/>
      <c r="M580" s="226"/>
      <c r="N580" s="226"/>
      <c r="O580" s="227"/>
      <c r="P580" s="19"/>
      <c r="Q580" s="19"/>
      <c r="R580" s="19"/>
      <c r="S580" s="228"/>
      <c r="T580" s="228"/>
      <c r="U580" s="229"/>
      <c r="V580" s="22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>
      <c r="A581" s="217"/>
      <c r="B581" s="218"/>
      <c r="C581" s="219"/>
      <c r="D581" s="220"/>
      <c r="E581" s="221"/>
      <c r="F581" s="222"/>
      <c r="G581" s="223"/>
      <c r="H581" s="224"/>
      <c r="I581" s="19"/>
      <c r="J581" s="19"/>
      <c r="K581" s="19"/>
      <c r="L581" s="225"/>
      <c r="M581" s="226"/>
      <c r="N581" s="226"/>
      <c r="O581" s="227"/>
      <c r="P581" s="19"/>
      <c r="Q581" s="19"/>
      <c r="R581" s="19"/>
      <c r="S581" s="228"/>
      <c r="T581" s="228"/>
      <c r="U581" s="229"/>
      <c r="V581" s="22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>
      <c r="A582" s="217"/>
      <c r="B582" s="218"/>
      <c r="C582" s="219"/>
      <c r="D582" s="220"/>
      <c r="E582" s="221"/>
      <c r="F582" s="222"/>
      <c r="G582" s="223"/>
      <c r="H582" s="224"/>
      <c r="I582" s="19"/>
      <c r="J582" s="19"/>
      <c r="K582" s="19"/>
      <c r="L582" s="225"/>
      <c r="M582" s="226"/>
      <c r="N582" s="226"/>
      <c r="O582" s="227"/>
      <c r="P582" s="19"/>
      <c r="Q582" s="19"/>
      <c r="R582" s="19"/>
      <c r="S582" s="228"/>
      <c r="T582" s="228"/>
      <c r="U582" s="229"/>
      <c r="V582" s="22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</row>
    <row r="583">
      <c r="A583" s="217"/>
      <c r="B583" s="218"/>
      <c r="C583" s="219"/>
      <c r="D583" s="220"/>
      <c r="E583" s="221"/>
      <c r="F583" s="222"/>
      <c r="G583" s="223"/>
      <c r="H583" s="224"/>
      <c r="I583" s="19"/>
      <c r="J583" s="19"/>
      <c r="K583" s="19"/>
      <c r="L583" s="225"/>
      <c r="M583" s="226"/>
      <c r="N583" s="226"/>
      <c r="O583" s="227"/>
      <c r="P583" s="19"/>
      <c r="Q583" s="19"/>
      <c r="R583" s="19"/>
      <c r="S583" s="228"/>
      <c r="T583" s="228"/>
      <c r="U583" s="229"/>
      <c r="V583" s="22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>
      <c r="A584" s="217"/>
      <c r="B584" s="218"/>
      <c r="C584" s="219"/>
      <c r="D584" s="220"/>
      <c r="E584" s="221"/>
      <c r="F584" s="222"/>
      <c r="G584" s="223"/>
      <c r="H584" s="224"/>
      <c r="I584" s="19"/>
      <c r="J584" s="19"/>
      <c r="K584" s="19"/>
      <c r="L584" s="225"/>
      <c r="M584" s="226"/>
      <c r="N584" s="226"/>
      <c r="O584" s="227"/>
      <c r="P584" s="19"/>
      <c r="Q584" s="19"/>
      <c r="R584" s="19"/>
      <c r="S584" s="228"/>
      <c r="T584" s="228"/>
      <c r="U584" s="229"/>
      <c r="V584" s="22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</row>
    <row r="585">
      <c r="A585" s="217"/>
      <c r="B585" s="218"/>
      <c r="C585" s="219"/>
      <c r="D585" s="220"/>
      <c r="E585" s="221"/>
      <c r="F585" s="222"/>
      <c r="G585" s="223"/>
      <c r="H585" s="224"/>
      <c r="I585" s="19"/>
      <c r="J585" s="19"/>
      <c r="K585" s="19"/>
      <c r="L585" s="225"/>
      <c r="M585" s="226"/>
      <c r="N585" s="226"/>
      <c r="O585" s="227"/>
      <c r="P585" s="19"/>
      <c r="Q585" s="19"/>
      <c r="R585" s="19"/>
      <c r="S585" s="228"/>
      <c r="T585" s="228"/>
      <c r="U585" s="229"/>
      <c r="V585" s="22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</row>
    <row r="586">
      <c r="A586" s="217"/>
      <c r="B586" s="218"/>
      <c r="C586" s="219"/>
      <c r="D586" s="220"/>
      <c r="E586" s="221"/>
      <c r="F586" s="222"/>
      <c r="G586" s="223"/>
      <c r="H586" s="224"/>
      <c r="I586" s="19"/>
      <c r="J586" s="19"/>
      <c r="K586" s="19"/>
      <c r="L586" s="225"/>
      <c r="M586" s="226"/>
      <c r="N586" s="226"/>
      <c r="O586" s="227"/>
      <c r="P586" s="19"/>
      <c r="Q586" s="19"/>
      <c r="R586" s="19"/>
      <c r="S586" s="228"/>
      <c r="T586" s="228"/>
      <c r="U586" s="229"/>
      <c r="V586" s="22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</row>
    <row r="587">
      <c r="A587" s="217"/>
      <c r="B587" s="218"/>
      <c r="C587" s="219"/>
      <c r="D587" s="220"/>
      <c r="E587" s="221"/>
      <c r="F587" s="222"/>
      <c r="G587" s="223"/>
      <c r="H587" s="224"/>
      <c r="I587" s="19"/>
      <c r="J587" s="19"/>
      <c r="K587" s="19"/>
      <c r="L587" s="225"/>
      <c r="M587" s="226"/>
      <c r="N587" s="226"/>
      <c r="O587" s="227"/>
      <c r="P587" s="19"/>
      <c r="Q587" s="19"/>
      <c r="R587" s="19"/>
      <c r="S587" s="228"/>
      <c r="T587" s="228"/>
      <c r="U587" s="229"/>
      <c r="V587" s="22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</row>
    <row r="588">
      <c r="A588" s="217"/>
      <c r="B588" s="218"/>
      <c r="C588" s="219"/>
      <c r="D588" s="220"/>
      <c r="E588" s="221"/>
      <c r="F588" s="222"/>
      <c r="G588" s="223"/>
      <c r="H588" s="224"/>
      <c r="I588" s="19"/>
      <c r="J588" s="19"/>
      <c r="K588" s="19"/>
      <c r="L588" s="225"/>
      <c r="M588" s="226"/>
      <c r="N588" s="226"/>
      <c r="O588" s="227"/>
      <c r="P588" s="19"/>
      <c r="Q588" s="19"/>
      <c r="R588" s="19"/>
      <c r="S588" s="228"/>
      <c r="T588" s="228"/>
      <c r="U588" s="229"/>
      <c r="V588" s="22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</row>
    <row r="589">
      <c r="A589" s="217"/>
      <c r="B589" s="218"/>
      <c r="C589" s="219"/>
      <c r="D589" s="220"/>
      <c r="E589" s="221"/>
      <c r="F589" s="222"/>
      <c r="G589" s="223"/>
      <c r="H589" s="224"/>
      <c r="I589" s="19"/>
      <c r="J589" s="19"/>
      <c r="K589" s="19"/>
      <c r="L589" s="225"/>
      <c r="M589" s="226"/>
      <c r="N589" s="226"/>
      <c r="O589" s="227"/>
      <c r="P589" s="19"/>
      <c r="Q589" s="19"/>
      <c r="R589" s="19"/>
      <c r="S589" s="228"/>
      <c r="T589" s="228"/>
      <c r="U589" s="229"/>
      <c r="V589" s="22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</row>
    <row r="590">
      <c r="A590" s="217"/>
      <c r="B590" s="218"/>
      <c r="C590" s="219"/>
      <c r="D590" s="220"/>
      <c r="E590" s="221"/>
      <c r="F590" s="222"/>
      <c r="G590" s="223"/>
      <c r="H590" s="224"/>
      <c r="I590" s="19"/>
      <c r="J590" s="19"/>
      <c r="K590" s="19"/>
      <c r="L590" s="225"/>
      <c r="M590" s="226"/>
      <c r="N590" s="226"/>
      <c r="O590" s="227"/>
      <c r="P590" s="19"/>
      <c r="Q590" s="19"/>
      <c r="R590" s="19"/>
      <c r="S590" s="228"/>
      <c r="T590" s="228"/>
      <c r="U590" s="229"/>
      <c r="V590" s="22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</row>
    <row r="591">
      <c r="A591" s="217"/>
      <c r="B591" s="218"/>
      <c r="C591" s="219"/>
      <c r="D591" s="220"/>
      <c r="E591" s="221"/>
      <c r="F591" s="222"/>
      <c r="G591" s="223"/>
      <c r="H591" s="224"/>
      <c r="I591" s="19"/>
      <c r="J591" s="19"/>
      <c r="K591" s="19"/>
      <c r="L591" s="225"/>
      <c r="M591" s="226"/>
      <c r="N591" s="226"/>
      <c r="O591" s="227"/>
      <c r="P591" s="19"/>
      <c r="Q591" s="19"/>
      <c r="R591" s="19"/>
      <c r="S591" s="228"/>
      <c r="T591" s="228"/>
      <c r="U591" s="229"/>
      <c r="V591" s="22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</row>
    <row r="592">
      <c r="A592" s="217"/>
      <c r="B592" s="218"/>
      <c r="C592" s="219"/>
      <c r="D592" s="220"/>
      <c r="E592" s="221"/>
      <c r="F592" s="222"/>
      <c r="G592" s="223"/>
      <c r="H592" s="224"/>
      <c r="I592" s="19"/>
      <c r="J592" s="19"/>
      <c r="K592" s="19"/>
      <c r="L592" s="225"/>
      <c r="M592" s="226"/>
      <c r="N592" s="226"/>
      <c r="O592" s="227"/>
      <c r="P592" s="19"/>
      <c r="Q592" s="19"/>
      <c r="R592" s="19"/>
      <c r="S592" s="228"/>
      <c r="T592" s="228"/>
      <c r="U592" s="229"/>
      <c r="V592" s="22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</row>
    <row r="593">
      <c r="A593" s="217"/>
      <c r="B593" s="218"/>
      <c r="C593" s="219"/>
      <c r="D593" s="220"/>
      <c r="E593" s="221"/>
      <c r="F593" s="222"/>
      <c r="G593" s="223"/>
      <c r="H593" s="224"/>
      <c r="I593" s="19"/>
      <c r="J593" s="19"/>
      <c r="K593" s="19"/>
      <c r="L593" s="225"/>
      <c r="M593" s="226"/>
      <c r="N593" s="226"/>
      <c r="O593" s="227"/>
      <c r="P593" s="19"/>
      <c r="Q593" s="19"/>
      <c r="R593" s="19"/>
      <c r="S593" s="228"/>
      <c r="T593" s="228"/>
      <c r="U593" s="229"/>
      <c r="V593" s="22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</row>
    <row r="594">
      <c r="A594" s="217"/>
      <c r="B594" s="218"/>
      <c r="C594" s="219"/>
      <c r="D594" s="220"/>
      <c r="E594" s="221"/>
      <c r="F594" s="222"/>
      <c r="G594" s="223"/>
      <c r="H594" s="224"/>
      <c r="I594" s="19"/>
      <c r="J594" s="19"/>
      <c r="K594" s="19"/>
      <c r="L594" s="225"/>
      <c r="M594" s="226"/>
      <c r="N594" s="226"/>
      <c r="O594" s="227"/>
      <c r="P594" s="19"/>
      <c r="Q594" s="19"/>
      <c r="R594" s="19"/>
      <c r="S594" s="228"/>
      <c r="T594" s="228"/>
      <c r="U594" s="229"/>
      <c r="V594" s="22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>
      <c r="A595" s="217"/>
      <c r="B595" s="218"/>
      <c r="C595" s="219"/>
      <c r="D595" s="220"/>
      <c r="E595" s="221"/>
      <c r="F595" s="222"/>
      <c r="G595" s="223"/>
      <c r="H595" s="224"/>
      <c r="I595" s="19"/>
      <c r="J595" s="19"/>
      <c r="K595" s="19"/>
      <c r="L595" s="225"/>
      <c r="M595" s="226"/>
      <c r="N595" s="226"/>
      <c r="O595" s="227"/>
      <c r="P595" s="19"/>
      <c r="Q595" s="19"/>
      <c r="R595" s="19"/>
      <c r="S595" s="228"/>
      <c r="T595" s="228"/>
      <c r="U595" s="229"/>
      <c r="V595" s="22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</row>
    <row r="596">
      <c r="A596" s="217"/>
      <c r="B596" s="218"/>
      <c r="C596" s="219"/>
      <c r="D596" s="220"/>
      <c r="E596" s="221"/>
      <c r="F596" s="222"/>
      <c r="G596" s="223"/>
      <c r="H596" s="224"/>
      <c r="I596" s="19"/>
      <c r="J596" s="19"/>
      <c r="K596" s="19"/>
      <c r="L596" s="225"/>
      <c r="M596" s="226"/>
      <c r="N596" s="226"/>
      <c r="O596" s="227"/>
      <c r="P596" s="19"/>
      <c r="Q596" s="19"/>
      <c r="R596" s="19"/>
      <c r="S596" s="228"/>
      <c r="T596" s="228"/>
      <c r="U596" s="229"/>
      <c r="V596" s="22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</row>
    <row r="597">
      <c r="A597" s="217"/>
      <c r="B597" s="218"/>
      <c r="C597" s="219"/>
      <c r="D597" s="220"/>
      <c r="E597" s="221"/>
      <c r="F597" s="222"/>
      <c r="G597" s="223"/>
      <c r="H597" s="224"/>
      <c r="I597" s="19"/>
      <c r="J597" s="19"/>
      <c r="K597" s="19"/>
      <c r="L597" s="225"/>
      <c r="M597" s="226"/>
      <c r="N597" s="226"/>
      <c r="O597" s="227"/>
      <c r="P597" s="19"/>
      <c r="Q597" s="19"/>
      <c r="R597" s="19"/>
      <c r="S597" s="228"/>
      <c r="T597" s="228"/>
      <c r="U597" s="229"/>
      <c r="V597" s="22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>
      <c r="A598" s="217"/>
      <c r="B598" s="218"/>
      <c r="C598" s="219"/>
      <c r="D598" s="220"/>
      <c r="E598" s="221"/>
      <c r="F598" s="222"/>
      <c r="G598" s="223"/>
      <c r="H598" s="224"/>
      <c r="I598" s="19"/>
      <c r="J598" s="19"/>
      <c r="K598" s="19"/>
      <c r="L598" s="225"/>
      <c r="M598" s="226"/>
      <c r="N598" s="226"/>
      <c r="O598" s="227"/>
      <c r="P598" s="19"/>
      <c r="Q598" s="19"/>
      <c r="R598" s="19"/>
      <c r="S598" s="228"/>
      <c r="T598" s="228"/>
      <c r="U598" s="229"/>
      <c r="V598" s="22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</row>
    <row r="599">
      <c r="A599" s="217"/>
      <c r="B599" s="218"/>
      <c r="C599" s="219"/>
      <c r="D599" s="220"/>
      <c r="E599" s="221"/>
      <c r="F599" s="222"/>
      <c r="G599" s="223"/>
      <c r="H599" s="224"/>
      <c r="I599" s="19"/>
      <c r="J599" s="19"/>
      <c r="K599" s="19"/>
      <c r="L599" s="225"/>
      <c r="M599" s="226"/>
      <c r="N599" s="226"/>
      <c r="O599" s="227"/>
      <c r="P599" s="19"/>
      <c r="Q599" s="19"/>
      <c r="R599" s="19"/>
      <c r="S599" s="228"/>
      <c r="T599" s="228"/>
      <c r="U599" s="229"/>
      <c r="V599" s="22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</row>
    <row r="600">
      <c r="A600" s="217"/>
      <c r="B600" s="218"/>
      <c r="C600" s="219"/>
      <c r="D600" s="220"/>
      <c r="E600" s="221"/>
      <c r="F600" s="222"/>
      <c r="G600" s="223"/>
      <c r="H600" s="224"/>
      <c r="I600" s="19"/>
      <c r="J600" s="19"/>
      <c r="K600" s="19"/>
      <c r="L600" s="225"/>
      <c r="M600" s="226"/>
      <c r="N600" s="226"/>
      <c r="O600" s="227"/>
      <c r="P600" s="19"/>
      <c r="Q600" s="19"/>
      <c r="R600" s="19"/>
      <c r="S600" s="228"/>
      <c r="T600" s="228"/>
      <c r="U600" s="229"/>
      <c r="V600" s="22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</row>
    <row r="601">
      <c r="A601" s="217"/>
      <c r="B601" s="218"/>
      <c r="C601" s="219"/>
      <c r="D601" s="220"/>
      <c r="E601" s="221"/>
      <c r="F601" s="222"/>
      <c r="G601" s="223"/>
      <c r="H601" s="224"/>
      <c r="I601" s="19"/>
      <c r="J601" s="19"/>
      <c r="K601" s="19"/>
      <c r="L601" s="225"/>
      <c r="M601" s="226"/>
      <c r="N601" s="226"/>
      <c r="O601" s="227"/>
      <c r="P601" s="19"/>
      <c r="Q601" s="19"/>
      <c r="R601" s="19"/>
      <c r="S601" s="228"/>
      <c r="T601" s="228"/>
      <c r="U601" s="229"/>
      <c r="V601" s="22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</row>
    <row r="602">
      <c r="A602" s="217"/>
      <c r="B602" s="218"/>
      <c r="C602" s="219"/>
      <c r="D602" s="220"/>
      <c r="E602" s="221"/>
      <c r="F602" s="222"/>
      <c r="G602" s="223"/>
      <c r="H602" s="224"/>
      <c r="I602" s="19"/>
      <c r="J602" s="19"/>
      <c r="K602" s="19"/>
      <c r="L602" s="225"/>
      <c r="M602" s="226"/>
      <c r="N602" s="226"/>
      <c r="O602" s="227"/>
      <c r="P602" s="19"/>
      <c r="Q602" s="19"/>
      <c r="R602" s="19"/>
      <c r="S602" s="228"/>
      <c r="T602" s="228"/>
      <c r="U602" s="229"/>
      <c r="V602" s="22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</row>
    <row r="603">
      <c r="A603" s="217"/>
      <c r="B603" s="218"/>
      <c r="C603" s="219"/>
      <c r="D603" s="220"/>
      <c r="E603" s="221"/>
      <c r="F603" s="222"/>
      <c r="G603" s="223"/>
      <c r="H603" s="224"/>
      <c r="I603" s="19"/>
      <c r="J603" s="19"/>
      <c r="K603" s="19"/>
      <c r="L603" s="225"/>
      <c r="M603" s="226"/>
      <c r="N603" s="226"/>
      <c r="O603" s="227"/>
      <c r="P603" s="19"/>
      <c r="Q603" s="19"/>
      <c r="R603" s="19"/>
      <c r="S603" s="228"/>
      <c r="T603" s="228"/>
      <c r="U603" s="229"/>
      <c r="V603" s="22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</row>
    <row r="604">
      <c r="A604" s="217"/>
      <c r="B604" s="218"/>
      <c r="C604" s="219"/>
      <c r="D604" s="220"/>
      <c r="E604" s="221"/>
      <c r="F604" s="222"/>
      <c r="G604" s="223"/>
      <c r="H604" s="224"/>
      <c r="I604" s="19"/>
      <c r="J604" s="19"/>
      <c r="K604" s="19"/>
      <c r="L604" s="225"/>
      <c r="M604" s="226"/>
      <c r="N604" s="226"/>
      <c r="O604" s="227"/>
      <c r="P604" s="19"/>
      <c r="Q604" s="19"/>
      <c r="R604" s="19"/>
      <c r="S604" s="228"/>
      <c r="T604" s="228"/>
      <c r="U604" s="229"/>
      <c r="V604" s="22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>
      <c r="A605" s="217"/>
      <c r="B605" s="218"/>
      <c r="C605" s="219"/>
      <c r="D605" s="220"/>
      <c r="E605" s="221"/>
      <c r="F605" s="222"/>
      <c r="G605" s="223"/>
      <c r="H605" s="224"/>
      <c r="I605" s="19"/>
      <c r="J605" s="19"/>
      <c r="K605" s="19"/>
      <c r="L605" s="225"/>
      <c r="M605" s="226"/>
      <c r="N605" s="226"/>
      <c r="O605" s="227"/>
      <c r="P605" s="19"/>
      <c r="Q605" s="19"/>
      <c r="R605" s="19"/>
      <c r="S605" s="228"/>
      <c r="T605" s="228"/>
      <c r="U605" s="229"/>
      <c r="V605" s="22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</row>
    <row r="606">
      <c r="A606" s="217"/>
      <c r="B606" s="218"/>
      <c r="C606" s="219"/>
      <c r="D606" s="220"/>
      <c r="E606" s="221"/>
      <c r="F606" s="222"/>
      <c r="G606" s="223"/>
      <c r="H606" s="224"/>
      <c r="I606" s="19"/>
      <c r="J606" s="19"/>
      <c r="K606" s="19"/>
      <c r="L606" s="225"/>
      <c r="M606" s="226"/>
      <c r="N606" s="226"/>
      <c r="O606" s="227"/>
      <c r="P606" s="19"/>
      <c r="Q606" s="19"/>
      <c r="R606" s="19"/>
      <c r="S606" s="228"/>
      <c r="T606" s="228"/>
      <c r="U606" s="229"/>
      <c r="V606" s="22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</row>
    <row r="607">
      <c r="A607" s="217"/>
      <c r="B607" s="218"/>
      <c r="C607" s="219"/>
      <c r="D607" s="220"/>
      <c r="E607" s="221"/>
      <c r="F607" s="222"/>
      <c r="G607" s="223"/>
      <c r="H607" s="224"/>
      <c r="I607" s="19"/>
      <c r="J607" s="19"/>
      <c r="K607" s="19"/>
      <c r="L607" s="225"/>
      <c r="M607" s="226"/>
      <c r="N607" s="226"/>
      <c r="O607" s="227"/>
      <c r="P607" s="19"/>
      <c r="Q607" s="19"/>
      <c r="R607" s="19"/>
      <c r="S607" s="228"/>
      <c r="T607" s="228"/>
      <c r="U607" s="229"/>
      <c r="V607" s="22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</row>
    <row r="608">
      <c r="A608" s="217"/>
      <c r="B608" s="218"/>
      <c r="C608" s="219"/>
      <c r="D608" s="220"/>
      <c r="E608" s="221"/>
      <c r="F608" s="222"/>
      <c r="G608" s="223"/>
      <c r="H608" s="224"/>
      <c r="I608" s="19"/>
      <c r="J608" s="19"/>
      <c r="K608" s="19"/>
      <c r="L608" s="225"/>
      <c r="M608" s="226"/>
      <c r="N608" s="226"/>
      <c r="O608" s="227"/>
      <c r="P608" s="19"/>
      <c r="Q608" s="19"/>
      <c r="R608" s="19"/>
      <c r="S608" s="228"/>
      <c r="T608" s="228"/>
      <c r="U608" s="229"/>
      <c r="V608" s="22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</row>
    <row r="609">
      <c r="A609" s="217"/>
      <c r="B609" s="218"/>
      <c r="C609" s="219"/>
      <c r="D609" s="220"/>
      <c r="E609" s="221"/>
      <c r="F609" s="222"/>
      <c r="G609" s="223"/>
      <c r="H609" s="224"/>
      <c r="I609" s="19"/>
      <c r="J609" s="19"/>
      <c r="K609" s="19"/>
      <c r="L609" s="225"/>
      <c r="M609" s="226"/>
      <c r="N609" s="226"/>
      <c r="O609" s="227"/>
      <c r="P609" s="19"/>
      <c r="Q609" s="19"/>
      <c r="R609" s="19"/>
      <c r="S609" s="228"/>
      <c r="T609" s="228"/>
      <c r="U609" s="229"/>
      <c r="V609" s="22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</row>
    <row r="610">
      <c r="A610" s="217"/>
      <c r="B610" s="218"/>
      <c r="C610" s="219"/>
      <c r="D610" s="220"/>
      <c r="E610" s="221"/>
      <c r="F610" s="222"/>
      <c r="G610" s="223"/>
      <c r="H610" s="224"/>
      <c r="I610" s="19"/>
      <c r="J610" s="19"/>
      <c r="K610" s="19"/>
      <c r="L610" s="225"/>
      <c r="M610" s="226"/>
      <c r="N610" s="226"/>
      <c r="O610" s="227"/>
      <c r="P610" s="19"/>
      <c r="Q610" s="19"/>
      <c r="R610" s="19"/>
      <c r="S610" s="228"/>
      <c r="T610" s="228"/>
      <c r="U610" s="229"/>
      <c r="V610" s="22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</row>
    <row r="611">
      <c r="A611" s="217"/>
      <c r="B611" s="218"/>
      <c r="C611" s="219"/>
      <c r="D611" s="220"/>
      <c r="E611" s="221"/>
      <c r="F611" s="222"/>
      <c r="G611" s="223"/>
      <c r="H611" s="224"/>
      <c r="I611" s="19"/>
      <c r="J611" s="19"/>
      <c r="K611" s="19"/>
      <c r="L611" s="225"/>
      <c r="M611" s="226"/>
      <c r="N611" s="226"/>
      <c r="O611" s="227"/>
      <c r="P611" s="19"/>
      <c r="Q611" s="19"/>
      <c r="R611" s="19"/>
      <c r="S611" s="228"/>
      <c r="T611" s="228"/>
      <c r="U611" s="229"/>
      <c r="V611" s="22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>
      <c r="A612" s="217"/>
      <c r="B612" s="218"/>
      <c r="C612" s="219"/>
      <c r="D612" s="220"/>
      <c r="E612" s="221"/>
      <c r="F612" s="222"/>
      <c r="G612" s="223"/>
      <c r="H612" s="224"/>
      <c r="I612" s="19"/>
      <c r="J612" s="19"/>
      <c r="K612" s="19"/>
      <c r="L612" s="225"/>
      <c r="M612" s="226"/>
      <c r="N612" s="226"/>
      <c r="O612" s="227"/>
      <c r="P612" s="19"/>
      <c r="Q612" s="19"/>
      <c r="R612" s="19"/>
      <c r="S612" s="228"/>
      <c r="T612" s="228"/>
      <c r="U612" s="229"/>
      <c r="V612" s="22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</row>
    <row r="613">
      <c r="A613" s="217"/>
      <c r="B613" s="218"/>
      <c r="C613" s="219"/>
      <c r="D613" s="220"/>
      <c r="E613" s="221"/>
      <c r="F613" s="222"/>
      <c r="G613" s="223"/>
      <c r="H613" s="224"/>
      <c r="I613" s="19"/>
      <c r="J613" s="19"/>
      <c r="K613" s="19"/>
      <c r="L613" s="225"/>
      <c r="M613" s="226"/>
      <c r="N613" s="226"/>
      <c r="O613" s="227"/>
      <c r="P613" s="19"/>
      <c r="Q613" s="19"/>
      <c r="R613" s="19"/>
      <c r="S613" s="228"/>
      <c r="T613" s="228"/>
      <c r="U613" s="229"/>
      <c r="V613" s="22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>
      <c r="A614" s="217"/>
      <c r="B614" s="218"/>
      <c r="C614" s="219"/>
      <c r="D614" s="220"/>
      <c r="E614" s="221"/>
      <c r="F614" s="222"/>
      <c r="G614" s="223"/>
      <c r="H614" s="224"/>
      <c r="I614" s="19"/>
      <c r="J614" s="19"/>
      <c r="K614" s="19"/>
      <c r="L614" s="225"/>
      <c r="M614" s="226"/>
      <c r="N614" s="226"/>
      <c r="O614" s="227"/>
      <c r="P614" s="19"/>
      <c r="Q614" s="19"/>
      <c r="R614" s="19"/>
      <c r="S614" s="228"/>
      <c r="T614" s="228"/>
      <c r="U614" s="229"/>
      <c r="V614" s="22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>
      <c r="A615" s="217"/>
      <c r="B615" s="218"/>
      <c r="C615" s="219"/>
      <c r="D615" s="220"/>
      <c r="E615" s="221"/>
      <c r="F615" s="222"/>
      <c r="G615" s="223"/>
      <c r="H615" s="224"/>
      <c r="I615" s="19"/>
      <c r="J615" s="19"/>
      <c r="K615" s="19"/>
      <c r="L615" s="225"/>
      <c r="M615" s="226"/>
      <c r="N615" s="226"/>
      <c r="O615" s="227"/>
      <c r="P615" s="19"/>
      <c r="Q615" s="19"/>
      <c r="R615" s="19"/>
      <c r="S615" s="228"/>
      <c r="T615" s="228"/>
      <c r="U615" s="229"/>
      <c r="V615" s="22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</row>
    <row r="616">
      <c r="A616" s="217"/>
      <c r="B616" s="218"/>
      <c r="C616" s="219"/>
      <c r="D616" s="220"/>
      <c r="E616" s="221"/>
      <c r="F616" s="222"/>
      <c r="G616" s="223"/>
      <c r="H616" s="224"/>
      <c r="I616" s="19"/>
      <c r="J616" s="19"/>
      <c r="K616" s="19"/>
      <c r="L616" s="225"/>
      <c r="M616" s="226"/>
      <c r="N616" s="226"/>
      <c r="O616" s="227"/>
      <c r="P616" s="19"/>
      <c r="Q616" s="19"/>
      <c r="R616" s="19"/>
      <c r="S616" s="228"/>
      <c r="T616" s="228"/>
      <c r="U616" s="229"/>
      <c r="V616" s="22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>
      <c r="A617" s="217"/>
      <c r="B617" s="218"/>
      <c r="C617" s="219"/>
      <c r="D617" s="220"/>
      <c r="E617" s="221"/>
      <c r="F617" s="222"/>
      <c r="G617" s="223"/>
      <c r="H617" s="224"/>
      <c r="I617" s="19"/>
      <c r="J617" s="19"/>
      <c r="K617" s="19"/>
      <c r="L617" s="225"/>
      <c r="M617" s="226"/>
      <c r="N617" s="226"/>
      <c r="O617" s="227"/>
      <c r="P617" s="19"/>
      <c r="Q617" s="19"/>
      <c r="R617" s="19"/>
      <c r="S617" s="228"/>
      <c r="T617" s="228"/>
      <c r="U617" s="229"/>
      <c r="V617" s="22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>
      <c r="A618" s="217"/>
      <c r="B618" s="218"/>
      <c r="C618" s="219"/>
      <c r="D618" s="220"/>
      <c r="E618" s="221"/>
      <c r="F618" s="222"/>
      <c r="G618" s="223"/>
      <c r="H618" s="224"/>
      <c r="I618" s="19"/>
      <c r="J618" s="19"/>
      <c r="K618" s="19"/>
      <c r="L618" s="225"/>
      <c r="M618" s="226"/>
      <c r="N618" s="226"/>
      <c r="O618" s="227"/>
      <c r="P618" s="19"/>
      <c r="Q618" s="19"/>
      <c r="R618" s="19"/>
      <c r="S618" s="228"/>
      <c r="T618" s="228"/>
      <c r="U618" s="229"/>
      <c r="V618" s="22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>
      <c r="A619" s="217"/>
      <c r="B619" s="218"/>
      <c r="C619" s="219"/>
      <c r="D619" s="220"/>
      <c r="E619" s="221"/>
      <c r="F619" s="222"/>
      <c r="G619" s="223"/>
      <c r="H619" s="224"/>
      <c r="I619" s="19"/>
      <c r="J619" s="19"/>
      <c r="K619" s="19"/>
      <c r="L619" s="225"/>
      <c r="M619" s="226"/>
      <c r="N619" s="226"/>
      <c r="O619" s="227"/>
      <c r="P619" s="19"/>
      <c r="Q619" s="19"/>
      <c r="R619" s="19"/>
      <c r="S619" s="228"/>
      <c r="T619" s="228"/>
      <c r="U619" s="229"/>
      <c r="V619" s="22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>
      <c r="A620" s="217"/>
      <c r="B620" s="218"/>
      <c r="C620" s="219"/>
      <c r="D620" s="220"/>
      <c r="E620" s="221"/>
      <c r="F620" s="222"/>
      <c r="G620" s="223"/>
      <c r="H620" s="224"/>
      <c r="I620" s="19"/>
      <c r="J620" s="19"/>
      <c r="K620" s="19"/>
      <c r="L620" s="225"/>
      <c r="M620" s="226"/>
      <c r="N620" s="226"/>
      <c r="O620" s="227"/>
      <c r="P620" s="19"/>
      <c r="Q620" s="19"/>
      <c r="R620" s="19"/>
      <c r="S620" s="228"/>
      <c r="T620" s="228"/>
      <c r="U620" s="229"/>
      <c r="V620" s="22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</row>
    <row r="621">
      <c r="A621" s="217"/>
      <c r="B621" s="218"/>
      <c r="C621" s="219"/>
      <c r="D621" s="220"/>
      <c r="E621" s="221"/>
      <c r="F621" s="222"/>
      <c r="G621" s="223"/>
      <c r="H621" s="224"/>
      <c r="I621" s="19"/>
      <c r="J621" s="19"/>
      <c r="K621" s="19"/>
      <c r="L621" s="225"/>
      <c r="M621" s="226"/>
      <c r="N621" s="226"/>
      <c r="O621" s="227"/>
      <c r="P621" s="19"/>
      <c r="Q621" s="19"/>
      <c r="R621" s="19"/>
      <c r="S621" s="228"/>
      <c r="T621" s="228"/>
      <c r="U621" s="229"/>
      <c r="V621" s="22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</row>
    <row r="622">
      <c r="A622" s="217"/>
      <c r="B622" s="218"/>
      <c r="C622" s="219"/>
      <c r="D622" s="220"/>
      <c r="E622" s="221"/>
      <c r="F622" s="222"/>
      <c r="G622" s="223"/>
      <c r="H622" s="224"/>
      <c r="I622" s="19"/>
      <c r="J622" s="19"/>
      <c r="K622" s="19"/>
      <c r="L622" s="225"/>
      <c r="M622" s="226"/>
      <c r="N622" s="226"/>
      <c r="O622" s="227"/>
      <c r="P622" s="19"/>
      <c r="Q622" s="19"/>
      <c r="R622" s="19"/>
      <c r="S622" s="228"/>
      <c r="T622" s="228"/>
      <c r="U622" s="229"/>
      <c r="V622" s="22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</row>
    <row r="623">
      <c r="A623" s="217"/>
      <c r="B623" s="218"/>
      <c r="C623" s="219"/>
      <c r="D623" s="220"/>
      <c r="E623" s="221"/>
      <c r="F623" s="222"/>
      <c r="G623" s="223"/>
      <c r="H623" s="224"/>
      <c r="I623" s="19"/>
      <c r="J623" s="19"/>
      <c r="K623" s="19"/>
      <c r="L623" s="225"/>
      <c r="M623" s="226"/>
      <c r="N623" s="226"/>
      <c r="O623" s="227"/>
      <c r="P623" s="19"/>
      <c r="Q623" s="19"/>
      <c r="R623" s="19"/>
      <c r="S623" s="228"/>
      <c r="T623" s="228"/>
      <c r="U623" s="229"/>
      <c r="V623" s="22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>
      <c r="A624" s="217"/>
      <c r="B624" s="218"/>
      <c r="C624" s="219"/>
      <c r="D624" s="220"/>
      <c r="E624" s="221"/>
      <c r="F624" s="222"/>
      <c r="G624" s="223"/>
      <c r="H624" s="224"/>
      <c r="I624" s="19"/>
      <c r="J624" s="19"/>
      <c r="K624" s="19"/>
      <c r="L624" s="225"/>
      <c r="M624" s="226"/>
      <c r="N624" s="226"/>
      <c r="O624" s="227"/>
      <c r="P624" s="19"/>
      <c r="Q624" s="19"/>
      <c r="R624" s="19"/>
      <c r="S624" s="228"/>
      <c r="T624" s="228"/>
      <c r="U624" s="229"/>
      <c r="V624" s="22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>
      <c r="A625" s="217"/>
      <c r="B625" s="218"/>
      <c r="C625" s="219"/>
      <c r="D625" s="220"/>
      <c r="E625" s="221"/>
      <c r="F625" s="222"/>
      <c r="G625" s="223"/>
      <c r="H625" s="224"/>
      <c r="I625" s="19"/>
      <c r="J625" s="19"/>
      <c r="K625" s="19"/>
      <c r="L625" s="225"/>
      <c r="M625" s="226"/>
      <c r="N625" s="226"/>
      <c r="O625" s="227"/>
      <c r="P625" s="19"/>
      <c r="Q625" s="19"/>
      <c r="R625" s="19"/>
      <c r="S625" s="228"/>
      <c r="T625" s="228"/>
      <c r="U625" s="229"/>
      <c r="V625" s="22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</row>
    <row r="626">
      <c r="A626" s="217"/>
      <c r="B626" s="218"/>
      <c r="C626" s="219"/>
      <c r="D626" s="220"/>
      <c r="E626" s="221"/>
      <c r="F626" s="222"/>
      <c r="G626" s="223"/>
      <c r="H626" s="224"/>
      <c r="I626" s="19"/>
      <c r="J626" s="19"/>
      <c r="K626" s="19"/>
      <c r="L626" s="225"/>
      <c r="M626" s="226"/>
      <c r="N626" s="226"/>
      <c r="O626" s="227"/>
      <c r="P626" s="19"/>
      <c r="Q626" s="19"/>
      <c r="R626" s="19"/>
      <c r="S626" s="228"/>
      <c r="T626" s="228"/>
      <c r="U626" s="229"/>
      <c r="V626" s="22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>
      <c r="A627" s="217"/>
      <c r="B627" s="218"/>
      <c r="C627" s="219"/>
      <c r="D627" s="220"/>
      <c r="E627" s="221"/>
      <c r="F627" s="222"/>
      <c r="G627" s="223"/>
      <c r="H627" s="224"/>
      <c r="I627" s="19"/>
      <c r="J627" s="19"/>
      <c r="K627" s="19"/>
      <c r="L627" s="225"/>
      <c r="M627" s="226"/>
      <c r="N627" s="226"/>
      <c r="O627" s="227"/>
      <c r="P627" s="19"/>
      <c r="Q627" s="19"/>
      <c r="R627" s="19"/>
      <c r="S627" s="228"/>
      <c r="T627" s="228"/>
      <c r="U627" s="229"/>
      <c r="V627" s="22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</row>
    <row r="628">
      <c r="A628" s="217"/>
      <c r="B628" s="218"/>
      <c r="C628" s="219"/>
      <c r="D628" s="220"/>
      <c r="E628" s="221"/>
      <c r="F628" s="222"/>
      <c r="G628" s="223"/>
      <c r="H628" s="224"/>
      <c r="I628" s="19"/>
      <c r="J628" s="19"/>
      <c r="K628" s="19"/>
      <c r="L628" s="225"/>
      <c r="M628" s="226"/>
      <c r="N628" s="226"/>
      <c r="O628" s="227"/>
      <c r="P628" s="19"/>
      <c r="Q628" s="19"/>
      <c r="R628" s="19"/>
      <c r="S628" s="228"/>
      <c r="T628" s="228"/>
      <c r="U628" s="229"/>
      <c r="V628" s="22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>
      <c r="A629" s="217"/>
      <c r="B629" s="218"/>
      <c r="C629" s="219"/>
      <c r="D629" s="220"/>
      <c r="E629" s="221"/>
      <c r="F629" s="222"/>
      <c r="G629" s="223"/>
      <c r="H629" s="224"/>
      <c r="I629" s="19"/>
      <c r="J629" s="19"/>
      <c r="K629" s="19"/>
      <c r="L629" s="225"/>
      <c r="M629" s="226"/>
      <c r="N629" s="226"/>
      <c r="O629" s="227"/>
      <c r="P629" s="19"/>
      <c r="Q629" s="19"/>
      <c r="R629" s="19"/>
      <c r="S629" s="228"/>
      <c r="T629" s="228"/>
      <c r="U629" s="229"/>
      <c r="V629" s="22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>
      <c r="A630" s="217"/>
      <c r="B630" s="218"/>
      <c r="C630" s="219"/>
      <c r="D630" s="220"/>
      <c r="E630" s="221"/>
      <c r="F630" s="222"/>
      <c r="G630" s="223"/>
      <c r="H630" s="224"/>
      <c r="I630" s="19"/>
      <c r="J630" s="19"/>
      <c r="K630" s="19"/>
      <c r="L630" s="225"/>
      <c r="M630" s="226"/>
      <c r="N630" s="226"/>
      <c r="O630" s="227"/>
      <c r="P630" s="19"/>
      <c r="Q630" s="19"/>
      <c r="R630" s="19"/>
      <c r="S630" s="228"/>
      <c r="T630" s="228"/>
      <c r="U630" s="229"/>
      <c r="V630" s="22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</row>
    <row r="631">
      <c r="A631" s="217"/>
      <c r="B631" s="218"/>
      <c r="C631" s="219"/>
      <c r="D631" s="220"/>
      <c r="E631" s="221"/>
      <c r="F631" s="222"/>
      <c r="G631" s="223"/>
      <c r="H631" s="224"/>
      <c r="I631" s="19"/>
      <c r="J631" s="19"/>
      <c r="K631" s="19"/>
      <c r="L631" s="225"/>
      <c r="M631" s="226"/>
      <c r="N631" s="226"/>
      <c r="O631" s="227"/>
      <c r="P631" s="19"/>
      <c r="Q631" s="19"/>
      <c r="R631" s="19"/>
      <c r="S631" s="228"/>
      <c r="T631" s="228"/>
      <c r="U631" s="229"/>
      <c r="V631" s="22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</row>
    <row r="632">
      <c r="A632" s="217"/>
      <c r="B632" s="218"/>
      <c r="C632" s="219"/>
      <c r="D632" s="220"/>
      <c r="E632" s="221"/>
      <c r="F632" s="222"/>
      <c r="G632" s="223"/>
      <c r="H632" s="224"/>
      <c r="I632" s="19"/>
      <c r="J632" s="19"/>
      <c r="K632" s="19"/>
      <c r="L632" s="225"/>
      <c r="M632" s="226"/>
      <c r="N632" s="226"/>
      <c r="O632" s="227"/>
      <c r="P632" s="19"/>
      <c r="Q632" s="19"/>
      <c r="R632" s="19"/>
      <c r="S632" s="228"/>
      <c r="T632" s="228"/>
      <c r="U632" s="229"/>
      <c r="V632" s="22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>
      <c r="A633" s="217"/>
      <c r="B633" s="218"/>
      <c r="C633" s="219"/>
      <c r="D633" s="220"/>
      <c r="E633" s="221"/>
      <c r="F633" s="222"/>
      <c r="G633" s="223"/>
      <c r="H633" s="224"/>
      <c r="I633" s="19"/>
      <c r="J633" s="19"/>
      <c r="K633" s="19"/>
      <c r="L633" s="225"/>
      <c r="M633" s="226"/>
      <c r="N633" s="226"/>
      <c r="O633" s="227"/>
      <c r="P633" s="19"/>
      <c r="Q633" s="19"/>
      <c r="R633" s="19"/>
      <c r="S633" s="228"/>
      <c r="T633" s="228"/>
      <c r="U633" s="229"/>
      <c r="V633" s="22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>
      <c r="A634" s="217"/>
      <c r="B634" s="218"/>
      <c r="C634" s="219"/>
      <c r="D634" s="220"/>
      <c r="E634" s="221"/>
      <c r="F634" s="222"/>
      <c r="G634" s="223"/>
      <c r="H634" s="224"/>
      <c r="I634" s="19"/>
      <c r="J634" s="19"/>
      <c r="K634" s="19"/>
      <c r="L634" s="225"/>
      <c r="M634" s="226"/>
      <c r="N634" s="226"/>
      <c r="O634" s="227"/>
      <c r="P634" s="19"/>
      <c r="Q634" s="19"/>
      <c r="R634" s="19"/>
      <c r="S634" s="228"/>
      <c r="T634" s="228"/>
      <c r="U634" s="229"/>
      <c r="V634" s="22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</row>
    <row r="635">
      <c r="A635" s="217"/>
      <c r="B635" s="218"/>
      <c r="C635" s="219"/>
      <c r="D635" s="220"/>
      <c r="E635" s="221"/>
      <c r="F635" s="222"/>
      <c r="G635" s="223"/>
      <c r="H635" s="224"/>
      <c r="I635" s="19"/>
      <c r="J635" s="19"/>
      <c r="K635" s="19"/>
      <c r="L635" s="225"/>
      <c r="M635" s="226"/>
      <c r="N635" s="226"/>
      <c r="O635" s="227"/>
      <c r="P635" s="19"/>
      <c r="Q635" s="19"/>
      <c r="R635" s="19"/>
      <c r="S635" s="228"/>
      <c r="T635" s="228"/>
      <c r="U635" s="229"/>
      <c r="V635" s="22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>
      <c r="A636" s="217"/>
      <c r="B636" s="218"/>
      <c r="C636" s="219"/>
      <c r="D636" s="220"/>
      <c r="E636" s="221"/>
      <c r="F636" s="222"/>
      <c r="G636" s="223"/>
      <c r="H636" s="224"/>
      <c r="I636" s="19"/>
      <c r="J636" s="19"/>
      <c r="K636" s="19"/>
      <c r="L636" s="225"/>
      <c r="M636" s="226"/>
      <c r="N636" s="226"/>
      <c r="O636" s="227"/>
      <c r="P636" s="19"/>
      <c r="Q636" s="19"/>
      <c r="R636" s="19"/>
      <c r="S636" s="228"/>
      <c r="T636" s="228"/>
      <c r="U636" s="229"/>
      <c r="V636" s="22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</row>
    <row r="637">
      <c r="A637" s="217"/>
      <c r="B637" s="218"/>
      <c r="C637" s="219"/>
      <c r="D637" s="220"/>
      <c r="E637" s="221"/>
      <c r="F637" s="222"/>
      <c r="G637" s="223"/>
      <c r="H637" s="224"/>
      <c r="I637" s="19"/>
      <c r="J637" s="19"/>
      <c r="K637" s="19"/>
      <c r="L637" s="225"/>
      <c r="M637" s="226"/>
      <c r="N637" s="226"/>
      <c r="O637" s="227"/>
      <c r="P637" s="19"/>
      <c r="Q637" s="19"/>
      <c r="R637" s="19"/>
      <c r="S637" s="228"/>
      <c r="T637" s="228"/>
      <c r="U637" s="229"/>
      <c r="V637" s="22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>
      <c r="A638" s="217"/>
      <c r="B638" s="218"/>
      <c r="C638" s="219"/>
      <c r="D638" s="220"/>
      <c r="E638" s="221"/>
      <c r="F638" s="222"/>
      <c r="G638" s="223"/>
      <c r="H638" s="224"/>
      <c r="I638" s="19"/>
      <c r="J638" s="19"/>
      <c r="K638" s="19"/>
      <c r="L638" s="225"/>
      <c r="M638" s="226"/>
      <c r="N638" s="226"/>
      <c r="O638" s="227"/>
      <c r="P638" s="19"/>
      <c r="Q638" s="19"/>
      <c r="R638" s="19"/>
      <c r="S638" s="228"/>
      <c r="T638" s="228"/>
      <c r="U638" s="229"/>
      <c r="V638" s="22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</row>
    <row r="639">
      <c r="A639" s="217"/>
      <c r="B639" s="218"/>
      <c r="C639" s="219"/>
      <c r="D639" s="220"/>
      <c r="E639" s="221"/>
      <c r="F639" s="222"/>
      <c r="G639" s="223"/>
      <c r="H639" s="224"/>
      <c r="I639" s="19"/>
      <c r="J639" s="19"/>
      <c r="K639" s="19"/>
      <c r="L639" s="225"/>
      <c r="M639" s="226"/>
      <c r="N639" s="226"/>
      <c r="O639" s="227"/>
      <c r="P639" s="19"/>
      <c r="Q639" s="19"/>
      <c r="R639" s="19"/>
      <c r="S639" s="228"/>
      <c r="T639" s="228"/>
      <c r="U639" s="229"/>
      <c r="V639" s="22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</row>
    <row r="640">
      <c r="A640" s="217"/>
      <c r="B640" s="218"/>
      <c r="C640" s="219"/>
      <c r="D640" s="220"/>
      <c r="E640" s="221"/>
      <c r="F640" s="222"/>
      <c r="G640" s="223"/>
      <c r="H640" s="224"/>
      <c r="I640" s="19"/>
      <c r="J640" s="19"/>
      <c r="K640" s="19"/>
      <c r="L640" s="225"/>
      <c r="M640" s="226"/>
      <c r="N640" s="226"/>
      <c r="O640" s="227"/>
      <c r="P640" s="19"/>
      <c r="Q640" s="19"/>
      <c r="R640" s="19"/>
      <c r="S640" s="228"/>
      <c r="T640" s="228"/>
      <c r="U640" s="229"/>
      <c r="V640" s="22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>
      <c r="A641" s="217"/>
      <c r="B641" s="218"/>
      <c r="C641" s="219"/>
      <c r="D641" s="220"/>
      <c r="E641" s="221"/>
      <c r="F641" s="222"/>
      <c r="G641" s="223"/>
      <c r="H641" s="224"/>
      <c r="I641" s="19"/>
      <c r="J641" s="19"/>
      <c r="K641" s="19"/>
      <c r="L641" s="225"/>
      <c r="M641" s="226"/>
      <c r="N641" s="226"/>
      <c r="O641" s="227"/>
      <c r="P641" s="19"/>
      <c r="Q641" s="19"/>
      <c r="R641" s="19"/>
      <c r="S641" s="228"/>
      <c r="T641" s="228"/>
      <c r="U641" s="229"/>
      <c r="V641" s="22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</row>
    <row r="642">
      <c r="A642" s="217"/>
      <c r="B642" s="218"/>
      <c r="C642" s="219"/>
      <c r="D642" s="220"/>
      <c r="E642" s="221"/>
      <c r="F642" s="222"/>
      <c r="G642" s="223"/>
      <c r="H642" s="224"/>
      <c r="I642" s="19"/>
      <c r="J642" s="19"/>
      <c r="K642" s="19"/>
      <c r="L642" s="225"/>
      <c r="M642" s="226"/>
      <c r="N642" s="226"/>
      <c r="O642" s="227"/>
      <c r="P642" s="19"/>
      <c r="Q642" s="19"/>
      <c r="R642" s="19"/>
      <c r="S642" s="228"/>
      <c r="T642" s="228"/>
      <c r="U642" s="229"/>
      <c r="V642" s="22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</row>
    <row r="643">
      <c r="A643" s="217"/>
      <c r="B643" s="218"/>
      <c r="C643" s="219"/>
      <c r="D643" s="220"/>
      <c r="E643" s="221"/>
      <c r="F643" s="222"/>
      <c r="G643" s="223"/>
      <c r="H643" s="224"/>
      <c r="I643" s="19"/>
      <c r="J643" s="19"/>
      <c r="K643" s="19"/>
      <c r="L643" s="225"/>
      <c r="M643" s="226"/>
      <c r="N643" s="226"/>
      <c r="O643" s="227"/>
      <c r="P643" s="19"/>
      <c r="Q643" s="19"/>
      <c r="R643" s="19"/>
      <c r="S643" s="228"/>
      <c r="T643" s="228"/>
      <c r="U643" s="229"/>
      <c r="V643" s="22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</row>
    <row r="644">
      <c r="A644" s="217"/>
      <c r="B644" s="218"/>
      <c r="C644" s="219"/>
      <c r="D644" s="220"/>
      <c r="E644" s="221"/>
      <c r="F644" s="222"/>
      <c r="G644" s="223"/>
      <c r="H644" s="224"/>
      <c r="I644" s="19"/>
      <c r="J644" s="19"/>
      <c r="K644" s="19"/>
      <c r="L644" s="225"/>
      <c r="M644" s="226"/>
      <c r="N644" s="226"/>
      <c r="O644" s="227"/>
      <c r="P644" s="19"/>
      <c r="Q644" s="19"/>
      <c r="R644" s="19"/>
      <c r="S644" s="228"/>
      <c r="T644" s="228"/>
      <c r="U644" s="229"/>
      <c r="V644" s="22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</row>
    <row r="645">
      <c r="A645" s="217"/>
      <c r="B645" s="218"/>
      <c r="C645" s="219"/>
      <c r="D645" s="220"/>
      <c r="E645" s="221"/>
      <c r="F645" s="222"/>
      <c r="G645" s="223"/>
      <c r="H645" s="224"/>
      <c r="I645" s="19"/>
      <c r="J645" s="19"/>
      <c r="K645" s="19"/>
      <c r="L645" s="225"/>
      <c r="M645" s="226"/>
      <c r="N645" s="226"/>
      <c r="O645" s="227"/>
      <c r="P645" s="19"/>
      <c r="Q645" s="19"/>
      <c r="R645" s="19"/>
      <c r="S645" s="228"/>
      <c r="T645" s="228"/>
      <c r="U645" s="229"/>
      <c r="V645" s="22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</row>
    <row r="646">
      <c r="A646" s="217"/>
      <c r="B646" s="218"/>
      <c r="C646" s="219"/>
      <c r="D646" s="220"/>
      <c r="E646" s="221"/>
      <c r="F646" s="222"/>
      <c r="G646" s="223"/>
      <c r="H646" s="224"/>
      <c r="I646" s="19"/>
      <c r="J646" s="19"/>
      <c r="K646" s="19"/>
      <c r="L646" s="225"/>
      <c r="M646" s="226"/>
      <c r="N646" s="226"/>
      <c r="O646" s="227"/>
      <c r="P646" s="19"/>
      <c r="Q646" s="19"/>
      <c r="R646" s="19"/>
      <c r="S646" s="228"/>
      <c r="T646" s="228"/>
      <c r="U646" s="229"/>
      <c r="V646" s="22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>
      <c r="A647" s="217"/>
      <c r="B647" s="218"/>
      <c r="C647" s="219"/>
      <c r="D647" s="220"/>
      <c r="E647" s="221"/>
      <c r="F647" s="222"/>
      <c r="G647" s="223"/>
      <c r="H647" s="224"/>
      <c r="I647" s="19"/>
      <c r="J647" s="19"/>
      <c r="K647" s="19"/>
      <c r="L647" s="225"/>
      <c r="M647" s="226"/>
      <c r="N647" s="226"/>
      <c r="O647" s="227"/>
      <c r="P647" s="19"/>
      <c r="Q647" s="19"/>
      <c r="R647" s="19"/>
      <c r="S647" s="228"/>
      <c r="T647" s="228"/>
      <c r="U647" s="229"/>
      <c r="V647" s="22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</row>
    <row r="648">
      <c r="A648" s="217"/>
      <c r="B648" s="218"/>
      <c r="C648" s="219"/>
      <c r="D648" s="220"/>
      <c r="E648" s="221"/>
      <c r="F648" s="222"/>
      <c r="G648" s="223"/>
      <c r="H648" s="224"/>
      <c r="I648" s="19"/>
      <c r="J648" s="19"/>
      <c r="K648" s="19"/>
      <c r="L648" s="225"/>
      <c r="M648" s="226"/>
      <c r="N648" s="226"/>
      <c r="O648" s="227"/>
      <c r="P648" s="19"/>
      <c r="Q648" s="19"/>
      <c r="R648" s="19"/>
      <c r="S648" s="228"/>
      <c r="T648" s="228"/>
      <c r="U648" s="229"/>
      <c r="V648" s="22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>
      <c r="A649" s="217"/>
      <c r="B649" s="218"/>
      <c r="C649" s="219"/>
      <c r="D649" s="220"/>
      <c r="E649" s="221"/>
      <c r="F649" s="222"/>
      <c r="G649" s="223"/>
      <c r="H649" s="224"/>
      <c r="I649" s="19"/>
      <c r="J649" s="19"/>
      <c r="K649" s="19"/>
      <c r="L649" s="225"/>
      <c r="M649" s="226"/>
      <c r="N649" s="226"/>
      <c r="O649" s="227"/>
      <c r="P649" s="19"/>
      <c r="Q649" s="19"/>
      <c r="R649" s="19"/>
      <c r="S649" s="228"/>
      <c r="T649" s="228"/>
      <c r="U649" s="229"/>
      <c r="V649" s="22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</row>
    <row r="650">
      <c r="A650" s="217"/>
      <c r="B650" s="218"/>
      <c r="C650" s="219"/>
      <c r="D650" s="220"/>
      <c r="E650" s="221"/>
      <c r="F650" s="222"/>
      <c r="G650" s="223"/>
      <c r="H650" s="224"/>
      <c r="I650" s="19"/>
      <c r="J650" s="19"/>
      <c r="K650" s="19"/>
      <c r="L650" s="225"/>
      <c r="M650" s="226"/>
      <c r="N650" s="226"/>
      <c r="O650" s="227"/>
      <c r="P650" s="19"/>
      <c r="Q650" s="19"/>
      <c r="R650" s="19"/>
      <c r="S650" s="228"/>
      <c r="T650" s="228"/>
      <c r="U650" s="229"/>
      <c r="V650" s="22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</row>
    <row r="651">
      <c r="A651" s="217"/>
      <c r="B651" s="218"/>
      <c r="C651" s="219"/>
      <c r="D651" s="220"/>
      <c r="E651" s="221"/>
      <c r="F651" s="222"/>
      <c r="G651" s="223"/>
      <c r="H651" s="224"/>
      <c r="I651" s="19"/>
      <c r="J651" s="19"/>
      <c r="K651" s="19"/>
      <c r="L651" s="225"/>
      <c r="M651" s="226"/>
      <c r="N651" s="226"/>
      <c r="O651" s="227"/>
      <c r="P651" s="19"/>
      <c r="Q651" s="19"/>
      <c r="R651" s="19"/>
      <c r="S651" s="228"/>
      <c r="T651" s="228"/>
      <c r="U651" s="229"/>
      <c r="V651" s="22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</row>
    <row r="652">
      <c r="A652" s="217"/>
      <c r="B652" s="218"/>
      <c r="C652" s="219"/>
      <c r="D652" s="220"/>
      <c r="E652" s="221"/>
      <c r="F652" s="222"/>
      <c r="G652" s="223"/>
      <c r="H652" s="224"/>
      <c r="I652" s="19"/>
      <c r="J652" s="19"/>
      <c r="K652" s="19"/>
      <c r="L652" s="225"/>
      <c r="M652" s="226"/>
      <c r="N652" s="226"/>
      <c r="O652" s="227"/>
      <c r="P652" s="19"/>
      <c r="Q652" s="19"/>
      <c r="R652" s="19"/>
      <c r="S652" s="228"/>
      <c r="T652" s="228"/>
      <c r="U652" s="229"/>
      <c r="V652" s="22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>
      <c r="A653" s="217"/>
      <c r="B653" s="218"/>
      <c r="C653" s="219"/>
      <c r="D653" s="220"/>
      <c r="E653" s="221"/>
      <c r="F653" s="222"/>
      <c r="G653" s="223"/>
      <c r="H653" s="224"/>
      <c r="I653" s="19"/>
      <c r="J653" s="19"/>
      <c r="K653" s="19"/>
      <c r="L653" s="225"/>
      <c r="M653" s="226"/>
      <c r="N653" s="226"/>
      <c r="O653" s="227"/>
      <c r="P653" s="19"/>
      <c r="Q653" s="19"/>
      <c r="R653" s="19"/>
      <c r="S653" s="228"/>
      <c r="T653" s="228"/>
      <c r="U653" s="229"/>
      <c r="V653" s="22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>
      <c r="A654" s="217"/>
      <c r="B654" s="218"/>
      <c r="C654" s="219"/>
      <c r="D654" s="220"/>
      <c r="E654" s="221"/>
      <c r="F654" s="222"/>
      <c r="G654" s="223"/>
      <c r="H654" s="224"/>
      <c r="I654" s="19"/>
      <c r="J654" s="19"/>
      <c r="K654" s="19"/>
      <c r="L654" s="225"/>
      <c r="M654" s="226"/>
      <c r="N654" s="226"/>
      <c r="O654" s="227"/>
      <c r="P654" s="19"/>
      <c r="Q654" s="19"/>
      <c r="R654" s="19"/>
      <c r="S654" s="228"/>
      <c r="T654" s="228"/>
      <c r="U654" s="229"/>
      <c r="V654" s="22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>
      <c r="A655" s="217"/>
      <c r="B655" s="218"/>
      <c r="C655" s="219"/>
      <c r="D655" s="220"/>
      <c r="E655" s="221"/>
      <c r="F655" s="222"/>
      <c r="G655" s="223"/>
      <c r="H655" s="224"/>
      <c r="I655" s="19"/>
      <c r="J655" s="19"/>
      <c r="K655" s="19"/>
      <c r="L655" s="225"/>
      <c r="M655" s="226"/>
      <c r="N655" s="226"/>
      <c r="O655" s="227"/>
      <c r="P655" s="19"/>
      <c r="Q655" s="19"/>
      <c r="R655" s="19"/>
      <c r="S655" s="228"/>
      <c r="T655" s="228"/>
      <c r="U655" s="229"/>
      <c r="V655" s="22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</row>
    <row r="656">
      <c r="A656" s="217"/>
      <c r="B656" s="218"/>
      <c r="C656" s="219"/>
      <c r="D656" s="220"/>
      <c r="E656" s="221"/>
      <c r="F656" s="222"/>
      <c r="G656" s="223"/>
      <c r="H656" s="224"/>
      <c r="I656" s="19"/>
      <c r="J656" s="19"/>
      <c r="K656" s="19"/>
      <c r="L656" s="225"/>
      <c r="M656" s="226"/>
      <c r="N656" s="226"/>
      <c r="O656" s="227"/>
      <c r="P656" s="19"/>
      <c r="Q656" s="19"/>
      <c r="R656" s="19"/>
      <c r="S656" s="228"/>
      <c r="T656" s="228"/>
      <c r="U656" s="229"/>
      <c r="V656" s="22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>
      <c r="A657" s="217"/>
      <c r="B657" s="218"/>
      <c r="C657" s="219"/>
      <c r="D657" s="220"/>
      <c r="E657" s="221"/>
      <c r="F657" s="222"/>
      <c r="G657" s="223"/>
      <c r="H657" s="224"/>
      <c r="I657" s="19"/>
      <c r="J657" s="19"/>
      <c r="K657" s="19"/>
      <c r="L657" s="225"/>
      <c r="M657" s="226"/>
      <c r="N657" s="226"/>
      <c r="O657" s="227"/>
      <c r="P657" s="19"/>
      <c r="Q657" s="19"/>
      <c r="R657" s="19"/>
      <c r="S657" s="228"/>
      <c r="T657" s="228"/>
      <c r="U657" s="229"/>
      <c r="V657" s="22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</row>
    <row r="658">
      <c r="A658" s="217"/>
      <c r="B658" s="218"/>
      <c r="C658" s="219"/>
      <c r="D658" s="220"/>
      <c r="E658" s="221"/>
      <c r="F658" s="222"/>
      <c r="G658" s="223"/>
      <c r="H658" s="224"/>
      <c r="I658" s="19"/>
      <c r="J658" s="19"/>
      <c r="K658" s="19"/>
      <c r="L658" s="225"/>
      <c r="M658" s="226"/>
      <c r="N658" s="226"/>
      <c r="O658" s="227"/>
      <c r="P658" s="19"/>
      <c r="Q658" s="19"/>
      <c r="R658" s="19"/>
      <c r="S658" s="228"/>
      <c r="T658" s="228"/>
      <c r="U658" s="229"/>
      <c r="V658" s="22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</row>
    <row r="659">
      <c r="A659" s="217"/>
      <c r="B659" s="218"/>
      <c r="C659" s="219"/>
      <c r="D659" s="220"/>
      <c r="E659" s="221"/>
      <c r="F659" s="222"/>
      <c r="G659" s="223"/>
      <c r="H659" s="224"/>
      <c r="I659" s="19"/>
      <c r="J659" s="19"/>
      <c r="K659" s="19"/>
      <c r="L659" s="225"/>
      <c r="M659" s="226"/>
      <c r="N659" s="226"/>
      <c r="O659" s="227"/>
      <c r="P659" s="19"/>
      <c r="Q659" s="19"/>
      <c r="R659" s="19"/>
      <c r="S659" s="228"/>
      <c r="T659" s="228"/>
      <c r="U659" s="229"/>
      <c r="V659" s="22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</row>
    <row r="660">
      <c r="A660" s="217"/>
      <c r="B660" s="218"/>
      <c r="C660" s="219"/>
      <c r="D660" s="220"/>
      <c r="E660" s="221"/>
      <c r="F660" s="222"/>
      <c r="G660" s="223"/>
      <c r="H660" s="224"/>
      <c r="I660" s="19"/>
      <c r="J660" s="19"/>
      <c r="K660" s="19"/>
      <c r="L660" s="225"/>
      <c r="M660" s="226"/>
      <c r="N660" s="226"/>
      <c r="O660" s="227"/>
      <c r="P660" s="19"/>
      <c r="Q660" s="19"/>
      <c r="R660" s="19"/>
      <c r="S660" s="228"/>
      <c r="T660" s="228"/>
      <c r="U660" s="229"/>
      <c r="V660" s="22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</row>
    <row r="661">
      <c r="A661" s="217"/>
      <c r="B661" s="218"/>
      <c r="C661" s="219"/>
      <c r="D661" s="220"/>
      <c r="E661" s="221"/>
      <c r="F661" s="222"/>
      <c r="G661" s="223"/>
      <c r="H661" s="224"/>
      <c r="I661" s="19"/>
      <c r="J661" s="19"/>
      <c r="K661" s="19"/>
      <c r="L661" s="225"/>
      <c r="M661" s="226"/>
      <c r="N661" s="226"/>
      <c r="O661" s="227"/>
      <c r="P661" s="19"/>
      <c r="Q661" s="19"/>
      <c r="R661" s="19"/>
      <c r="S661" s="228"/>
      <c r="T661" s="228"/>
      <c r="U661" s="229"/>
      <c r="V661" s="22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</row>
    <row r="662">
      <c r="A662" s="217"/>
      <c r="B662" s="218"/>
      <c r="C662" s="219"/>
      <c r="D662" s="220"/>
      <c r="E662" s="221"/>
      <c r="F662" s="222"/>
      <c r="G662" s="223"/>
      <c r="H662" s="224"/>
      <c r="I662" s="19"/>
      <c r="J662" s="19"/>
      <c r="K662" s="19"/>
      <c r="L662" s="225"/>
      <c r="M662" s="226"/>
      <c r="N662" s="226"/>
      <c r="O662" s="227"/>
      <c r="P662" s="19"/>
      <c r="Q662" s="19"/>
      <c r="R662" s="19"/>
      <c r="S662" s="228"/>
      <c r="T662" s="228"/>
      <c r="U662" s="229"/>
      <c r="V662" s="22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>
      <c r="A663" s="217"/>
      <c r="B663" s="218"/>
      <c r="C663" s="219"/>
      <c r="D663" s="220"/>
      <c r="E663" s="221"/>
      <c r="F663" s="222"/>
      <c r="G663" s="223"/>
      <c r="H663" s="224"/>
      <c r="I663" s="19"/>
      <c r="J663" s="19"/>
      <c r="K663" s="19"/>
      <c r="L663" s="225"/>
      <c r="M663" s="226"/>
      <c r="N663" s="226"/>
      <c r="O663" s="227"/>
      <c r="P663" s="19"/>
      <c r="Q663" s="19"/>
      <c r="R663" s="19"/>
      <c r="S663" s="228"/>
      <c r="T663" s="228"/>
      <c r="U663" s="229"/>
      <c r="V663" s="22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>
      <c r="A664" s="217"/>
      <c r="B664" s="218"/>
      <c r="C664" s="219"/>
      <c r="D664" s="220"/>
      <c r="E664" s="221"/>
      <c r="F664" s="222"/>
      <c r="G664" s="223"/>
      <c r="H664" s="224"/>
      <c r="I664" s="19"/>
      <c r="J664" s="19"/>
      <c r="K664" s="19"/>
      <c r="L664" s="225"/>
      <c r="M664" s="226"/>
      <c r="N664" s="226"/>
      <c r="O664" s="227"/>
      <c r="P664" s="19"/>
      <c r="Q664" s="19"/>
      <c r="R664" s="19"/>
      <c r="S664" s="228"/>
      <c r="T664" s="228"/>
      <c r="U664" s="229"/>
      <c r="V664" s="22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>
      <c r="A665" s="217"/>
      <c r="B665" s="218"/>
      <c r="C665" s="219"/>
      <c r="D665" s="220"/>
      <c r="E665" s="221"/>
      <c r="F665" s="222"/>
      <c r="G665" s="223"/>
      <c r="H665" s="224"/>
      <c r="I665" s="19"/>
      <c r="J665" s="19"/>
      <c r="K665" s="19"/>
      <c r="L665" s="225"/>
      <c r="M665" s="226"/>
      <c r="N665" s="226"/>
      <c r="O665" s="227"/>
      <c r="P665" s="19"/>
      <c r="Q665" s="19"/>
      <c r="R665" s="19"/>
      <c r="S665" s="228"/>
      <c r="T665" s="228"/>
      <c r="U665" s="229"/>
      <c r="V665" s="22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>
      <c r="A666" s="217"/>
      <c r="B666" s="218"/>
      <c r="C666" s="219"/>
      <c r="D666" s="220"/>
      <c r="E666" s="221"/>
      <c r="F666" s="222"/>
      <c r="G666" s="223"/>
      <c r="H666" s="224"/>
      <c r="I666" s="19"/>
      <c r="J666" s="19"/>
      <c r="K666" s="19"/>
      <c r="L666" s="225"/>
      <c r="M666" s="226"/>
      <c r="N666" s="226"/>
      <c r="O666" s="227"/>
      <c r="P666" s="19"/>
      <c r="Q666" s="19"/>
      <c r="R666" s="19"/>
      <c r="S666" s="228"/>
      <c r="T666" s="228"/>
      <c r="U666" s="229"/>
      <c r="V666" s="22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</row>
    <row r="667">
      <c r="A667" s="217"/>
      <c r="B667" s="218"/>
      <c r="C667" s="219"/>
      <c r="D667" s="220"/>
      <c r="E667" s="221"/>
      <c r="F667" s="222"/>
      <c r="G667" s="223"/>
      <c r="H667" s="224"/>
      <c r="I667" s="19"/>
      <c r="J667" s="19"/>
      <c r="K667" s="19"/>
      <c r="L667" s="225"/>
      <c r="M667" s="226"/>
      <c r="N667" s="226"/>
      <c r="O667" s="227"/>
      <c r="P667" s="19"/>
      <c r="Q667" s="19"/>
      <c r="R667" s="19"/>
      <c r="S667" s="228"/>
      <c r="T667" s="228"/>
      <c r="U667" s="229"/>
      <c r="V667" s="22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</row>
    <row r="668">
      <c r="A668" s="217"/>
      <c r="B668" s="218"/>
      <c r="C668" s="219"/>
      <c r="D668" s="220"/>
      <c r="E668" s="221"/>
      <c r="F668" s="222"/>
      <c r="G668" s="223"/>
      <c r="H668" s="224"/>
      <c r="I668" s="19"/>
      <c r="J668" s="19"/>
      <c r="K668" s="19"/>
      <c r="L668" s="225"/>
      <c r="M668" s="226"/>
      <c r="N668" s="226"/>
      <c r="O668" s="227"/>
      <c r="P668" s="19"/>
      <c r="Q668" s="19"/>
      <c r="R668" s="19"/>
      <c r="S668" s="228"/>
      <c r="T668" s="228"/>
      <c r="U668" s="229"/>
      <c r="V668" s="22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</row>
    <row r="669">
      <c r="A669" s="217"/>
      <c r="B669" s="218"/>
      <c r="C669" s="219"/>
      <c r="D669" s="220"/>
      <c r="E669" s="221"/>
      <c r="F669" s="222"/>
      <c r="G669" s="223"/>
      <c r="H669" s="224"/>
      <c r="I669" s="19"/>
      <c r="J669" s="19"/>
      <c r="K669" s="19"/>
      <c r="L669" s="225"/>
      <c r="M669" s="226"/>
      <c r="N669" s="226"/>
      <c r="O669" s="227"/>
      <c r="P669" s="19"/>
      <c r="Q669" s="19"/>
      <c r="R669" s="19"/>
      <c r="S669" s="228"/>
      <c r="T669" s="228"/>
      <c r="U669" s="229"/>
      <c r="V669" s="22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</row>
    <row r="670">
      <c r="A670" s="217"/>
      <c r="B670" s="218"/>
      <c r="C670" s="219"/>
      <c r="D670" s="220"/>
      <c r="E670" s="221"/>
      <c r="F670" s="222"/>
      <c r="G670" s="223"/>
      <c r="H670" s="224"/>
      <c r="I670" s="19"/>
      <c r="J670" s="19"/>
      <c r="K670" s="19"/>
      <c r="L670" s="225"/>
      <c r="M670" s="226"/>
      <c r="N670" s="226"/>
      <c r="O670" s="227"/>
      <c r="P670" s="19"/>
      <c r="Q670" s="19"/>
      <c r="R670" s="19"/>
      <c r="S670" s="228"/>
      <c r="T670" s="228"/>
      <c r="U670" s="229"/>
      <c r="V670" s="22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</row>
    <row r="671">
      <c r="A671" s="217"/>
      <c r="B671" s="218"/>
      <c r="C671" s="219"/>
      <c r="D671" s="220"/>
      <c r="E671" s="221"/>
      <c r="F671" s="222"/>
      <c r="G671" s="223"/>
      <c r="H671" s="224"/>
      <c r="I671" s="19"/>
      <c r="J671" s="19"/>
      <c r="K671" s="19"/>
      <c r="L671" s="225"/>
      <c r="M671" s="226"/>
      <c r="N671" s="226"/>
      <c r="O671" s="227"/>
      <c r="P671" s="19"/>
      <c r="Q671" s="19"/>
      <c r="R671" s="19"/>
      <c r="S671" s="228"/>
      <c r="T671" s="228"/>
      <c r="U671" s="229"/>
      <c r="V671" s="22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</row>
    <row r="672">
      <c r="A672" s="217"/>
      <c r="B672" s="218"/>
      <c r="C672" s="219"/>
      <c r="D672" s="220"/>
      <c r="E672" s="221"/>
      <c r="F672" s="222"/>
      <c r="G672" s="223"/>
      <c r="H672" s="224"/>
      <c r="I672" s="19"/>
      <c r="J672" s="19"/>
      <c r="K672" s="19"/>
      <c r="L672" s="225"/>
      <c r="M672" s="226"/>
      <c r="N672" s="226"/>
      <c r="O672" s="227"/>
      <c r="P672" s="19"/>
      <c r="Q672" s="19"/>
      <c r="R672" s="19"/>
      <c r="S672" s="228"/>
      <c r="T672" s="228"/>
      <c r="U672" s="229"/>
      <c r="V672" s="22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</row>
    <row r="673">
      <c r="A673" s="217"/>
      <c r="B673" s="218"/>
      <c r="C673" s="219"/>
      <c r="D673" s="220"/>
      <c r="E673" s="221"/>
      <c r="F673" s="222"/>
      <c r="G673" s="223"/>
      <c r="H673" s="224"/>
      <c r="I673" s="19"/>
      <c r="J673" s="19"/>
      <c r="K673" s="19"/>
      <c r="L673" s="225"/>
      <c r="M673" s="226"/>
      <c r="N673" s="226"/>
      <c r="O673" s="227"/>
      <c r="P673" s="19"/>
      <c r="Q673" s="19"/>
      <c r="R673" s="19"/>
      <c r="S673" s="228"/>
      <c r="T673" s="228"/>
      <c r="U673" s="229"/>
      <c r="V673" s="22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>
      <c r="A674" s="217"/>
      <c r="B674" s="218"/>
      <c r="C674" s="219"/>
      <c r="D674" s="220"/>
      <c r="E674" s="221"/>
      <c r="F674" s="222"/>
      <c r="G674" s="223"/>
      <c r="H674" s="224"/>
      <c r="I674" s="19"/>
      <c r="J674" s="19"/>
      <c r="K674" s="19"/>
      <c r="L674" s="225"/>
      <c r="M674" s="226"/>
      <c r="N674" s="226"/>
      <c r="O674" s="227"/>
      <c r="P674" s="19"/>
      <c r="Q674" s="19"/>
      <c r="R674" s="19"/>
      <c r="S674" s="228"/>
      <c r="T674" s="228"/>
      <c r="U674" s="229"/>
      <c r="V674" s="22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</row>
    <row r="675">
      <c r="A675" s="217"/>
      <c r="B675" s="218"/>
      <c r="C675" s="219"/>
      <c r="D675" s="220"/>
      <c r="E675" s="221"/>
      <c r="F675" s="222"/>
      <c r="G675" s="223"/>
      <c r="H675" s="224"/>
      <c r="I675" s="19"/>
      <c r="J675" s="19"/>
      <c r="K675" s="19"/>
      <c r="L675" s="225"/>
      <c r="M675" s="226"/>
      <c r="N675" s="226"/>
      <c r="O675" s="227"/>
      <c r="P675" s="19"/>
      <c r="Q675" s="19"/>
      <c r="R675" s="19"/>
      <c r="S675" s="228"/>
      <c r="T675" s="228"/>
      <c r="U675" s="229"/>
      <c r="V675" s="22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</row>
    <row r="676">
      <c r="A676" s="217"/>
      <c r="B676" s="218"/>
      <c r="C676" s="219"/>
      <c r="D676" s="220"/>
      <c r="E676" s="221"/>
      <c r="F676" s="222"/>
      <c r="G676" s="223"/>
      <c r="H676" s="224"/>
      <c r="I676" s="19"/>
      <c r="J676" s="19"/>
      <c r="K676" s="19"/>
      <c r="L676" s="225"/>
      <c r="M676" s="226"/>
      <c r="N676" s="226"/>
      <c r="O676" s="227"/>
      <c r="P676" s="19"/>
      <c r="Q676" s="19"/>
      <c r="R676" s="19"/>
      <c r="S676" s="228"/>
      <c r="T676" s="228"/>
      <c r="U676" s="229"/>
      <c r="V676" s="22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>
      <c r="A677" s="217"/>
      <c r="B677" s="218"/>
      <c r="C677" s="219"/>
      <c r="D677" s="220"/>
      <c r="E677" s="221"/>
      <c r="F677" s="222"/>
      <c r="G677" s="223"/>
      <c r="H677" s="224"/>
      <c r="I677" s="19"/>
      <c r="J677" s="19"/>
      <c r="K677" s="19"/>
      <c r="L677" s="225"/>
      <c r="M677" s="226"/>
      <c r="N677" s="226"/>
      <c r="O677" s="227"/>
      <c r="P677" s="19"/>
      <c r="Q677" s="19"/>
      <c r="R677" s="19"/>
      <c r="S677" s="228"/>
      <c r="T677" s="228"/>
      <c r="U677" s="229"/>
      <c r="V677" s="22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</row>
    <row r="678">
      <c r="A678" s="217"/>
      <c r="B678" s="218"/>
      <c r="C678" s="219"/>
      <c r="D678" s="220"/>
      <c r="E678" s="221"/>
      <c r="F678" s="222"/>
      <c r="G678" s="223"/>
      <c r="H678" s="224"/>
      <c r="I678" s="19"/>
      <c r="J678" s="19"/>
      <c r="K678" s="19"/>
      <c r="L678" s="225"/>
      <c r="M678" s="226"/>
      <c r="N678" s="226"/>
      <c r="O678" s="227"/>
      <c r="P678" s="19"/>
      <c r="Q678" s="19"/>
      <c r="R678" s="19"/>
      <c r="S678" s="228"/>
      <c r="T678" s="228"/>
      <c r="U678" s="229"/>
      <c r="V678" s="22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</row>
    <row r="679">
      <c r="A679" s="217"/>
      <c r="B679" s="218"/>
      <c r="C679" s="219"/>
      <c r="D679" s="220"/>
      <c r="E679" s="221"/>
      <c r="F679" s="222"/>
      <c r="G679" s="223"/>
      <c r="H679" s="224"/>
      <c r="I679" s="19"/>
      <c r="J679" s="19"/>
      <c r="K679" s="19"/>
      <c r="L679" s="225"/>
      <c r="M679" s="226"/>
      <c r="N679" s="226"/>
      <c r="O679" s="227"/>
      <c r="P679" s="19"/>
      <c r="Q679" s="19"/>
      <c r="R679" s="19"/>
      <c r="S679" s="228"/>
      <c r="T679" s="228"/>
      <c r="U679" s="229"/>
      <c r="V679" s="22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</row>
    <row r="680">
      <c r="A680" s="217"/>
      <c r="B680" s="218"/>
      <c r="C680" s="219"/>
      <c r="D680" s="220"/>
      <c r="E680" s="221"/>
      <c r="F680" s="222"/>
      <c r="G680" s="223"/>
      <c r="H680" s="224"/>
      <c r="I680" s="19"/>
      <c r="J680" s="19"/>
      <c r="K680" s="19"/>
      <c r="L680" s="225"/>
      <c r="M680" s="226"/>
      <c r="N680" s="226"/>
      <c r="O680" s="227"/>
      <c r="P680" s="19"/>
      <c r="Q680" s="19"/>
      <c r="R680" s="19"/>
      <c r="S680" s="228"/>
      <c r="T680" s="228"/>
      <c r="U680" s="229"/>
      <c r="V680" s="22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</row>
    <row r="681">
      <c r="A681" s="217"/>
      <c r="B681" s="218"/>
      <c r="C681" s="219"/>
      <c r="D681" s="220"/>
      <c r="E681" s="221"/>
      <c r="F681" s="222"/>
      <c r="G681" s="223"/>
      <c r="H681" s="224"/>
      <c r="I681" s="19"/>
      <c r="J681" s="19"/>
      <c r="K681" s="19"/>
      <c r="L681" s="225"/>
      <c r="M681" s="226"/>
      <c r="N681" s="226"/>
      <c r="O681" s="227"/>
      <c r="P681" s="19"/>
      <c r="Q681" s="19"/>
      <c r="R681" s="19"/>
      <c r="S681" s="228"/>
      <c r="T681" s="228"/>
      <c r="U681" s="229"/>
      <c r="V681" s="22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</row>
    <row r="682">
      <c r="A682" s="217"/>
      <c r="B682" s="218"/>
      <c r="C682" s="219"/>
      <c r="D682" s="220"/>
      <c r="E682" s="221"/>
      <c r="F682" s="222"/>
      <c r="G682" s="223"/>
      <c r="H682" s="224"/>
      <c r="I682" s="19"/>
      <c r="J682" s="19"/>
      <c r="K682" s="19"/>
      <c r="L682" s="225"/>
      <c r="M682" s="226"/>
      <c r="N682" s="226"/>
      <c r="O682" s="227"/>
      <c r="P682" s="19"/>
      <c r="Q682" s="19"/>
      <c r="R682" s="19"/>
      <c r="S682" s="228"/>
      <c r="T682" s="228"/>
      <c r="U682" s="229"/>
      <c r="V682" s="22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</row>
    <row r="683">
      <c r="A683" s="217"/>
      <c r="B683" s="218"/>
      <c r="C683" s="219"/>
      <c r="D683" s="220"/>
      <c r="E683" s="221"/>
      <c r="F683" s="222"/>
      <c r="G683" s="223"/>
      <c r="H683" s="224"/>
      <c r="I683" s="19"/>
      <c r="J683" s="19"/>
      <c r="K683" s="19"/>
      <c r="L683" s="225"/>
      <c r="M683" s="226"/>
      <c r="N683" s="226"/>
      <c r="O683" s="227"/>
      <c r="P683" s="19"/>
      <c r="Q683" s="19"/>
      <c r="R683" s="19"/>
      <c r="S683" s="228"/>
      <c r="T683" s="228"/>
      <c r="U683" s="229"/>
      <c r="V683" s="22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</row>
    <row r="684">
      <c r="A684" s="217"/>
      <c r="B684" s="218"/>
      <c r="C684" s="219"/>
      <c r="D684" s="220"/>
      <c r="E684" s="221"/>
      <c r="F684" s="222"/>
      <c r="G684" s="223"/>
      <c r="H684" s="224"/>
      <c r="I684" s="19"/>
      <c r="J684" s="19"/>
      <c r="K684" s="19"/>
      <c r="L684" s="225"/>
      <c r="M684" s="226"/>
      <c r="N684" s="226"/>
      <c r="O684" s="227"/>
      <c r="P684" s="19"/>
      <c r="Q684" s="19"/>
      <c r="R684" s="19"/>
      <c r="S684" s="228"/>
      <c r="T684" s="228"/>
      <c r="U684" s="229"/>
      <c r="V684" s="22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>
      <c r="A685" s="217"/>
      <c r="B685" s="218"/>
      <c r="C685" s="219"/>
      <c r="D685" s="220"/>
      <c r="E685" s="221"/>
      <c r="F685" s="222"/>
      <c r="G685" s="223"/>
      <c r="H685" s="224"/>
      <c r="I685" s="19"/>
      <c r="J685" s="19"/>
      <c r="K685" s="19"/>
      <c r="L685" s="225"/>
      <c r="M685" s="226"/>
      <c r="N685" s="226"/>
      <c r="O685" s="227"/>
      <c r="P685" s="19"/>
      <c r="Q685" s="19"/>
      <c r="R685" s="19"/>
      <c r="S685" s="228"/>
      <c r="T685" s="228"/>
      <c r="U685" s="229"/>
      <c r="V685" s="22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>
      <c r="A686" s="217"/>
      <c r="B686" s="218"/>
      <c r="C686" s="219"/>
      <c r="D686" s="220"/>
      <c r="E686" s="221"/>
      <c r="F686" s="222"/>
      <c r="G686" s="223"/>
      <c r="H686" s="224"/>
      <c r="I686" s="19"/>
      <c r="J686" s="19"/>
      <c r="K686" s="19"/>
      <c r="L686" s="225"/>
      <c r="M686" s="226"/>
      <c r="N686" s="226"/>
      <c r="O686" s="227"/>
      <c r="P686" s="19"/>
      <c r="Q686" s="19"/>
      <c r="R686" s="19"/>
      <c r="S686" s="228"/>
      <c r="T686" s="228"/>
      <c r="U686" s="229"/>
      <c r="V686" s="22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>
      <c r="A687" s="217"/>
      <c r="B687" s="218"/>
      <c r="C687" s="219"/>
      <c r="D687" s="220"/>
      <c r="E687" s="221"/>
      <c r="F687" s="222"/>
      <c r="G687" s="223"/>
      <c r="H687" s="224"/>
      <c r="I687" s="19"/>
      <c r="J687" s="19"/>
      <c r="K687" s="19"/>
      <c r="L687" s="225"/>
      <c r="M687" s="226"/>
      <c r="N687" s="226"/>
      <c r="O687" s="227"/>
      <c r="P687" s="19"/>
      <c r="Q687" s="19"/>
      <c r="R687" s="19"/>
      <c r="S687" s="228"/>
      <c r="T687" s="228"/>
      <c r="U687" s="229"/>
      <c r="V687" s="22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</row>
    <row r="688">
      <c r="A688" s="217"/>
      <c r="B688" s="218"/>
      <c r="C688" s="219"/>
      <c r="D688" s="220"/>
      <c r="E688" s="221"/>
      <c r="F688" s="222"/>
      <c r="G688" s="223"/>
      <c r="H688" s="224"/>
      <c r="I688" s="19"/>
      <c r="J688" s="19"/>
      <c r="K688" s="19"/>
      <c r="L688" s="225"/>
      <c r="M688" s="226"/>
      <c r="N688" s="226"/>
      <c r="O688" s="227"/>
      <c r="P688" s="19"/>
      <c r="Q688" s="19"/>
      <c r="R688" s="19"/>
      <c r="S688" s="228"/>
      <c r="T688" s="228"/>
      <c r="U688" s="229"/>
      <c r="V688" s="22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>
      <c r="A689" s="217"/>
      <c r="B689" s="218"/>
      <c r="C689" s="219"/>
      <c r="D689" s="220"/>
      <c r="E689" s="221"/>
      <c r="F689" s="222"/>
      <c r="G689" s="223"/>
      <c r="H689" s="224"/>
      <c r="I689" s="19"/>
      <c r="J689" s="19"/>
      <c r="K689" s="19"/>
      <c r="L689" s="225"/>
      <c r="M689" s="226"/>
      <c r="N689" s="226"/>
      <c r="O689" s="227"/>
      <c r="P689" s="19"/>
      <c r="Q689" s="19"/>
      <c r="R689" s="19"/>
      <c r="S689" s="228"/>
      <c r="T689" s="228"/>
      <c r="U689" s="229"/>
      <c r="V689" s="22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>
      <c r="A690" s="217"/>
      <c r="B690" s="218"/>
      <c r="C690" s="219"/>
      <c r="D690" s="220"/>
      <c r="E690" s="221"/>
      <c r="F690" s="222"/>
      <c r="G690" s="223"/>
      <c r="H690" s="224"/>
      <c r="I690" s="19"/>
      <c r="J690" s="19"/>
      <c r="K690" s="19"/>
      <c r="L690" s="225"/>
      <c r="M690" s="226"/>
      <c r="N690" s="226"/>
      <c r="O690" s="227"/>
      <c r="P690" s="19"/>
      <c r="Q690" s="19"/>
      <c r="R690" s="19"/>
      <c r="S690" s="228"/>
      <c r="T690" s="228"/>
      <c r="U690" s="229"/>
      <c r="V690" s="22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>
      <c r="A691" s="217"/>
      <c r="B691" s="218"/>
      <c r="C691" s="219"/>
      <c r="D691" s="220"/>
      <c r="E691" s="221"/>
      <c r="F691" s="222"/>
      <c r="G691" s="223"/>
      <c r="H691" s="224"/>
      <c r="I691" s="19"/>
      <c r="J691" s="19"/>
      <c r="K691" s="19"/>
      <c r="L691" s="225"/>
      <c r="M691" s="226"/>
      <c r="N691" s="226"/>
      <c r="O691" s="227"/>
      <c r="P691" s="19"/>
      <c r="Q691" s="19"/>
      <c r="R691" s="19"/>
      <c r="S691" s="228"/>
      <c r="T691" s="228"/>
      <c r="U691" s="229"/>
      <c r="V691" s="22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</row>
    <row r="692">
      <c r="A692" s="217"/>
      <c r="B692" s="218"/>
      <c r="C692" s="219"/>
      <c r="D692" s="220"/>
      <c r="E692" s="221"/>
      <c r="F692" s="222"/>
      <c r="G692" s="223"/>
      <c r="H692" s="224"/>
      <c r="I692" s="19"/>
      <c r="J692" s="19"/>
      <c r="K692" s="19"/>
      <c r="L692" s="225"/>
      <c r="M692" s="226"/>
      <c r="N692" s="226"/>
      <c r="O692" s="227"/>
      <c r="P692" s="19"/>
      <c r="Q692" s="19"/>
      <c r="R692" s="19"/>
      <c r="S692" s="228"/>
      <c r="T692" s="228"/>
      <c r="U692" s="229"/>
      <c r="V692" s="22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>
      <c r="A693" s="217"/>
      <c r="B693" s="218"/>
      <c r="C693" s="219"/>
      <c r="D693" s="220"/>
      <c r="E693" s="221"/>
      <c r="F693" s="222"/>
      <c r="G693" s="223"/>
      <c r="H693" s="224"/>
      <c r="I693" s="19"/>
      <c r="J693" s="19"/>
      <c r="K693" s="19"/>
      <c r="L693" s="225"/>
      <c r="M693" s="226"/>
      <c r="N693" s="226"/>
      <c r="O693" s="227"/>
      <c r="P693" s="19"/>
      <c r="Q693" s="19"/>
      <c r="R693" s="19"/>
      <c r="S693" s="228"/>
      <c r="T693" s="228"/>
      <c r="U693" s="229"/>
      <c r="V693" s="22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</row>
    <row r="694">
      <c r="A694" s="217"/>
      <c r="B694" s="218"/>
      <c r="C694" s="219"/>
      <c r="D694" s="220"/>
      <c r="E694" s="221"/>
      <c r="F694" s="222"/>
      <c r="G694" s="223"/>
      <c r="H694" s="224"/>
      <c r="I694" s="19"/>
      <c r="J694" s="19"/>
      <c r="K694" s="19"/>
      <c r="L694" s="225"/>
      <c r="M694" s="226"/>
      <c r="N694" s="226"/>
      <c r="O694" s="227"/>
      <c r="P694" s="19"/>
      <c r="Q694" s="19"/>
      <c r="R694" s="19"/>
      <c r="S694" s="228"/>
      <c r="T694" s="228"/>
      <c r="U694" s="229"/>
      <c r="V694" s="22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</row>
    <row r="695">
      <c r="A695" s="217"/>
      <c r="B695" s="218"/>
      <c r="C695" s="219"/>
      <c r="D695" s="220"/>
      <c r="E695" s="221"/>
      <c r="F695" s="222"/>
      <c r="G695" s="223"/>
      <c r="H695" s="224"/>
      <c r="I695" s="19"/>
      <c r="J695" s="19"/>
      <c r="K695" s="19"/>
      <c r="L695" s="225"/>
      <c r="M695" s="226"/>
      <c r="N695" s="226"/>
      <c r="O695" s="227"/>
      <c r="P695" s="19"/>
      <c r="Q695" s="19"/>
      <c r="R695" s="19"/>
      <c r="S695" s="228"/>
      <c r="T695" s="228"/>
      <c r="U695" s="229"/>
      <c r="V695" s="22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</row>
    <row r="696">
      <c r="A696" s="217"/>
      <c r="B696" s="218"/>
      <c r="C696" s="219"/>
      <c r="D696" s="220"/>
      <c r="E696" s="221"/>
      <c r="F696" s="222"/>
      <c r="G696" s="223"/>
      <c r="H696" s="224"/>
      <c r="I696" s="19"/>
      <c r="J696" s="19"/>
      <c r="K696" s="19"/>
      <c r="L696" s="225"/>
      <c r="M696" s="226"/>
      <c r="N696" s="226"/>
      <c r="O696" s="227"/>
      <c r="P696" s="19"/>
      <c r="Q696" s="19"/>
      <c r="R696" s="19"/>
      <c r="S696" s="228"/>
      <c r="T696" s="228"/>
      <c r="U696" s="229"/>
      <c r="V696" s="22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</row>
    <row r="697">
      <c r="A697" s="217"/>
      <c r="B697" s="218"/>
      <c r="C697" s="219"/>
      <c r="D697" s="220"/>
      <c r="E697" s="221"/>
      <c r="F697" s="222"/>
      <c r="G697" s="223"/>
      <c r="H697" s="224"/>
      <c r="I697" s="19"/>
      <c r="J697" s="19"/>
      <c r="K697" s="19"/>
      <c r="L697" s="225"/>
      <c r="M697" s="226"/>
      <c r="N697" s="226"/>
      <c r="O697" s="227"/>
      <c r="P697" s="19"/>
      <c r="Q697" s="19"/>
      <c r="R697" s="19"/>
      <c r="S697" s="228"/>
      <c r="T697" s="228"/>
      <c r="U697" s="229"/>
      <c r="V697" s="22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>
      <c r="A698" s="217"/>
      <c r="B698" s="218"/>
      <c r="C698" s="219"/>
      <c r="D698" s="220"/>
      <c r="E698" s="221"/>
      <c r="F698" s="222"/>
      <c r="G698" s="223"/>
      <c r="H698" s="224"/>
      <c r="I698" s="19"/>
      <c r="J698" s="19"/>
      <c r="K698" s="19"/>
      <c r="L698" s="225"/>
      <c r="M698" s="226"/>
      <c r="N698" s="226"/>
      <c r="O698" s="227"/>
      <c r="P698" s="19"/>
      <c r="Q698" s="19"/>
      <c r="R698" s="19"/>
      <c r="S698" s="228"/>
      <c r="T698" s="228"/>
      <c r="U698" s="229"/>
      <c r="V698" s="22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</row>
    <row r="699">
      <c r="A699" s="217"/>
      <c r="B699" s="218"/>
      <c r="C699" s="219"/>
      <c r="D699" s="220"/>
      <c r="E699" s="221"/>
      <c r="F699" s="222"/>
      <c r="G699" s="223"/>
      <c r="H699" s="224"/>
      <c r="I699" s="19"/>
      <c r="J699" s="19"/>
      <c r="K699" s="19"/>
      <c r="L699" s="225"/>
      <c r="M699" s="226"/>
      <c r="N699" s="226"/>
      <c r="O699" s="227"/>
      <c r="P699" s="19"/>
      <c r="Q699" s="19"/>
      <c r="R699" s="19"/>
      <c r="S699" s="228"/>
      <c r="T699" s="228"/>
      <c r="U699" s="229"/>
      <c r="V699" s="22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</row>
    <row r="700">
      <c r="A700" s="217"/>
      <c r="B700" s="218"/>
      <c r="C700" s="219"/>
      <c r="D700" s="220"/>
      <c r="E700" s="221"/>
      <c r="F700" s="222"/>
      <c r="G700" s="223"/>
      <c r="H700" s="224"/>
      <c r="I700" s="19"/>
      <c r="J700" s="19"/>
      <c r="K700" s="19"/>
      <c r="L700" s="225"/>
      <c r="M700" s="226"/>
      <c r="N700" s="226"/>
      <c r="O700" s="227"/>
      <c r="P700" s="19"/>
      <c r="Q700" s="19"/>
      <c r="R700" s="19"/>
      <c r="S700" s="228"/>
      <c r="T700" s="228"/>
      <c r="U700" s="229"/>
      <c r="V700" s="22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</row>
    <row r="701">
      <c r="A701" s="217"/>
      <c r="B701" s="218"/>
      <c r="C701" s="219"/>
      <c r="D701" s="220"/>
      <c r="E701" s="221"/>
      <c r="F701" s="222"/>
      <c r="G701" s="223"/>
      <c r="H701" s="224"/>
      <c r="I701" s="19"/>
      <c r="J701" s="19"/>
      <c r="K701" s="19"/>
      <c r="L701" s="225"/>
      <c r="M701" s="226"/>
      <c r="N701" s="226"/>
      <c r="O701" s="227"/>
      <c r="P701" s="19"/>
      <c r="Q701" s="19"/>
      <c r="R701" s="19"/>
      <c r="S701" s="228"/>
      <c r="T701" s="228"/>
      <c r="U701" s="229"/>
      <c r="V701" s="22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</row>
    <row r="702">
      <c r="A702" s="217"/>
      <c r="B702" s="218"/>
      <c r="C702" s="219"/>
      <c r="D702" s="220"/>
      <c r="E702" s="221"/>
      <c r="F702" s="222"/>
      <c r="G702" s="223"/>
      <c r="H702" s="224"/>
      <c r="I702" s="19"/>
      <c r="J702" s="19"/>
      <c r="K702" s="19"/>
      <c r="L702" s="225"/>
      <c r="M702" s="226"/>
      <c r="N702" s="226"/>
      <c r="O702" s="227"/>
      <c r="P702" s="19"/>
      <c r="Q702" s="19"/>
      <c r="R702" s="19"/>
      <c r="S702" s="228"/>
      <c r="T702" s="228"/>
      <c r="U702" s="229"/>
      <c r="V702" s="22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</row>
    <row r="703">
      <c r="A703" s="217"/>
      <c r="B703" s="218"/>
      <c r="C703" s="219"/>
      <c r="D703" s="220"/>
      <c r="E703" s="221"/>
      <c r="F703" s="222"/>
      <c r="G703" s="223"/>
      <c r="H703" s="224"/>
      <c r="I703" s="19"/>
      <c r="J703" s="19"/>
      <c r="K703" s="19"/>
      <c r="L703" s="225"/>
      <c r="M703" s="226"/>
      <c r="N703" s="226"/>
      <c r="O703" s="227"/>
      <c r="P703" s="19"/>
      <c r="Q703" s="19"/>
      <c r="R703" s="19"/>
      <c r="S703" s="228"/>
      <c r="T703" s="228"/>
      <c r="U703" s="229"/>
      <c r="V703" s="22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</row>
    <row r="704">
      <c r="A704" s="217"/>
      <c r="B704" s="218"/>
      <c r="C704" s="219"/>
      <c r="D704" s="220"/>
      <c r="E704" s="221"/>
      <c r="F704" s="222"/>
      <c r="G704" s="223"/>
      <c r="H704" s="224"/>
      <c r="I704" s="19"/>
      <c r="J704" s="19"/>
      <c r="K704" s="19"/>
      <c r="L704" s="225"/>
      <c r="M704" s="226"/>
      <c r="N704" s="226"/>
      <c r="O704" s="227"/>
      <c r="P704" s="19"/>
      <c r="Q704" s="19"/>
      <c r="R704" s="19"/>
      <c r="S704" s="228"/>
      <c r="T704" s="228"/>
      <c r="U704" s="229"/>
      <c r="V704" s="22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>
      <c r="A705" s="217"/>
      <c r="B705" s="218"/>
      <c r="C705" s="219"/>
      <c r="D705" s="220"/>
      <c r="E705" s="221"/>
      <c r="F705" s="222"/>
      <c r="G705" s="223"/>
      <c r="H705" s="224"/>
      <c r="I705" s="19"/>
      <c r="J705" s="19"/>
      <c r="K705" s="19"/>
      <c r="L705" s="225"/>
      <c r="M705" s="226"/>
      <c r="N705" s="226"/>
      <c r="O705" s="227"/>
      <c r="P705" s="19"/>
      <c r="Q705" s="19"/>
      <c r="R705" s="19"/>
      <c r="S705" s="228"/>
      <c r="T705" s="228"/>
      <c r="U705" s="229"/>
      <c r="V705" s="22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>
      <c r="A706" s="217"/>
      <c r="B706" s="218"/>
      <c r="C706" s="219"/>
      <c r="D706" s="220"/>
      <c r="E706" s="221"/>
      <c r="F706" s="222"/>
      <c r="G706" s="223"/>
      <c r="H706" s="224"/>
      <c r="I706" s="19"/>
      <c r="J706" s="19"/>
      <c r="K706" s="19"/>
      <c r="L706" s="225"/>
      <c r="M706" s="226"/>
      <c r="N706" s="226"/>
      <c r="O706" s="227"/>
      <c r="P706" s="19"/>
      <c r="Q706" s="19"/>
      <c r="R706" s="19"/>
      <c r="S706" s="228"/>
      <c r="T706" s="228"/>
      <c r="U706" s="229"/>
      <c r="V706" s="22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</row>
    <row r="707">
      <c r="A707" s="217"/>
      <c r="B707" s="218"/>
      <c r="C707" s="219"/>
      <c r="D707" s="220"/>
      <c r="E707" s="221"/>
      <c r="F707" s="222"/>
      <c r="G707" s="223"/>
      <c r="H707" s="224"/>
      <c r="I707" s="19"/>
      <c r="J707" s="19"/>
      <c r="K707" s="19"/>
      <c r="L707" s="225"/>
      <c r="M707" s="226"/>
      <c r="N707" s="226"/>
      <c r="O707" s="227"/>
      <c r="P707" s="19"/>
      <c r="Q707" s="19"/>
      <c r="R707" s="19"/>
      <c r="S707" s="228"/>
      <c r="T707" s="228"/>
      <c r="U707" s="229"/>
      <c r="V707" s="22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</row>
    <row r="708">
      <c r="A708" s="217"/>
      <c r="B708" s="218"/>
      <c r="C708" s="219"/>
      <c r="D708" s="220"/>
      <c r="E708" s="221"/>
      <c r="F708" s="222"/>
      <c r="G708" s="223"/>
      <c r="H708" s="224"/>
      <c r="I708" s="19"/>
      <c r="J708" s="19"/>
      <c r="K708" s="19"/>
      <c r="L708" s="225"/>
      <c r="M708" s="226"/>
      <c r="N708" s="226"/>
      <c r="O708" s="227"/>
      <c r="P708" s="19"/>
      <c r="Q708" s="19"/>
      <c r="R708" s="19"/>
      <c r="S708" s="228"/>
      <c r="T708" s="228"/>
      <c r="U708" s="229"/>
      <c r="V708" s="22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>
      <c r="A709" s="217"/>
      <c r="B709" s="218"/>
      <c r="C709" s="219"/>
      <c r="D709" s="220"/>
      <c r="E709" s="221"/>
      <c r="F709" s="222"/>
      <c r="G709" s="223"/>
      <c r="H709" s="224"/>
      <c r="I709" s="19"/>
      <c r="J709" s="19"/>
      <c r="K709" s="19"/>
      <c r="L709" s="225"/>
      <c r="M709" s="226"/>
      <c r="N709" s="226"/>
      <c r="O709" s="227"/>
      <c r="P709" s="19"/>
      <c r="Q709" s="19"/>
      <c r="R709" s="19"/>
      <c r="S709" s="228"/>
      <c r="T709" s="228"/>
      <c r="U709" s="229"/>
      <c r="V709" s="22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</row>
    <row r="710">
      <c r="A710" s="217"/>
      <c r="B710" s="218"/>
      <c r="C710" s="219"/>
      <c r="D710" s="220"/>
      <c r="E710" s="221"/>
      <c r="F710" s="222"/>
      <c r="G710" s="223"/>
      <c r="H710" s="224"/>
      <c r="I710" s="19"/>
      <c r="J710" s="19"/>
      <c r="K710" s="19"/>
      <c r="L710" s="225"/>
      <c r="M710" s="226"/>
      <c r="N710" s="226"/>
      <c r="O710" s="227"/>
      <c r="P710" s="19"/>
      <c r="Q710" s="19"/>
      <c r="R710" s="19"/>
      <c r="S710" s="228"/>
      <c r="T710" s="228"/>
      <c r="U710" s="229"/>
      <c r="V710" s="22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</row>
    <row r="711">
      <c r="A711" s="217"/>
      <c r="B711" s="218"/>
      <c r="C711" s="219"/>
      <c r="D711" s="220"/>
      <c r="E711" s="221"/>
      <c r="F711" s="222"/>
      <c r="G711" s="223"/>
      <c r="H711" s="224"/>
      <c r="I711" s="19"/>
      <c r="J711" s="19"/>
      <c r="K711" s="19"/>
      <c r="L711" s="225"/>
      <c r="M711" s="226"/>
      <c r="N711" s="226"/>
      <c r="O711" s="227"/>
      <c r="P711" s="19"/>
      <c r="Q711" s="19"/>
      <c r="R711" s="19"/>
      <c r="S711" s="228"/>
      <c r="T711" s="228"/>
      <c r="U711" s="229"/>
      <c r="V711" s="22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>
      <c r="A712" s="217"/>
      <c r="B712" s="218"/>
      <c r="C712" s="219"/>
      <c r="D712" s="220"/>
      <c r="E712" s="221"/>
      <c r="F712" s="222"/>
      <c r="G712" s="223"/>
      <c r="H712" s="224"/>
      <c r="I712" s="19"/>
      <c r="J712" s="19"/>
      <c r="K712" s="19"/>
      <c r="L712" s="225"/>
      <c r="M712" s="226"/>
      <c r="N712" s="226"/>
      <c r="O712" s="227"/>
      <c r="P712" s="19"/>
      <c r="Q712" s="19"/>
      <c r="R712" s="19"/>
      <c r="S712" s="228"/>
      <c r="T712" s="228"/>
      <c r="U712" s="229"/>
      <c r="V712" s="22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>
      <c r="A713" s="217"/>
      <c r="B713" s="218"/>
      <c r="C713" s="219"/>
      <c r="D713" s="220"/>
      <c r="E713" s="221"/>
      <c r="F713" s="222"/>
      <c r="G713" s="223"/>
      <c r="H713" s="224"/>
      <c r="I713" s="19"/>
      <c r="J713" s="19"/>
      <c r="K713" s="19"/>
      <c r="L713" s="225"/>
      <c r="M713" s="226"/>
      <c r="N713" s="226"/>
      <c r="O713" s="227"/>
      <c r="P713" s="19"/>
      <c r="Q713" s="19"/>
      <c r="R713" s="19"/>
      <c r="S713" s="228"/>
      <c r="T713" s="228"/>
      <c r="U713" s="229"/>
      <c r="V713" s="22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</row>
    <row r="714">
      <c r="A714" s="217"/>
      <c r="B714" s="218"/>
      <c r="C714" s="219"/>
      <c r="D714" s="220"/>
      <c r="E714" s="221"/>
      <c r="F714" s="222"/>
      <c r="G714" s="223"/>
      <c r="H714" s="224"/>
      <c r="I714" s="19"/>
      <c r="J714" s="19"/>
      <c r="K714" s="19"/>
      <c r="L714" s="225"/>
      <c r="M714" s="226"/>
      <c r="N714" s="226"/>
      <c r="O714" s="227"/>
      <c r="P714" s="19"/>
      <c r="Q714" s="19"/>
      <c r="R714" s="19"/>
      <c r="S714" s="228"/>
      <c r="T714" s="228"/>
      <c r="U714" s="229"/>
      <c r="V714" s="22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</row>
    <row r="715">
      <c r="A715" s="217"/>
      <c r="B715" s="218"/>
      <c r="C715" s="219"/>
      <c r="D715" s="220"/>
      <c r="E715" s="221"/>
      <c r="F715" s="222"/>
      <c r="G715" s="223"/>
      <c r="H715" s="224"/>
      <c r="I715" s="19"/>
      <c r="J715" s="19"/>
      <c r="K715" s="19"/>
      <c r="L715" s="225"/>
      <c r="M715" s="226"/>
      <c r="N715" s="226"/>
      <c r="O715" s="227"/>
      <c r="P715" s="19"/>
      <c r="Q715" s="19"/>
      <c r="R715" s="19"/>
      <c r="S715" s="228"/>
      <c r="T715" s="228"/>
      <c r="U715" s="229"/>
      <c r="V715" s="22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>
      <c r="A716" s="217"/>
      <c r="B716" s="218"/>
      <c r="C716" s="219"/>
      <c r="D716" s="220"/>
      <c r="E716" s="221"/>
      <c r="F716" s="222"/>
      <c r="G716" s="223"/>
      <c r="H716" s="224"/>
      <c r="I716" s="19"/>
      <c r="J716" s="19"/>
      <c r="K716" s="19"/>
      <c r="L716" s="225"/>
      <c r="M716" s="226"/>
      <c r="N716" s="226"/>
      <c r="O716" s="227"/>
      <c r="P716" s="19"/>
      <c r="Q716" s="19"/>
      <c r="R716" s="19"/>
      <c r="S716" s="228"/>
      <c r="T716" s="228"/>
      <c r="U716" s="229"/>
      <c r="V716" s="22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</row>
    <row r="717">
      <c r="A717" s="217"/>
      <c r="B717" s="218"/>
      <c r="C717" s="219"/>
      <c r="D717" s="220"/>
      <c r="E717" s="221"/>
      <c r="F717" s="222"/>
      <c r="G717" s="223"/>
      <c r="H717" s="224"/>
      <c r="I717" s="19"/>
      <c r="J717" s="19"/>
      <c r="K717" s="19"/>
      <c r="L717" s="225"/>
      <c r="M717" s="226"/>
      <c r="N717" s="226"/>
      <c r="O717" s="227"/>
      <c r="P717" s="19"/>
      <c r="Q717" s="19"/>
      <c r="R717" s="19"/>
      <c r="S717" s="228"/>
      <c r="T717" s="228"/>
      <c r="U717" s="229"/>
      <c r="V717" s="22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</row>
    <row r="718">
      <c r="A718" s="217"/>
      <c r="B718" s="218"/>
      <c r="C718" s="219"/>
      <c r="D718" s="220"/>
      <c r="E718" s="221"/>
      <c r="F718" s="222"/>
      <c r="G718" s="223"/>
      <c r="H718" s="224"/>
      <c r="I718" s="19"/>
      <c r="J718" s="19"/>
      <c r="K718" s="19"/>
      <c r="L718" s="225"/>
      <c r="M718" s="226"/>
      <c r="N718" s="226"/>
      <c r="O718" s="227"/>
      <c r="P718" s="19"/>
      <c r="Q718" s="19"/>
      <c r="R718" s="19"/>
      <c r="S718" s="228"/>
      <c r="T718" s="228"/>
      <c r="U718" s="229"/>
      <c r="V718" s="22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>
      <c r="A719" s="217"/>
      <c r="B719" s="218"/>
      <c r="C719" s="219"/>
      <c r="D719" s="220"/>
      <c r="E719" s="221"/>
      <c r="F719" s="222"/>
      <c r="G719" s="223"/>
      <c r="H719" s="224"/>
      <c r="I719" s="19"/>
      <c r="J719" s="19"/>
      <c r="K719" s="19"/>
      <c r="L719" s="225"/>
      <c r="M719" s="226"/>
      <c r="N719" s="226"/>
      <c r="O719" s="227"/>
      <c r="P719" s="19"/>
      <c r="Q719" s="19"/>
      <c r="R719" s="19"/>
      <c r="S719" s="228"/>
      <c r="T719" s="228"/>
      <c r="U719" s="229"/>
      <c r="V719" s="22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</row>
    <row r="720">
      <c r="A720" s="217"/>
      <c r="B720" s="218"/>
      <c r="C720" s="219"/>
      <c r="D720" s="220"/>
      <c r="E720" s="221"/>
      <c r="F720" s="222"/>
      <c r="G720" s="223"/>
      <c r="H720" s="224"/>
      <c r="I720" s="19"/>
      <c r="J720" s="19"/>
      <c r="K720" s="19"/>
      <c r="L720" s="225"/>
      <c r="M720" s="226"/>
      <c r="N720" s="226"/>
      <c r="O720" s="227"/>
      <c r="P720" s="19"/>
      <c r="Q720" s="19"/>
      <c r="R720" s="19"/>
      <c r="S720" s="228"/>
      <c r="T720" s="228"/>
      <c r="U720" s="229"/>
      <c r="V720" s="22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</row>
    <row r="721">
      <c r="A721" s="217"/>
      <c r="B721" s="218"/>
      <c r="C721" s="219"/>
      <c r="D721" s="220"/>
      <c r="E721" s="221"/>
      <c r="F721" s="222"/>
      <c r="G721" s="223"/>
      <c r="H721" s="224"/>
      <c r="I721" s="19"/>
      <c r="J721" s="19"/>
      <c r="K721" s="19"/>
      <c r="L721" s="225"/>
      <c r="M721" s="226"/>
      <c r="N721" s="226"/>
      <c r="O721" s="227"/>
      <c r="P721" s="19"/>
      <c r="Q721" s="19"/>
      <c r="R721" s="19"/>
      <c r="S721" s="228"/>
      <c r="T721" s="228"/>
      <c r="U721" s="229"/>
      <c r="V721" s="22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</row>
    <row r="722">
      <c r="A722" s="217"/>
      <c r="B722" s="218"/>
      <c r="C722" s="219"/>
      <c r="D722" s="220"/>
      <c r="E722" s="221"/>
      <c r="F722" s="222"/>
      <c r="G722" s="223"/>
      <c r="H722" s="224"/>
      <c r="I722" s="19"/>
      <c r="J722" s="19"/>
      <c r="K722" s="19"/>
      <c r="L722" s="225"/>
      <c r="M722" s="226"/>
      <c r="N722" s="226"/>
      <c r="O722" s="227"/>
      <c r="P722" s="19"/>
      <c r="Q722" s="19"/>
      <c r="R722" s="19"/>
      <c r="S722" s="228"/>
      <c r="T722" s="228"/>
      <c r="U722" s="229"/>
      <c r="V722" s="22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</row>
    <row r="723">
      <c r="A723" s="217"/>
      <c r="B723" s="218"/>
      <c r="C723" s="219"/>
      <c r="D723" s="220"/>
      <c r="E723" s="221"/>
      <c r="F723" s="222"/>
      <c r="G723" s="223"/>
      <c r="H723" s="224"/>
      <c r="I723" s="19"/>
      <c r="J723" s="19"/>
      <c r="K723" s="19"/>
      <c r="L723" s="225"/>
      <c r="M723" s="226"/>
      <c r="N723" s="226"/>
      <c r="O723" s="227"/>
      <c r="P723" s="19"/>
      <c r="Q723" s="19"/>
      <c r="R723" s="19"/>
      <c r="S723" s="228"/>
      <c r="T723" s="228"/>
      <c r="U723" s="229"/>
      <c r="V723" s="22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</row>
    <row r="724">
      <c r="A724" s="217"/>
      <c r="B724" s="218"/>
      <c r="C724" s="219"/>
      <c r="D724" s="220"/>
      <c r="E724" s="221"/>
      <c r="F724" s="222"/>
      <c r="G724" s="223"/>
      <c r="H724" s="224"/>
      <c r="I724" s="19"/>
      <c r="J724" s="19"/>
      <c r="K724" s="19"/>
      <c r="L724" s="225"/>
      <c r="M724" s="226"/>
      <c r="N724" s="226"/>
      <c r="O724" s="227"/>
      <c r="P724" s="19"/>
      <c r="Q724" s="19"/>
      <c r="R724" s="19"/>
      <c r="S724" s="228"/>
      <c r="T724" s="228"/>
      <c r="U724" s="229"/>
      <c r="V724" s="22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</row>
    <row r="725">
      <c r="A725" s="217"/>
      <c r="B725" s="218"/>
      <c r="C725" s="219"/>
      <c r="D725" s="220"/>
      <c r="E725" s="221"/>
      <c r="F725" s="222"/>
      <c r="G725" s="223"/>
      <c r="H725" s="224"/>
      <c r="I725" s="19"/>
      <c r="J725" s="19"/>
      <c r="K725" s="19"/>
      <c r="L725" s="225"/>
      <c r="M725" s="226"/>
      <c r="N725" s="226"/>
      <c r="O725" s="227"/>
      <c r="P725" s="19"/>
      <c r="Q725" s="19"/>
      <c r="R725" s="19"/>
      <c r="S725" s="228"/>
      <c r="T725" s="228"/>
      <c r="U725" s="229"/>
      <c r="V725" s="22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>
      <c r="A726" s="217"/>
      <c r="B726" s="218"/>
      <c r="C726" s="219"/>
      <c r="D726" s="220"/>
      <c r="E726" s="221"/>
      <c r="F726" s="222"/>
      <c r="G726" s="223"/>
      <c r="H726" s="224"/>
      <c r="I726" s="19"/>
      <c r="J726" s="19"/>
      <c r="K726" s="19"/>
      <c r="L726" s="225"/>
      <c r="M726" s="226"/>
      <c r="N726" s="226"/>
      <c r="O726" s="227"/>
      <c r="P726" s="19"/>
      <c r="Q726" s="19"/>
      <c r="R726" s="19"/>
      <c r="S726" s="228"/>
      <c r="T726" s="228"/>
      <c r="U726" s="229"/>
      <c r="V726" s="22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</row>
    <row r="727">
      <c r="A727" s="217"/>
      <c r="B727" s="218"/>
      <c r="C727" s="219"/>
      <c r="D727" s="220"/>
      <c r="E727" s="221"/>
      <c r="F727" s="222"/>
      <c r="G727" s="223"/>
      <c r="H727" s="224"/>
      <c r="I727" s="19"/>
      <c r="J727" s="19"/>
      <c r="K727" s="19"/>
      <c r="L727" s="225"/>
      <c r="M727" s="226"/>
      <c r="N727" s="226"/>
      <c r="O727" s="227"/>
      <c r="P727" s="19"/>
      <c r="Q727" s="19"/>
      <c r="R727" s="19"/>
      <c r="S727" s="228"/>
      <c r="T727" s="228"/>
      <c r="U727" s="229"/>
      <c r="V727" s="22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>
      <c r="A728" s="217"/>
      <c r="B728" s="218"/>
      <c r="C728" s="219"/>
      <c r="D728" s="220"/>
      <c r="E728" s="221"/>
      <c r="F728" s="222"/>
      <c r="G728" s="223"/>
      <c r="H728" s="224"/>
      <c r="I728" s="19"/>
      <c r="J728" s="19"/>
      <c r="K728" s="19"/>
      <c r="L728" s="225"/>
      <c r="M728" s="226"/>
      <c r="N728" s="226"/>
      <c r="O728" s="227"/>
      <c r="P728" s="19"/>
      <c r="Q728" s="19"/>
      <c r="R728" s="19"/>
      <c r="S728" s="228"/>
      <c r="T728" s="228"/>
      <c r="U728" s="229"/>
      <c r="V728" s="22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</row>
    <row r="729">
      <c r="A729" s="217"/>
      <c r="B729" s="218"/>
      <c r="C729" s="219"/>
      <c r="D729" s="220"/>
      <c r="E729" s="221"/>
      <c r="F729" s="222"/>
      <c r="G729" s="223"/>
      <c r="H729" s="224"/>
      <c r="I729" s="19"/>
      <c r="J729" s="19"/>
      <c r="K729" s="19"/>
      <c r="L729" s="225"/>
      <c r="M729" s="226"/>
      <c r="N729" s="226"/>
      <c r="O729" s="227"/>
      <c r="P729" s="19"/>
      <c r="Q729" s="19"/>
      <c r="R729" s="19"/>
      <c r="S729" s="228"/>
      <c r="T729" s="228"/>
      <c r="U729" s="229"/>
      <c r="V729" s="22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</row>
    <row r="730">
      <c r="A730" s="217"/>
      <c r="B730" s="218"/>
      <c r="C730" s="219"/>
      <c r="D730" s="220"/>
      <c r="E730" s="221"/>
      <c r="F730" s="222"/>
      <c r="G730" s="223"/>
      <c r="H730" s="224"/>
      <c r="I730" s="19"/>
      <c r="J730" s="19"/>
      <c r="K730" s="19"/>
      <c r="L730" s="225"/>
      <c r="M730" s="226"/>
      <c r="N730" s="226"/>
      <c r="O730" s="227"/>
      <c r="P730" s="19"/>
      <c r="Q730" s="19"/>
      <c r="R730" s="19"/>
      <c r="S730" s="228"/>
      <c r="T730" s="228"/>
      <c r="U730" s="229"/>
      <c r="V730" s="22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</row>
    <row r="731">
      <c r="A731" s="217"/>
      <c r="B731" s="218"/>
      <c r="C731" s="219"/>
      <c r="D731" s="220"/>
      <c r="E731" s="221"/>
      <c r="F731" s="222"/>
      <c r="G731" s="223"/>
      <c r="H731" s="224"/>
      <c r="I731" s="19"/>
      <c r="J731" s="19"/>
      <c r="K731" s="19"/>
      <c r="L731" s="225"/>
      <c r="M731" s="226"/>
      <c r="N731" s="226"/>
      <c r="O731" s="227"/>
      <c r="P731" s="19"/>
      <c r="Q731" s="19"/>
      <c r="R731" s="19"/>
      <c r="S731" s="228"/>
      <c r="T731" s="228"/>
      <c r="U731" s="229"/>
      <c r="V731" s="22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>
      <c r="A732" s="217"/>
      <c r="B732" s="218"/>
      <c r="C732" s="219"/>
      <c r="D732" s="220"/>
      <c r="E732" s="221"/>
      <c r="F732" s="222"/>
      <c r="G732" s="223"/>
      <c r="H732" s="224"/>
      <c r="I732" s="19"/>
      <c r="J732" s="19"/>
      <c r="K732" s="19"/>
      <c r="L732" s="225"/>
      <c r="M732" s="226"/>
      <c r="N732" s="226"/>
      <c r="O732" s="227"/>
      <c r="P732" s="19"/>
      <c r="Q732" s="19"/>
      <c r="R732" s="19"/>
      <c r="S732" s="228"/>
      <c r="T732" s="228"/>
      <c r="U732" s="229"/>
      <c r="V732" s="22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>
      <c r="A733" s="217"/>
      <c r="B733" s="218"/>
      <c r="C733" s="219"/>
      <c r="D733" s="220"/>
      <c r="E733" s="221"/>
      <c r="F733" s="222"/>
      <c r="G733" s="223"/>
      <c r="H733" s="224"/>
      <c r="I733" s="19"/>
      <c r="J733" s="19"/>
      <c r="K733" s="19"/>
      <c r="L733" s="225"/>
      <c r="M733" s="226"/>
      <c r="N733" s="226"/>
      <c r="O733" s="227"/>
      <c r="P733" s="19"/>
      <c r="Q733" s="19"/>
      <c r="R733" s="19"/>
      <c r="S733" s="228"/>
      <c r="T733" s="228"/>
      <c r="U733" s="229"/>
      <c r="V733" s="22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>
      <c r="A734" s="217"/>
      <c r="B734" s="218"/>
      <c r="C734" s="219"/>
      <c r="D734" s="220"/>
      <c r="E734" s="221"/>
      <c r="F734" s="222"/>
      <c r="G734" s="223"/>
      <c r="H734" s="224"/>
      <c r="I734" s="19"/>
      <c r="J734" s="19"/>
      <c r="K734" s="19"/>
      <c r="L734" s="225"/>
      <c r="M734" s="226"/>
      <c r="N734" s="226"/>
      <c r="O734" s="227"/>
      <c r="P734" s="19"/>
      <c r="Q734" s="19"/>
      <c r="R734" s="19"/>
      <c r="S734" s="228"/>
      <c r="T734" s="228"/>
      <c r="U734" s="229"/>
      <c r="V734" s="22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>
      <c r="A735" s="217"/>
      <c r="B735" s="218"/>
      <c r="C735" s="219"/>
      <c r="D735" s="220"/>
      <c r="E735" s="221"/>
      <c r="F735" s="222"/>
      <c r="G735" s="223"/>
      <c r="H735" s="224"/>
      <c r="I735" s="19"/>
      <c r="J735" s="19"/>
      <c r="K735" s="19"/>
      <c r="L735" s="225"/>
      <c r="M735" s="226"/>
      <c r="N735" s="226"/>
      <c r="O735" s="227"/>
      <c r="P735" s="19"/>
      <c r="Q735" s="19"/>
      <c r="R735" s="19"/>
      <c r="S735" s="228"/>
      <c r="T735" s="228"/>
      <c r="U735" s="229"/>
      <c r="V735" s="22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</row>
    <row r="736">
      <c r="A736" s="217"/>
      <c r="B736" s="218"/>
      <c r="C736" s="219"/>
      <c r="D736" s="220"/>
      <c r="E736" s="221"/>
      <c r="F736" s="222"/>
      <c r="G736" s="223"/>
      <c r="H736" s="224"/>
      <c r="I736" s="19"/>
      <c r="J736" s="19"/>
      <c r="K736" s="19"/>
      <c r="L736" s="225"/>
      <c r="M736" s="226"/>
      <c r="N736" s="226"/>
      <c r="O736" s="227"/>
      <c r="P736" s="19"/>
      <c r="Q736" s="19"/>
      <c r="R736" s="19"/>
      <c r="S736" s="228"/>
      <c r="T736" s="228"/>
      <c r="U736" s="229"/>
      <c r="V736" s="22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</row>
    <row r="737">
      <c r="A737" s="217"/>
      <c r="B737" s="218"/>
      <c r="C737" s="219"/>
      <c r="D737" s="220"/>
      <c r="E737" s="221"/>
      <c r="F737" s="222"/>
      <c r="G737" s="223"/>
      <c r="H737" s="224"/>
      <c r="I737" s="19"/>
      <c r="J737" s="19"/>
      <c r="K737" s="19"/>
      <c r="L737" s="225"/>
      <c r="M737" s="226"/>
      <c r="N737" s="226"/>
      <c r="O737" s="227"/>
      <c r="P737" s="19"/>
      <c r="Q737" s="19"/>
      <c r="R737" s="19"/>
      <c r="S737" s="228"/>
      <c r="T737" s="228"/>
      <c r="U737" s="229"/>
      <c r="V737" s="22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</row>
    <row r="738">
      <c r="A738" s="217"/>
      <c r="B738" s="218"/>
      <c r="C738" s="219"/>
      <c r="D738" s="220"/>
      <c r="E738" s="221"/>
      <c r="F738" s="222"/>
      <c r="G738" s="223"/>
      <c r="H738" s="224"/>
      <c r="I738" s="19"/>
      <c r="J738" s="19"/>
      <c r="K738" s="19"/>
      <c r="L738" s="225"/>
      <c r="M738" s="226"/>
      <c r="N738" s="226"/>
      <c r="O738" s="227"/>
      <c r="P738" s="19"/>
      <c r="Q738" s="19"/>
      <c r="R738" s="19"/>
      <c r="S738" s="228"/>
      <c r="T738" s="228"/>
      <c r="U738" s="229"/>
      <c r="V738" s="22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</row>
    <row r="739">
      <c r="A739" s="217"/>
      <c r="B739" s="218"/>
      <c r="C739" s="219"/>
      <c r="D739" s="220"/>
      <c r="E739" s="221"/>
      <c r="F739" s="222"/>
      <c r="G739" s="223"/>
      <c r="H739" s="224"/>
      <c r="I739" s="19"/>
      <c r="J739" s="19"/>
      <c r="K739" s="19"/>
      <c r="L739" s="225"/>
      <c r="M739" s="226"/>
      <c r="N739" s="226"/>
      <c r="O739" s="227"/>
      <c r="P739" s="19"/>
      <c r="Q739" s="19"/>
      <c r="R739" s="19"/>
      <c r="S739" s="228"/>
      <c r="T739" s="228"/>
      <c r="U739" s="229"/>
      <c r="V739" s="22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</row>
    <row r="740">
      <c r="A740" s="217"/>
      <c r="B740" s="218"/>
      <c r="C740" s="219"/>
      <c r="D740" s="220"/>
      <c r="E740" s="221"/>
      <c r="F740" s="222"/>
      <c r="G740" s="223"/>
      <c r="H740" s="224"/>
      <c r="I740" s="19"/>
      <c r="J740" s="19"/>
      <c r="K740" s="19"/>
      <c r="L740" s="225"/>
      <c r="M740" s="226"/>
      <c r="N740" s="226"/>
      <c r="O740" s="227"/>
      <c r="P740" s="19"/>
      <c r="Q740" s="19"/>
      <c r="R740" s="19"/>
      <c r="S740" s="228"/>
      <c r="T740" s="228"/>
      <c r="U740" s="229"/>
      <c r="V740" s="22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>
      <c r="A741" s="217"/>
      <c r="B741" s="218"/>
      <c r="C741" s="219"/>
      <c r="D741" s="220"/>
      <c r="E741" s="221"/>
      <c r="F741" s="222"/>
      <c r="G741" s="223"/>
      <c r="H741" s="224"/>
      <c r="I741" s="19"/>
      <c r="J741" s="19"/>
      <c r="K741" s="19"/>
      <c r="L741" s="225"/>
      <c r="M741" s="226"/>
      <c r="N741" s="226"/>
      <c r="O741" s="227"/>
      <c r="P741" s="19"/>
      <c r="Q741" s="19"/>
      <c r="R741" s="19"/>
      <c r="S741" s="228"/>
      <c r="T741" s="228"/>
      <c r="U741" s="229"/>
      <c r="V741" s="22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>
      <c r="A742" s="217"/>
      <c r="B742" s="218"/>
      <c r="C742" s="219"/>
      <c r="D742" s="220"/>
      <c r="E742" s="221"/>
      <c r="F742" s="222"/>
      <c r="G742" s="223"/>
      <c r="H742" s="224"/>
      <c r="I742" s="19"/>
      <c r="J742" s="19"/>
      <c r="K742" s="19"/>
      <c r="L742" s="225"/>
      <c r="M742" s="226"/>
      <c r="N742" s="226"/>
      <c r="O742" s="227"/>
      <c r="P742" s="19"/>
      <c r="Q742" s="19"/>
      <c r="R742" s="19"/>
      <c r="S742" s="228"/>
      <c r="T742" s="228"/>
      <c r="U742" s="229"/>
      <c r="V742" s="22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>
      <c r="A743" s="217"/>
      <c r="B743" s="218"/>
      <c r="C743" s="219"/>
      <c r="D743" s="220"/>
      <c r="E743" s="221"/>
      <c r="F743" s="222"/>
      <c r="G743" s="223"/>
      <c r="H743" s="224"/>
      <c r="I743" s="19"/>
      <c r="J743" s="19"/>
      <c r="K743" s="19"/>
      <c r="L743" s="225"/>
      <c r="M743" s="226"/>
      <c r="N743" s="226"/>
      <c r="O743" s="227"/>
      <c r="P743" s="19"/>
      <c r="Q743" s="19"/>
      <c r="R743" s="19"/>
      <c r="S743" s="228"/>
      <c r="T743" s="228"/>
      <c r="U743" s="229"/>
      <c r="V743" s="22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>
      <c r="A744" s="217"/>
      <c r="B744" s="218"/>
      <c r="C744" s="219"/>
      <c r="D744" s="220"/>
      <c r="E744" s="221"/>
      <c r="F744" s="222"/>
      <c r="G744" s="223"/>
      <c r="H744" s="224"/>
      <c r="I744" s="19"/>
      <c r="J744" s="19"/>
      <c r="K744" s="19"/>
      <c r="L744" s="225"/>
      <c r="M744" s="226"/>
      <c r="N744" s="226"/>
      <c r="O744" s="227"/>
      <c r="P744" s="19"/>
      <c r="Q744" s="19"/>
      <c r="R744" s="19"/>
      <c r="S744" s="228"/>
      <c r="T744" s="228"/>
      <c r="U744" s="229"/>
      <c r="V744" s="22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</row>
    <row r="745">
      <c r="A745" s="217"/>
      <c r="B745" s="218"/>
      <c r="C745" s="219"/>
      <c r="D745" s="220"/>
      <c r="E745" s="221"/>
      <c r="F745" s="222"/>
      <c r="G745" s="223"/>
      <c r="H745" s="224"/>
      <c r="I745" s="19"/>
      <c r="J745" s="19"/>
      <c r="K745" s="19"/>
      <c r="L745" s="225"/>
      <c r="M745" s="226"/>
      <c r="N745" s="226"/>
      <c r="O745" s="227"/>
      <c r="P745" s="19"/>
      <c r="Q745" s="19"/>
      <c r="R745" s="19"/>
      <c r="S745" s="228"/>
      <c r="T745" s="228"/>
      <c r="U745" s="229"/>
      <c r="V745" s="22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</row>
    <row r="746">
      <c r="A746" s="217"/>
      <c r="B746" s="218"/>
      <c r="C746" s="219"/>
      <c r="D746" s="220"/>
      <c r="E746" s="221"/>
      <c r="F746" s="222"/>
      <c r="G746" s="223"/>
      <c r="H746" s="224"/>
      <c r="I746" s="19"/>
      <c r="J746" s="19"/>
      <c r="K746" s="19"/>
      <c r="L746" s="225"/>
      <c r="M746" s="226"/>
      <c r="N746" s="226"/>
      <c r="O746" s="227"/>
      <c r="P746" s="19"/>
      <c r="Q746" s="19"/>
      <c r="R746" s="19"/>
      <c r="S746" s="228"/>
      <c r="T746" s="228"/>
      <c r="U746" s="229"/>
      <c r="V746" s="22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</row>
    <row r="747">
      <c r="A747" s="217"/>
      <c r="B747" s="218"/>
      <c r="C747" s="219"/>
      <c r="D747" s="220"/>
      <c r="E747" s="221"/>
      <c r="F747" s="222"/>
      <c r="G747" s="223"/>
      <c r="H747" s="224"/>
      <c r="I747" s="19"/>
      <c r="J747" s="19"/>
      <c r="K747" s="19"/>
      <c r="L747" s="225"/>
      <c r="M747" s="226"/>
      <c r="N747" s="226"/>
      <c r="O747" s="227"/>
      <c r="P747" s="19"/>
      <c r="Q747" s="19"/>
      <c r="R747" s="19"/>
      <c r="S747" s="228"/>
      <c r="T747" s="228"/>
      <c r="U747" s="229"/>
      <c r="V747" s="22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</row>
    <row r="748">
      <c r="A748" s="217"/>
      <c r="B748" s="218"/>
      <c r="C748" s="219"/>
      <c r="D748" s="220"/>
      <c r="E748" s="221"/>
      <c r="F748" s="222"/>
      <c r="G748" s="223"/>
      <c r="H748" s="224"/>
      <c r="I748" s="19"/>
      <c r="J748" s="19"/>
      <c r="K748" s="19"/>
      <c r="L748" s="225"/>
      <c r="M748" s="226"/>
      <c r="N748" s="226"/>
      <c r="O748" s="227"/>
      <c r="P748" s="19"/>
      <c r="Q748" s="19"/>
      <c r="R748" s="19"/>
      <c r="S748" s="228"/>
      <c r="T748" s="228"/>
      <c r="U748" s="229"/>
      <c r="V748" s="22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</row>
    <row r="749">
      <c r="A749" s="217"/>
      <c r="B749" s="218"/>
      <c r="C749" s="219"/>
      <c r="D749" s="220"/>
      <c r="E749" s="221"/>
      <c r="F749" s="222"/>
      <c r="G749" s="223"/>
      <c r="H749" s="224"/>
      <c r="I749" s="19"/>
      <c r="J749" s="19"/>
      <c r="K749" s="19"/>
      <c r="L749" s="225"/>
      <c r="M749" s="226"/>
      <c r="N749" s="226"/>
      <c r="O749" s="227"/>
      <c r="P749" s="19"/>
      <c r="Q749" s="19"/>
      <c r="R749" s="19"/>
      <c r="S749" s="228"/>
      <c r="T749" s="228"/>
      <c r="U749" s="229"/>
      <c r="V749" s="22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</row>
    <row r="750">
      <c r="A750" s="217"/>
      <c r="B750" s="218"/>
      <c r="C750" s="219"/>
      <c r="D750" s="220"/>
      <c r="E750" s="221"/>
      <c r="F750" s="222"/>
      <c r="G750" s="223"/>
      <c r="H750" s="224"/>
      <c r="I750" s="19"/>
      <c r="J750" s="19"/>
      <c r="K750" s="19"/>
      <c r="L750" s="225"/>
      <c r="M750" s="226"/>
      <c r="N750" s="226"/>
      <c r="O750" s="227"/>
      <c r="P750" s="19"/>
      <c r="Q750" s="19"/>
      <c r="R750" s="19"/>
      <c r="S750" s="228"/>
      <c r="T750" s="228"/>
      <c r="U750" s="229"/>
      <c r="V750" s="22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</row>
    <row r="751">
      <c r="A751" s="217"/>
      <c r="B751" s="218"/>
      <c r="C751" s="219"/>
      <c r="D751" s="220"/>
      <c r="E751" s="221"/>
      <c r="F751" s="222"/>
      <c r="G751" s="223"/>
      <c r="H751" s="224"/>
      <c r="I751" s="19"/>
      <c r="J751" s="19"/>
      <c r="K751" s="19"/>
      <c r="L751" s="225"/>
      <c r="M751" s="226"/>
      <c r="N751" s="226"/>
      <c r="O751" s="227"/>
      <c r="P751" s="19"/>
      <c r="Q751" s="19"/>
      <c r="R751" s="19"/>
      <c r="S751" s="228"/>
      <c r="T751" s="228"/>
      <c r="U751" s="229"/>
      <c r="V751" s="22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</row>
    <row r="752">
      <c r="A752" s="217"/>
      <c r="B752" s="218"/>
      <c r="C752" s="219"/>
      <c r="D752" s="220"/>
      <c r="E752" s="221"/>
      <c r="F752" s="222"/>
      <c r="G752" s="223"/>
      <c r="H752" s="224"/>
      <c r="I752" s="19"/>
      <c r="J752" s="19"/>
      <c r="K752" s="19"/>
      <c r="L752" s="225"/>
      <c r="M752" s="226"/>
      <c r="N752" s="226"/>
      <c r="O752" s="227"/>
      <c r="P752" s="19"/>
      <c r="Q752" s="19"/>
      <c r="R752" s="19"/>
      <c r="S752" s="228"/>
      <c r="T752" s="228"/>
      <c r="U752" s="229"/>
      <c r="V752" s="22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</row>
    <row r="753">
      <c r="A753" s="217"/>
      <c r="B753" s="218"/>
      <c r="C753" s="219"/>
      <c r="D753" s="220"/>
      <c r="E753" s="221"/>
      <c r="F753" s="222"/>
      <c r="G753" s="223"/>
      <c r="H753" s="224"/>
      <c r="I753" s="19"/>
      <c r="J753" s="19"/>
      <c r="K753" s="19"/>
      <c r="L753" s="225"/>
      <c r="M753" s="226"/>
      <c r="N753" s="226"/>
      <c r="O753" s="227"/>
      <c r="P753" s="19"/>
      <c r="Q753" s="19"/>
      <c r="R753" s="19"/>
      <c r="S753" s="228"/>
      <c r="T753" s="228"/>
      <c r="U753" s="229"/>
      <c r="V753" s="22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</row>
    <row r="754">
      <c r="A754" s="217"/>
      <c r="B754" s="218"/>
      <c r="C754" s="219"/>
      <c r="D754" s="220"/>
      <c r="E754" s="221"/>
      <c r="F754" s="222"/>
      <c r="G754" s="223"/>
      <c r="H754" s="224"/>
      <c r="I754" s="19"/>
      <c r="J754" s="19"/>
      <c r="K754" s="19"/>
      <c r="L754" s="225"/>
      <c r="M754" s="226"/>
      <c r="N754" s="226"/>
      <c r="O754" s="227"/>
      <c r="P754" s="19"/>
      <c r="Q754" s="19"/>
      <c r="R754" s="19"/>
      <c r="S754" s="228"/>
      <c r="T754" s="228"/>
      <c r="U754" s="229"/>
      <c r="V754" s="22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</row>
    <row r="755">
      <c r="A755" s="217"/>
      <c r="B755" s="218"/>
      <c r="C755" s="219"/>
      <c r="D755" s="220"/>
      <c r="E755" s="221"/>
      <c r="F755" s="222"/>
      <c r="G755" s="223"/>
      <c r="H755" s="224"/>
      <c r="I755" s="19"/>
      <c r="J755" s="19"/>
      <c r="K755" s="19"/>
      <c r="L755" s="225"/>
      <c r="M755" s="226"/>
      <c r="N755" s="226"/>
      <c r="O755" s="227"/>
      <c r="P755" s="19"/>
      <c r="Q755" s="19"/>
      <c r="R755" s="19"/>
      <c r="S755" s="228"/>
      <c r="T755" s="228"/>
      <c r="U755" s="229"/>
      <c r="V755" s="22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</row>
    <row r="756">
      <c r="A756" s="217"/>
      <c r="B756" s="218"/>
      <c r="C756" s="219"/>
      <c r="D756" s="220"/>
      <c r="E756" s="221"/>
      <c r="F756" s="222"/>
      <c r="G756" s="223"/>
      <c r="H756" s="224"/>
      <c r="I756" s="19"/>
      <c r="J756" s="19"/>
      <c r="K756" s="19"/>
      <c r="L756" s="225"/>
      <c r="M756" s="226"/>
      <c r="N756" s="226"/>
      <c r="O756" s="227"/>
      <c r="P756" s="19"/>
      <c r="Q756" s="19"/>
      <c r="R756" s="19"/>
      <c r="S756" s="228"/>
      <c r="T756" s="228"/>
      <c r="U756" s="229"/>
      <c r="V756" s="22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</row>
    <row r="757">
      <c r="A757" s="217"/>
      <c r="B757" s="218"/>
      <c r="C757" s="219"/>
      <c r="D757" s="220"/>
      <c r="E757" s="221"/>
      <c r="F757" s="222"/>
      <c r="G757" s="223"/>
      <c r="H757" s="224"/>
      <c r="I757" s="19"/>
      <c r="J757" s="19"/>
      <c r="K757" s="19"/>
      <c r="L757" s="225"/>
      <c r="M757" s="226"/>
      <c r="N757" s="226"/>
      <c r="O757" s="227"/>
      <c r="P757" s="19"/>
      <c r="Q757" s="19"/>
      <c r="R757" s="19"/>
      <c r="S757" s="228"/>
      <c r="T757" s="228"/>
      <c r="U757" s="229"/>
      <c r="V757" s="22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</row>
    <row r="758">
      <c r="A758" s="217"/>
      <c r="B758" s="218"/>
      <c r="C758" s="219"/>
      <c r="D758" s="220"/>
      <c r="E758" s="221"/>
      <c r="F758" s="222"/>
      <c r="G758" s="223"/>
      <c r="H758" s="224"/>
      <c r="I758" s="19"/>
      <c r="J758" s="19"/>
      <c r="K758" s="19"/>
      <c r="L758" s="225"/>
      <c r="M758" s="226"/>
      <c r="N758" s="226"/>
      <c r="O758" s="227"/>
      <c r="P758" s="19"/>
      <c r="Q758" s="19"/>
      <c r="R758" s="19"/>
      <c r="S758" s="228"/>
      <c r="T758" s="228"/>
      <c r="U758" s="229"/>
      <c r="V758" s="22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</row>
    <row r="759">
      <c r="A759" s="217"/>
      <c r="B759" s="218"/>
      <c r="C759" s="219"/>
      <c r="D759" s="220"/>
      <c r="E759" s="221"/>
      <c r="F759" s="222"/>
      <c r="G759" s="223"/>
      <c r="H759" s="224"/>
      <c r="I759" s="19"/>
      <c r="J759" s="19"/>
      <c r="K759" s="19"/>
      <c r="L759" s="225"/>
      <c r="M759" s="226"/>
      <c r="N759" s="226"/>
      <c r="O759" s="227"/>
      <c r="P759" s="19"/>
      <c r="Q759" s="19"/>
      <c r="R759" s="19"/>
      <c r="S759" s="228"/>
      <c r="T759" s="228"/>
      <c r="U759" s="229"/>
      <c r="V759" s="22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</row>
    <row r="760">
      <c r="A760" s="217"/>
      <c r="B760" s="218"/>
      <c r="C760" s="219"/>
      <c r="D760" s="220"/>
      <c r="E760" s="221"/>
      <c r="F760" s="222"/>
      <c r="G760" s="223"/>
      <c r="H760" s="224"/>
      <c r="I760" s="19"/>
      <c r="J760" s="19"/>
      <c r="K760" s="19"/>
      <c r="L760" s="225"/>
      <c r="M760" s="226"/>
      <c r="N760" s="226"/>
      <c r="O760" s="227"/>
      <c r="P760" s="19"/>
      <c r="Q760" s="19"/>
      <c r="R760" s="19"/>
      <c r="S760" s="228"/>
      <c r="T760" s="228"/>
      <c r="U760" s="229"/>
      <c r="V760" s="22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</row>
    <row r="761">
      <c r="A761" s="217"/>
      <c r="B761" s="218"/>
      <c r="C761" s="219"/>
      <c r="D761" s="220"/>
      <c r="E761" s="221"/>
      <c r="F761" s="222"/>
      <c r="G761" s="223"/>
      <c r="H761" s="224"/>
      <c r="I761" s="19"/>
      <c r="J761" s="19"/>
      <c r="K761" s="19"/>
      <c r="L761" s="225"/>
      <c r="M761" s="226"/>
      <c r="N761" s="226"/>
      <c r="O761" s="227"/>
      <c r="P761" s="19"/>
      <c r="Q761" s="19"/>
      <c r="R761" s="19"/>
      <c r="S761" s="228"/>
      <c r="T761" s="228"/>
      <c r="U761" s="229"/>
      <c r="V761" s="22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</row>
    <row r="762">
      <c r="A762" s="217"/>
      <c r="B762" s="218"/>
      <c r="C762" s="219"/>
      <c r="D762" s="220"/>
      <c r="E762" s="221"/>
      <c r="F762" s="222"/>
      <c r="G762" s="223"/>
      <c r="H762" s="224"/>
      <c r="I762" s="19"/>
      <c r="J762" s="19"/>
      <c r="K762" s="19"/>
      <c r="L762" s="225"/>
      <c r="M762" s="226"/>
      <c r="N762" s="226"/>
      <c r="O762" s="227"/>
      <c r="P762" s="19"/>
      <c r="Q762" s="19"/>
      <c r="R762" s="19"/>
      <c r="S762" s="228"/>
      <c r="T762" s="228"/>
      <c r="U762" s="229"/>
      <c r="V762" s="22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</row>
    <row r="763">
      <c r="A763" s="217"/>
      <c r="B763" s="218"/>
      <c r="C763" s="219"/>
      <c r="D763" s="220"/>
      <c r="E763" s="221"/>
      <c r="F763" s="222"/>
      <c r="G763" s="223"/>
      <c r="H763" s="224"/>
      <c r="I763" s="19"/>
      <c r="J763" s="19"/>
      <c r="K763" s="19"/>
      <c r="L763" s="225"/>
      <c r="M763" s="226"/>
      <c r="N763" s="226"/>
      <c r="O763" s="227"/>
      <c r="P763" s="19"/>
      <c r="Q763" s="19"/>
      <c r="R763" s="19"/>
      <c r="S763" s="228"/>
      <c r="T763" s="228"/>
      <c r="U763" s="229"/>
      <c r="V763" s="22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>
      <c r="A764" s="217"/>
      <c r="B764" s="218"/>
      <c r="C764" s="219"/>
      <c r="D764" s="220"/>
      <c r="E764" s="221"/>
      <c r="F764" s="222"/>
      <c r="G764" s="223"/>
      <c r="H764" s="224"/>
      <c r="I764" s="19"/>
      <c r="J764" s="19"/>
      <c r="K764" s="19"/>
      <c r="L764" s="225"/>
      <c r="M764" s="226"/>
      <c r="N764" s="226"/>
      <c r="O764" s="227"/>
      <c r="P764" s="19"/>
      <c r="Q764" s="19"/>
      <c r="R764" s="19"/>
      <c r="S764" s="228"/>
      <c r="T764" s="228"/>
      <c r="U764" s="229"/>
      <c r="V764" s="22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>
      <c r="A765" s="217"/>
      <c r="B765" s="218"/>
      <c r="C765" s="219"/>
      <c r="D765" s="220"/>
      <c r="E765" s="221"/>
      <c r="F765" s="222"/>
      <c r="G765" s="223"/>
      <c r="H765" s="224"/>
      <c r="I765" s="19"/>
      <c r="J765" s="19"/>
      <c r="K765" s="19"/>
      <c r="L765" s="225"/>
      <c r="M765" s="226"/>
      <c r="N765" s="226"/>
      <c r="O765" s="227"/>
      <c r="P765" s="19"/>
      <c r="Q765" s="19"/>
      <c r="R765" s="19"/>
      <c r="S765" s="228"/>
      <c r="T765" s="228"/>
      <c r="U765" s="229"/>
      <c r="V765" s="22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>
      <c r="A766" s="217"/>
      <c r="B766" s="218"/>
      <c r="C766" s="219"/>
      <c r="D766" s="220"/>
      <c r="E766" s="221"/>
      <c r="F766" s="222"/>
      <c r="G766" s="223"/>
      <c r="H766" s="224"/>
      <c r="I766" s="19"/>
      <c r="J766" s="19"/>
      <c r="K766" s="19"/>
      <c r="L766" s="225"/>
      <c r="M766" s="226"/>
      <c r="N766" s="226"/>
      <c r="O766" s="227"/>
      <c r="P766" s="19"/>
      <c r="Q766" s="19"/>
      <c r="R766" s="19"/>
      <c r="S766" s="228"/>
      <c r="T766" s="228"/>
      <c r="U766" s="229"/>
      <c r="V766" s="22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>
      <c r="A767" s="217"/>
      <c r="B767" s="218"/>
      <c r="C767" s="219"/>
      <c r="D767" s="220"/>
      <c r="E767" s="221"/>
      <c r="F767" s="222"/>
      <c r="G767" s="223"/>
      <c r="H767" s="224"/>
      <c r="I767" s="19"/>
      <c r="J767" s="19"/>
      <c r="K767" s="19"/>
      <c r="L767" s="225"/>
      <c r="M767" s="226"/>
      <c r="N767" s="226"/>
      <c r="O767" s="227"/>
      <c r="P767" s="19"/>
      <c r="Q767" s="19"/>
      <c r="R767" s="19"/>
      <c r="S767" s="228"/>
      <c r="T767" s="228"/>
      <c r="U767" s="229"/>
      <c r="V767" s="22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</row>
    <row r="768">
      <c r="A768" s="217"/>
      <c r="B768" s="218"/>
      <c r="C768" s="219"/>
      <c r="D768" s="220"/>
      <c r="E768" s="221"/>
      <c r="F768" s="222"/>
      <c r="G768" s="223"/>
      <c r="H768" s="224"/>
      <c r="I768" s="19"/>
      <c r="J768" s="19"/>
      <c r="K768" s="19"/>
      <c r="L768" s="225"/>
      <c r="M768" s="226"/>
      <c r="N768" s="226"/>
      <c r="O768" s="227"/>
      <c r="P768" s="19"/>
      <c r="Q768" s="19"/>
      <c r="R768" s="19"/>
      <c r="S768" s="228"/>
      <c r="T768" s="228"/>
      <c r="U768" s="229"/>
      <c r="V768" s="22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</row>
    <row r="769">
      <c r="A769" s="217"/>
      <c r="B769" s="218"/>
      <c r="C769" s="219"/>
      <c r="D769" s="220"/>
      <c r="E769" s="221"/>
      <c r="F769" s="222"/>
      <c r="G769" s="223"/>
      <c r="H769" s="224"/>
      <c r="I769" s="19"/>
      <c r="J769" s="19"/>
      <c r="K769" s="19"/>
      <c r="L769" s="225"/>
      <c r="M769" s="226"/>
      <c r="N769" s="226"/>
      <c r="O769" s="227"/>
      <c r="P769" s="19"/>
      <c r="Q769" s="19"/>
      <c r="R769" s="19"/>
      <c r="S769" s="228"/>
      <c r="T769" s="228"/>
      <c r="U769" s="229"/>
      <c r="V769" s="22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>
      <c r="A770" s="217"/>
      <c r="B770" s="218"/>
      <c r="C770" s="219"/>
      <c r="D770" s="220"/>
      <c r="E770" s="221"/>
      <c r="F770" s="222"/>
      <c r="G770" s="223"/>
      <c r="H770" s="224"/>
      <c r="I770" s="19"/>
      <c r="J770" s="19"/>
      <c r="K770" s="19"/>
      <c r="L770" s="225"/>
      <c r="M770" s="226"/>
      <c r="N770" s="226"/>
      <c r="O770" s="227"/>
      <c r="P770" s="19"/>
      <c r="Q770" s="19"/>
      <c r="R770" s="19"/>
      <c r="S770" s="228"/>
      <c r="T770" s="228"/>
      <c r="U770" s="229"/>
      <c r="V770" s="22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>
      <c r="A771" s="217"/>
      <c r="B771" s="218"/>
      <c r="C771" s="219"/>
      <c r="D771" s="220"/>
      <c r="E771" s="221"/>
      <c r="F771" s="222"/>
      <c r="G771" s="223"/>
      <c r="H771" s="224"/>
      <c r="I771" s="19"/>
      <c r="J771" s="19"/>
      <c r="K771" s="19"/>
      <c r="L771" s="225"/>
      <c r="M771" s="226"/>
      <c r="N771" s="226"/>
      <c r="O771" s="227"/>
      <c r="P771" s="19"/>
      <c r="Q771" s="19"/>
      <c r="R771" s="19"/>
      <c r="S771" s="228"/>
      <c r="T771" s="228"/>
      <c r="U771" s="229"/>
      <c r="V771" s="22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</row>
    <row r="772">
      <c r="A772" s="217"/>
      <c r="B772" s="218"/>
      <c r="C772" s="219"/>
      <c r="D772" s="220"/>
      <c r="E772" s="221"/>
      <c r="F772" s="222"/>
      <c r="G772" s="223"/>
      <c r="H772" s="224"/>
      <c r="I772" s="19"/>
      <c r="J772" s="19"/>
      <c r="K772" s="19"/>
      <c r="L772" s="225"/>
      <c r="M772" s="226"/>
      <c r="N772" s="226"/>
      <c r="O772" s="227"/>
      <c r="P772" s="19"/>
      <c r="Q772" s="19"/>
      <c r="R772" s="19"/>
      <c r="S772" s="228"/>
      <c r="T772" s="228"/>
      <c r="U772" s="229"/>
      <c r="V772" s="22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>
      <c r="A773" s="217"/>
      <c r="B773" s="218"/>
      <c r="C773" s="219"/>
      <c r="D773" s="220"/>
      <c r="E773" s="221"/>
      <c r="F773" s="222"/>
      <c r="G773" s="223"/>
      <c r="H773" s="224"/>
      <c r="I773" s="19"/>
      <c r="J773" s="19"/>
      <c r="K773" s="19"/>
      <c r="L773" s="225"/>
      <c r="M773" s="226"/>
      <c r="N773" s="226"/>
      <c r="O773" s="227"/>
      <c r="P773" s="19"/>
      <c r="Q773" s="19"/>
      <c r="R773" s="19"/>
      <c r="S773" s="228"/>
      <c r="T773" s="228"/>
      <c r="U773" s="229"/>
      <c r="V773" s="22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</row>
    <row r="774">
      <c r="A774" s="217"/>
      <c r="B774" s="218"/>
      <c r="C774" s="219"/>
      <c r="D774" s="220"/>
      <c r="E774" s="221"/>
      <c r="F774" s="222"/>
      <c r="G774" s="223"/>
      <c r="H774" s="224"/>
      <c r="I774" s="19"/>
      <c r="J774" s="19"/>
      <c r="K774" s="19"/>
      <c r="L774" s="225"/>
      <c r="M774" s="226"/>
      <c r="N774" s="226"/>
      <c r="O774" s="227"/>
      <c r="P774" s="19"/>
      <c r="Q774" s="19"/>
      <c r="R774" s="19"/>
      <c r="S774" s="228"/>
      <c r="T774" s="228"/>
      <c r="U774" s="229"/>
      <c r="V774" s="22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>
      <c r="A775" s="217"/>
      <c r="B775" s="218"/>
      <c r="C775" s="219"/>
      <c r="D775" s="220"/>
      <c r="E775" s="221"/>
      <c r="F775" s="222"/>
      <c r="G775" s="223"/>
      <c r="H775" s="224"/>
      <c r="I775" s="19"/>
      <c r="J775" s="19"/>
      <c r="K775" s="19"/>
      <c r="L775" s="225"/>
      <c r="M775" s="226"/>
      <c r="N775" s="226"/>
      <c r="O775" s="227"/>
      <c r="P775" s="19"/>
      <c r="Q775" s="19"/>
      <c r="R775" s="19"/>
      <c r="S775" s="228"/>
      <c r="T775" s="228"/>
      <c r="U775" s="229"/>
      <c r="V775" s="22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</row>
    <row r="776">
      <c r="A776" s="217"/>
      <c r="B776" s="218"/>
      <c r="C776" s="219"/>
      <c r="D776" s="220"/>
      <c r="E776" s="221"/>
      <c r="F776" s="222"/>
      <c r="G776" s="223"/>
      <c r="H776" s="224"/>
      <c r="I776" s="19"/>
      <c r="J776" s="19"/>
      <c r="K776" s="19"/>
      <c r="L776" s="225"/>
      <c r="M776" s="226"/>
      <c r="N776" s="226"/>
      <c r="O776" s="227"/>
      <c r="P776" s="19"/>
      <c r="Q776" s="19"/>
      <c r="R776" s="19"/>
      <c r="S776" s="228"/>
      <c r="T776" s="228"/>
      <c r="U776" s="229"/>
      <c r="V776" s="22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</row>
    <row r="777">
      <c r="A777" s="217"/>
      <c r="B777" s="218"/>
      <c r="C777" s="219"/>
      <c r="D777" s="220"/>
      <c r="E777" s="221"/>
      <c r="F777" s="222"/>
      <c r="G777" s="223"/>
      <c r="H777" s="224"/>
      <c r="I777" s="19"/>
      <c r="J777" s="19"/>
      <c r="K777" s="19"/>
      <c r="L777" s="225"/>
      <c r="M777" s="226"/>
      <c r="N777" s="226"/>
      <c r="O777" s="227"/>
      <c r="P777" s="19"/>
      <c r="Q777" s="19"/>
      <c r="R777" s="19"/>
      <c r="S777" s="228"/>
      <c r="T777" s="228"/>
      <c r="U777" s="229"/>
      <c r="V777" s="22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</row>
    <row r="778">
      <c r="A778" s="217"/>
      <c r="B778" s="218"/>
      <c r="C778" s="219"/>
      <c r="D778" s="220"/>
      <c r="E778" s="221"/>
      <c r="F778" s="222"/>
      <c r="G778" s="223"/>
      <c r="H778" s="224"/>
      <c r="I778" s="19"/>
      <c r="J778" s="19"/>
      <c r="K778" s="19"/>
      <c r="L778" s="225"/>
      <c r="M778" s="226"/>
      <c r="N778" s="226"/>
      <c r="O778" s="227"/>
      <c r="P778" s="19"/>
      <c r="Q778" s="19"/>
      <c r="R778" s="19"/>
      <c r="S778" s="228"/>
      <c r="T778" s="228"/>
      <c r="U778" s="229"/>
      <c r="V778" s="22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</row>
    <row r="779">
      <c r="A779" s="217"/>
      <c r="B779" s="218"/>
      <c r="C779" s="219"/>
      <c r="D779" s="220"/>
      <c r="E779" s="221"/>
      <c r="F779" s="222"/>
      <c r="G779" s="223"/>
      <c r="H779" s="224"/>
      <c r="I779" s="19"/>
      <c r="J779" s="19"/>
      <c r="K779" s="19"/>
      <c r="L779" s="225"/>
      <c r="M779" s="226"/>
      <c r="N779" s="226"/>
      <c r="O779" s="227"/>
      <c r="P779" s="19"/>
      <c r="Q779" s="19"/>
      <c r="R779" s="19"/>
      <c r="S779" s="228"/>
      <c r="T779" s="228"/>
      <c r="U779" s="229"/>
      <c r="V779" s="22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>
      <c r="A780" s="217"/>
      <c r="B780" s="218"/>
      <c r="C780" s="219"/>
      <c r="D780" s="220"/>
      <c r="E780" s="221"/>
      <c r="F780" s="222"/>
      <c r="G780" s="223"/>
      <c r="H780" s="224"/>
      <c r="I780" s="19"/>
      <c r="J780" s="19"/>
      <c r="K780" s="19"/>
      <c r="L780" s="225"/>
      <c r="M780" s="226"/>
      <c r="N780" s="226"/>
      <c r="O780" s="227"/>
      <c r="P780" s="19"/>
      <c r="Q780" s="19"/>
      <c r="R780" s="19"/>
      <c r="S780" s="228"/>
      <c r="T780" s="228"/>
      <c r="U780" s="229"/>
      <c r="V780" s="22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</row>
    <row r="781">
      <c r="A781" s="217"/>
      <c r="B781" s="218"/>
      <c r="C781" s="219"/>
      <c r="D781" s="220"/>
      <c r="E781" s="221"/>
      <c r="F781" s="222"/>
      <c r="G781" s="223"/>
      <c r="H781" s="224"/>
      <c r="I781" s="19"/>
      <c r="J781" s="19"/>
      <c r="K781" s="19"/>
      <c r="L781" s="225"/>
      <c r="M781" s="226"/>
      <c r="N781" s="226"/>
      <c r="O781" s="227"/>
      <c r="P781" s="19"/>
      <c r="Q781" s="19"/>
      <c r="R781" s="19"/>
      <c r="S781" s="228"/>
      <c r="T781" s="228"/>
      <c r="U781" s="229"/>
      <c r="V781" s="22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>
      <c r="A782" s="217"/>
      <c r="B782" s="218"/>
      <c r="C782" s="219"/>
      <c r="D782" s="220"/>
      <c r="E782" s="221"/>
      <c r="F782" s="222"/>
      <c r="G782" s="223"/>
      <c r="H782" s="224"/>
      <c r="I782" s="19"/>
      <c r="J782" s="19"/>
      <c r="K782" s="19"/>
      <c r="L782" s="225"/>
      <c r="M782" s="226"/>
      <c r="N782" s="226"/>
      <c r="O782" s="227"/>
      <c r="P782" s="19"/>
      <c r="Q782" s="19"/>
      <c r="R782" s="19"/>
      <c r="S782" s="228"/>
      <c r="T782" s="228"/>
      <c r="U782" s="229"/>
      <c r="V782" s="22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</row>
    <row r="783">
      <c r="A783" s="217"/>
      <c r="B783" s="218"/>
      <c r="C783" s="219"/>
      <c r="D783" s="220"/>
      <c r="E783" s="221"/>
      <c r="F783" s="222"/>
      <c r="G783" s="223"/>
      <c r="H783" s="224"/>
      <c r="I783" s="19"/>
      <c r="J783" s="19"/>
      <c r="K783" s="19"/>
      <c r="L783" s="225"/>
      <c r="M783" s="226"/>
      <c r="N783" s="226"/>
      <c r="O783" s="227"/>
      <c r="P783" s="19"/>
      <c r="Q783" s="19"/>
      <c r="R783" s="19"/>
      <c r="S783" s="228"/>
      <c r="T783" s="228"/>
      <c r="U783" s="229"/>
      <c r="V783" s="22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</row>
    <row r="784">
      <c r="A784" s="217"/>
      <c r="B784" s="218"/>
      <c r="C784" s="219"/>
      <c r="D784" s="220"/>
      <c r="E784" s="221"/>
      <c r="F784" s="222"/>
      <c r="G784" s="223"/>
      <c r="H784" s="224"/>
      <c r="I784" s="19"/>
      <c r="J784" s="19"/>
      <c r="K784" s="19"/>
      <c r="L784" s="225"/>
      <c r="M784" s="226"/>
      <c r="N784" s="226"/>
      <c r="O784" s="227"/>
      <c r="P784" s="19"/>
      <c r="Q784" s="19"/>
      <c r="R784" s="19"/>
      <c r="S784" s="228"/>
      <c r="T784" s="228"/>
      <c r="U784" s="229"/>
      <c r="V784" s="22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</row>
    <row r="785">
      <c r="A785" s="217"/>
      <c r="B785" s="218"/>
      <c r="C785" s="219"/>
      <c r="D785" s="220"/>
      <c r="E785" s="221"/>
      <c r="F785" s="222"/>
      <c r="G785" s="223"/>
      <c r="H785" s="224"/>
      <c r="I785" s="19"/>
      <c r="J785" s="19"/>
      <c r="K785" s="19"/>
      <c r="L785" s="225"/>
      <c r="M785" s="226"/>
      <c r="N785" s="226"/>
      <c r="O785" s="227"/>
      <c r="P785" s="19"/>
      <c r="Q785" s="19"/>
      <c r="R785" s="19"/>
      <c r="S785" s="228"/>
      <c r="T785" s="228"/>
      <c r="U785" s="229"/>
      <c r="V785" s="22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</row>
    <row r="786">
      <c r="A786" s="217"/>
      <c r="B786" s="218"/>
      <c r="C786" s="219"/>
      <c r="D786" s="220"/>
      <c r="E786" s="221"/>
      <c r="F786" s="222"/>
      <c r="G786" s="223"/>
      <c r="H786" s="224"/>
      <c r="I786" s="19"/>
      <c r="J786" s="19"/>
      <c r="K786" s="19"/>
      <c r="L786" s="225"/>
      <c r="M786" s="226"/>
      <c r="N786" s="226"/>
      <c r="O786" s="227"/>
      <c r="P786" s="19"/>
      <c r="Q786" s="19"/>
      <c r="R786" s="19"/>
      <c r="S786" s="228"/>
      <c r="T786" s="228"/>
      <c r="U786" s="229"/>
      <c r="V786" s="22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>
      <c r="A787" s="217"/>
      <c r="B787" s="218"/>
      <c r="C787" s="219"/>
      <c r="D787" s="220"/>
      <c r="E787" s="221"/>
      <c r="F787" s="222"/>
      <c r="G787" s="223"/>
      <c r="H787" s="224"/>
      <c r="I787" s="19"/>
      <c r="J787" s="19"/>
      <c r="K787" s="19"/>
      <c r="L787" s="225"/>
      <c r="M787" s="226"/>
      <c r="N787" s="226"/>
      <c r="O787" s="227"/>
      <c r="P787" s="19"/>
      <c r="Q787" s="19"/>
      <c r="R787" s="19"/>
      <c r="S787" s="228"/>
      <c r="T787" s="228"/>
      <c r="U787" s="229"/>
      <c r="V787" s="22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</row>
    <row r="788">
      <c r="A788" s="217"/>
      <c r="B788" s="218"/>
      <c r="C788" s="219"/>
      <c r="D788" s="220"/>
      <c r="E788" s="221"/>
      <c r="F788" s="222"/>
      <c r="G788" s="223"/>
      <c r="H788" s="224"/>
      <c r="I788" s="19"/>
      <c r="J788" s="19"/>
      <c r="K788" s="19"/>
      <c r="L788" s="225"/>
      <c r="M788" s="226"/>
      <c r="N788" s="226"/>
      <c r="O788" s="227"/>
      <c r="P788" s="19"/>
      <c r="Q788" s="19"/>
      <c r="R788" s="19"/>
      <c r="S788" s="228"/>
      <c r="T788" s="228"/>
      <c r="U788" s="229"/>
      <c r="V788" s="22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>
      <c r="A789" s="217"/>
      <c r="B789" s="218"/>
      <c r="C789" s="219"/>
      <c r="D789" s="220"/>
      <c r="E789" s="221"/>
      <c r="F789" s="222"/>
      <c r="G789" s="223"/>
      <c r="H789" s="224"/>
      <c r="I789" s="19"/>
      <c r="J789" s="19"/>
      <c r="K789" s="19"/>
      <c r="L789" s="225"/>
      <c r="M789" s="226"/>
      <c r="N789" s="226"/>
      <c r="O789" s="227"/>
      <c r="P789" s="19"/>
      <c r="Q789" s="19"/>
      <c r="R789" s="19"/>
      <c r="S789" s="228"/>
      <c r="T789" s="228"/>
      <c r="U789" s="229"/>
      <c r="V789" s="22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</row>
    <row r="790">
      <c r="A790" s="217"/>
      <c r="B790" s="218"/>
      <c r="C790" s="219"/>
      <c r="D790" s="220"/>
      <c r="E790" s="221"/>
      <c r="F790" s="222"/>
      <c r="G790" s="223"/>
      <c r="H790" s="224"/>
      <c r="I790" s="19"/>
      <c r="J790" s="19"/>
      <c r="K790" s="19"/>
      <c r="L790" s="225"/>
      <c r="M790" s="226"/>
      <c r="N790" s="226"/>
      <c r="O790" s="227"/>
      <c r="P790" s="19"/>
      <c r="Q790" s="19"/>
      <c r="R790" s="19"/>
      <c r="S790" s="228"/>
      <c r="T790" s="228"/>
      <c r="U790" s="229"/>
      <c r="V790" s="22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</row>
    <row r="791">
      <c r="A791" s="217"/>
      <c r="B791" s="218"/>
      <c r="C791" s="219"/>
      <c r="D791" s="220"/>
      <c r="E791" s="221"/>
      <c r="F791" s="222"/>
      <c r="G791" s="223"/>
      <c r="H791" s="224"/>
      <c r="I791" s="19"/>
      <c r="J791" s="19"/>
      <c r="K791" s="19"/>
      <c r="L791" s="225"/>
      <c r="M791" s="226"/>
      <c r="N791" s="226"/>
      <c r="O791" s="227"/>
      <c r="P791" s="19"/>
      <c r="Q791" s="19"/>
      <c r="R791" s="19"/>
      <c r="S791" s="228"/>
      <c r="T791" s="228"/>
      <c r="U791" s="229"/>
      <c r="V791" s="22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</row>
    <row r="792">
      <c r="A792" s="217"/>
      <c r="B792" s="218"/>
      <c r="C792" s="219"/>
      <c r="D792" s="220"/>
      <c r="E792" s="221"/>
      <c r="F792" s="222"/>
      <c r="G792" s="223"/>
      <c r="H792" s="224"/>
      <c r="I792" s="19"/>
      <c r="J792" s="19"/>
      <c r="K792" s="19"/>
      <c r="L792" s="225"/>
      <c r="M792" s="226"/>
      <c r="N792" s="226"/>
      <c r="O792" s="227"/>
      <c r="P792" s="19"/>
      <c r="Q792" s="19"/>
      <c r="R792" s="19"/>
      <c r="S792" s="228"/>
      <c r="T792" s="228"/>
      <c r="U792" s="229"/>
      <c r="V792" s="22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</row>
    <row r="793">
      <c r="A793" s="217"/>
      <c r="B793" s="218"/>
      <c r="C793" s="219"/>
      <c r="D793" s="220"/>
      <c r="E793" s="221"/>
      <c r="F793" s="222"/>
      <c r="G793" s="223"/>
      <c r="H793" s="224"/>
      <c r="I793" s="19"/>
      <c r="J793" s="19"/>
      <c r="K793" s="19"/>
      <c r="L793" s="225"/>
      <c r="M793" s="226"/>
      <c r="N793" s="226"/>
      <c r="O793" s="227"/>
      <c r="P793" s="19"/>
      <c r="Q793" s="19"/>
      <c r="R793" s="19"/>
      <c r="S793" s="228"/>
      <c r="T793" s="228"/>
      <c r="U793" s="229"/>
      <c r="V793" s="22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</row>
    <row r="794">
      <c r="A794" s="217"/>
      <c r="B794" s="218"/>
      <c r="C794" s="219"/>
      <c r="D794" s="220"/>
      <c r="E794" s="221"/>
      <c r="F794" s="222"/>
      <c r="G794" s="223"/>
      <c r="H794" s="224"/>
      <c r="I794" s="19"/>
      <c r="J794" s="19"/>
      <c r="K794" s="19"/>
      <c r="L794" s="225"/>
      <c r="M794" s="226"/>
      <c r="N794" s="226"/>
      <c r="O794" s="227"/>
      <c r="P794" s="19"/>
      <c r="Q794" s="19"/>
      <c r="R794" s="19"/>
      <c r="S794" s="228"/>
      <c r="T794" s="228"/>
      <c r="U794" s="229"/>
      <c r="V794" s="22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</row>
    <row r="795">
      <c r="A795" s="217"/>
      <c r="B795" s="218"/>
      <c r="C795" s="219"/>
      <c r="D795" s="220"/>
      <c r="E795" s="221"/>
      <c r="F795" s="222"/>
      <c r="G795" s="223"/>
      <c r="H795" s="224"/>
      <c r="I795" s="19"/>
      <c r="J795" s="19"/>
      <c r="K795" s="19"/>
      <c r="L795" s="225"/>
      <c r="M795" s="226"/>
      <c r="N795" s="226"/>
      <c r="O795" s="227"/>
      <c r="P795" s="19"/>
      <c r="Q795" s="19"/>
      <c r="R795" s="19"/>
      <c r="S795" s="228"/>
      <c r="T795" s="228"/>
      <c r="U795" s="229"/>
      <c r="V795" s="22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>
      <c r="A796" s="217"/>
      <c r="B796" s="218"/>
      <c r="C796" s="219"/>
      <c r="D796" s="220"/>
      <c r="E796" s="221"/>
      <c r="F796" s="222"/>
      <c r="G796" s="223"/>
      <c r="H796" s="224"/>
      <c r="I796" s="19"/>
      <c r="J796" s="19"/>
      <c r="K796" s="19"/>
      <c r="L796" s="225"/>
      <c r="M796" s="226"/>
      <c r="N796" s="226"/>
      <c r="O796" s="227"/>
      <c r="P796" s="19"/>
      <c r="Q796" s="19"/>
      <c r="R796" s="19"/>
      <c r="S796" s="228"/>
      <c r="T796" s="228"/>
      <c r="U796" s="229"/>
      <c r="V796" s="22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</row>
    <row r="797">
      <c r="A797" s="217"/>
      <c r="B797" s="218"/>
      <c r="C797" s="219"/>
      <c r="D797" s="220"/>
      <c r="E797" s="221"/>
      <c r="F797" s="222"/>
      <c r="G797" s="223"/>
      <c r="H797" s="224"/>
      <c r="I797" s="19"/>
      <c r="J797" s="19"/>
      <c r="K797" s="19"/>
      <c r="L797" s="225"/>
      <c r="M797" s="226"/>
      <c r="N797" s="226"/>
      <c r="O797" s="227"/>
      <c r="P797" s="19"/>
      <c r="Q797" s="19"/>
      <c r="R797" s="19"/>
      <c r="S797" s="228"/>
      <c r="T797" s="228"/>
      <c r="U797" s="229"/>
      <c r="V797" s="22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>
      <c r="A798" s="217"/>
      <c r="B798" s="218"/>
      <c r="C798" s="219"/>
      <c r="D798" s="220"/>
      <c r="E798" s="221"/>
      <c r="F798" s="222"/>
      <c r="G798" s="223"/>
      <c r="H798" s="224"/>
      <c r="I798" s="19"/>
      <c r="J798" s="19"/>
      <c r="K798" s="19"/>
      <c r="L798" s="225"/>
      <c r="M798" s="226"/>
      <c r="N798" s="226"/>
      <c r="O798" s="227"/>
      <c r="P798" s="19"/>
      <c r="Q798" s="19"/>
      <c r="R798" s="19"/>
      <c r="S798" s="228"/>
      <c r="T798" s="228"/>
      <c r="U798" s="229"/>
      <c r="V798" s="22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>
      <c r="A799" s="217"/>
      <c r="B799" s="218"/>
      <c r="C799" s="219"/>
      <c r="D799" s="220"/>
      <c r="E799" s="221"/>
      <c r="F799" s="222"/>
      <c r="G799" s="223"/>
      <c r="H799" s="224"/>
      <c r="I799" s="19"/>
      <c r="J799" s="19"/>
      <c r="K799" s="19"/>
      <c r="L799" s="225"/>
      <c r="M799" s="226"/>
      <c r="N799" s="226"/>
      <c r="O799" s="227"/>
      <c r="P799" s="19"/>
      <c r="Q799" s="19"/>
      <c r="R799" s="19"/>
      <c r="S799" s="228"/>
      <c r="T799" s="228"/>
      <c r="U799" s="229"/>
      <c r="V799" s="22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</row>
    <row r="800">
      <c r="A800" s="217"/>
      <c r="B800" s="218"/>
      <c r="C800" s="219"/>
      <c r="D800" s="220"/>
      <c r="E800" s="221"/>
      <c r="F800" s="222"/>
      <c r="G800" s="223"/>
      <c r="H800" s="224"/>
      <c r="I800" s="19"/>
      <c r="J800" s="19"/>
      <c r="K800" s="19"/>
      <c r="L800" s="225"/>
      <c r="M800" s="226"/>
      <c r="N800" s="226"/>
      <c r="O800" s="227"/>
      <c r="P800" s="19"/>
      <c r="Q800" s="19"/>
      <c r="R800" s="19"/>
      <c r="S800" s="228"/>
      <c r="T800" s="228"/>
      <c r="U800" s="229"/>
      <c r="V800" s="22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</row>
    <row r="801">
      <c r="A801" s="217"/>
      <c r="B801" s="218"/>
      <c r="C801" s="219"/>
      <c r="D801" s="220"/>
      <c r="E801" s="221"/>
      <c r="F801" s="222"/>
      <c r="G801" s="223"/>
      <c r="H801" s="224"/>
      <c r="I801" s="19"/>
      <c r="J801" s="19"/>
      <c r="K801" s="19"/>
      <c r="L801" s="225"/>
      <c r="M801" s="226"/>
      <c r="N801" s="226"/>
      <c r="O801" s="227"/>
      <c r="P801" s="19"/>
      <c r="Q801" s="19"/>
      <c r="R801" s="19"/>
      <c r="S801" s="228"/>
      <c r="T801" s="228"/>
      <c r="U801" s="229"/>
      <c r="V801" s="22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</row>
    <row r="802">
      <c r="A802" s="217"/>
      <c r="B802" s="218"/>
      <c r="C802" s="219"/>
      <c r="D802" s="220"/>
      <c r="E802" s="221"/>
      <c r="F802" s="222"/>
      <c r="G802" s="223"/>
      <c r="H802" s="224"/>
      <c r="I802" s="19"/>
      <c r="J802" s="19"/>
      <c r="K802" s="19"/>
      <c r="L802" s="225"/>
      <c r="M802" s="226"/>
      <c r="N802" s="226"/>
      <c r="O802" s="227"/>
      <c r="P802" s="19"/>
      <c r="Q802" s="19"/>
      <c r="R802" s="19"/>
      <c r="S802" s="228"/>
      <c r="T802" s="228"/>
      <c r="U802" s="229"/>
      <c r="V802" s="22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</row>
    <row r="803">
      <c r="A803" s="217"/>
      <c r="B803" s="218"/>
      <c r="C803" s="219"/>
      <c r="D803" s="220"/>
      <c r="E803" s="221"/>
      <c r="F803" s="222"/>
      <c r="G803" s="223"/>
      <c r="H803" s="224"/>
      <c r="I803" s="19"/>
      <c r="J803" s="19"/>
      <c r="K803" s="19"/>
      <c r="L803" s="225"/>
      <c r="M803" s="226"/>
      <c r="N803" s="226"/>
      <c r="O803" s="227"/>
      <c r="P803" s="19"/>
      <c r="Q803" s="19"/>
      <c r="R803" s="19"/>
      <c r="S803" s="228"/>
      <c r="T803" s="228"/>
      <c r="U803" s="229"/>
      <c r="V803" s="22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>
      <c r="A804" s="217"/>
      <c r="B804" s="218"/>
      <c r="C804" s="219"/>
      <c r="D804" s="220"/>
      <c r="E804" s="221"/>
      <c r="F804" s="222"/>
      <c r="G804" s="223"/>
      <c r="H804" s="224"/>
      <c r="I804" s="19"/>
      <c r="J804" s="19"/>
      <c r="K804" s="19"/>
      <c r="L804" s="225"/>
      <c r="M804" s="226"/>
      <c r="N804" s="226"/>
      <c r="O804" s="227"/>
      <c r="P804" s="19"/>
      <c r="Q804" s="19"/>
      <c r="R804" s="19"/>
      <c r="S804" s="228"/>
      <c r="T804" s="228"/>
      <c r="U804" s="229"/>
      <c r="V804" s="22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</row>
    <row r="805">
      <c r="A805" s="217"/>
      <c r="B805" s="218"/>
      <c r="C805" s="219"/>
      <c r="D805" s="220"/>
      <c r="E805" s="221"/>
      <c r="F805" s="222"/>
      <c r="G805" s="223"/>
      <c r="H805" s="224"/>
      <c r="I805" s="19"/>
      <c r="J805" s="19"/>
      <c r="K805" s="19"/>
      <c r="L805" s="225"/>
      <c r="M805" s="226"/>
      <c r="N805" s="226"/>
      <c r="O805" s="227"/>
      <c r="P805" s="19"/>
      <c r="Q805" s="19"/>
      <c r="R805" s="19"/>
      <c r="S805" s="228"/>
      <c r="T805" s="228"/>
      <c r="U805" s="229"/>
      <c r="V805" s="22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</row>
    <row r="806">
      <c r="A806" s="217"/>
      <c r="B806" s="218"/>
      <c r="C806" s="219"/>
      <c r="D806" s="220"/>
      <c r="E806" s="221"/>
      <c r="F806" s="222"/>
      <c r="G806" s="223"/>
      <c r="H806" s="224"/>
      <c r="I806" s="19"/>
      <c r="J806" s="19"/>
      <c r="K806" s="19"/>
      <c r="L806" s="225"/>
      <c r="M806" s="226"/>
      <c r="N806" s="226"/>
      <c r="O806" s="227"/>
      <c r="P806" s="19"/>
      <c r="Q806" s="19"/>
      <c r="R806" s="19"/>
      <c r="S806" s="228"/>
      <c r="T806" s="228"/>
      <c r="U806" s="229"/>
      <c r="V806" s="22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</row>
    <row r="807">
      <c r="A807" s="217"/>
      <c r="B807" s="218"/>
      <c r="C807" s="219"/>
      <c r="D807" s="220"/>
      <c r="E807" s="221"/>
      <c r="F807" s="222"/>
      <c r="G807" s="223"/>
      <c r="H807" s="224"/>
      <c r="I807" s="19"/>
      <c r="J807" s="19"/>
      <c r="K807" s="19"/>
      <c r="L807" s="225"/>
      <c r="M807" s="226"/>
      <c r="N807" s="226"/>
      <c r="O807" s="227"/>
      <c r="P807" s="19"/>
      <c r="Q807" s="19"/>
      <c r="R807" s="19"/>
      <c r="S807" s="228"/>
      <c r="T807" s="228"/>
      <c r="U807" s="229"/>
      <c r="V807" s="22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</row>
    <row r="808">
      <c r="A808" s="217"/>
      <c r="B808" s="218"/>
      <c r="C808" s="219"/>
      <c r="D808" s="220"/>
      <c r="E808" s="221"/>
      <c r="F808" s="222"/>
      <c r="G808" s="223"/>
      <c r="H808" s="224"/>
      <c r="I808" s="19"/>
      <c r="J808" s="19"/>
      <c r="K808" s="19"/>
      <c r="L808" s="225"/>
      <c r="M808" s="226"/>
      <c r="N808" s="226"/>
      <c r="O808" s="227"/>
      <c r="P808" s="19"/>
      <c r="Q808" s="19"/>
      <c r="R808" s="19"/>
      <c r="S808" s="228"/>
      <c r="T808" s="228"/>
      <c r="U808" s="229"/>
      <c r="V808" s="22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>
      <c r="A809" s="217"/>
      <c r="B809" s="218"/>
      <c r="C809" s="219"/>
      <c r="D809" s="220"/>
      <c r="E809" s="221"/>
      <c r="F809" s="222"/>
      <c r="G809" s="223"/>
      <c r="H809" s="224"/>
      <c r="I809" s="19"/>
      <c r="J809" s="19"/>
      <c r="K809" s="19"/>
      <c r="L809" s="225"/>
      <c r="M809" s="226"/>
      <c r="N809" s="226"/>
      <c r="O809" s="227"/>
      <c r="P809" s="19"/>
      <c r="Q809" s="19"/>
      <c r="R809" s="19"/>
      <c r="S809" s="228"/>
      <c r="T809" s="228"/>
      <c r="U809" s="229"/>
      <c r="V809" s="22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>
      <c r="A810" s="217"/>
      <c r="B810" s="218"/>
      <c r="C810" s="219"/>
      <c r="D810" s="220"/>
      <c r="E810" s="221"/>
      <c r="F810" s="222"/>
      <c r="G810" s="223"/>
      <c r="H810" s="224"/>
      <c r="I810" s="19"/>
      <c r="J810" s="19"/>
      <c r="K810" s="19"/>
      <c r="L810" s="225"/>
      <c r="M810" s="226"/>
      <c r="N810" s="226"/>
      <c r="O810" s="227"/>
      <c r="P810" s="19"/>
      <c r="Q810" s="19"/>
      <c r="R810" s="19"/>
      <c r="S810" s="228"/>
      <c r="T810" s="228"/>
      <c r="U810" s="229"/>
      <c r="V810" s="22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</row>
    <row r="811">
      <c r="A811" s="217"/>
      <c r="B811" s="218"/>
      <c r="C811" s="219"/>
      <c r="D811" s="220"/>
      <c r="E811" s="221"/>
      <c r="F811" s="222"/>
      <c r="G811" s="223"/>
      <c r="H811" s="224"/>
      <c r="I811" s="19"/>
      <c r="J811" s="19"/>
      <c r="K811" s="19"/>
      <c r="L811" s="225"/>
      <c r="M811" s="226"/>
      <c r="N811" s="226"/>
      <c r="O811" s="227"/>
      <c r="P811" s="19"/>
      <c r="Q811" s="19"/>
      <c r="R811" s="19"/>
      <c r="S811" s="228"/>
      <c r="T811" s="228"/>
      <c r="U811" s="229"/>
      <c r="V811" s="22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</row>
    <row r="812">
      <c r="A812" s="217"/>
      <c r="B812" s="218"/>
      <c r="C812" s="219"/>
      <c r="D812" s="220"/>
      <c r="E812" s="221"/>
      <c r="F812" s="222"/>
      <c r="G812" s="223"/>
      <c r="H812" s="224"/>
      <c r="I812" s="19"/>
      <c r="J812" s="19"/>
      <c r="K812" s="19"/>
      <c r="L812" s="225"/>
      <c r="M812" s="226"/>
      <c r="N812" s="226"/>
      <c r="O812" s="227"/>
      <c r="P812" s="19"/>
      <c r="Q812" s="19"/>
      <c r="R812" s="19"/>
      <c r="S812" s="228"/>
      <c r="T812" s="228"/>
      <c r="U812" s="229"/>
      <c r="V812" s="22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</row>
    <row r="813">
      <c r="A813" s="217"/>
      <c r="B813" s="218"/>
      <c r="C813" s="219"/>
      <c r="D813" s="220"/>
      <c r="E813" s="221"/>
      <c r="F813" s="222"/>
      <c r="G813" s="223"/>
      <c r="H813" s="224"/>
      <c r="I813" s="19"/>
      <c r="J813" s="19"/>
      <c r="K813" s="19"/>
      <c r="L813" s="225"/>
      <c r="M813" s="226"/>
      <c r="N813" s="226"/>
      <c r="O813" s="227"/>
      <c r="P813" s="19"/>
      <c r="Q813" s="19"/>
      <c r="R813" s="19"/>
      <c r="S813" s="228"/>
      <c r="T813" s="228"/>
      <c r="U813" s="229"/>
      <c r="V813" s="22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</row>
    <row r="814">
      <c r="A814" s="217"/>
      <c r="B814" s="218"/>
      <c r="C814" s="219"/>
      <c r="D814" s="220"/>
      <c r="E814" s="221"/>
      <c r="F814" s="222"/>
      <c r="G814" s="223"/>
      <c r="H814" s="224"/>
      <c r="I814" s="19"/>
      <c r="J814" s="19"/>
      <c r="K814" s="19"/>
      <c r="L814" s="225"/>
      <c r="M814" s="226"/>
      <c r="N814" s="226"/>
      <c r="O814" s="227"/>
      <c r="P814" s="19"/>
      <c r="Q814" s="19"/>
      <c r="R814" s="19"/>
      <c r="S814" s="228"/>
      <c r="T814" s="228"/>
      <c r="U814" s="229"/>
      <c r="V814" s="22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</row>
    <row r="815">
      <c r="A815" s="217"/>
      <c r="B815" s="218"/>
      <c r="C815" s="219"/>
      <c r="D815" s="220"/>
      <c r="E815" s="221"/>
      <c r="F815" s="222"/>
      <c r="G815" s="223"/>
      <c r="H815" s="224"/>
      <c r="I815" s="19"/>
      <c r="J815" s="19"/>
      <c r="K815" s="19"/>
      <c r="L815" s="225"/>
      <c r="M815" s="226"/>
      <c r="N815" s="226"/>
      <c r="O815" s="227"/>
      <c r="P815" s="19"/>
      <c r="Q815" s="19"/>
      <c r="R815" s="19"/>
      <c r="S815" s="228"/>
      <c r="T815" s="228"/>
      <c r="U815" s="229"/>
      <c r="V815" s="22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</row>
    <row r="816">
      <c r="A816" s="217"/>
      <c r="B816" s="218"/>
      <c r="C816" s="219"/>
      <c r="D816" s="220"/>
      <c r="E816" s="221"/>
      <c r="F816" s="222"/>
      <c r="G816" s="223"/>
      <c r="H816" s="224"/>
      <c r="I816" s="19"/>
      <c r="J816" s="19"/>
      <c r="K816" s="19"/>
      <c r="L816" s="225"/>
      <c r="M816" s="226"/>
      <c r="N816" s="226"/>
      <c r="O816" s="227"/>
      <c r="P816" s="19"/>
      <c r="Q816" s="19"/>
      <c r="R816" s="19"/>
      <c r="S816" s="228"/>
      <c r="T816" s="228"/>
      <c r="U816" s="229"/>
      <c r="V816" s="22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</row>
    <row r="817">
      <c r="A817" s="217"/>
      <c r="B817" s="218"/>
      <c r="C817" s="219"/>
      <c r="D817" s="220"/>
      <c r="E817" s="221"/>
      <c r="F817" s="222"/>
      <c r="G817" s="223"/>
      <c r="H817" s="224"/>
      <c r="I817" s="19"/>
      <c r="J817" s="19"/>
      <c r="K817" s="19"/>
      <c r="L817" s="225"/>
      <c r="M817" s="226"/>
      <c r="N817" s="226"/>
      <c r="O817" s="227"/>
      <c r="P817" s="19"/>
      <c r="Q817" s="19"/>
      <c r="R817" s="19"/>
      <c r="S817" s="228"/>
      <c r="T817" s="228"/>
      <c r="U817" s="229"/>
      <c r="V817" s="22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</row>
    <row r="818">
      <c r="A818" s="217"/>
      <c r="B818" s="218"/>
      <c r="C818" s="219"/>
      <c r="D818" s="220"/>
      <c r="E818" s="221"/>
      <c r="F818" s="222"/>
      <c r="G818" s="223"/>
      <c r="H818" s="224"/>
      <c r="I818" s="19"/>
      <c r="J818" s="19"/>
      <c r="K818" s="19"/>
      <c r="L818" s="225"/>
      <c r="M818" s="226"/>
      <c r="N818" s="226"/>
      <c r="O818" s="227"/>
      <c r="P818" s="19"/>
      <c r="Q818" s="19"/>
      <c r="R818" s="19"/>
      <c r="S818" s="228"/>
      <c r="T818" s="228"/>
      <c r="U818" s="229"/>
      <c r="V818" s="22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>
      <c r="A819" s="217"/>
      <c r="B819" s="218"/>
      <c r="C819" s="219"/>
      <c r="D819" s="220"/>
      <c r="E819" s="221"/>
      <c r="F819" s="222"/>
      <c r="G819" s="223"/>
      <c r="H819" s="224"/>
      <c r="I819" s="19"/>
      <c r="J819" s="19"/>
      <c r="K819" s="19"/>
      <c r="L819" s="225"/>
      <c r="M819" s="226"/>
      <c r="N819" s="226"/>
      <c r="O819" s="227"/>
      <c r="P819" s="19"/>
      <c r="Q819" s="19"/>
      <c r="R819" s="19"/>
      <c r="S819" s="228"/>
      <c r="T819" s="228"/>
      <c r="U819" s="229"/>
      <c r="V819" s="22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>
      <c r="A820" s="217"/>
      <c r="B820" s="218"/>
      <c r="C820" s="219"/>
      <c r="D820" s="220"/>
      <c r="E820" s="221"/>
      <c r="F820" s="222"/>
      <c r="G820" s="223"/>
      <c r="H820" s="224"/>
      <c r="I820" s="19"/>
      <c r="J820" s="19"/>
      <c r="K820" s="19"/>
      <c r="L820" s="225"/>
      <c r="M820" s="226"/>
      <c r="N820" s="226"/>
      <c r="O820" s="227"/>
      <c r="P820" s="19"/>
      <c r="Q820" s="19"/>
      <c r="R820" s="19"/>
      <c r="S820" s="228"/>
      <c r="T820" s="228"/>
      <c r="U820" s="229"/>
      <c r="V820" s="22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>
      <c r="A821" s="217"/>
      <c r="B821" s="218"/>
      <c r="C821" s="219"/>
      <c r="D821" s="220"/>
      <c r="E821" s="221"/>
      <c r="F821" s="222"/>
      <c r="G821" s="223"/>
      <c r="H821" s="224"/>
      <c r="I821" s="19"/>
      <c r="J821" s="19"/>
      <c r="K821" s="19"/>
      <c r="L821" s="225"/>
      <c r="M821" s="226"/>
      <c r="N821" s="226"/>
      <c r="O821" s="227"/>
      <c r="P821" s="19"/>
      <c r="Q821" s="19"/>
      <c r="R821" s="19"/>
      <c r="S821" s="228"/>
      <c r="T821" s="228"/>
      <c r="U821" s="229"/>
      <c r="V821" s="22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</row>
    <row r="822">
      <c r="A822" s="217"/>
      <c r="B822" s="218"/>
      <c r="C822" s="219"/>
      <c r="D822" s="220"/>
      <c r="E822" s="221"/>
      <c r="F822" s="222"/>
      <c r="G822" s="223"/>
      <c r="H822" s="224"/>
      <c r="I822" s="19"/>
      <c r="J822" s="19"/>
      <c r="K822" s="19"/>
      <c r="L822" s="225"/>
      <c r="M822" s="226"/>
      <c r="N822" s="226"/>
      <c r="O822" s="227"/>
      <c r="P822" s="19"/>
      <c r="Q822" s="19"/>
      <c r="R822" s="19"/>
      <c r="S822" s="228"/>
      <c r="T822" s="228"/>
      <c r="U822" s="229"/>
      <c r="V822" s="22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</row>
    <row r="823">
      <c r="A823" s="217"/>
      <c r="B823" s="218"/>
      <c r="C823" s="219"/>
      <c r="D823" s="220"/>
      <c r="E823" s="221"/>
      <c r="F823" s="222"/>
      <c r="G823" s="223"/>
      <c r="H823" s="224"/>
      <c r="I823" s="19"/>
      <c r="J823" s="19"/>
      <c r="K823" s="19"/>
      <c r="L823" s="225"/>
      <c r="M823" s="226"/>
      <c r="N823" s="226"/>
      <c r="O823" s="227"/>
      <c r="P823" s="19"/>
      <c r="Q823" s="19"/>
      <c r="R823" s="19"/>
      <c r="S823" s="228"/>
      <c r="T823" s="228"/>
      <c r="U823" s="229"/>
      <c r="V823" s="22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>
      <c r="A824" s="217"/>
      <c r="B824" s="218"/>
      <c r="C824" s="219"/>
      <c r="D824" s="220"/>
      <c r="E824" s="221"/>
      <c r="F824" s="222"/>
      <c r="G824" s="223"/>
      <c r="H824" s="224"/>
      <c r="I824" s="19"/>
      <c r="J824" s="19"/>
      <c r="K824" s="19"/>
      <c r="L824" s="225"/>
      <c r="M824" s="226"/>
      <c r="N824" s="226"/>
      <c r="O824" s="227"/>
      <c r="P824" s="19"/>
      <c r="Q824" s="19"/>
      <c r="R824" s="19"/>
      <c r="S824" s="228"/>
      <c r="T824" s="228"/>
      <c r="U824" s="229"/>
      <c r="V824" s="22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</row>
    <row r="825">
      <c r="A825" s="217"/>
      <c r="B825" s="218"/>
      <c r="C825" s="219"/>
      <c r="D825" s="220"/>
      <c r="E825" s="221"/>
      <c r="F825" s="222"/>
      <c r="G825" s="223"/>
      <c r="H825" s="224"/>
      <c r="I825" s="19"/>
      <c r="J825" s="19"/>
      <c r="K825" s="19"/>
      <c r="L825" s="225"/>
      <c r="M825" s="226"/>
      <c r="N825" s="226"/>
      <c r="O825" s="227"/>
      <c r="P825" s="19"/>
      <c r="Q825" s="19"/>
      <c r="R825" s="19"/>
      <c r="S825" s="228"/>
      <c r="T825" s="228"/>
      <c r="U825" s="229"/>
      <c r="V825" s="22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>
      <c r="A826" s="217"/>
      <c r="B826" s="218"/>
      <c r="C826" s="219"/>
      <c r="D826" s="220"/>
      <c r="E826" s="221"/>
      <c r="F826" s="222"/>
      <c r="G826" s="223"/>
      <c r="H826" s="224"/>
      <c r="I826" s="19"/>
      <c r="J826" s="19"/>
      <c r="K826" s="19"/>
      <c r="L826" s="225"/>
      <c r="M826" s="226"/>
      <c r="N826" s="226"/>
      <c r="O826" s="227"/>
      <c r="P826" s="19"/>
      <c r="Q826" s="19"/>
      <c r="R826" s="19"/>
      <c r="S826" s="228"/>
      <c r="T826" s="228"/>
      <c r="U826" s="229"/>
      <c r="V826" s="22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</row>
    <row r="827">
      <c r="A827" s="217"/>
      <c r="B827" s="218"/>
      <c r="C827" s="219"/>
      <c r="D827" s="220"/>
      <c r="E827" s="221"/>
      <c r="F827" s="222"/>
      <c r="G827" s="223"/>
      <c r="H827" s="224"/>
      <c r="I827" s="19"/>
      <c r="J827" s="19"/>
      <c r="K827" s="19"/>
      <c r="L827" s="225"/>
      <c r="M827" s="226"/>
      <c r="N827" s="226"/>
      <c r="O827" s="227"/>
      <c r="P827" s="19"/>
      <c r="Q827" s="19"/>
      <c r="R827" s="19"/>
      <c r="S827" s="228"/>
      <c r="T827" s="228"/>
      <c r="U827" s="229"/>
      <c r="V827" s="22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>
      <c r="A828" s="217"/>
      <c r="B828" s="218"/>
      <c r="C828" s="219"/>
      <c r="D828" s="220"/>
      <c r="E828" s="221"/>
      <c r="F828" s="222"/>
      <c r="G828" s="223"/>
      <c r="H828" s="224"/>
      <c r="I828" s="19"/>
      <c r="J828" s="19"/>
      <c r="K828" s="19"/>
      <c r="L828" s="225"/>
      <c r="M828" s="226"/>
      <c r="N828" s="226"/>
      <c r="O828" s="227"/>
      <c r="P828" s="19"/>
      <c r="Q828" s="19"/>
      <c r="R828" s="19"/>
      <c r="S828" s="228"/>
      <c r="T828" s="228"/>
      <c r="U828" s="229"/>
      <c r="V828" s="22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>
      <c r="A829" s="217"/>
      <c r="B829" s="218"/>
      <c r="C829" s="219"/>
      <c r="D829" s="220"/>
      <c r="E829" s="221"/>
      <c r="F829" s="222"/>
      <c r="G829" s="223"/>
      <c r="H829" s="224"/>
      <c r="I829" s="19"/>
      <c r="J829" s="19"/>
      <c r="K829" s="19"/>
      <c r="L829" s="225"/>
      <c r="M829" s="226"/>
      <c r="N829" s="226"/>
      <c r="O829" s="227"/>
      <c r="P829" s="19"/>
      <c r="Q829" s="19"/>
      <c r="R829" s="19"/>
      <c r="S829" s="228"/>
      <c r="T829" s="228"/>
      <c r="U829" s="229"/>
      <c r="V829" s="22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>
      <c r="A830" s="217"/>
      <c r="B830" s="218"/>
      <c r="C830" s="219"/>
      <c r="D830" s="220"/>
      <c r="E830" s="221"/>
      <c r="F830" s="222"/>
      <c r="G830" s="223"/>
      <c r="H830" s="224"/>
      <c r="I830" s="19"/>
      <c r="J830" s="19"/>
      <c r="K830" s="19"/>
      <c r="L830" s="225"/>
      <c r="M830" s="226"/>
      <c r="N830" s="226"/>
      <c r="O830" s="227"/>
      <c r="P830" s="19"/>
      <c r="Q830" s="19"/>
      <c r="R830" s="19"/>
      <c r="S830" s="228"/>
      <c r="T830" s="228"/>
      <c r="U830" s="229"/>
      <c r="V830" s="22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</row>
    <row r="831">
      <c r="A831" s="217"/>
      <c r="B831" s="218"/>
      <c r="C831" s="219"/>
      <c r="D831" s="220"/>
      <c r="E831" s="221"/>
      <c r="F831" s="222"/>
      <c r="G831" s="223"/>
      <c r="H831" s="224"/>
      <c r="I831" s="19"/>
      <c r="J831" s="19"/>
      <c r="K831" s="19"/>
      <c r="L831" s="225"/>
      <c r="M831" s="226"/>
      <c r="N831" s="226"/>
      <c r="O831" s="227"/>
      <c r="P831" s="19"/>
      <c r="Q831" s="19"/>
      <c r="R831" s="19"/>
      <c r="S831" s="228"/>
      <c r="T831" s="228"/>
      <c r="U831" s="229"/>
      <c r="V831" s="22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>
      <c r="A832" s="217"/>
      <c r="B832" s="218"/>
      <c r="C832" s="219"/>
      <c r="D832" s="220"/>
      <c r="E832" s="221"/>
      <c r="F832" s="222"/>
      <c r="G832" s="223"/>
      <c r="H832" s="224"/>
      <c r="I832" s="19"/>
      <c r="J832" s="19"/>
      <c r="K832" s="19"/>
      <c r="L832" s="225"/>
      <c r="M832" s="226"/>
      <c r="N832" s="226"/>
      <c r="O832" s="227"/>
      <c r="P832" s="19"/>
      <c r="Q832" s="19"/>
      <c r="R832" s="19"/>
      <c r="S832" s="228"/>
      <c r="T832" s="228"/>
      <c r="U832" s="229"/>
      <c r="V832" s="22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</row>
    <row r="833">
      <c r="A833" s="217"/>
      <c r="B833" s="218"/>
      <c r="C833" s="219"/>
      <c r="D833" s="220"/>
      <c r="E833" s="221"/>
      <c r="F833" s="222"/>
      <c r="G833" s="223"/>
      <c r="H833" s="224"/>
      <c r="I833" s="19"/>
      <c r="J833" s="19"/>
      <c r="K833" s="19"/>
      <c r="L833" s="225"/>
      <c r="M833" s="226"/>
      <c r="N833" s="226"/>
      <c r="O833" s="227"/>
      <c r="P833" s="19"/>
      <c r="Q833" s="19"/>
      <c r="R833" s="19"/>
      <c r="S833" s="228"/>
      <c r="T833" s="228"/>
      <c r="U833" s="229"/>
      <c r="V833" s="22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</row>
    <row r="834">
      <c r="A834" s="217"/>
      <c r="B834" s="218"/>
      <c r="C834" s="219"/>
      <c r="D834" s="220"/>
      <c r="E834" s="221"/>
      <c r="F834" s="222"/>
      <c r="G834" s="223"/>
      <c r="H834" s="224"/>
      <c r="I834" s="19"/>
      <c r="J834" s="19"/>
      <c r="K834" s="19"/>
      <c r="L834" s="225"/>
      <c r="M834" s="226"/>
      <c r="N834" s="226"/>
      <c r="O834" s="227"/>
      <c r="P834" s="19"/>
      <c r="Q834" s="19"/>
      <c r="R834" s="19"/>
      <c r="S834" s="228"/>
      <c r="T834" s="228"/>
      <c r="U834" s="229"/>
      <c r="V834" s="22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</row>
    <row r="835">
      <c r="A835" s="217"/>
      <c r="B835" s="218"/>
      <c r="C835" s="219"/>
      <c r="D835" s="220"/>
      <c r="E835" s="221"/>
      <c r="F835" s="222"/>
      <c r="G835" s="223"/>
      <c r="H835" s="224"/>
      <c r="I835" s="19"/>
      <c r="J835" s="19"/>
      <c r="K835" s="19"/>
      <c r="L835" s="225"/>
      <c r="M835" s="226"/>
      <c r="N835" s="226"/>
      <c r="O835" s="227"/>
      <c r="P835" s="19"/>
      <c r="Q835" s="19"/>
      <c r="R835" s="19"/>
      <c r="S835" s="228"/>
      <c r="T835" s="228"/>
      <c r="U835" s="229"/>
      <c r="V835" s="22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</row>
    <row r="836">
      <c r="A836" s="217"/>
      <c r="B836" s="218"/>
      <c r="C836" s="219"/>
      <c r="D836" s="220"/>
      <c r="E836" s="221"/>
      <c r="F836" s="222"/>
      <c r="G836" s="223"/>
      <c r="H836" s="224"/>
      <c r="I836" s="19"/>
      <c r="J836" s="19"/>
      <c r="K836" s="19"/>
      <c r="L836" s="225"/>
      <c r="M836" s="226"/>
      <c r="N836" s="226"/>
      <c r="O836" s="227"/>
      <c r="P836" s="19"/>
      <c r="Q836" s="19"/>
      <c r="R836" s="19"/>
      <c r="S836" s="228"/>
      <c r="T836" s="228"/>
      <c r="U836" s="229"/>
      <c r="V836" s="22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</row>
    <row r="837">
      <c r="A837" s="217"/>
      <c r="B837" s="218"/>
      <c r="C837" s="219"/>
      <c r="D837" s="220"/>
      <c r="E837" s="221"/>
      <c r="F837" s="222"/>
      <c r="G837" s="223"/>
      <c r="H837" s="224"/>
      <c r="I837" s="19"/>
      <c r="J837" s="19"/>
      <c r="K837" s="19"/>
      <c r="L837" s="225"/>
      <c r="M837" s="226"/>
      <c r="N837" s="226"/>
      <c r="O837" s="227"/>
      <c r="P837" s="19"/>
      <c r="Q837" s="19"/>
      <c r="R837" s="19"/>
      <c r="S837" s="228"/>
      <c r="T837" s="228"/>
      <c r="U837" s="229"/>
      <c r="V837" s="22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</row>
    <row r="838">
      <c r="A838" s="217"/>
      <c r="B838" s="218"/>
      <c r="C838" s="219"/>
      <c r="D838" s="220"/>
      <c r="E838" s="221"/>
      <c r="F838" s="222"/>
      <c r="G838" s="223"/>
      <c r="H838" s="224"/>
      <c r="I838" s="19"/>
      <c r="J838" s="19"/>
      <c r="K838" s="19"/>
      <c r="L838" s="225"/>
      <c r="M838" s="226"/>
      <c r="N838" s="226"/>
      <c r="O838" s="227"/>
      <c r="P838" s="19"/>
      <c r="Q838" s="19"/>
      <c r="R838" s="19"/>
      <c r="S838" s="228"/>
      <c r="T838" s="228"/>
      <c r="U838" s="229"/>
      <c r="V838" s="22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</row>
    <row r="839">
      <c r="A839" s="217"/>
      <c r="B839" s="218"/>
      <c r="C839" s="219"/>
      <c r="D839" s="220"/>
      <c r="E839" s="221"/>
      <c r="F839" s="222"/>
      <c r="G839" s="223"/>
      <c r="H839" s="224"/>
      <c r="I839" s="19"/>
      <c r="J839" s="19"/>
      <c r="K839" s="19"/>
      <c r="L839" s="225"/>
      <c r="M839" s="226"/>
      <c r="N839" s="226"/>
      <c r="O839" s="227"/>
      <c r="P839" s="19"/>
      <c r="Q839" s="19"/>
      <c r="R839" s="19"/>
      <c r="S839" s="228"/>
      <c r="T839" s="228"/>
      <c r="U839" s="229"/>
      <c r="V839" s="22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</row>
    <row r="840">
      <c r="A840" s="217"/>
      <c r="B840" s="218"/>
      <c r="C840" s="219"/>
      <c r="D840" s="220"/>
      <c r="E840" s="221"/>
      <c r="F840" s="222"/>
      <c r="G840" s="223"/>
      <c r="H840" s="224"/>
      <c r="I840" s="19"/>
      <c r="J840" s="19"/>
      <c r="K840" s="19"/>
      <c r="L840" s="225"/>
      <c r="M840" s="226"/>
      <c r="N840" s="226"/>
      <c r="O840" s="227"/>
      <c r="P840" s="19"/>
      <c r="Q840" s="19"/>
      <c r="R840" s="19"/>
      <c r="S840" s="228"/>
      <c r="T840" s="228"/>
      <c r="U840" s="229"/>
      <c r="V840" s="22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</row>
    <row r="841">
      <c r="A841" s="217"/>
      <c r="B841" s="218"/>
      <c r="C841" s="219"/>
      <c r="D841" s="220"/>
      <c r="E841" s="221"/>
      <c r="F841" s="222"/>
      <c r="G841" s="223"/>
      <c r="H841" s="224"/>
      <c r="I841" s="19"/>
      <c r="J841" s="19"/>
      <c r="K841" s="19"/>
      <c r="L841" s="225"/>
      <c r="M841" s="226"/>
      <c r="N841" s="226"/>
      <c r="O841" s="227"/>
      <c r="P841" s="19"/>
      <c r="Q841" s="19"/>
      <c r="R841" s="19"/>
      <c r="S841" s="228"/>
      <c r="T841" s="228"/>
      <c r="U841" s="229"/>
      <c r="V841" s="22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</row>
    <row r="842">
      <c r="A842" s="217"/>
      <c r="B842" s="218"/>
      <c r="C842" s="219"/>
      <c r="D842" s="220"/>
      <c r="E842" s="221"/>
      <c r="F842" s="222"/>
      <c r="G842" s="223"/>
      <c r="H842" s="224"/>
      <c r="I842" s="19"/>
      <c r="J842" s="19"/>
      <c r="K842" s="19"/>
      <c r="L842" s="225"/>
      <c r="M842" s="226"/>
      <c r="N842" s="226"/>
      <c r="O842" s="227"/>
      <c r="P842" s="19"/>
      <c r="Q842" s="19"/>
      <c r="R842" s="19"/>
      <c r="S842" s="228"/>
      <c r="T842" s="228"/>
      <c r="U842" s="229"/>
      <c r="V842" s="22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</row>
    <row r="843">
      <c r="A843" s="217"/>
      <c r="B843" s="218"/>
      <c r="C843" s="219"/>
      <c r="D843" s="220"/>
      <c r="E843" s="221"/>
      <c r="F843" s="222"/>
      <c r="G843" s="223"/>
      <c r="H843" s="224"/>
      <c r="I843" s="19"/>
      <c r="J843" s="19"/>
      <c r="K843" s="19"/>
      <c r="L843" s="225"/>
      <c r="M843" s="226"/>
      <c r="N843" s="226"/>
      <c r="O843" s="227"/>
      <c r="P843" s="19"/>
      <c r="Q843" s="19"/>
      <c r="R843" s="19"/>
      <c r="S843" s="228"/>
      <c r="T843" s="228"/>
      <c r="U843" s="229"/>
      <c r="V843" s="22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</row>
    <row r="844">
      <c r="A844" s="217"/>
      <c r="B844" s="218"/>
      <c r="C844" s="219"/>
      <c r="D844" s="220"/>
      <c r="E844" s="221"/>
      <c r="F844" s="222"/>
      <c r="G844" s="223"/>
      <c r="H844" s="224"/>
      <c r="I844" s="19"/>
      <c r="J844" s="19"/>
      <c r="K844" s="19"/>
      <c r="L844" s="225"/>
      <c r="M844" s="226"/>
      <c r="N844" s="226"/>
      <c r="O844" s="227"/>
      <c r="P844" s="19"/>
      <c r="Q844" s="19"/>
      <c r="R844" s="19"/>
      <c r="S844" s="228"/>
      <c r="T844" s="228"/>
      <c r="U844" s="229"/>
      <c r="V844" s="22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</row>
    <row r="845">
      <c r="A845" s="217"/>
      <c r="B845" s="218"/>
      <c r="C845" s="219"/>
      <c r="D845" s="220"/>
      <c r="E845" s="221"/>
      <c r="F845" s="222"/>
      <c r="G845" s="223"/>
      <c r="H845" s="224"/>
      <c r="I845" s="19"/>
      <c r="J845" s="19"/>
      <c r="K845" s="19"/>
      <c r="L845" s="225"/>
      <c r="M845" s="226"/>
      <c r="N845" s="226"/>
      <c r="O845" s="227"/>
      <c r="P845" s="19"/>
      <c r="Q845" s="19"/>
      <c r="R845" s="19"/>
      <c r="S845" s="228"/>
      <c r="T845" s="228"/>
      <c r="U845" s="229"/>
      <c r="V845" s="22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</row>
    <row r="846">
      <c r="A846" s="217"/>
      <c r="B846" s="218"/>
      <c r="C846" s="219"/>
      <c r="D846" s="220"/>
      <c r="E846" s="221"/>
      <c r="F846" s="222"/>
      <c r="G846" s="223"/>
      <c r="H846" s="224"/>
      <c r="I846" s="19"/>
      <c r="J846" s="19"/>
      <c r="K846" s="19"/>
      <c r="L846" s="225"/>
      <c r="M846" s="226"/>
      <c r="N846" s="226"/>
      <c r="O846" s="227"/>
      <c r="P846" s="19"/>
      <c r="Q846" s="19"/>
      <c r="R846" s="19"/>
      <c r="S846" s="228"/>
      <c r="T846" s="228"/>
      <c r="U846" s="229"/>
      <c r="V846" s="22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</row>
    <row r="847">
      <c r="A847" s="217"/>
      <c r="B847" s="218"/>
      <c r="C847" s="219"/>
      <c r="D847" s="220"/>
      <c r="E847" s="221"/>
      <c r="F847" s="222"/>
      <c r="G847" s="223"/>
      <c r="H847" s="224"/>
      <c r="I847" s="19"/>
      <c r="J847" s="19"/>
      <c r="K847" s="19"/>
      <c r="L847" s="225"/>
      <c r="M847" s="226"/>
      <c r="N847" s="226"/>
      <c r="O847" s="227"/>
      <c r="P847" s="19"/>
      <c r="Q847" s="19"/>
      <c r="R847" s="19"/>
      <c r="S847" s="228"/>
      <c r="T847" s="228"/>
      <c r="U847" s="229"/>
      <c r="V847" s="22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</row>
    <row r="848">
      <c r="A848" s="217"/>
      <c r="B848" s="218"/>
      <c r="C848" s="219"/>
      <c r="D848" s="220"/>
      <c r="E848" s="221"/>
      <c r="F848" s="222"/>
      <c r="G848" s="223"/>
      <c r="H848" s="224"/>
      <c r="I848" s="19"/>
      <c r="J848" s="19"/>
      <c r="K848" s="19"/>
      <c r="L848" s="225"/>
      <c r="M848" s="226"/>
      <c r="N848" s="226"/>
      <c r="O848" s="227"/>
      <c r="P848" s="19"/>
      <c r="Q848" s="19"/>
      <c r="R848" s="19"/>
      <c r="S848" s="228"/>
      <c r="T848" s="228"/>
      <c r="U848" s="229"/>
      <c r="V848" s="22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>
      <c r="A849" s="217"/>
      <c r="B849" s="218"/>
      <c r="C849" s="219"/>
      <c r="D849" s="220"/>
      <c r="E849" s="221"/>
      <c r="F849" s="222"/>
      <c r="G849" s="223"/>
      <c r="H849" s="224"/>
      <c r="I849" s="19"/>
      <c r="J849" s="19"/>
      <c r="K849" s="19"/>
      <c r="L849" s="225"/>
      <c r="M849" s="226"/>
      <c r="N849" s="226"/>
      <c r="O849" s="227"/>
      <c r="P849" s="19"/>
      <c r="Q849" s="19"/>
      <c r="R849" s="19"/>
      <c r="S849" s="228"/>
      <c r="T849" s="228"/>
      <c r="U849" s="229"/>
      <c r="V849" s="22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</row>
    <row r="850">
      <c r="A850" s="217"/>
      <c r="B850" s="218"/>
      <c r="C850" s="219"/>
      <c r="D850" s="220"/>
      <c r="E850" s="221"/>
      <c r="F850" s="222"/>
      <c r="G850" s="223"/>
      <c r="H850" s="224"/>
      <c r="I850" s="19"/>
      <c r="J850" s="19"/>
      <c r="K850" s="19"/>
      <c r="L850" s="225"/>
      <c r="M850" s="226"/>
      <c r="N850" s="226"/>
      <c r="O850" s="227"/>
      <c r="P850" s="19"/>
      <c r="Q850" s="19"/>
      <c r="R850" s="19"/>
      <c r="S850" s="228"/>
      <c r="T850" s="228"/>
      <c r="U850" s="229"/>
      <c r="V850" s="22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>
      <c r="A851" s="217"/>
      <c r="B851" s="218"/>
      <c r="C851" s="219"/>
      <c r="D851" s="220"/>
      <c r="E851" s="221"/>
      <c r="F851" s="222"/>
      <c r="G851" s="223"/>
      <c r="H851" s="224"/>
      <c r="I851" s="19"/>
      <c r="J851" s="19"/>
      <c r="K851" s="19"/>
      <c r="L851" s="225"/>
      <c r="M851" s="226"/>
      <c r="N851" s="226"/>
      <c r="O851" s="227"/>
      <c r="P851" s="19"/>
      <c r="Q851" s="19"/>
      <c r="R851" s="19"/>
      <c r="S851" s="228"/>
      <c r="T851" s="228"/>
      <c r="U851" s="229"/>
      <c r="V851" s="22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>
      <c r="A852" s="217"/>
      <c r="B852" s="218"/>
      <c r="C852" s="219"/>
      <c r="D852" s="220"/>
      <c r="E852" s="221"/>
      <c r="F852" s="222"/>
      <c r="G852" s="223"/>
      <c r="H852" s="224"/>
      <c r="I852" s="19"/>
      <c r="J852" s="19"/>
      <c r="K852" s="19"/>
      <c r="L852" s="225"/>
      <c r="M852" s="226"/>
      <c r="N852" s="226"/>
      <c r="O852" s="227"/>
      <c r="P852" s="19"/>
      <c r="Q852" s="19"/>
      <c r="R852" s="19"/>
      <c r="S852" s="228"/>
      <c r="T852" s="228"/>
      <c r="U852" s="229"/>
      <c r="V852" s="22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</row>
    <row r="853">
      <c r="A853" s="217"/>
      <c r="B853" s="218"/>
      <c r="C853" s="219"/>
      <c r="D853" s="220"/>
      <c r="E853" s="221"/>
      <c r="F853" s="222"/>
      <c r="G853" s="223"/>
      <c r="H853" s="224"/>
      <c r="I853" s="19"/>
      <c r="J853" s="19"/>
      <c r="K853" s="19"/>
      <c r="L853" s="225"/>
      <c r="M853" s="226"/>
      <c r="N853" s="226"/>
      <c r="O853" s="227"/>
      <c r="P853" s="19"/>
      <c r="Q853" s="19"/>
      <c r="R853" s="19"/>
      <c r="S853" s="228"/>
      <c r="T853" s="228"/>
      <c r="U853" s="229"/>
      <c r="V853" s="22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</row>
    <row r="854">
      <c r="A854" s="217"/>
      <c r="B854" s="218"/>
      <c r="C854" s="219"/>
      <c r="D854" s="220"/>
      <c r="E854" s="221"/>
      <c r="F854" s="222"/>
      <c r="G854" s="223"/>
      <c r="H854" s="224"/>
      <c r="I854" s="19"/>
      <c r="J854" s="19"/>
      <c r="K854" s="19"/>
      <c r="L854" s="225"/>
      <c r="M854" s="226"/>
      <c r="N854" s="226"/>
      <c r="O854" s="227"/>
      <c r="P854" s="19"/>
      <c r="Q854" s="19"/>
      <c r="R854" s="19"/>
      <c r="S854" s="228"/>
      <c r="T854" s="228"/>
      <c r="U854" s="229"/>
      <c r="V854" s="22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</row>
    <row r="855">
      <c r="A855" s="217"/>
      <c r="B855" s="218"/>
      <c r="C855" s="219"/>
      <c r="D855" s="220"/>
      <c r="E855" s="221"/>
      <c r="F855" s="222"/>
      <c r="G855" s="223"/>
      <c r="H855" s="224"/>
      <c r="I855" s="19"/>
      <c r="J855" s="19"/>
      <c r="K855" s="19"/>
      <c r="L855" s="225"/>
      <c r="M855" s="226"/>
      <c r="N855" s="226"/>
      <c r="O855" s="227"/>
      <c r="P855" s="19"/>
      <c r="Q855" s="19"/>
      <c r="R855" s="19"/>
      <c r="S855" s="228"/>
      <c r="T855" s="228"/>
      <c r="U855" s="229"/>
      <c r="V855" s="22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</row>
    <row r="856">
      <c r="A856" s="217"/>
      <c r="B856" s="218"/>
      <c r="C856" s="219"/>
      <c r="D856" s="220"/>
      <c r="E856" s="221"/>
      <c r="F856" s="222"/>
      <c r="G856" s="223"/>
      <c r="H856" s="224"/>
      <c r="I856" s="19"/>
      <c r="J856" s="19"/>
      <c r="K856" s="19"/>
      <c r="L856" s="225"/>
      <c r="M856" s="226"/>
      <c r="N856" s="226"/>
      <c r="O856" s="227"/>
      <c r="P856" s="19"/>
      <c r="Q856" s="19"/>
      <c r="R856" s="19"/>
      <c r="S856" s="228"/>
      <c r="T856" s="228"/>
      <c r="U856" s="229"/>
      <c r="V856" s="22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>
      <c r="A857" s="217"/>
      <c r="B857" s="218"/>
      <c r="C857" s="219"/>
      <c r="D857" s="220"/>
      <c r="E857" s="221"/>
      <c r="F857" s="222"/>
      <c r="G857" s="223"/>
      <c r="H857" s="224"/>
      <c r="I857" s="19"/>
      <c r="J857" s="19"/>
      <c r="K857" s="19"/>
      <c r="L857" s="225"/>
      <c r="M857" s="226"/>
      <c r="N857" s="226"/>
      <c r="O857" s="227"/>
      <c r="P857" s="19"/>
      <c r="Q857" s="19"/>
      <c r="R857" s="19"/>
      <c r="S857" s="228"/>
      <c r="T857" s="228"/>
      <c r="U857" s="229"/>
      <c r="V857" s="22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</row>
    <row r="858">
      <c r="A858" s="217"/>
      <c r="B858" s="218"/>
      <c r="C858" s="219"/>
      <c r="D858" s="220"/>
      <c r="E858" s="221"/>
      <c r="F858" s="222"/>
      <c r="G858" s="223"/>
      <c r="H858" s="224"/>
      <c r="I858" s="19"/>
      <c r="J858" s="19"/>
      <c r="K858" s="19"/>
      <c r="L858" s="225"/>
      <c r="M858" s="226"/>
      <c r="N858" s="226"/>
      <c r="O858" s="227"/>
      <c r="P858" s="19"/>
      <c r="Q858" s="19"/>
      <c r="R858" s="19"/>
      <c r="S858" s="228"/>
      <c r="T858" s="228"/>
      <c r="U858" s="229"/>
      <c r="V858" s="22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</row>
    <row r="859">
      <c r="A859" s="217"/>
      <c r="B859" s="218"/>
      <c r="C859" s="219"/>
      <c r="D859" s="220"/>
      <c r="E859" s="221"/>
      <c r="F859" s="222"/>
      <c r="G859" s="223"/>
      <c r="H859" s="224"/>
      <c r="I859" s="19"/>
      <c r="J859" s="19"/>
      <c r="K859" s="19"/>
      <c r="L859" s="225"/>
      <c r="M859" s="226"/>
      <c r="N859" s="226"/>
      <c r="O859" s="227"/>
      <c r="P859" s="19"/>
      <c r="Q859" s="19"/>
      <c r="R859" s="19"/>
      <c r="S859" s="228"/>
      <c r="T859" s="228"/>
      <c r="U859" s="229"/>
      <c r="V859" s="22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</row>
    <row r="860">
      <c r="A860" s="217"/>
      <c r="B860" s="218"/>
      <c r="C860" s="219"/>
      <c r="D860" s="220"/>
      <c r="E860" s="221"/>
      <c r="F860" s="222"/>
      <c r="G860" s="223"/>
      <c r="H860" s="224"/>
      <c r="I860" s="19"/>
      <c r="J860" s="19"/>
      <c r="K860" s="19"/>
      <c r="L860" s="225"/>
      <c r="M860" s="226"/>
      <c r="N860" s="226"/>
      <c r="O860" s="227"/>
      <c r="P860" s="19"/>
      <c r="Q860" s="19"/>
      <c r="R860" s="19"/>
      <c r="S860" s="228"/>
      <c r="T860" s="228"/>
      <c r="U860" s="229"/>
      <c r="V860" s="22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>
      <c r="A861" s="217"/>
      <c r="B861" s="218"/>
      <c r="C861" s="219"/>
      <c r="D861" s="220"/>
      <c r="E861" s="221"/>
      <c r="F861" s="222"/>
      <c r="G861" s="223"/>
      <c r="H861" s="224"/>
      <c r="I861" s="19"/>
      <c r="J861" s="19"/>
      <c r="K861" s="19"/>
      <c r="L861" s="225"/>
      <c r="M861" s="226"/>
      <c r="N861" s="226"/>
      <c r="O861" s="227"/>
      <c r="P861" s="19"/>
      <c r="Q861" s="19"/>
      <c r="R861" s="19"/>
      <c r="S861" s="228"/>
      <c r="T861" s="228"/>
      <c r="U861" s="229"/>
      <c r="V861" s="22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</row>
    <row r="862">
      <c r="A862" s="217"/>
      <c r="B862" s="218"/>
      <c r="C862" s="219"/>
      <c r="D862" s="220"/>
      <c r="E862" s="221"/>
      <c r="F862" s="222"/>
      <c r="G862" s="223"/>
      <c r="H862" s="224"/>
      <c r="I862" s="19"/>
      <c r="J862" s="19"/>
      <c r="K862" s="19"/>
      <c r="L862" s="225"/>
      <c r="M862" s="226"/>
      <c r="N862" s="226"/>
      <c r="O862" s="227"/>
      <c r="P862" s="19"/>
      <c r="Q862" s="19"/>
      <c r="R862" s="19"/>
      <c r="S862" s="228"/>
      <c r="T862" s="228"/>
      <c r="U862" s="229"/>
      <c r="V862" s="22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</row>
    <row r="863">
      <c r="A863" s="217"/>
      <c r="B863" s="218"/>
      <c r="C863" s="219"/>
      <c r="D863" s="220"/>
      <c r="E863" s="221"/>
      <c r="F863" s="222"/>
      <c r="G863" s="223"/>
      <c r="H863" s="224"/>
      <c r="I863" s="19"/>
      <c r="J863" s="19"/>
      <c r="K863" s="19"/>
      <c r="L863" s="225"/>
      <c r="M863" s="226"/>
      <c r="N863" s="226"/>
      <c r="O863" s="227"/>
      <c r="P863" s="19"/>
      <c r="Q863" s="19"/>
      <c r="R863" s="19"/>
      <c r="S863" s="228"/>
      <c r="T863" s="228"/>
      <c r="U863" s="229"/>
      <c r="V863" s="22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</row>
    <row r="864">
      <c r="A864" s="217"/>
      <c r="B864" s="218"/>
      <c r="C864" s="219"/>
      <c r="D864" s="220"/>
      <c r="E864" s="221"/>
      <c r="F864" s="222"/>
      <c r="G864" s="223"/>
      <c r="H864" s="224"/>
      <c r="I864" s="19"/>
      <c r="J864" s="19"/>
      <c r="K864" s="19"/>
      <c r="L864" s="225"/>
      <c r="M864" s="226"/>
      <c r="N864" s="226"/>
      <c r="O864" s="227"/>
      <c r="P864" s="19"/>
      <c r="Q864" s="19"/>
      <c r="R864" s="19"/>
      <c r="S864" s="228"/>
      <c r="T864" s="228"/>
      <c r="U864" s="229"/>
      <c r="V864" s="22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</row>
    <row r="865">
      <c r="A865" s="217"/>
      <c r="B865" s="218"/>
      <c r="C865" s="219"/>
      <c r="D865" s="220"/>
      <c r="E865" s="221"/>
      <c r="F865" s="222"/>
      <c r="G865" s="223"/>
      <c r="H865" s="224"/>
      <c r="I865" s="19"/>
      <c r="J865" s="19"/>
      <c r="K865" s="19"/>
      <c r="L865" s="225"/>
      <c r="M865" s="226"/>
      <c r="N865" s="226"/>
      <c r="O865" s="227"/>
      <c r="P865" s="19"/>
      <c r="Q865" s="19"/>
      <c r="R865" s="19"/>
      <c r="S865" s="228"/>
      <c r="T865" s="228"/>
      <c r="U865" s="229"/>
      <c r="V865" s="22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</row>
    <row r="866">
      <c r="A866" s="217"/>
      <c r="B866" s="218"/>
      <c r="C866" s="219"/>
      <c r="D866" s="220"/>
      <c r="E866" s="221"/>
      <c r="F866" s="222"/>
      <c r="G866" s="223"/>
      <c r="H866" s="224"/>
      <c r="I866" s="19"/>
      <c r="J866" s="19"/>
      <c r="K866" s="19"/>
      <c r="L866" s="225"/>
      <c r="M866" s="226"/>
      <c r="N866" s="226"/>
      <c r="O866" s="227"/>
      <c r="P866" s="19"/>
      <c r="Q866" s="19"/>
      <c r="R866" s="19"/>
      <c r="S866" s="228"/>
      <c r="T866" s="228"/>
      <c r="U866" s="229"/>
      <c r="V866" s="22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</row>
    <row r="867">
      <c r="A867" s="217"/>
      <c r="B867" s="218"/>
      <c r="C867" s="219"/>
      <c r="D867" s="220"/>
      <c r="E867" s="221"/>
      <c r="F867" s="222"/>
      <c r="G867" s="223"/>
      <c r="H867" s="224"/>
      <c r="I867" s="19"/>
      <c r="J867" s="19"/>
      <c r="K867" s="19"/>
      <c r="L867" s="225"/>
      <c r="M867" s="226"/>
      <c r="N867" s="226"/>
      <c r="O867" s="227"/>
      <c r="P867" s="19"/>
      <c r="Q867" s="19"/>
      <c r="R867" s="19"/>
      <c r="S867" s="228"/>
      <c r="T867" s="228"/>
      <c r="U867" s="229"/>
      <c r="V867" s="22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</row>
    <row r="868">
      <c r="A868" s="217"/>
      <c r="B868" s="218"/>
      <c r="C868" s="219"/>
      <c r="D868" s="220"/>
      <c r="E868" s="221"/>
      <c r="F868" s="222"/>
      <c r="G868" s="223"/>
      <c r="H868" s="224"/>
      <c r="I868" s="19"/>
      <c r="J868" s="19"/>
      <c r="K868" s="19"/>
      <c r="L868" s="225"/>
      <c r="M868" s="226"/>
      <c r="N868" s="226"/>
      <c r="O868" s="227"/>
      <c r="P868" s="19"/>
      <c r="Q868" s="19"/>
      <c r="R868" s="19"/>
      <c r="S868" s="228"/>
      <c r="T868" s="228"/>
      <c r="U868" s="229"/>
      <c r="V868" s="22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</row>
    <row r="869">
      <c r="A869" s="217"/>
      <c r="B869" s="218"/>
      <c r="C869" s="219"/>
      <c r="D869" s="220"/>
      <c r="E869" s="221"/>
      <c r="F869" s="222"/>
      <c r="G869" s="223"/>
      <c r="H869" s="224"/>
      <c r="I869" s="19"/>
      <c r="J869" s="19"/>
      <c r="K869" s="19"/>
      <c r="L869" s="225"/>
      <c r="M869" s="226"/>
      <c r="N869" s="226"/>
      <c r="O869" s="227"/>
      <c r="P869" s="19"/>
      <c r="Q869" s="19"/>
      <c r="R869" s="19"/>
      <c r="S869" s="228"/>
      <c r="T869" s="228"/>
      <c r="U869" s="229"/>
      <c r="V869" s="22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</row>
    <row r="870">
      <c r="A870" s="217"/>
      <c r="B870" s="218"/>
      <c r="C870" s="219"/>
      <c r="D870" s="220"/>
      <c r="E870" s="221"/>
      <c r="F870" s="222"/>
      <c r="G870" s="223"/>
      <c r="H870" s="224"/>
      <c r="I870" s="19"/>
      <c r="J870" s="19"/>
      <c r="K870" s="19"/>
      <c r="L870" s="225"/>
      <c r="M870" s="226"/>
      <c r="N870" s="226"/>
      <c r="O870" s="227"/>
      <c r="P870" s="19"/>
      <c r="Q870" s="19"/>
      <c r="R870" s="19"/>
      <c r="S870" s="228"/>
      <c r="T870" s="228"/>
      <c r="U870" s="229"/>
      <c r="V870" s="22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</row>
    <row r="871">
      <c r="A871" s="217"/>
      <c r="B871" s="218"/>
      <c r="C871" s="219"/>
      <c r="D871" s="220"/>
      <c r="E871" s="221"/>
      <c r="F871" s="222"/>
      <c r="G871" s="223"/>
      <c r="H871" s="224"/>
      <c r="I871" s="19"/>
      <c r="J871" s="19"/>
      <c r="K871" s="19"/>
      <c r="L871" s="225"/>
      <c r="M871" s="226"/>
      <c r="N871" s="226"/>
      <c r="O871" s="227"/>
      <c r="P871" s="19"/>
      <c r="Q871" s="19"/>
      <c r="R871" s="19"/>
      <c r="S871" s="228"/>
      <c r="T871" s="228"/>
      <c r="U871" s="229"/>
      <c r="V871" s="22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</row>
    <row r="872">
      <c r="A872" s="217"/>
      <c r="B872" s="218"/>
      <c r="C872" s="219"/>
      <c r="D872" s="220"/>
      <c r="E872" s="221"/>
      <c r="F872" s="222"/>
      <c r="G872" s="223"/>
      <c r="H872" s="224"/>
      <c r="I872" s="19"/>
      <c r="J872" s="19"/>
      <c r="K872" s="19"/>
      <c r="L872" s="225"/>
      <c r="M872" s="226"/>
      <c r="N872" s="226"/>
      <c r="O872" s="227"/>
      <c r="P872" s="19"/>
      <c r="Q872" s="19"/>
      <c r="R872" s="19"/>
      <c r="S872" s="228"/>
      <c r="T872" s="228"/>
      <c r="U872" s="229"/>
      <c r="V872" s="22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</row>
    <row r="873">
      <c r="A873" s="217"/>
      <c r="B873" s="218"/>
      <c r="C873" s="219"/>
      <c r="D873" s="220"/>
      <c r="E873" s="221"/>
      <c r="F873" s="222"/>
      <c r="G873" s="223"/>
      <c r="H873" s="224"/>
      <c r="I873" s="19"/>
      <c r="J873" s="19"/>
      <c r="K873" s="19"/>
      <c r="L873" s="225"/>
      <c r="M873" s="226"/>
      <c r="N873" s="226"/>
      <c r="O873" s="227"/>
      <c r="P873" s="19"/>
      <c r="Q873" s="19"/>
      <c r="R873" s="19"/>
      <c r="S873" s="228"/>
      <c r="T873" s="228"/>
      <c r="U873" s="229"/>
      <c r="V873" s="22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</row>
    <row r="874">
      <c r="A874" s="217"/>
      <c r="B874" s="218"/>
      <c r="C874" s="219"/>
      <c r="D874" s="220"/>
      <c r="E874" s="221"/>
      <c r="F874" s="222"/>
      <c r="G874" s="223"/>
      <c r="H874" s="224"/>
      <c r="I874" s="19"/>
      <c r="J874" s="19"/>
      <c r="K874" s="19"/>
      <c r="L874" s="225"/>
      <c r="M874" s="226"/>
      <c r="N874" s="226"/>
      <c r="O874" s="227"/>
      <c r="P874" s="19"/>
      <c r="Q874" s="19"/>
      <c r="R874" s="19"/>
      <c r="S874" s="228"/>
      <c r="T874" s="228"/>
      <c r="U874" s="229"/>
      <c r="V874" s="22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</row>
    <row r="875">
      <c r="A875" s="217"/>
      <c r="B875" s="218"/>
      <c r="C875" s="219"/>
      <c r="D875" s="220"/>
      <c r="E875" s="221"/>
      <c r="F875" s="222"/>
      <c r="G875" s="223"/>
      <c r="H875" s="224"/>
      <c r="I875" s="19"/>
      <c r="J875" s="19"/>
      <c r="K875" s="19"/>
      <c r="L875" s="225"/>
      <c r="M875" s="226"/>
      <c r="N875" s="226"/>
      <c r="O875" s="227"/>
      <c r="P875" s="19"/>
      <c r="Q875" s="19"/>
      <c r="R875" s="19"/>
      <c r="S875" s="228"/>
      <c r="T875" s="228"/>
      <c r="U875" s="229"/>
      <c r="V875" s="22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</row>
    <row r="876">
      <c r="A876" s="217"/>
      <c r="B876" s="218"/>
      <c r="C876" s="219"/>
      <c r="D876" s="220"/>
      <c r="E876" s="221"/>
      <c r="F876" s="222"/>
      <c r="G876" s="223"/>
      <c r="H876" s="224"/>
      <c r="I876" s="19"/>
      <c r="J876" s="19"/>
      <c r="K876" s="19"/>
      <c r="L876" s="225"/>
      <c r="M876" s="226"/>
      <c r="N876" s="226"/>
      <c r="O876" s="227"/>
      <c r="P876" s="19"/>
      <c r="Q876" s="19"/>
      <c r="R876" s="19"/>
      <c r="S876" s="228"/>
      <c r="T876" s="228"/>
      <c r="U876" s="229"/>
      <c r="V876" s="22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</row>
    <row r="877">
      <c r="A877" s="217"/>
      <c r="B877" s="218"/>
      <c r="C877" s="219"/>
      <c r="D877" s="220"/>
      <c r="E877" s="221"/>
      <c r="F877" s="222"/>
      <c r="G877" s="223"/>
      <c r="H877" s="224"/>
      <c r="I877" s="19"/>
      <c r="J877" s="19"/>
      <c r="K877" s="19"/>
      <c r="L877" s="225"/>
      <c r="M877" s="226"/>
      <c r="N877" s="226"/>
      <c r="O877" s="227"/>
      <c r="P877" s="19"/>
      <c r="Q877" s="19"/>
      <c r="R877" s="19"/>
      <c r="S877" s="228"/>
      <c r="T877" s="228"/>
      <c r="U877" s="229"/>
      <c r="V877" s="22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</row>
    <row r="878">
      <c r="A878" s="217"/>
      <c r="B878" s="218"/>
      <c r="C878" s="219"/>
      <c r="D878" s="220"/>
      <c r="E878" s="221"/>
      <c r="F878" s="222"/>
      <c r="G878" s="223"/>
      <c r="H878" s="224"/>
      <c r="I878" s="19"/>
      <c r="J878" s="19"/>
      <c r="K878" s="19"/>
      <c r="L878" s="225"/>
      <c r="M878" s="226"/>
      <c r="N878" s="226"/>
      <c r="O878" s="227"/>
      <c r="P878" s="19"/>
      <c r="Q878" s="19"/>
      <c r="R878" s="19"/>
      <c r="S878" s="228"/>
      <c r="T878" s="228"/>
      <c r="U878" s="229"/>
      <c r="V878" s="22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</row>
    <row r="879">
      <c r="A879" s="217"/>
      <c r="B879" s="218"/>
      <c r="C879" s="219"/>
      <c r="D879" s="220"/>
      <c r="E879" s="221"/>
      <c r="F879" s="222"/>
      <c r="G879" s="223"/>
      <c r="H879" s="224"/>
      <c r="I879" s="19"/>
      <c r="J879" s="19"/>
      <c r="K879" s="19"/>
      <c r="L879" s="225"/>
      <c r="M879" s="226"/>
      <c r="N879" s="226"/>
      <c r="O879" s="227"/>
      <c r="P879" s="19"/>
      <c r="Q879" s="19"/>
      <c r="R879" s="19"/>
      <c r="S879" s="228"/>
      <c r="T879" s="228"/>
      <c r="U879" s="229"/>
      <c r="V879" s="22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</row>
    <row r="880">
      <c r="A880" s="217"/>
      <c r="B880" s="218"/>
      <c r="C880" s="219"/>
      <c r="D880" s="220"/>
      <c r="E880" s="221"/>
      <c r="F880" s="222"/>
      <c r="G880" s="223"/>
      <c r="H880" s="224"/>
      <c r="I880" s="19"/>
      <c r="J880" s="19"/>
      <c r="K880" s="19"/>
      <c r="L880" s="225"/>
      <c r="M880" s="226"/>
      <c r="N880" s="226"/>
      <c r="O880" s="227"/>
      <c r="P880" s="19"/>
      <c r="Q880" s="19"/>
      <c r="R880" s="19"/>
      <c r="S880" s="228"/>
      <c r="T880" s="228"/>
      <c r="U880" s="229"/>
      <c r="V880" s="22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</row>
    <row r="881">
      <c r="A881" s="217"/>
      <c r="B881" s="218"/>
      <c r="C881" s="219"/>
      <c r="D881" s="220"/>
      <c r="E881" s="221"/>
      <c r="F881" s="222"/>
      <c r="G881" s="223"/>
      <c r="H881" s="224"/>
      <c r="I881" s="19"/>
      <c r="J881" s="19"/>
      <c r="K881" s="19"/>
      <c r="L881" s="225"/>
      <c r="M881" s="226"/>
      <c r="N881" s="226"/>
      <c r="O881" s="227"/>
      <c r="P881" s="19"/>
      <c r="Q881" s="19"/>
      <c r="R881" s="19"/>
      <c r="S881" s="228"/>
      <c r="T881" s="228"/>
      <c r="U881" s="229"/>
      <c r="V881" s="22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</row>
    <row r="882">
      <c r="A882" s="217"/>
      <c r="B882" s="218"/>
      <c r="C882" s="219"/>
      <c r="D882" s="220"/>
      <c r="E882" s="221"/>
      <c r="F882" s="222"/>
      <c r="G882" s="223"/>
      <c r="H882" s="224"/>
      <c r="I882" s="19"/>
      <c r="J882" s="19"/>
      <c r="K882" s="19"/>
      <c r="L882" s="225"/>
      <c r="M882" s="226"/>
      <c r="N882" s="226"/>
      <c r="O882" s="227"/>
      <c r="P882" s="19"/>
      <c r="Q882" s="19"/>
      <c r="R882" s="19"/>
      <c r="S882" s="228"/>
      <c r="T882" s="228"/>
      <c r="U882" s="229"/>
      <c r="V882" s="22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</row>
    <row r="883">
      <c r="A883" s="217"/>
      <c r="B883" s="218"/>
      <c r="C883" s="219"/>
      <c r="D883" s="220"/>
      <c r="E883" s="221"/>
      <c r="F883" s="222"/>
      <c r="G883" s="223"/>
      <c r="H883" s="224"/>
      <c r="I883" s="19"/>
      <c r="J883" s="19"/>
      <c r="K883" s="19"/>
      <c r="L883" s="225"/>
      <c r="M883" s="226"/>
      <c r="N883" s="226"/>
      <c r="O883" s="227"/>
      <c r="P883" s="19"/>
      <c r="Q883" s="19"/>
      <c r="R883" s="19"/>
      <c r="S883" s="228"/>
      <c r="T883" s="228"/>
      <c r="U883" s="229"/>
      <c r="V883" s="22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</row>
    <row r="884">
      <c r="A884" s="217"/>
      <c r="B884" s="218"/>
      <c r="C884" s="219"/>
      <c r="D884" s="220"/>
      <c r="E884" s="221"/>
      <c r="F884" s="222"/>
      <c r="G884" s="223"/>
      <c r="H884" s="224"/>
      <c r="I884" s="19"/>
      <c r="J884" s="19"/>
      <c r="K884" s="19"/>
      <c r="L884" s="225"/>
      <c r="M884" s="226"/>
      <c r="N884" s="226"/>
      <c r="O884" s="227"/>
      <c r="P884" s="19"/>
      <c r="Q884" s="19"/>
      <c r="R884" s="19"/>
      <c r="S884" s="228"/>
      <c r="T884" s="228"/>
      <c r="U884" s="229"/>
      <c r="V884" s="22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</row>
    <row r="885">
      <c r="A885" s="217"/>
      <c r="B885" s="218"/>
      <c r="C885" s="219"/>
      <c r="D885" s="220"/>
      <c r="E885" s="221"/>
      <c r="F885" s="222"/>
      <c r="G885" s="223"/>
      <c r="H885" s="224"/>
      <c r="I885" s="19"/>
      <c r="J885" s="19"/>
      <c r="K885" s="19"/>
      <c r="L885" s="225"/>
      <c r="M885" s="226"/>
      <c r="N885" s="226"/>
      <c r="O885" s="227"/>
      <c r="P885" s="19"/>
      <c r="Q885" s="19"/>
      <c r="R885" s="19"/>
      <c r="S885" s="228"/>
      <c r="T885" s="228"/>
      <c r="U885" s="229"/>
      <c r="V885" s="22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</row>
    <row r="886">
      <c r="A886" s="217"/>
      <c r="B886" s="218"/>
      <c r="C886" s="219"/>
      <c r="D886" s="220"/>
      <c r="E886" s="221"/>
      <c r="F886" s="222"/>
      <c r="G886" s="223"/>
      <c r="H886" s="224"/>
      <c r="I886" s="19"/>
      <c r="J886" s="19"/>
      <c r="K886" s="19"/>
      <c r="L886" s="225"/>
      <c r="M886" s="226"/>
      <c r="N886" s="226"/>
      <c r="O886" s="227"/>
      <c r="P886" s="19"/>
      <c r="Q886" s="19"/>
      <c r="R886" s="19"/>
      <c r="S886" s="228"/>
      <c r="T886" s="228"/>
      <c r="U886" s="229"/>
      <c r="V886" s="22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</row>
    <row r="887">
      <c r="A887" s="217"/>
      <c r="B887" s="218"/>
      <c r="C887" s="219"/>
      <c r="D887" s="220"/>
      <c r="E887" s="221"/>
      <c r="F887" s="222"/>
      <c r="G887" s="223"/>
      <c r="H887" s="224"/>
      <c r="I887" s="19"/>
      <c r="J887" s="19"/>
      <c r="K887" s="19"/>
      <c r="L887" s="225"/>
      <c r="M887" s="226"/>
      <c r="N887" s="226"/>
      <c r="O887" s="227"/>
      <c r="P887" s="19"/>
      <c r="Q887" s="19"/>
      <c r="R887" s="19"/>
      <c r="S887" s="228"/>
      <c r="T887" s="228"/>
      <c r="U887" s="229"/>
      <c r="V887" s="22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</row>
    <row r="888">
      <c r="A888" s="217"/>
      <c r="B888" s="218"/>
      <c r="C888" s="219"/>
      <c r="D888" s="220"/>
      <c r="E888" s="221"/>
      <c r="F888" s="222"/>
      <c r="G888" s="223"/>
      <c r="H888" s="224"/>
      <c r="I888" s="19"/>
      <c r="J888" s="19"/>
      <c r="K888" s="19"/>
      <c r="L888" s="225"/>
      <c r="M888" s="226"/>
      <c r="N888" s="226"/>
      <c r="O888" s="227"/>
      <c r="P888" s="19"/>
      <c r="Q888" s="19"/>
      <c r="R888" s="19"/>
      <c r="S888" s="228"/>
      <c r="T888" s="228"/>
      <c r="U888" s="229"/>
      <c r="V888" s="22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</row>
    <row r="889">
      <c r="A889" s="217"/>
      <c r="B889" s="218"/>
      <c r="C889" s="219"/>
      <c r="D889" s="220"/>
      <c r="E889" s="221"/>
      <c r="F889" s="222"/>
      <c r="G889" s="223"/>
      <c r="H889" s="224"/>
      <c r="I889" s="19"/>
      <c r="J889" s="19"/>
      <c r="K889" s="19"/>
      <c r="L889" s="225"/>
      <c r="M889" s="226"/>
      <c r="N889" s="226"/>
      <c r="O889" s="227"/>
      <c r="P889" s="19"/>
      <c r="Q889" s="19"/>
      <c r="R889" s="19"/>
      <c r="S889" s="228"/>
      <c r="T889" s="228"/>
      <c r="U889" s="229"/>
      <c r="V889" s="22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</row>
    <row r="890">
      <c r="A890" s="217"/>
      <c r="B890" s="218"/>
      <c r="C890" s="219"/>
      <c r="D890" s="220"/>
      <c r="E890" s="221"/>
      <c r="F890" s="222"/>
      <c r="G890" s="223"/>
      <c r="H890" s="224"/>
      <c r="I890" s="19"/>
      <c r="J890" s="19"/>
      <c r="K890" s="19"/>
      <c r="L890" s="225"/>
      <c r="M890" s="226"/>
      <c r="N890" s="226"/>
      <c r="O890" s="227"/>
      <c r="P890" s="19"/>
      <c r="Q890" s="19"/>
      <c r="R890" s="19"/>
      <c r="S890" s="228"/>
      <c r="T890" s="228"/>
      <c r="U890" s="229"/>
      <c r="V890" s="22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</row>
    <row r="891">
      <c r="A891" s="217"/>
      <c r="B891" s="218"/>
      <c r="C891" s="219"/>
      <c r="D891" s="220"/>
      <c r="E891" s="221"/>
      <c r="F891" s="222"/>
      <c r="G891" s="223"/>
      <c r="H891" s="224"/>
      <c r="I891" s="19"/>
      <c r="J891" s="19"/>
      <c r="K891" s="19"/>
      <c r="L891" s="225"/>
      <c r="M891" s="226"/>
      <c r="N891" s="226"/>
      <c r="O891" s="227"/>
      <c r="P891" s="19"/>
      <c r="Q891" s="19"/>
      <c r="R891" s="19"/>
      <c r="S891" s="228"/>
      <c r="T891" s="228"/>
      <c r="U891" s="229"/>
      <c r="V891" s="22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</row>
    <row r="892">
      <c r="A892" s="217"/>
      <c r="B892" s="218"/>
      <c r="C892" s="219"/>
      <c r="D892" s="220"/>
      <c r="E892" s="221"/>
      <c r="F892" s="222"/>
      <c r="G892" s="223"/>
      <c r="H892" s="224"/>
      <c r="I892" s="19"/>
      <c r="J892" s="19"/>
      <c r="K892" s="19"/>
      <c r="L892" s="225"/>
      <c r="M892" s="226"/>
      <c r="N892" s="226"/>
      <c r="O892" s="227"/>
      <c r="P892" s="19"/>
      <c r="Q892" s="19"/>
      <c r="R892" s="19"/>
      <c r="S892" s="228"/>
      <c r="T892" s="228"/>
      <c r="U892" s="229"/>
      <c r="V892" s="22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</row>
    <row r="893">
      <c r="A893" s="217"/>
      <c r="B893" s="218"/>
      <c r="C893" s="219"/>
      <c r="D893" s="220"/>
      <c r="E893" s="221"/>
      <c r="F893" s="222"/>
      <c r="G893" s="223"/>
      <c r="H893" s="224"/>
      <c r="I893" s="19"/>
      <c r="J893" s="19"/>
      <c r="K893" s="19"/>
      <c r="L893" s="225"/>
      <c r="M893" s="226"/>
      <c r="N893" s="226"/>
      <c r="O893" s="227"/>
      <c r="P893" s="19"/>
      <c r="Q893" s="19"/>
      <c r="R893" s="19"/>
      <c r="S893" s="228"/>
      <c r="T893" s="228"/>
      <c r="U893" s="229"/>
      <c r="V893" s="22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</row>
    <row r="894">
      <c r="A894" s="217"/>
      <c r="B894" s="218"/>
      <c r="C894" s="219"/>
      <c r="D894" s="220"/>
      <c r="E894" s="221"/>
      <c r="F894" s="222"/>
      <c r="G894" s="223"/>
      <c r="H894" s="224"/>
      <c r="I894" s="19"/>
      <c r="J894" s="19"/>
      <c r="K894" s="19"/>
      <c r="L894" s="225"/>
      <c r="M894" s="226"/>
      <c r="N894" s="226"/>
      <c r="O894" s="227"/>
      <c r="P894" s="19"/>
      <c r="Q894" s="19"/>
      <c r="R894" s="19"/>
      <c r="S894" s="228"/>
      <c r="T894" s="228"/>
      <c r="U894" s="229"/>
      <c r="V894" s="22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</row>
    <row r="895">
      <c r="A895" s="217"/>
      <c r="B895" s="218"/>
      <c r="C895" s="219"/>
      <c r="D895" s="220"/>
      <c r="E895" s="221"/>
      <c r="F895" s="222"/>
      <c r="G895" s="223"/>
      <c r="H895" s="224"/>
      <c r="I895" s="19"/>
      <c r="J895" s="19"/>
      <c r="K895" s="19"/>
      <c r="L895" s="225"/>
      <c r="M895" s="226"/>
      <c r="N895" s="226"/>
      <c r="O895" s="227"/>
      <c r="P895" s="19"/>
      <c r="Q895" s="19"/>
      <c r="R895" s="19"/>
      <c r="S895" s="228"/>
      <c r="T895" s="228"/>
      <c r="U895" s="229"/>
      <c r="V895" s="22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</row>
    <row r="896">
      <c r="A896" s="217"/>
      <c r="B896" s="218"/>
      <c r="C896" s="219"/>
      <c r="D896" s="220"/>
      <c r="E896" s="221"/>
      <c r="F896" s="222"/>
      <c r="G896" s="223"/>
      <c r="H896" s="224"/>
      <c r="I896" s="19"/>
      <c r="J896" s="19"/>
      <c r="K896" s="19"/>
      <c r="L896" s="225"/>
      <c r="M896" s="226"/>
      <c r="N896" s="226"/>
      <c r="O896" s="227"/>
      <c r="P896" s="19"/>
      <c r="Q896" s="19"/>
      <c r="R896" s="19"/>
      <c r="S896" s="228"/>
      <c r="T896" s="228"/>
      <c r="U896" s="229"/>
      <c r="V896" s="22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</row>
    <row r="897">
      <c r="A897" s="217"/>
      <c r="B897" s="218"/>
      <c r="C897" s="219"/>
      <c r="D897" s="220"/>
      <c r="E897" s="221"/>
      <c r="F897" s="222"/>
      <c r="G897" s="223"/>
      <c r="H897" s="224"/>
      <c r="I897" s="19"/>
      <c r="J897" s="19"/>
      <c r="K897" s="19"/>
      <c r="L897" s="225"/>
      <c r="M897" s="226"/>
      <c r="N897" s="226"/>
      <c r="O897" s="227"/>
      <c r="P897" s="19"/>
      <c r="Q897" s="19"/>
      <c r="R897" s="19"/>
      <c r="S897" s="228"/>
      <c r="T897" s="228"/>
      <c r="U897" s="229"/>
      <c r="V897" s="22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</row>
    <row r="898">
      <c r="A898" s="217"/>
      <c r="B898" s="218"/>
      <c r="C898" s="219"/>
      <c r="D898" s="220"/>
      <c r="E898" s="221"/>
      <c r="F898" s="222"/>
      <c r="G898" s="223"/>
      <c r="H898" s="224"/>
      <c r="I898" s="19"/>
      <c r="J898" s="19"/>
      <c r="K898" s="19"/>
      <c r="L898" s="225"/>
      <c r="M898" s="226"/>
      <c r="N898" s="226"/>
      <c r="O898" s="227"/>
      <c r="P898" s="19"/>
      <c r="Q898" s="19"/>
      <c r="R898" s="19"/>
      <c r="S898" s="228"/>
      <c r="T898" s="228"/>
      <c r="U898" s="229"/>
      <c r="V898" s="22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</row>
    <row r="899">
      <c r="A899" s="217"/>
      <c r="B899" s="218"/>
      <c r="C899" s="219"/>
      <c r="D899" s="220"/>
      <c r="E899" s="221"/>
      <c r="F899" s="222"/>
      <c r="G899" s="223"/>
      <c r="H899" s="224"/>
      <c r="I899" s="19"/>
      <c r="J899" s="19"/>
      <c r="K899" s="19"/>
      <c r="L899" s="225"/>
      <c r="M899" s="226"/>
      <c r="N899" s="226"/>
      <c r="O899" s="227"/>
      <c r="P899" s="19"/>
      <c r="Q899" s="19"/>
      <c r="R899" s="19"/>
      <c r="S899" s="228"/>
      <c r="T899" s="228"/>
      <c r="U899" s="229"/>
      <c r="V899" s="22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</row>
    <row r="900">
      <c r="A900" s="217"/>
      <c r="B900" s="218"/>
      <c r="C900" s="219"/>
      <c r="D900" s="220"/>
      <c r="E900" s="221"/>
      <c r="F900" s="222"/>
      <c r="G900" s="223"/>
      <c r="H900" s="224"/>
      <c r="I900" s="19"/>
      <c r="J900" s="19"/>
      <c r="K900" s="19"/>
      <c r="L900" s="225"/>
      <c r="M900" s="226"/>
      <c r="N900" s="226"/>
      <c r="O900" s="227"/>
      <c r="P900" s="19"/>
      <c r="Q900" s="19"/>
      <c r="R900" s="19"/>
      <c r="S900" s="228"/>
      <c r="T900" s="228"/>
      <c r="U900" s="229"/>
      <c r="V900" s="22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</row>
    <row r="901">
      <c r="A901" s="217"/>
      <c r="B901" s="218"/>
      <c r="C901" s="219"/>
      <c r="D901" s="220"/>
      <c r="E901" s="221"/>
      <c r="F901" s="222"/>
      <c r="G901" s="223"/>
      <c r="H901" s="224"/>
      <c r="I901" s="19"/>
      <c r="J901" s="19"/>
      <c r="K901" s="19"/>
      <c r="L901" s="225"/>
      <c r="M901" s="226"/>
      <c r="N901" s="226"/>
      <c r="O901" s="227"/>
      <c r="P901" s="19"/>
      <c r="Q901" s="19"/>
      <c r="R901" s="19"/>
      <c r="S901" s="228"/>
      <c r="T901" s="228"/>
      <c r="U901" s="229"/>
      <c r="V901" s="22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</row>
    <row r="902">
      <c r="A902" s="217"/>
      <c r="B902" s="218"/>
      <c r="C902" s="219"/>
      <c r="D902" s="220"/>
      <c r="E902" s="221"/>
      <c r="F902" s="222"/>
      <c r="G902" s="223"/>
      <c r="H902" s="224"/>
      <c r="I902" s="19"/>
      <c r="J902" s="19"/>
      <c r="K902" s="19"/>
      <c r="L902" s="225"/>
      <c r="M902" s="226"/>
      <c r="N902" s="226"/>
      <c r="O902" s="227"/>
      <c r="P902" s="19"/>
      <c r="Q902" s="19"/>
      <c r="R902" s="19"/>
      <c r="S902" s="228"/>
      <c r="T902" s="228"/>
      <c r="U902" s="229"/>
      <c r="V902" s="22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</row>
    <row r="903">
      <c r="A903" s="217"/>
      <c r="B903" s="218"/>
      <c r="C903" s="219"/>
      <c r="D903" s="220"/>
      <c r="E903" s="221"/>
      <c r="F903" s="222"/>
      <c r="G903" s="223"/>
      <c r="H903" s="224"/>
      <c r="I903" s="19"/>
      <c r="J903" s="19"/>
      <c r="K903" s="19"/>
      <c r="L903" s="225"/>
      <c r="M903" s="226"/>
      <c r="N903" s="226"/>
      <c r="O903" s="227"/>
      <c r="P903" s="19"/>
      <c r="Q903" s="19"/>
      <c r="R903" s="19"/>
      <c r="S903" s="228"/>
      <c r="T903" s="228"/>
      <c r="U903" s="229"/>
      <c r="V903" s="22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</row>
    <row r="904">
      <c r="A904" s="217"/>
      <c r="B904" s="218"/>
      <c r="C904" s="219"/>
      <c r="D904" s="220"/>
      <c r="E904" s="221"/>
      <c r="F904" s="222"/>
      <c r="G904" s="223"/>
      <c r="H904" s="224"/>
      <c r="I904" s="19"/>
      <c r="J904" s="19"/>
      <c r="K904" s="19"/>
      <c r="L904" s="225"/>
      <c r="M904" s="226"/>
      <c r="N904" s="226"/>
      <c r="O904" s="227"/>
      <c r="P904" s="19"/>
      <c r="Q904" s="19"/>
      <c r="R904" s="19"/>
      <c r="S904" s="228"/>
      <c r="T904" s="228"/>
      <c r="U904" s="229"/>
      <c r="V904" s="22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</row>
    <row r="905">
      <c r="A905" s="217"/>
      <c r="B905" s="218"/>
      <c r="C905" s="219"/>
      <c r="D905" s="220"/>
      <c r="E905" s="221"/>
      <c r="F905" s="222"/>
      <c r="G905" s="223"/>
      <c r="H905" s="224"/>
      <c r="I905" s="19"/>
      <c r="J905" s="19"/>
      <c r="K905" s="19"/>
      <c r="L905" s="225"/>
      <c r="M905" s="226"/>
      <c r="N905" s="226"/>
      <c r="O905" s="227"/>
      <c r="P905" s="19"/>
      <c r="Q905" s="19"/>
      <c r="R905" s="19"/>
      <c r="S905" s="228"/>
      <c r="T905" s="228"/>
      <c r="U905" s="229"/>
      <c r="V905" s="22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</row>
    <row r="906">
      <c r="A906" s="217"/>
      <c r="B906" s="218"/>
      <c r="C906" s="219"/>
      <c r="D906" s="220"/>
      <c r="E906" s="221"/>
      <c r="F906" s="222"/>
      <c r="G906" s="223"/>
      <c r="H906" s="224"/>
      <c r="I906" s="19"/>
      <c r="J906" s="19"/>
      <c r="K906" s="19"/>
      <c r="L906" s="225"/>
      <c r="M906" s="226"/>
      <c r="N906" s="226"/>
      <c r="O906" s="227"/>
      <c r="P906" s="19"/>
      <c r="Q906" s="19"/>
      <c r="R906" s="19"/>
      <c r="S906" s="228"/>
      <c r="T906" s="228"/>
      <c r="U906" s="229"/>
      <c r="V906" s="22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</row>
    <row r="907">
      <c r="A907" s="217"/>
      <c r="B907" s="218"/>
      <c r="C907" s="219"/>
      <c r="D907" s="220"/>
      <c r="E907" s="221"/>
      <c r="F907" s="222"/>
      <c r="G907" s="223"/>
      <c r="H907" s="224"/>
      <c r="I907" s="19"/>
      <c r="J907" s="19"/>
      <c r="K907" s="19"/>
      <c r="L907" s="225"/>
      <c r="M907" s="226"/>
      <c r="N907" s="226"/>
      <c r="O907" s="227"/>
      <c r="P907" s="19"/>
      <c r="Q907" s="19"/>
      <c r="R907" s="19"/>
      <c r="S907" s="228"/>
      <c r="T907" s="228"/>
      <c r="U907" s="229"/>
      <c r="V907" s="22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</row>
    <row r="908">
      <c r="A908" s="217"/>
      <c r="B908" s="218"/>
      <c r="C908" s="219"/>
      <c r="D908" s="220"/>
      <c r="E908" s="221"/>
      <c r="F908" s="222"/>
      <c r="G908" s="223"/>
      <c r="H908" s="224"/>
      <c r="I908" s="19"/>
      <c r="J908" s="19"/>
      <c r="K908" s="19"/>
      <c r="L908" s="225"/>
      <c r="M908" s="226"/>
      <c r="N908" s="226"/>
      <c r="O908" s="227"/>
      <c r="P908" s="19"/>
      <c r="Q908" s="19"/>
      <c r="R908" s="19"/>
      <c r="S908" s="228"/>
      <c r="T908" s="228"/>
      <c r="U908" s="229"/>
      <c r="V908" s="22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</row>
    <row r="909">
      <c r="A909" s="217"/>
      <c r="B909" s="218"/>
      <c r="C909" s="219"/>
      <c r="D909" s="220"/>
      <c r="E909" s="221"/>
      <c r="F909" s="222"/>
      <c r="G909" s="223"/>
      <c r="H909" s="224"/>
      <c r="I909" s="19"/>
      <c r="J909" s="19"/>
      <c r="K909" s="19"/>
      <c r="L909" s="225"/>
      <c r="M909" s="226"/>
      <c r="N909" s="226"/>
      <c r="O909" s="227"/>
      <c r="P909" s="19"/>
      <c r="Q909" s="19"/>
      <c r="R909" s="19"/>
      <c r="S909" s="228"/>
      <c r="T909" s="228"/>
      <c r="U909" s="229"/>
      <c r="V909" s="22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</row>
    <row r="910">
      <c r="A910" s="217"/>
      <c r="B910" s="218"/>
      <c r="C910" s="219"/>
      <c r="D910" s="220"/>
      <c r="E910" s="221"/>
      <c r="F910" s="222"/>
      <c r="G910" s="223"/>
      <c r="H910" s="224"/>
      <c r="I910" s="19"/>
      <c r="J910" s="19"/>
      <c r="K910" s="19"/>
      <c r="L910" s="225"/>
      <c r="M910" s="226"/>
      <c r="N910" s="226"/>
      <c r="O910" s="227"/>
      <c r="P910" s="19"/>
      <c r="Q910" s="19"/>
      <c r="R910" s="19"/>
      <c r="S910" s="228"/>
      <c r="T910" s="228"/>
      <c r="U910" s="229"/>
      <c r="V910" s="22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</row>
    <row r="911">
      <c r="A911" s="217"/>
      <c r="B911" s="218"/>
      <c r="C911" s="219"/>
      <c r="D911" s="220"/>
      <c r="E911" s="221"/>
      <c r="F911" s="222"/>
      <c r="G911" s="223"/>
      <c r="H911" s="224"/>
      <c r="I911" s="19"/>
      <c r="J911" s="19"/>
      <c r="K911" s="19"/>
      <c r="L911" s="225"/>
      <c r="M911" s="226"/>
      <c r="N911" s="226"/>
      <c r="O911" s="227"/>
      <c r="P911" s="19"/>
      <c r="Q911" s="19"/>
      <c r="R911" s="19"/>
      <c r="S911" s="228"/>
      <c r="T911" s="228"/>
      <c r="U911" s="229"/>
      <c r="V911" s="22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</row>
    <row r="912">
      <c r="A912" s="217"/>
      <c r="B912" s="218"/>
      <c r="C912" s="219"/>
      <c r="D912" s="220"/>
      <c r="E912" s="221"/>
      <c r="F912" s="222"/>
      <c r="G912" s="223"/>
      <c r="H912" s="224"/>
      <c r="I912" s="19"/>
      <c r="J912" s="19"/>
      <c r="K912" s="19"/>
      <c r="L912" s="225"/>
      <c r="M912" s="226"/>
      <c r="N912" s="226"/>
      <c r="O912" s="227"/>
      <c r="P912" s="19"/>
      <c r="Q912" s="19"/>
      <c r="R912" s="19"/>
      <c r="S912" s="228"/>
      <c r="T912" s="228"/>
      <c r="U912" s="229"/>
      <c r="V912" s="22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</row>
    <row r="913">
      <c r="A913" s="217"/>
      <c r="B913" s="218"/>
      <c r="C913" s="219"/>
      <c r="D913" s="220"/>
      <c r="E913" s="221"/>
      <c r="F913" s="222"/>
      <c r="G913" s="223"/>
      <c r="H913" s="224"/>
      <c r="I913" s="19"/>
      <c r="J913" s="19"/>
      <c r="K913" s="19"/>
      <c r="L913" s="225"/>
      <c r="M913" s="226"/>
      <c r="N913" s="226"/>
      <c r="O913" s="227"/>
      <c r="P913" s="19"/>
      <c r="Q913" s="19"/>
      <c r="R913" s="19"/>
      <c r="S913" s="228"/>
      <c r="T913" s="228"/>
      <c r="U913" s="229"/>
      <c r="V913" s="22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</row>
    <row r="914">
      <c r="A914" s="217"/>
      <c r="B914" s="218"/>
      <c r="C914" s="219"/>
      <c r="D914" s="220"/>
      <c r="E914" s="221"/>
      <c r="F914" s="222"/>
      <c r="G914" s="223"/>
      <c r="H914" s="224"/>
      <c r="I914" s="19"/>
      <c r="J914" s="19"/>
      <c r="K914" s="19"/>
      <c r="L914" s="225"/>
      <c r="M914" s="226"/>
      <c r="N914" s="226"/>
      <c r="O914" s="227"/>
      <c r="P914" s="19"/>
      <c r="Q914" s="19"/>
      <c r="R914" s="19"/>
      <c r="S914" s="228"/>
      <c r="T914" s="228"/>
      <c r="U914" s="229"/>
      <c r="V914" s="22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</row>
    <row r="915">
      <c r="A915" s="217"/>
      <c r="B915" s="218"/>
      <c r="C915" s="219"/>
      <c r="D915" s="220"/>
      <c r="E915" s="221"/>
      <c r="F915" s="222"/>
      <c r="G915" s="223"/>
      <c r="H915" s="224"/>
      <c r="I915" s="19"/>
      <c r="J915" s="19"/>
      <c r="K915" s="19"/>
      <c r="L915" s="225"/>
      <c r="M915" s="226"/>
      <c r="N915" s="226"/>
      <c r="O915" s="227"/>
      <c r="P915" s="19"/>
      <c r="Q915" s="19"/>
      <c r="R915" s="19"/>
      <c r="S915" s="228"/>
      <c r="T915" s="228"/>
      <c r="U915" s="229"/>
      <c r="V915" s="22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</row>
    <row r="916">
      <c r="A916" s="217"/>
      <c r="B916" s="218"/>
      <c r="C916" s="219"/>
      <c r="D916" s="220"/>
      <c r="E916" s="221"/>
      <c r="F916" s="222"/>
      <c r="G916" s="223"/>
      <c r="H916" s="224"/>
      <c r="I916" s="19"/>
      <c r="J916" s="19"/>
      <c r="K916" s="19"/>
      <c r="L916" s="225"/>
      <c r="M916" s="226"/>
      <c r="N916" s="226"/>
      <c r="O916" s="227"/>
      <c r="P916" s="19"/>
      <c r="Q916" s="19"/>
      <c r="R916" s="19"/>
      <c r="S916" s="228"/>
      <c r="T916" s="228"/>
      <c r="U916" s="229"/>
      <c r="V916" s="22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</row>
    <row r="917">
      <c r="A917" s="217"/>
      <c r="B917" s="218"/>
      <c r="C917" s="219"/>
      <c r="D917" s="220"/>
      <c r="E917" s="221"/>
      <c r="F917" s="222"/>
      <c r="G917" s="223"/>
      <c r="H917" s="224"/>
      <c r="I917" s="19"/>
      <c r="J917" s="19"/>
      <c r="K917" s="19"/>
      <c r="L917" s="225"/>
      <c r="M917" s="226"/>
      <c r="N917" s="226"/>
      <c r="O917" s="227"/>
      <c r="P917" s="19"/>
      <c r="Q917" s="19"/>
      <c r="R917" s="19"/>
      <c r="S917" s="228"/>
      <c r="T917" s="228"/>
      <c r="U917" s="229"/>
      <c r="V917" s="22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</row>
    <row r="918">
      <c r="A918" s="217"/>
      <c r="B918" s="218"/>
      <c r="C918" s="219"/>
      <c r="D918" s="220"/>
      <c r="E918" s="221"/>
      <c r="F918" s="222"/>
      <c r="G918" s="223"/>
      <c r="H918" s="224"/>
      <c r="I918" s="19"/>
      <c r="J918" s="19"/>
      <c r="K918" s="19"/>
      <c r="L918" s="225"/>
      <c r="M918" s="226"/>
      <c r="N918" s="226"/>
      <c r="O918" s="227"/>
      <c r="P918" s="19"/>
      <c r="Q918" s="19"/>
      <c r="R918" s="19"/>
      <c r="S918" s="228"/>
      <c r="T918" s="228"/>
      <c r="U918" s="229"/>
      <c r="V918" s="22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</row>
    <row r="919">
      <c r="A919" s="217"/>
      <c r="B919" s="218"/>
      <c r="C919" s="219"/>
      <c r="D919" s="220"/>
      <c r="E919" s="221"/>
      <c r="F919" s="222"/>
      <c r="G919" s="223"/>
      <c r="H919" s="224"/>
      <c r="I919" s="19"/>
      <c r="J919" s="19"/>
      <c r="K919" s="19"/>
      <c r="L919" s="225"/>
      <c r="M919" s="226"/>
      <c r="N919" s="226"/>
      <c r="O919" s="227"/>
      <c r="P919" s="19"/>
      <c r="Q919" s="19"/>
      <c r="R919" s="19"/>
      <c r="S919" s="228"/>
      <c r="T919" s="228"/>
      <c r="U919" s="229"/>
      <c r="V919" s="22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</row>
    <row r="920">
      <c r="A920" s="217"/>
      <c r="B920" s="218"/>
      <c r="C920" s="219"/>
      <c r="D920" s="220"/>
      <c r="E920" s="221"/>
      <c r="F920" s="222"/>
      <c r="G920" s="223"/>
      <c r="H920" s="224"/>
      <c r="I920" s="19"/>
      <c r="J920" s="19"/>
      <c r="K920" s="19"/>
      <c r="L920" s="225"/>
      <c r="M920" s="226"/>
      <c r="N920" s="226"/>
      <c r="O920" s="227"/>
      <c r="P920" s="19"/>
      <c r="Q920" s="19"/>
      <c r="R920" s="19"/>
      <c r="S920" s="228"/>
      <c r="T920" s="228"/>
      <c r="U920" s="229"/>
      <c r="V920" s="22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</row>
    <row r="921">
      <c r="A921" s="217"/>
      <c r="B921" s="218"/>
      <c r="C921" s="219"/>
      <c r="D921" s="220"/>
      <c r="E921" s="221"/>
      <c r="F921" s="222"/>
      <c r="G921" s="223"/>
      <c r="H921" s="224"/>
      <c r="I921" s="19"/>
      <c r="J921" s="19"/>
      <c r="K921" s="19"/>
      <c r="L921" s="225"/>
      <c r="M921" s="226"/>
      <c r="N921" s="226"/>
      <c r="O921" s="227"/>
      <c r="P921" s="19"/>
      <c r="Q921" s="19"/>
      <c r="R921" s="19"/>
      <c r="S921" s="228"/>
      <c r="T921" s="228"/>
      <c r="U921" s="229"/>
      <c r="V921" s="22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</row>
    <row r="922">
      <c r="A922" s="217"/>
      <c r="B922" s="218"/>
      <c r="C922" s="219"/>
      <c r="D922" s="220"/>
      <c r="E922" s="221"/>
      <c r="F922" s="222"/>
      <c r="G922" s="223"/>
      <c r="H922" s="224"/>
      <c r="I922" s="19"/>
      <c r="J922" s="19"/>
      <c r="K922" s="19"/>
      <c r="L922" s="225"/>
      <c r="M922" s="226"/>
      <c r="N922" s="226"/>
      <c r="O922" s="227"/>
      <c r="P922" s="19"/>
      <c r="Q922" s="19"/>
      <c r="R922" s="19"/>
      <c r="S922" s="228"/>
      <c r="T922" s="228"/>
      <c r="U922" s="229"/>
      <c r="V922" s="22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</row>
    <row r="923">
      <c r="A923" s="217"/>
      <c r="B923" s="218"/>
      <c r="C923" s="219"/>
      <c r="D923" s="220"/>
      <c r="E923" s="221"/>
      <c r="F923" s="222"/>
      <c r="G923" s="223"/>
      <c r="H923" s="224"/>
      <c r="I923" s="19"/>
      <c r="J923" s="19"/>
      <c r="K923" s="19"/>
      <c r="L923" s="225"/>
      <c r="M923" s="226"/>
      <c r="N923" s="226"/>
      <c r="O923" s="227"/>
      <c r="P923" s="19"/>
      <c r="Q923" s="19"/>
      <c r="R923" s="19"/>
      <c r="S923" s="228"/>
      <c r="T923" s="228"/>
      <c r="U923" s="229"/>
      <c r="V923" s="22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</row>
    <row r="924">
      <c r="A924" s="217"/>
      <c r="B924" s="218"/>
      <c r="C924" s="219"/>
      <c r="D924" s="220"/>
      <c r="E924" s="221"/>
      <c r="F924" s="222"/>
      <c r="G924" s="223"/>
      <c r="H924" s="224"/>
      <c r="I924" s="19"/>
      <c r="J924" s="19"/>
      <c r="K924" s="19"/>
      <c r="L924" s="225"/>
      <c r="M924" s="226"/>
      <c r="N924" s="226"/>
      <c r="O924" s="227"/>
      <c r="P924" s="19"/>
      <c r="Q924" s="19"/>
      <c r="R924" s="19"/>
      <c r="S924" s="228"/>
      <c r="T924" s="228"/>
      <c r="U924" s="229"/>
      <c r="V924" s="22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</row>
    <row r="925">
      <c r="A925" s="217"/>
      <c r="B925" s="218"/>
      <c r="C925" s="219"/>
      <c r="D925" s="220"/>
      <c r="E925" s="221"/>
      <c r="F925" s="222"/>
      <c r="G925" s="223"/>
      <c r="H925" s="224"/>
      <c r="I925" s="19"/>
      <c r="J925" s="19"/>
      <c r="K925" s="19"/>
      <c r="L925" s="225"/>
      <c r="M925" s="226"/>
      <c r="N925" s="226"/>
      <c r="O925" s="227"/>
      <c r="P925" s="19"/>
      <c r="Q925" s="19"/>
      <c r="R925" s="19"/>
      <c r="S925" s="228"/>
      <c r="T925" s="228"/>
      <c r="U925" s="229"/>
      <c r="V925" s="22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</row>
    <row r="926">
      <c r="A926" s="217"/>
      <c r="B926" s="218"/>
      <c r="C926" s="219"/>
      <c r="D926" s="220"/>
      <c r="E926" s="221"/>
      <c r="F926" s="222"/>
      <c r="G926" s="223"/>
      <c r="H926" s="224"/>
      <c r="I926" s="19"/>
      <c r="J926" s="19"/>
      <c r="K926" s="19"/>
      <c r="L926" s="225"/>
      <c r="M926" s="226"/>
      <c r="N926" s="226"/>
      <c r="O926" s="227"/>
      <c r="P926" s="19"/>
      <c r="Q926" s="19"/>
      <c r="R926" s="19"/>
      <c r="S926" s="228"/>
      <c r="T926" s="228"/>
      <c r="U926" s="229"/>
      <c r="V926" s="22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</row>
    <row r="927">
      <c r="A927" s="217"/>
      <c r="B927" s="218"/>
      <c r="C927" s="219"/>
      <c r="D927" s="220"/>
      <c r="E927" s="221"/>
      <c r="F927" s="222"/>
      <c r="G927" s="223"/>
      <c r="H927" s="224"/>
      <c r="I927" s="19"/>
      <c r="J927" s="19"/>
      <c r="K927" s="19"/>
      <c r="L927" s="225"/>
      <c r="M927" s="226"/>
      <c r="N927" s="226"/>
      <c r="O927" s="227"/>
      <c r="P927" s="19"/>
      <c r="Q927" s="19"/>
      <c r="R927" s="19"/>
      <c r="S927" s="228"/>
      <c r="T927" s="228"/>
      <c r="U927" s="229"/>
      <c r="V927" s="22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</row>
    <row r="928">
      <c r="A928" s="217"/>
      <c r="B928" s="218"/>
      <c r="C928" s="219"/>
      <c r="D928" s="220"/>
      <c r="E928" s="221"/>
      <c r="F928" s="222"/>
      <c r="G928" s="223"/>
      <c r="H928" s="224"/>
      <c r="I928" s="19"/>
      <c r="J928" s="19"/>
      <c r="K928" s="19"/>
      <c r="L928" s="225"/>
      <c r="M928" s="226"/>
      <c r="N928" s="226"/>
      <c r="O928" s="227"/>
      <c r="P928" s="19"/>
      <c r="Q928" s="19"/>
      <c r="R928" s="19"/>
      <c r="S928" s="228"/>
      <c r="T928" s="228"/>
      <c r="U928" s="229"/>
      <c r="V928" s="22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</row>
    <row r="929">
      <c r="A929" s="217"/>
      <c r="B929" s="218"/>
      <c r="C929" s="219"/>
      <c r="D929" s="220"/>
      <c r="E929" s="221"/>
      <c r="F929" s="222"/>
      <c r="G929" s="223"/>
      <c r="H929" s="224"/>
      <c r="I929" s="19"/>
      <c r="J929" s="19"/>
      <c r="K929" s="19"/>
      <c r="L929" s="225"/>
      <c r="M929" s="226"/>
      <c r="N929" s="226"/>
      <c r="O929" s="227"/>
      <c r="P929" s="19"/>
      <c r="Q929" s="19"/>
      <c r="R929" s="19"/>
      <c r="S929" s="228"/>
      <c r="T929" s="228"/>
      <c r="U929" s="229"/>
      <c r="V929" s="22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</row>
    <row r="930">
      <c r="A930" s="217"/>
      <c r="B930" s="218"/>
      <c r="C930" s="219"/>
      <c r="D930" s="220"/>
      <c r="E930" s="221"/>
      <c r="F930" s="222"/>
      <c r="G930" s="223"/>
      <c r="H930" s="224"/>
      <c r="I930" s="19"/>
      <c r="J930" s="19"/>
      <c r="K930" s="19"/>
      <c r="L930" s="225"/>
      <c r="M930" s="226"/>
      <c r="N930" s="226"/>
      <c r="O930" s="227"/>
      <c r="P930" s="19"/>
      <c r="Q930" s="19"/>
      <c r="R930" s="19"/>
      <c r="S930" s="228"/>
      <c r="T930" s="228"/>
      <c r="U930" s="229"/>
      <c r="V930" s="22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</row>
    <row r="931">
      <c r="A931" s="217"/>
      <c r="B931" s="218"/>
      <c r="C931" s="219"/>
      <c r="D931" s="220"/>
      <c r="E931" s="221"/>
      <c r="F931" s="222"/>
      <c r="G931" s="223"/>
      <c r="H931" s="224"/>
      <c r="I931" s="19"/>
      <c r="J931" s="19"/>
      <c r="K931" s="19"/>
      <c r="L931" s="225"/>
      <c r="M931" s="226"/>
      <c r="N931" s="226"/>
      <c r="O931" s="227"/>
      <c r="P931" s="19"/>
      <c r="Q931" s="19"/>
      <c r="R931" s="19"/>
      <c r="S931" s="228"/>
      <c r="T931" s="228"/>
      <c r="U931" s="229"/>
      <c r="V931" s="22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</row>
    <row r="932">
      <c r="A932" s="217"/>
      <c r="B932" s="218"/>
      <c r="C932" s="219"/>
      <c r="D932" s="220"/>
      <c r="E932" s="221"/>
      <c r="F932" s="222"/>
      <c r="G932" s="223"/>
      <c r="H932" s="224"/>
      <c r="I932" s="19"/>
      <c r="J932" s="19"/>
      <c r="K932" s="19"/>
      <c r="L932" s="225"/>
      <c r="M932" s="226"/>
      <c r="N932" s="226"/>
      <c r="O932" s="227"/>
      <c r="P932" s="19"/>
      <c r="Q932" s="19"/>
      <c r="R932" s="19"/>
      <c r="S932" s="228"/>
      <c r="T932" s="228"/>
      <c r="U932" s="229"/>
      <c r="V932" s="22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</row>
    <row r="933">
      <c r="A933" s="217"/>
      <c r="B933" s="218"/>
      <c r="C933" s="219"/>
      <c r="D933" s="220"/>
      <c r="E933" s="221"/>
      <c r="F933" s="222"/>
      <c r="G933" s="223"/>
      <c r="H933" s="224"/>
      <c r="I933" s="19"/>
      <c r="J933" s="19"/>
      <c r="K933" s="19"/>
      <c r="L933" s="225"/>
      <c r="M933" s="226"/>
      <c r="N933" s="226"/>
      <c r="O933" s="227"/>
      <c r="P933" s="19"/>
      <c r="Q933" s="19"/>
      <c r="R933" s="19"/>
      <c r="S933" s="228"/>
      <c r="T933" s="228"/>
      <c r="U933" s="229"/>
      <c r="V933" s="22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</row>
    <row r="934">
      <c r="A934" s="217"/>
      <c r="B934" s="218"/>
      <c r="C934" s="219"/>
      <c r="D934" s="220"/>
      <c r="E934" s="221"/>
      <c r="F934" s="222"/>
      <c r="G934" s="223"/>
      <c r="H934" s="224"/>
      <c r="I934" s="19"/>
      <c r="J934" s="19"/>
      <c r="K934" s="19"/>
      <c r="L934" s="225"/>
      <c r="M934" s="226"/>
      <c r="N934" s="226"/>
      <c r="O934" s="227"/>
      <c r="P934" s="19"/>
      <c r="Q934" s="19"/>
      <c r="R934" s="19"/>
      <c r="S934" s="228"/>
      <c r="T934" s="228"/>
      <c r="U934" s="229"/>
      <c r="V934" s="22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</row>
    <row r="935">
      <c r="A935" s="217"/>
      <c r="B935" s="218"/>
      <c r="C935" s="219"/>
      <c r="D935" s="220"/>
      <c r="E935" s="221"/>
      <c r="F935" s="222"/>
      <c r="G935" s="223"/>
      <c r="H935" s="224"/>
      <c r="I935" s="19"/>
      <c r="J935" s="19"/>
      <c r="K935" s="19"/>
      <c r="L935" s="225"/>
      <c r="M935" s="226"/>
      <c r="N935" s="226"/>
      <c r="O935" s="227"/>
      <c r="P935" s="19"/>
      <c r="Q935" s="19"/>
      <c r="R935" s="19"/>
      <c r="S935" s="228"/>
      <c r="T935" s="228"/>
      <c r="U935" s="229"/>
      <c r="V935" s="22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</row>
    <row r="936">
      <c r="A936" s="217"/>
      <c r="B936" s="218"/>
      <c r="C936" s="219"/>
      <c r="D936" s="220"/>
      <c r="E936" s="221"/>
      <c r="F936" s="222"/>
      <c r="G936" s="223"/>
      <c r="H936" s="224"/>
      <c r="I936" s="19"/>
      <c r="J936" s="19"/>
      <c r="K936" s="19"/>
      <c r="L936" s="225"/>
      <c r="M936" s="226"/>
      <c r="N936" s="226"/>
      <c r="O936" s="227"/>
      <c r="P936" s="19"/>
      <c r="Q936" s="19"/>
      <c r="R936" s="19"/>
      <c r="S936" s="228"/>
      <c r="T936" s="228"/>
      <c r="U936" s="229"/>
      <c r="V936" s="22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</row>
    <row r="937">
      <c r="A937" s="217"/>
      <c r="B937" s="218"/>
      <c r="C937" s="219"/>
      <c r="D937" s="220"/>
      <c r="E937" s="221"/>
      <c r="F937" s="222"/>
      <c r="G937" s="223"/>
      <c r="H937" s="224"/>
      <c r="I937" s="19"/>
      <c r="J937" s="19"/>
      <c r="K937" s="19"/>
      <c r="L937" s="225"/>
      <c r="M937" s="226"/>
      <c r="N937" s="226"/>
      <c r="O937" s="227"/>
      <c r="P937" s="19"/>
      <c r="Q937" s="19"/>
      <c r="R937" s="19"/>
      <c r="S937" s="228"/>
      <c r="T937" s="228"/>
      <c r="U937" s="229"/>
      <c r="V937" s="22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</row>
    <row r="938">
      <c r="A938" s="217"/>
      <c r="B938" s="218"/>
      <c r="C938" s="219"/>
      <c r="D938" s="220"/>
      <c r="E938" s="221"/>
      <c r="F938" s="222"/>
      <c r="G938" s="223"/>
      <c r="H938" s="224"/>
      <c r="I938" s="19"/>
      <c r="J938" s="19"/>
      <c r="K938" s="19"/>
      <c r="L938" s="225"/>
      <c r="M938" s="226"/>
      <c r="N938" s="226"/>
      <c r="O938" s="227"/>
      <c r="P938" s="19"/>
      <c r="Q938" s="19"/>
      <c r="R938" s="19"/>
      <c r="S938" s="228"/>
      <c r="T938" s="228"/>
      <c r="U938" s="229"/>
      <c r="V938" s="22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</row>
    <row r="939">
      <c r="A939" s="217"/>
      <c r="B939" s="218"/>
      <c r="C939" s="219"/>
      <c r="D939" s="220"/>
      <c r="E939" s="221"/>
      <c r="F939" s="222"/>
      <c r="G939" s="223"/>
      <c r="H939" s="224"/>
      <c r="I939" s="19"/>
      <c r="J939" s="19"/>
      <c r="K939" s="19"/>
      <c r="L939" s="225"/>
      <c r="M939" s="226"/>
      <c r="N939" s="226"/>
      <c r="O939" s="227"/>
      <c r="P939" s="19"/>
      <c r="Q939" s="19"/>
      <c r="R939" s="19"/>
      <c r="S939" s="228"/>
      <c r="T939" s="228"/>
      <c r="U939" s="229"/>
      <c r="V939" s="22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</row>
    <row r="940">
      <c r="A940" s="217"/>
      <c r="B940" s="218"/>
      <c r="C940" s="219"/>
      <c r="D940" s="220"/>
      <c r="E940" s="221"/>
      <c r="F940" s="222"/>
      <c r="G940" s="223"/>
      <c r="H940" s="224"/>
      <c r="I940" s="19"/>
      <c r="J940" s="19"/>
      <c r="K940" s="19"/>
      <c r="L940" s="225"/>
      <c r="M940" s="226"/>
      <c r="N940" s="226"/>
      <c r="O940" s="227"/>
      <c r="P940" s="19"/>
      <c r="Q940" s="19"/>
      <c r="R940" s="19"/>
      <c r="S940" s="228"/>
      <c r="T940" s="228"/>
      <c r="U940" s="229"/>
      <c r="V940" s="22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</row>
    <row r="941">
      <c r="A941" s="217"/>
      <c r="B941" s="218"/>
      <c r="C941" s="219"/>
      <c r="D941" s="220"/>
      <c r="E941" s="221"/>
      <c r="F941" s="222"/>
      <c r="G941" s="223"/>
      <c r="H941" s="224"/>
      <c r="I941" s="19"/>
      <c r="J941" s="19"/>
      <c r="K941" s="19"/>
      <c r="L941" s="225"/>
      <c r="M941" s="226"/>
      <c r="N941" s="226"/>
      <c r="O941" s="227"/>
      <c r="P941" s="19"/>
      <c r="Q941" s="19"/>
      <c r="R941" s="19"/>
      <c r="S941" s="228"/>
      <c r="T941" s="228"/>
      <c r="U941" s="229"/>
      <c r="V941" s="22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</row>
    <row r="942">
      <c r="A942" s="217"/>
      <c r="B942" s="218"/>
      <c r="C942" s="219"/>
      <c r="D942" s="220"/>
      <c r="E942" s="221"/>
      <c r="F942" s="222"/>
      <c r="G942" s="223"/>
      <c r="H942" s="224"/>
      <c r="I942" s="19"/>
      <c r="J942" s="19"/>
      <c r="K942" s="19"/>
      <c r="L942" s="225"/>
      <c r="M942" s="226"/>
      <c r="N942" s="226"/>
      <c r="O942" s="227"/>
      <c r="P942" s="19"/>
      <c r="Q942" s="19"/>
      <c r="R942" s="19"/>
      <c r="S942" s="228"/>
      <c r="T942" s="228"/>
      <c r="U942" s="229"/>
      <c r="V942" s="22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</row>
    <row r="943">
      <c r="A943" s="217"/>
      <c r="B943" s="218"/>
      <c r="C943" s="219"/>
      <c r="D943" s="220"/>
      <c r="E943" s="221"/>
      <c r="F943" s="222"/>
      <c r="G943" s="223"/>
      <c r="H943" s="224"/>
      <c r="I943" s="19"/>
      <c r="J943" s="19"/>
      <c r="K943" s="19"/>
      <c r="L943" s="225"/>
      <c r="M943" s="226"/>
      <c r="N943" s="226"/>
      <c r="O943" s="227"/>
      <c r="P943" s="19"/>
      <c r="Q943" s="19"/>
      <c r="R943" s="19"/>
      <c r="S943" s="228"/>
      <c r="T943" s="228"/>
      <c r="U943" s="229"/>
      <c r="V943" s="22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</row>
    <row r="944">
      <c r="A944" s="217"/>
      <c r="B944" s="218"/>
      <c r="C944" s="219"/>
      <c r="D944" s="220"/>
      <c r="E944" s="221"/>
      <c r="F944" s="222"/>
      <c r="G944" s="223"/>
      <c r="H944" s="224"/>
      <c r="I944" s="19"/>
      <c r="J944" s="19"/>
      <c r="K944" s="19"/>
      <c r="L944" s="225"/>
      <c r="M944" s="226"/>
      <c r="N944" s="226"/>
      <c r="O944" s="227"/>
      <c r="P944" s="19"/>
      <c r="Q944" s="19"/>
      <c r="R944" s="19"/>
      <c r="S944" s="228"/>
      <c r="T944" s="228"/>
      <c r="U944" s="229"/>
      <c r="V944" s="22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</row>
    <row r="945">
      <c r="A945" s="217"/>
      <c r="B945" s="218"/>
      <c r="C945" s="219"/>
      <c r="D945" s="220"/>
      <c r="E945" s="221"/>
      <c r="F945" s="222"/>
      <c r="G945" s="223"/>
      <c r="H945" s="224"/>
      <c r="I945" s="19"/>
      <c r="J945" s="19"/>
      <c r="K945" s="19"/>
      <c r="L945" s="225"/>
      <c r="M945" s="226"/>
      <c r="N945" s="226"/>
      <c r="O945" s="227"/>
      <c r="P945" s="19"/>
      <c r="Q945" s="19"/>
      <c r="R945" s="19"/>
      <c r="S945" s="228"/>
      <c r="T945" s="228"/>
      <c r="U945" s="229"/>
      <c r="V945" s="22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</row>
    <row r="946">
      <c r="A946" s="217"/>
      <c r="B946" s="218"/>
      <c r="C946" s="219"/>
      <c r="D946" s="220"/>
      <c r="E946" s="221"/>
      <c r="F946" s="222"/>
      <c r="G946" s="223"/>
      <c r="H946" s="224"/>
      <c r="I946" s="19"/>
      <c r="J946" s="19"/>
      <c r="K946" s="19"/>
      <c r="L946" s="225"/>
      <c r="M946" s="226"/>
      <c r="N946" s="226"/>
      <c r="O946" s="227"/>
      <c r="P946" s="19"/>
      <c r="Q946" s="19"/>
      <c r="R946" s="19"/>
      <c r="S946" s="228"/>
      <c r="T946" s="228"/>
      <c r="U946" s="229"/>
      <c r="V946" s="22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</row>
    <row r="947">
      <c r="A947" s="217"/>
      <c r="B947" s="218"/>
      <c r="C947" s="219"/>
      <c r="D947" s="220"/>
      <c r="E947" s="221"/>
      <c r="F947" s="222"/>
      <c r="G947" s="223"/>
      <c r="H947" s="224"/>
      <c r="I947" s="19"/>
      <c r="J947" s="19"/>
      <c r="K947" s="19"/>
      <c r="L947" s="225"/>
      <c r="M947" s="226"/>
      <c r="N947" s="226"/>
      <c r="O947" s="227"/>
      <c r="P947" s="19"/>
      <c r="Q947" s="19"/>
      <c r="R947" s="19"/>
      <c r="S947" s="228"/>
      <c r="T947" s="228"/>
      <c r="U947" s="229"/>
      <c r="V947" s="22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</row>
    <row r="948">
      <c r="A948" s="217"/>
      <c r="B948" s="218"/>
      <c r="C948" s="219"/>
      <c r="D948" s="220"/>
      <c r="E948" s="221"/>
      <c r="F948" s="222"/>
      <c r="G948" s="223"/>
      <c r="H948" s="224"/>
      <c r="I948" s="19"/>
      <c r="J948" s="19"/>
      <c r="K948" s="19"/>
      <c r="L948" s="225"/>
      <c r="M948" s="226"/>
      <c r="N948" s="226"/>
      <c r="O948" s="227"/>
      <c r="P948" s="19"/>
      <c r="Q948" s="19"/>
      <c r="R948" s="19"/>
      <c r="S948" s="228"/>
      <c r="T948" s="228"/>
      <c r="U948" s="229"/>
      <c r="V948" s="22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</row>
    <row r="949">
      <c r="A949" s="217"/>
      <c r="B949" s="218"/>
      <c r="C949" s="219"/>
      <c r="D949" s="220"/>
      <c r="E949" s="221"/>
      <c r="F949" s="222"/>
      <c r="G949" s="223"/>
      <c r="H949" s="224"/>
      <c r="I949" s="19"/>
      <c r="J949" s="19"/>
      <c r="K949" s="19"/>
      <c r="L949" s="225"/>
      <c r="M949" s="226"/>
      <c r="N949" s="226"/>
      <c r="O949" s="227"/>
      <c r="P949" s="19"/>
      <c r="Q949" s="19"/>
      <c r="R949" s="19"/>
      <c r="S949" s="228"/>
      <c r="T949" s="228"/>
      <c r="U949" s="229"/>
      <c r="V949" s="22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</row>
    <row r="950">
      <c r="A950" s="217"/>
      <c r="B950" s="218"/>
      <c r="C950" s="219"/>
      <c r="D950" s="220"/>
      <c r="E950" s="221"/>
      <c r="F950" s="222"/>
      <c r="G950" s="223"/>
      <c r="H950" s="224"/>
      <c r="I950" s="19"/>
      <c r="J950" s="19"/>
      <c r="K950" s="19"/>
      <c r="L950" s="225"/>
      <c r="M950" s="226"/>
      <c r="N950" s="226"/>
      <c r="O950" s="227"/>
      <c r="P950" s="19"/>
      <c r="Q950" s="19"/>
      <c r="R950" s="19"/>
      <c r="S950" s="228"/>
      <c r="T950" s="228"/>
      <c r="U950" s="229"/>
      <c r="V950" s="22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</row>
    <row r="951">
      <c r="A951" s="217"/>
      <c r="B951" s="218"/>
      <c r="C951" s="219"/>
      <c r="D951" s="220"/>
      <c r="E951" s="221"/>
      <c r="F951" s="222"/>
      <c r="G951" s="223"/>
      <c r="H951" s="224"/>
      <c r="I951" s="19"/>
      <c r="J951" s="19"/>
      <c r="K951" s="19"/>
      <c r="L951" s="225"/>
      <c r="M951" s="226"/>
      <c r="N951" s="226"/>
      <c r="O951" s="227"/>
      <c r="P951" s="19"/>
      <c r="Q951" s="19"/>
      <c r="R951" s="19"/>
      <c r="S951" s="228"/>
      <c r="T951" s="228"/>
      <c r="U951" s="229"/>
      <c r="V951" s="22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</row>
    <row r="952">
      <c r="A952" s="217"/>
      <c r="B952" s="218"/>
      <c r="C952" s="219"/>
      <c r="D952" s="220"/>
      <c r="E952" s="221"/>
      <c r="F952" s="222"/>
      <c r="G952" s="223"/>
      <c r="H952" s="224"/>
      <c r="I952" s="19"/>
      <c r="J952" s="19"/>
      <c r="K952" s="19"/>
      <c r="L952" s="225"/>
      <c r="M952" s="226"/>
      <c r="N952" s="226"/>
      <c r="O952" s="227"/>
      <c r="P952" s="19"/>
      <c r="Q952" s="19"/>
      <c r="R952" s="19"/>
      <c r="S952" s="228"/>
      <c r="T952" s="228"/>
      <c r="U952" s="229"/>
      <c r="V952" s="22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</row>
    <row r="953">
      <c r="A953" s="217"/>
      <c r="B953" s="218"/>
      <c r="C953" s="219"/>
      <c r="D953" s="220"/>
      <c r="E953" s="221"/>
      <c r="F953" s="222"/>
      <c r="G953" s="223"/>
      <c r="H953" s="224"/>
      <c r="I953" s="19"/>
      <c r="J953" s="19"/>
      <c r="K953" s="19"/>
      <c r="L953" s="225"/>
      <c r="M953" s="226"/>
      <c r="N953" s="226"/>
      <c r="O953" s="227"/>
      <c r="P953" s="19"/>
      <c r="Q953" s="19"/>
      <c r="R953" s="19"/>
      <c r="S953" s="228"/>
      <c r="T953" s="228"/>
      <c r="U953" s="229"/>
      <c r="V953" s="22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</row>
    <row r="954">
      <c r="A954" s="217"/>
      <c r="B954" s="218"/>
      <c r="C954" s="219"/>
      <c r="D954" s="220"/>
      <c r="E954" s="221"/>
      <c r="F954" s="222"/>
      <c r="G954" s="223"/>
      <c r="H954" s="224"/>
      <c r="I954" s="19"/>
      <c r="J954" s="19"/>
      <c r="K954" s="19"/>
      <c r="L954" s="225"/>
      <c r="M954" s="226"/>
      <c r="N954" s="226"/>
      <c r="O954" s="227"/>
      <c r="P954" s="19"/>
      <c r="Q954" s="19"/>
      <c r="R954" s="19"/>
      <c r="S954" s="228"/>
      <c r="T954" s="228"/>
      <c r="U954" s="229"/>
      <c r="V954" s="22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</row>
    <row r="955">
      <c r="A955" s="217"/>
      <c r="B955" s="218"/>
      <c r="C955" s="219"/>
      <c r="D955" s="220"/>
      <c r="E955" s="221"/>
      <c r="F955" s="222"/>
      <c r="G955" s="223"/>
      <c r="H955" s="224"/>
      <c r="I955" s="19"/>
      <c r="J955" s="19"/>
      <c r="K955" s="19"/>
      <c r="L955" s="225"/>
      <c r="M955" s="226"/>
      <c r="N955" s="226"/>
      <c r="O955" s="227"/>
      <c r="P955" s="19"/>
      <c r="Q955" s="19"/>
      <c r="R955" s="19"/>
      <c r="S955" s="228"/>
      <c r="T955" s="228"/>
      <c r="U955" s="229"/>
      <c r="V955" s="22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</row>
    <row r="956">
      <c r="A956" s="217"/>
      <c r="B956" s="218"/>
      <c r="C956" s="219"/>
      <c r="D956" s="220"/>
      <c r="E956" s="221"/>
      <c r="F956" s="222"/>
      <c r="G956" s="223"/>
      <c r="H956" s="224"/>
      <c r="I956" s="19"/>
      <c r="J956" s="19"/>
      <c r="K956" s="19"/>
      <c r="L956" s="225"/>
      <c r="M956" s="226"/>
      <c r="N956" s="226"/>
      <c r="O956" s="227"/>
      <c r="P956" s="19"/>
      <c r="Q956" s="19"/>
      <c r="R956" s="19"/>
      <c r="S956" s="228"/>
      <c r="T956" s="228"/>
      <c r="U956" s="229"/>
      <c r="V956" s="22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</row>
    <row r="957">
      <c r="A957" s="217"/>
      <c r="B957" s="218"/>
      <c r="C957" s="219"/>
      <c r="D957" s="220"/>
      <c r="E957" s="221"/>
      <c r="F957" s="222"/>
      <c r="G957" s="223"/>
      <c r="H957" s="224"/>
      <c r="I957" s="19"/>
      <c r="J957" s="19"/>
      <c r="K957" s="19"/>
      <c r="L957" s="225"/>
      <c r="M957" s="226"/>
      <c r="N957" s="226"/>
      <c r="O957" s="227"/>
      <c r="P957" s="19"/>
      <c r="Q957" s="19"/>
      <c r="R957" s="19"/>
      <c r="S957" s="228"/>
      <c r="T957" s="228"/>
      <c r="U957" s="229"/>
      <c r="V957" s="22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</row>
    <row r="958">
      <c r="A958" s="217"/>
      <c r="B958" s="218"/>
      <c r="C958" s="219"/>
      <c r="D958" s="220"/>
      <c r="E958" s="221"/>
      <c r="F958" s="222"/>
      <c r="G958" s="223"/>
      <c r="H958" s="224"/>
      <c r="I958" s="19"/>
      <c r="J958" s="19"/>
      <c r="K958" s="19"/>
      <c r="L958" s="225"/>
      <c r="M958" s="226"/>
      <c r="N958" s="226"/>
      <c r="O958" s="227"/>
      <c r="P958" s="19"/>
      <c r="Q958" s="19"/>
      <c r="R958" s="19"/>
      <c r="S958" s="228"/>
      <c r="T958" s="228"/>
      <c r="U958" s="229"/>
      <c r="V958" s="22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</row>
    <row r="959">
      <c r="A959" s="217"/>
      <c r="B959" s="218"/>
      <c r="C959" s="219"/>
      <c r="D959" s="220"/>
      <c r="E959" s="221"/>
      <c r="F959" s="222"/>
      <c r="G959" s="223"/>
      <c r="H959" s="224"/>
      <c r="I959" s="19"/>
      <c r="J959" s="19"/>
      <c r="K959" s="19"/>
      <c r="L959" s="225"/>
      <c r="M959" s="226"/>
      <c r="N959" s="226"/>
      <c r="O959" s="227"/>
      <c r="P959" s="19"/>
      <c r="Q959" s="19"/>
      <c r="R959" s="19"/>
      <c r="S959" s="228"/>
      <c r="T959" s="228"/>
      <c r="U959" s="229"/>
      <c r="V959" s="22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</row>
    <row r="960">
      <c r="A960" s="217"/>
      <c r="B960" s="218"/>
      <c r="C960" s="219"/>
      <c r="D960" s="220"/>
      <c r="E960" s="221"/>
      <c r="F960" s="222"/>
      <c r="G960" s="223"/>
      <c r="H960" s="224"/>
      <c r="I960" s="19"/>
      <c r="J960" s="19"/>
      <c r="K960" s="19"/>
      <c r="L960" s="225"/>
      <c r="M960" s="226"/>
      <c r="N960" s="226"/>
      <c r="O960" s="227"/>
      <c r="P960" s="19"/>
      <c r="Q960" s="19"/>
      <c r="R960" s="19"/>
      <c r="S960" s="228"/>
      <c r="T960" s="228"/>
      <c r="U960" s="229"/>
      <c r="V960" s="22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</row>
    <row r="961">
      <c r="A961" s="217"/>
      <c r="B961" s="218"/>
      <c r="C961" s="219"/>
      <c r="D961" s="220"/>
      <c r="E961" s="221"/>
      <c r="F961" s="222"/>
      <c r="G961" s="223"/>
      <c r="H961" s="224"/>
      <c r="I961" s="19"/>
      <c r="J961" s="19"/>
      <c r="K961" s="19"/>
      <c r="L961" s="225"/>
      <c r="M961" s="226"/>
      <c r="N961" s="226"/>
      <c r="O961" s="227"/>
      <c r="P961" s="19"/>
      <c r="Q961" s="19"/>
      <c r="R961" s="19"/>
      <c r="S961" s="228"/>
      <c r="T961" s="228"/>
      <c r="U961" s="229"/>
      <c r="V961" s="22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</row>
    <row r="962">
      <c r="A962" s="217"/>
      <c r="B962" s="218"/>
      <c r="C962" s="219"/>
      <c r="D962" s="220"/>
      <c r="E962" s="221"/>
      <c r="F962" s="222"/>
      <c r="G962" s="223"/>
      <c r="H962" s="224"/>
      <c r="I962" s="19"/>
      <c r="J962" s="19"/>
      <c r="K962" s="19"/>
      <c r="L962" s="225"/>
      <c r="M962" s="226"/>
      <c r="N962" s="226"/>
      <c r="O962" s="227"/>
      <c r="P962" s="19"/>
      <c r="Q962" s="19"/>
      <c r="R962" s="19"/>
      <c r="S962" s="228"/>
      <c r="T962" s="228"/>
      <c r="U962" s="229"/>
      <c r="V962" s="22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</row>
    <row r="963">
      <c r="A963" s="217"/>
      <c r="B963" s="218"/>
      <c r="C963" s="219"/>
      <c r="D963" s="220"/>
      <c r="E963" s="221"/>
      <c r="F963" s="222"/>
      <c r="G963" s="223"/>
      <c r="H963" s="224"/>
      <c r="I963" s="19"/>
      <c r="J963" s="19"/>
      <c r="K963" s="19"/>
      <c r="L963" s="225"/>
      <c r="M963" s="226"/>
      <c r="N963" s="226"/>
      <c r="O963" s="227"/>
      <c r="P963" s="19"/>
      <c r="Q963" s="19"/>
      <c r="R963" s="19"/>
      <c r="S963" s="228"/>
      <c r="T963" s="228"/>
      <c r="U963" s="229"/>
      <c r="V963" s="22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</row>
    <row r="964">
      <c r="A964" s="217"/>
      <c r="B964" s="218"/>
      <c r="C964" s="219"/>
      <c r="D964" s="220"/>
      <c r="E964" s="221"/>
      <c r="F964" s="222"/>
      <c r="G964" s="223"/>
      <c r="H964" s="224"/>
      <c r="I964" s="19"/>
      <c r="J964" s="19"/>
      <c r="K964" s="19"/>
      <c r="L964" s="225"/>
      <c r="M964" s="226"/>
      <c r="N964" s="226"/>
      <c r="O964" s="227"/>
      <c r="P964" s="19"/>
      <c r="Q964" s="19"/>
      <c r="R964" s="19"/>
      <c r="S964" s="228"/>
      <c r="T964" s="228"/>
      <c r="U964" s="229"/>
      <c r="V964" s="22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</row>
    <row r="965">
      <c r="A965" s="217"/>
      <c r="B965" s="218"/>
      <c r="C965" s="219"/>
      <c r="D965" s="220"/>
      <c r="E965" s="221"/>
      <c r="F965" s="222"/>
      <c r="G965" s="223"/>
      <c r="H965" s="224"/>
      <c r="I965" s="19"/>
      <c r="J965" s="19"/>
      <c r="K965" s="19"/>
      <c r="L965" s="225"/>
      <c r="M965" s="226"/>
      <c r="N965" s="226"/>
      <c r="O965" s="227"/>
      <c r="P965" s="19"/>
      <c r="Q965" s="19"/>
      <c r="R965" s="19"/>
      <c r="S965" s="228"/>
      <c r="T965" s="228"/>
      <c r="U965" s="229"/>
      <c r="V965" s="22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</row>
    <row r="966">
      <c r="A966" s="217"/>
      <c r="B966" s="218"/>
      <c r="C966" s="219"/>
      <c r="D966" s="220"/>
      <c r="E966" s="221"/>
      <c r="F966" s="222"/>
      <c r="G966" s="223"/>
      <c r="H966" s="224"/>
      <c r="I966" s="19"/>
      <c r="J966" s="19"/>
      <c r="K966" s="19"/>
      <c r="L966" s="225"/>
      <c r="M966" s="226"/>
      <c r="N966" s="226"/>
      <c r="O966" s="227"/>
      <c r="P966" s="19"/>
      <c r="Q966" s="19"/>
      <c r="R966" s="19"/>
      <c r="S966" s="228"/>
      <c r="T966" s="228"/>
      <c r="U966" s="229"/>
      <c r="V966" s="22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</row>
    <row r="967">
      <c r="A967" s="217"/>
      <c r="B967" s="218"/>
      <c r="C967" s="219"/>
      <c r="D967" s="220"/>
      <c r="E967" s="221"/>
      <c r="F967" s="222"/>
      <c r="G967" s="223"/>
      <c r="H967" s="224"/>
      <c r="I967" s="19"/>
      <c r="J967" s="19"/>
      <c r="K967" s="19"/>
      <c r="L967" s="225"/>
      <c r="M967" s="226"/>
      <c r="N967" s="226"/>
      <c r="O967" s="227"/>
      <c r="P967" s="19"/>
      <c r="Q967" s="19"/>
      <c r="R967" s="19"/>
      <c r="S967" s="228"/>
      <c r="T967" s="228"/>
      <c r="U967" s="229"/>
      <c r="V967" s="22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</row>
    <row r="968">
      <c r="A968" s="217"/>
      <c r="B968" s="218"/>
      <c r="C968" s="219"/>
      <c r="D968" s="220"/>
      <c r="E968" s="221"/>
      <c r="F968" s="222"/>
      <c r="G968" s="223"/>
      <c r="H968" s="224"/>
      <c r="I968" s="19"/>
      <c r="J968" s="19"/>
      <c r="K968" s="19"/>
      <c r="L968" s="225"/>
      <c r="M968" s="226"/>
      <c r="N968" s="226"/>
      <c r="O968" s="227"/>
      <c r="P968" s="19"/>
      <c r="Q968" s="19"/>
      <c r="R968" s="19"/>
      <c r="S968" s="228"/>
      <c r="T968" s="228"/>
      <c r="U968" s="229"/>
      <c r="V968" s="22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</row>
    <row r="969">
      <c r="A969" s="217"/>
      <c r="B969" s="218"/>
      <c r="C969" s="219"/>
      <c r="D969" s="220"/>
      <c r="E969" s="221"/>
      <c r="F969" s="222"/>
      <c r="G969" s="223"/>
      <c r="H969" s="224"/>
      <c r="I969" s="19"/>
      <c r="J969" s="19"/>
      <c r="K969" s="19"/>
      <c r="L969" s="225"/>
      <c r="M969" s="226"/>
      <c r="N969" s="226"/>
      <c r="O969" s="227"/>
      <c r="P969" s="19"/>
      <c r="Q969" s="19"/>
      <c r="R969" s="19"/>
      <c r="S969" s="228"/>
      <c r="T969" s="228"/>
      <c r="U969" s="229"/>
      <c r="V969" s="22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</row>
    <row r="970">
      <c r="A970" s="217"/>
      <c r="B970" s="218"/>
      <c r="C970" s="219"/>
      <c r="D970" s="220"/>
      <c r="E970" s="221"/>
      <c r="F970" s="222"/>
      <c r="G970" s="223"/>
      <c r="H970" s="224"/>
      <c r="I970" s="19"/>
      <c r="J970" s="19"/>
      <c r="K970" s="19"/>
      <c r="L970" s="225"/>
      <c r="M970" s="226"/>
      <c r="N970" s="226"/>
      <c r="O970" s="227"/>
      <c r="P970" s="19"/>
      <c r="Q970" s="19"/>
      <c r="R970" s="19"/>
      <c r="S970" s="228"/>
      <c r="T970" s="228"/>
      <c r="U970" s="229"/>
      <c r="V970" s="22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</row>
    <row r="971">
      <c r="A971" s="217"/>
      <c r="B971" s="218"/>
      <c r="C971" s="219"/>
      <c r="D971" s="220"/>
      <c r="E971" s="221"/>
      <c r="F971" s="222"/>
      <c r="G971" s="223"/>
      <c r="H971" s="224"/>
      <c r="I971" s="19"/>
      <c r="J971" s="19"/>
      <c r="K971" s="19"/>
      <c r="L971" s="225"/>
      <c r="M971" s="226"/>
      <c r="N971" s="226"/>
      <c r="O971" s="227"/>
      <c r="P971" s="19"/>
      <c r="Q971" s="19"/>
      <c r="R971" s="19"/>
      <c r="S971" s="228"/>
      <c r="T971" s="228"/>
      <c r="U971" s="229"/>
      <c r="V971" s="22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</row>
    <row r="972">
      <c r="A972" s="217"/>
      <c r="B972" s="218"/>
      <c r="C972" s="219"/>
      <c r="D972" s="220"/>
      <c r="E972" s="221"/>
      <c r="F972" s="222"/>
      <c r="G972" s="223"/>
      <c r="H972" s="224"/>
      <c r="I972" s="19"/>
      <c r="J972" s="19"/>
      <c r="K972" s="19"/>
      <c r="L972" s="225"/>
      <c r="M972" s="226"/>
      <c r="N972" s="226"/>
      <c r="O972" s="227"/>
      <c r="P972" s="19"/>
      <c r="Q972" s="19"/>
      <c r="R972" s="19"/>
      <c r="S972" s="228"/>
      <c r="T972" s="228"/>
      <c r="U972" s="229"/>
      <c r="V972" s="22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</row>
    <row r="973">
      <c r="A973" s="217"/>
      <c r="B973" s="218"/>
      <c r="C973" s="219"/>
      <c r="D973" s="220"/>
      <c r="E973" s="221"/>
      <c r="F973" s="222"/>
      <c r="G973" s="223"/>
      <c r="H973" s="224"/>
      <c r="I973" s="19"/>
      <c r="J973" s="19"/>
      <c r="K973" s="19"/>
      <c r="L973" s="225"/>
      <c r="M973" s="226"/>
      <c r="N973" s="226"/>
      <c r="O973" s="227"/>
      <c r="P973" s="19"/>
      <c r="Q973" s="19"/>
      <c r="R973" s="19"/>
      <c r="S973" s="228"/>
      <c r="T973" s="228"/>
      <c r="U973" s="229"/>
      <c r="V973" s="22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</row>
    <row r="974">
      <c r="A974" s="217"/>
      <c r="B974" s="218"/>
      <c r="C974" s="219"/>
      <c r="D974" s="220"/>
      <c r="E974" s="221"/>
      <c r="F974" s="222"/>
      <c r="G974" s="223"/>
      <c r="H974" s="224"/>
      <c r="I974" s="19"/>
      <c r="J974" s="19"/>
      <c r="K974" s="19"/>
      <c r="L974" s="225"/>
      <c r="M974" s="226"/>
      <c r="N974" s="226"/>
      <c r="O974" s="227"/>
      <c r="P974" s="19"/>
      <c r="Q974" s="19"/>
      <c r="R974" s="19"/>
      <c r="S974" s="228"/>
      <c r="T974" s="228"/>
      <c r="U974" s="229"/>
      <c r="V974" s="22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</row>
    <row r="975">
      <c r="A975" s="217"/>
      <c r="B975" s="218"/>
      <c r="C975" s="219"/>
      <c r="D975" s="220"/>
      <c r="E975" s="221"/>
      <c r="F975" s="222"/>
      <c r="G975" s="223"/>
      <c r="H975" s="224"/>
      <c r="I975" s="19"/>
      <c r="J975" s="19"/>
      <c r="K975" s="19"/>
      <c r="L975" s="225"/>
      <c r="M975" s="226"/>
      <c r="N975" s="226"/>
      <c r="O975" s="227"/>
      <c r="P975" s="19"/>
      <c r="Q975" s="19"/>
      <c r="R975" s="19"/>
      <c r="S975" s="228"/>
      <c r="T975" s="228"/>
      <c r="U975" s="229"/>
      <c r="V975" s="22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</row>
    <row r="976">
      <c r="A976" s="217"/>
      <c r="B976" s="218"/>
      <c r="C976" s="219"/>
      <c r="D976" s="220"/>
      <c r="E976" s="221"/>
      <c r="F976" s="222"/>
      <c r="G976" s="223"/>
      <c r="H976" s="224"/>
      <c r="I976" s="19"/>
      <c r="J976" s="19"/>
      <c r="K976" s="19"/>
      <c r="L976" s="225"/>
      <c r="M976" s="226"/>
      <c r="N976" s="226"/>
      <c r="O976" s="227"/>
      <c r="P976" s="19"/>
      <c r="Q976" s="19"/>
      <c r="R976" s="19"/>
      <c r="S976" s="228"/>
      <c r="T976" s="228"/>
      <c r="U976" s="229"/>
      <c r="V976" s="22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</row>
    <row r="977">
      <c r="A977" s="217"/>
      <c r="B977" s="218"/>
      <c r="C977" s="219"/>
      <c r="D977" s="220"/>
      <c r="E977" s="221"/>
      <c r="F977" s="222"/>
      <c r="G977" s="223"/>
      <c r="H977" s="224"/>
      <c r="I977" s="19"/>
      <c r="J977" s="19"/>
      <c r="K977" s="19"/>
      <c r="L977" s="225"/>
      <c r="M977" s="226"/>
      <c r="N977" s="226"/>
      <c r="O977" s="227"/>
      <c r="P977" s="19"/>
      <c r="Q977" s="19"/>
      <c r="R977" s="19"/>
      <c r="S977" s="228"/>
      <c r="T977" s="228"/>
      <c r="U977" s="229"/>
      <c r="V977" s="22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</row>
    <row r="978">
      <c r="A978" s="217"/>
      <c r="B978" s="218"/>
      <c r="C978" s="219"/>
      <c r="D978" s="220"/>
      <c r="E978" s="221"/>
      <c r="F978" s="222"/>
      <c r="G978" s="223"/>
      <c r="H978" s="224"/>
      <c r="I978" s="19"/>
      <c r="J978" s="19"/>
      <c r="K978" s="19"/>
      <c r="L978" s="225"/>
      <c r="M978" s="226"/>
      <c r="N978" s="226"/>
      <c r="O978" s="227"/>
      <c r="P978" s="19"/>
      <c r="Q978" s="19"/>
      <c r="R978" s="19"/>
      <c r="S978" s="228"/>
      <c r="T978" s="228"/>
      <c r="U978" s="229"/>
      <c r="V978" s="22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</row>
    <row r="979">
      <c r="A979" s="217"/>
      <c r="B979" s="218"/>
      <c r="C979" s="219"/>
      <c r="D979" s="220"/>
      <c r="E979" s="221"/>
      <c r="F979" s="222"/>
      <c r="G979" s="223"/>
      <c r="H979" s="224"/>
      <c r="I979" s="19"/>
      <c r="J979" s="19"/>
      <c r="K979" s="19"/>
      <c r="L979" s="225"/>
      <c r="M979" s="226"/>
      <c r="N979" s="226"/>
      <c r="O979" s="227"/>
      <c r="P979" s="19"/>
      <c r="Q979" s="19"/>
      <c r="R979" s="19"/>
      <c r="S979" s="228"/>
      <c r="T979" s="228"/>
      <c r="U979" s="229"/>
      <c r="V979" s="22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</row>
    <row r="980">
      <c r="A980" s="217"/>
      <c r="B980" s="218"/>
      <c r="C980" s="219"/>
      <c r="D980" s="220"/>
      <c r="E980" s="221"/>
      <c r="F980" s="222"/>
      <c r="G980" s="223"/>
      <c r="H980" s="224"/>
      <c r="I980" s="19"/>
      <c r="J980" s="19"/>
      <c r="K980" s="19"/>
      <c r="L980" s="225"/>
      <c r="M980" s="226"/>
      <c r="N980" s="226"/>
      <c r="O980" s="227"/>
      <c r="P980" s="19"/>
      <c r="Q980" s="19"/>
      <c r="R980" s="19"/>
      <c r="S980" s="228"/>
      <c r="T980" s="228"/>
      <c r="U980" s="229"/>
      <c r="V980" s="22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</row>
    <row r="981">
      <c r="A981" s="217"/>
      <c r="B981" s="218"/>
      <c r="C981" s="219"/>
      <c r="D981" s="220"/>
      <c r="E981" s="221"/>
      <c r="F981" s="222"/>
      <c r="G981" s="223"/>
      <c r="H981" s="224"/>
      <c r="I981" s="19"/>
      <c r="J981" s="19"/>
      <c r="K981" s="19"/>
      <c r="L981" s="225"/>
      <c r="M981" s="226"/>
      <c r="N981" s="226"/>
      <c r="O981" s="227"/>
      <c r="P981" s="19"/>
      <c r="Q981" s="19"/>
      <c r="R981" s="19"/>
      <c r="S981" s="228"/>
      <c r="T981" s="228"/>
      <c r="U981" s="229"/>
      <c r="V981" s="22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</row>
    <row r="982">
      <c r="A982" s="217"/>
      <c r="B982" s="218"/>
      <c r="C982" s="219"/>
      <c r="D982" s="220"/>
      <c r="E982" s="221"/>
      <c r="F982" s="222"/>
      <c r="G982" s="223"/>
      <c r="H982" s="224"/>
      <c r="I982" s="19"/>
      <c r="J982" s="19"/>
      <c r="K982" s="19"/>
      <c r="L982" s="225"/>
      <c r="M982" s="226"/>
      <c r="N982" s="226"/>
      <c r="O982" s="227"/>
      <c r="P982" s="19"/>
      <c r="Q982" s="19"/>
      <c r="R982" s="19"/>
      <c r="S982" s="228"/>
      <c r="T982" s="228"/>
      <c r="U982" s="229"/>
      <c r="V982" s="22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</row>
    <row r="983">
      <c r="A983" s="217"/>
      <c r="B983" s="218"/>
      <c r="C983" s="219"/>
      <c r="D983" s="220"/>
      <c r="E983" s="221"/>
      <c r="F983" s="222"/>
      <c r="G983" s="223"/>
      <c r="H983" s="224"/>
      <c r="I983" s="19"/>
      <c r="J983" s="19"/>
      <c r="K983" s="19"/>
      <c r="L983" s="225"/>
      <c r="M983" s="226"/>
      <c r="N983" s="226"/>
      <c r="O983" s="227"/>
      <c r="P983" s="19"/>
      <c r="Q983" s="19"/>
      <c r="R983" s="19"/>
      <c r="S983" s="228"/>
      <c r="T983" s="228"/>
      <c r="U983" s="229"/>
      <c r="V983" s="22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</row>
    <row r="984">
      <c r="A984" s="217"/>
      <c r="B984" s="218"/>
      <c r="C984" s="219"/>
      <c r="D984" s="220"/>
      <c r="E984" s="221"/>
      <c r="F984" s="222"/>
      <c r="G984" s="223"/>
      <c r="H984" s="224"/>
      <c r="I984" s="19"/>
      <c r="J984" s="19"/>
      <c r="K984" s="19"/>
      <c r="L984" s="225"/>
      <c r="M984" s="226"/>
      <c r="N984" s="226"/>
      <c r="O984" s="227"/>
      <c r="P984" s="19"/>
      <c r="Q984" s="19"/>
      <c r="R984" s="19"/>
      <c r="S984" s="228"/>
      <c r="T984" s="228"/>
      <c r="U984" s="229"/>
      <c r="V984" s="22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</row>
    <row r="985">
      <c r="A985" s="217"/>
      <c r="B985" s="218"/>
      <c r="C985" s="219"/>
      <c r="D985" s="220"/>
      <c r="E985" s="221"/>
      <c r="F985" s="222"/>
      <c r="G985" s="223"/>
      <c r="H985" s="224"/>
      <c r="I985" s="19"/>
      <c r="J985" s="19"/>
      <c r="K985" s="19"/>
      <c r="L985" s="225"/>
      <c r="M985" s="226"/>
      <c r="N985" s="226"/>
      <c r="O985" s="227"/>
      <c r="P985" s="19"/>
      <c r="Q985" s="19"/>
      <c r="R985" s="19"/>
      <c r="S985" s="228"/>
      <c r="T985" s="228"/>
      <c r="U985" s="229"/>
      <c r="V985" s="22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</row>
    <row r="986">
      <c r="A986" s="217"/>
      <c r="B986" s="218"/>
      <c r="C986" s="219"/>
      <c r="D986" s="220"/>
      <c r="E986" s="221"/>
      <c r="F986" s="222"/>
      <c r="G986" s="223"/>
      <c r="H986" s="224"/>
      <c r="I986" s="19"/>
      <c r="J986" s="19"/>
      <c r="K986" s="19"/>
      <c r="L986" s="225"/>
      <c r="M986" s="226"/>
      <c r="N986" s="226"/>
      <c r="O986" s="227"/>
      <c r="P986" s="19"/>
      <c r="Q986" s="19"/>
      <c r="R986" s="19"/>
      <c r="S986" s="228"/>
      <c r="T986" s="228"/>
      <c r="U986" s="229"/>
      <c r="V986" s="22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</row>
    <row r="987">
      <c r="A987" s="217"/>
      <c r="B987" s="218"/>
      <c r="C987" s="219"/>
      <c r="D987" s="220"/>
      <c r="E987" s="221"/>
      <c r="F987" s="222"/>
      <c r="G987" s="223"/>
      <c r="H987" s="224"/>
      <c r="I987" s="19"/>
      <c r="J987" s="19"/>
      <c r="K987" s="19"/>
      <c r="L987" s="225"/>
      <c r="M987" s="226"/>
      <c r="N987" s="226"/>
      <c r="O987" s="227"/>
      <c r="P987" s="19"/>
      <c r="Q987" s="19"/>
      <c r="R987" s="19"/>
      <c r="S987" s="228"/>
      <c r="T987" s="228"/>
      <c r="U987" s="229"/>
      <c r="V987" s="22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</row>
    <row r="988">
      <c r="A988" s="217"/>
      <c r="B988" s="218"/>
      <c r="C988" s="219"/>
      <c r="D988" s="220"/>
      <c r="E988" s="221"/>
      <c r="F988" s="222"/>
      <c r="G988" s="223"/>
      <c r="H988" s="224"/>
      <c r="I988" s="19"/>
      <c r="J988" s="19"/>
      <c r="K988" s="19"/>
      <c r="L988" s="225"/>
      <c r="M988" s="226"/>
      <c r="N988" s="226"/>
      <c r="O988" s="227"/>
      <c r="P988" s="19"/>
      <c r="Q988" s="19"/>
      <c r="R988" s="19"/>
      <c r="S988" s="228"/>
      <c r="T988" s="228"/>
      <c r="U988" s="229"/>
      <c r="V988" s="22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</row>
    <row r="989">
      <c r="A989" s="217"/>
      <c r="B989" s="218"/>
      <c r="C989" s="219"/>
      <c r="D989" s="220"/>
      <c r="E989" s="221"/>
      <c r="F989" s="222"/>
      <c r="G989" s="223"/>
      <c r="H989" s="224"/>
      <c r="I989" s="19"/>
      <c r="J989" s="19"/>
      <c r="K989" s="19"/>
      <c r="L989" s="225"/>
      <c r="M989" s="226"/>
      <c r="N989" s="226"/>
      <c r="O989" s="227"/>
      <c r="P989" s="19"/>
      <c r="Q989" s="19"/>
      <c r="R989" s="19"/>
      <c r="S989" s="228"/>
      <c r="T989" s="228"/>
      <c r="U989" s="229"/>
      <c r="V989" s="22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</row>
    <row r="990">
      <c r="A990" s="217"/>
      <c r="B990" s="218"/>
      <c r="C990" s="219"/>
      <c r="D990" s="220"/>
      <c r="E990" s="221"/>
      <c r="F990" s="222"/>
      <c r="G990" s="223"/>
      <c r="H990" s="224"/>
      <c r="I990" s="19"/>
      <c r="J990" s="19"/>
      <c r="K990" s="19"/>
      <c r="L990" s="225"/>
      <c r="M990" s="226"/>
      <c r="N990" s="226"/>
      <c r="O990" s="227"/>
      <c r="P990" s="19"/>
      <c r="Q990" s="19"/>
      <c r="R990" s="19"/>
      <c r="S990" s="228"/>
      <c r="T990" s="228"/>
      <c r="U990" s="229"/>
      <c r="V990" s="22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</row>
    <row r="991">
      <c r="A991" s="217"/>
      <c r="B991" s="218"/>
      <c r="C991" s="219"/>
      <c r="D991" s="220"/>
      <c r="E991" s="221"/>
      <c r="F991" s="222"/>
      <c r="G991" s="223"/>
      <c r="H991" s="224"/>
      <c r="I991" s="19"/>
      <c r="J991" s="19"/>
      <c r="K991" s="19"/>
      <c r="L991" s="225"/>
      <c r="M991" s="226"/>
      <c r="N991" s="226"/>
      <c r="O991" s="227"/>
      <c r="P991" s="19"/>
      <c r="Q991" s="19"/>
      <c r="R991" s="19"/>
      <c r="S991" s="228"/>
      <c r="T991" s="228"/>
      <c r="U991" s="229"/>
      <c r="V991" s="22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</row>
    <row r="992">
      <c r="A992" s="217"/>
      <c r="B992" s="218"/>
      <c r="C992" s="219"/>
      <c r="D992" s="220"/>
      <c r="E992" s="221"/>
      <c r="F992" s="222"/>
      <c r="G992" s="223"/>
      <c r="H992" s="224"/>
      <c r="I992" s="19"/>
      <c r="J992" s="19"/>
      <c r="K992" s="19"/>
      <c r="L992" s="225"/>
      <c r="M992" s="226"/>
      <c r="N992" s="226"/>
      <c r="O992" s="227"/>
      <c r="P992" s="19"/>
      <c r="Q992" s="19"/>
      <c r="R992" s="19"/>
      <c r="S992" s="228"/>
      <c r="T992" s="228"/>
      <c r="U992" s="229"/>
      <c r="V992" s="22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</row>
    <row r="993">
      <c r="A993" s="217"/>
      <c r="B993" s="218"/>
      <c r="C993" s="219"/>
      <c r="D993" s="220"/>
      <c r="E993" s="221"/>
      <c r="F993" s="222"/>
      <c r="G993" s="223"/>
      <c r="H993" s="224"/>
      <c r="I993" s="19"/>
      <c r="J993" s="19"/>
      <c r="K993" s="19"/>
      <c r="L993" s="225"/>
      <c r="M993" s="226"/>
      <c r="N993" s="226"/>
      <c r="O993" s="227"/>
      <c r="P993" s="19"/>
      <c r="Q993" s="19"/>
      <c r="R993" s="19"/>
      <c r="S993" s="228"/>
      <c r="T993" s="228"/>
      <c r="U993" s="229"/>
      <c r="V993" s="22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</row>
    <row r="994">
      <c r="A994" s="217"/>
      <c r="B994" s="218"/>
      <c r="C994" s="219"/>
      <c r="D994" s="220"/>
      <c r="E994" s="221"/>
      <c r="F994" s="222"/>
      <c r="G994" s="223"/>
      <c r="H994" s="224"/>
      <c r="I994" s="19"/>
      <c r="J994" s="19"/>
      <c r="K994" s="19"/>
      <c r="L994" s="225"/>
      <c r="M994" s="226"/>
      <c r="N994" s="226"/>
      <c r="O994" s="227"/>
      <c r="P994" s="19"/>
      <c r="Q994" s="19"/>
      <c r="R994" s="19"/>
      <c r="S994" s="228"/>
      <c r="T994" s="228"/>
      <c r="U994" s="229"/>
      <c r="V994" s="22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</row>
    <row r="995">
      <c r="A995" s="217"/>
      <c r="B995" s="218"/>
      <c r="C995" s="219"/>
      <c r="D995" s="220"/>
      <c r="E995" s="221"/>
      <c r="F995" s="222"/>
      <c r="G995" s="223"/>
      <c r="H995" s="224"/>
      <c r="I995" s="19"/>
      <c r="J995" s="19"/>
      <c r="K995" s="19"/>
      <c r="L995" s="225"/>
      <c r="M995" s="226"/>
      <c r="N995" s="226"/>
      <c r="O995" s="227"/>
      <c r="P995" s="19"/>
      <c r="Q995" s="19"/>
      <c r="R995" s="19"/>
      <c r="S995" s="228"/>
      <c r="T995" s="228"/>
      <c r="U995" s="229"/>
      <c r="V995" s="22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</row>
    <row r="996">
      <c r="A996" s="217"/>
      <c r="B996" s="218"/>
      <c r="C996" s="219"/>
      <c r="D996" s="220"/>
      <c r="E996" s="221"/>
      <c r="F996" s="222"/>
      <c r="G996" s="223"/>
      <c r="H996" s="224"/>
      <c r="I996" s="19"/>
      <c r="J996" s="19"/>
      <c r="K996" s="19"/>
      <c r="L996" s="225"/>
      <c r="M996" s="226"/>
      <c r="N996" s="226"/>
      <c r="O996" s="227"/>
      <c r="P996" s="19"/>
      <c r="Q996" s="19"/>
      <c r="R996" s="19"/>
      <c r="S996" s="228"/>
      <c r="T996" s="228"/>
      <c r="U996" s="229"/>
      <c r="V996" s="22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</row>
    <row r="997">
      <c r="A997" s="217"/>
      <c r="B997" s="218"/>
      <c r="C997" s="219"/>
      <c r="D997" s="220"/>
      <c r="E997" s="221"/>
      <c r="F997" s="222"/>
      <c r="G997" s="223"/>
      <c r="H997" s="224"/>
      <c r="I997" s="19"/>
      <c r="J997" s="19"/>
      <c r="K997" s="19"/>
      <c r="L997" s="225"/>
      <c r="M997" s="226"/>
      <c r="N997" s="226"/>
      <c r="O997" s="227"/>
      <c r="P997" s="19"/>
      <c r="Q997" s="19"/>
      <c r="R997" s="19"/>
      <c r="S997" s="228"/>
      <c r="T997" s="228"/>
      <c r="U997" s="229"/>
      <c r="V997" s="22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</row>
    <row r="998">
      <c r="A998" s="217"/>
      <c r="B998" s="218"/>
      <c r="C998" s="219"/>
      <c r="D998" s="220"/>
      <c r="E998" s="221"/>
      <c r="F998" s="222"/>
      <c r="G998" s="223"/>
      <c r="H998" s="224"/>
      <c r="I998" s="19"/>
      <c r="J998" s="19"/>
      <c r="K998" s="19"/>
      <c r="L998" s="225"/>
      <c r="M998" s="226"/>
      <c r="N998" s="226"/>
      <c r="O998" s="227"/>
      <c r="P998" s="19"/>
      <c r="Q998" s="19"/>
      <c r="R998" s="19"/>
      <c r="S998" s="228"/>
      <c r="T998" s="228"/>
      <c r="U998" s="229"/>
      <c r="V998" s="22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</row>
    <row r="999">
      <c r="A999" s="217"/>
      <c r="B999" s="218"/>
      <c r="C999" s="219"/>
      <c r="D999" s="220"/>
      <c r="E999" s="221"/>
      <c r="F999" s="222"/>
      <c r="G999" s="223"/>
      <c r="H999" s="224"/>
      <c r="I999" s="19"/>
      <c r="J999" s="19"/>
      <c r="K999" s="19"/>
      <c r="L999" s="225"/>
      <c r="M999" s="226"/>
      <c r="N999" s="226"/>
      <c r="O999" s="227"/>
      <c r="P999" s="19"/>
      <c r="Q999" s="19"/>
      <c r="R999" s="19"/>
      <c r="S999" s="228"/>
      <c r="T999" s="228"/>
      <c r="U999" s="229"/>
      <c r="V999" s="22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</row>
    <row r="1000">
      <c r="A1000" s="217"/>
      <c r="B1000" s="218"/>
      <c r="C1000" s="219"/>
      <c r="D1000" s="220"/>
      <c r="E1000" s="221"/>
      <c r="F1000" s="222"/>
      <c r="G1000" s="223"/>
      <c r="H1000" s="224"/>
      <c r="I1000" s="19"/>
      <c r="J1000" s="19"/>
      <c r="K1000" s="19"/>
      <c r="L1000" s="225"/>
      <c r="M1000" s="226"/>
      <c r="N1000" s="226"/>
      <c r="O1000" s="227"/>
      <c r="P1000" s="19"/>
      <c r="Q1000" s="19"/>
      <c r="R1000" s="19"/>
      <c r="S1000" s="228"/>
      <c r="T1000" s="228"/>
      <c r="U1000" s="229"/>
      <c r="V1000" s="22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</row>
    <row r="1001">
      <c r="A1001" s="217"/>
      <c r="B1001" s="218"/>
      <c r="C1001" s="219"/>
      <c r="D1001" s="220"/>
      <c r="E1001" s="221"/>
      <c r="F1001" s="222"/>
      <c r="G1001" s="223"/>
      <c r="H1001" s="224"/>
      <c r="I1001" s="19"/>
      <c r="J1001" s="19"/>
      <c r="K1001" s="19"/>
      <c r="L1001" s="225"/>
      <c r="M1001" s="226"/>
      <c r="N1001" s="226"/>
      <c r="O1001" s="227"/>
      <c r="P1001" s="19"/>
      <c r="Q1001" s="19"/>
      <c r="R1001" s="19"/>
      <c r="S1001" s="228"/>
      <c r="T1001" s="228"/>
      <c r="U1001" s="229"/>
      <c r="V1001" s="22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</row>
    <row r="1002">
      <c r="A1002" s="217"/>
      <c r="B1002" s="218"/>
      <c r="C1002" s="219"/>
      <c r="D1002" s="220"/>
      <c r="E1002" s="221"/>
      <c r="F1002" s="222"/>
      <c r="G1002" s="223"/>
      <c r="H1002" s="224"/>
      <c r="I1002" s="19"/>
      <c r="J1002" s="19"/>
      <c r="K1002" s="19"/>
      <c r="L1002" s="225"/>
      <c r="M1002" s="226"/>
      <c r="N1002" s="226"/>
      <c r="O1002" s="227"/>
      <c r="P1002" s="19"/>
      <c r="Q1002" s="19"/>
      <c r="R1002" s="19"/>
      <c r="S1002" s="228"/>
      <c r="T1002" s="228"/>
      <c r="U1002" s="229"/>
      <c r="V1002" s="22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</row>
    <row r="1003">
      <c r="A1003" s="217"/>
      <c r="B1003" s="218"/>
      <c r="C1003" s="219"/>
      <c r="D1003" s="220"/>
      <c r="E1003" s="221"/>
      <c r="F1003" s="222"/>
      <c r="G1003" s="223"/>
      <c r="H1003" s="224"/>
      <c r="I1003" s="19"/>
      <c r="J1003" s="19"/>
      <c r="K1003" s="19"/>
      <c r="L1003" s="225"/>
      <c r="M1003" s="226"/>
      <c r="N1003" s="226"/>
      <c r="O1003" s="227"/>
      <c r="P1003" s="19"/>
      <c r="Q1003" s="19"/>
      <c r="R1003" s="19"/>
      <c r="S1003" s="228"/>
      <c r="T1003" s="228"/>
      <c r="U1003" s="229"/>
      <c r="V1003" s="22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</row>
    <row r="1004">
      <c r="A1004" s="217"/>
      <c r="B1004" s="218"/>
      <c r="C1004" s="219"/>
      <c r="D1004" s="220"/>
      <c r="E1004" s="221"/>
      <c r="F1004" s="222"/>
      <c r="G1004" s="223"/>
      <c r="H1004" s="224"/>
      <c r="I1004" s="19"/>
      <c r="J1004" s="19"/>
      <c r="K1004" s="19"/>
      <c r="L1004" s="225"/>
      <c r="M1004" s="226"/>
      <c r="N1004" s="226"/>
      <c r="O1004" s="227"/>
      <c r="P1004" s="19"/>
      <c r="Q1004" s="19"/>
      <c r="R1004" s="19"/>
      <c r="S1004" s="228"/>
      <c r="T1004" s="228"/>
      <c r="U1004" s="229"/>
      <c r="V1004" s="22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</row>
    <row r="1005">
      <c r="A1005" s="217"/>
      <c r="B1005" s="218"/>
      <c r="C1005" s="219"/>
      <c r="D1005" s="220"/>
      <c r="E1005" s="221"/>
      <c r="F1005" s="222"/>
      <c r="G1005" s="223"/>
      <c r="H1005" s="224"/>
      <c r="I1005" s="19"/>
      <c r="J1005" s="19"/>
      <c r="K1005" s="19"/>
      <c r="L1005" s="225"/>
      <c r="M1005" s="226"/>
      <c r="N1005" s="226"/>
      <c r="O1005" s="227"/>
      <c r="P1005" s="19"/>
      <c r="Q1005" s="19"/>
      <c r="R1005" s="19"/>
      <c r="S1005" s="228"/>
      <c r="T1005" s="228"/>
      <c r="U1005" s="229"/>
      <c r="V1005" s="22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</row>
    <row r="1006">
      <c r="A1006" s="217"/>
      <c r="B1006" s="218"/>
      <c r="C1006" s="219"/>
      <c r="D1006" s="220"/>
      <c r="E1006" s="221"/>
      <c r="F1006" s="222"/>
      <c r="G1006" s="223"/>
      <c r="H1006" s="224"/>
      <c r="I1006" s="19"/>
      <c r="J1006" s="19"/>
      <c r="K1006" s="19"/>
      <c r="L1006" s="225"/>
      <c r="M1006" s="226"/>
      <c r="N1006" s="226"/>
      <c r="O1006" s="227"/>
      <c r="P1006" s="19"/>
      <c r="Q1006" s="19"/>
      <c r="R1006" s="19"/>
      <c r="S1006" s="228"/>
      <c r="T1006" s="228"/>
      <c r="U1006" s="229"/>
      <c r="V1006" s="22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</row>
    <row r="1007">
      <c r="A1007" s="217"/>
      <c r="B1007" s="218"/>
      <c r="C1007" s="219"/>
      <c r="D1007" s="220"/>
      <c r="E1007" s="221"/>
      <c r="F1007" s="222"/>
      <c r="G1007" s="223"/>
      <c r="H1007" s="224"/>
      <c r="I1007" s="19"/>
      <c r="J1007" s="19"/>
      <c r="K1007" s="19"/>
      <c r="L1007" s="225"/>
      <c r="M1007" s="226"/>
      <c r="N1007" s="226"/>
      <c r="O1007" s="227"/>
      <c r="P1007" s="19"/>
      <c r="Q1007" s="19"/>
      <c r="R1007" s="19"/>
      <c r="S1007" s="228"/>
      <c r="T1007" s="228"/>
      <c r="U1007" s="229"/>
      <c r="V1007" s="22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</row>
    <row r="1008">
      <c r="A1008" s="217"/>
      <c r="B1008" s="218"/>
      <c r="C1008" s="219"/>
      <c r="D1008" s="220"/>
      <c r="E1008" s="221"/>
      <c r="F1008" s="222"/>
      <c r="G1008" s="223"/>
      <c r="H1008" s="224"/>
      <c r="I1008" s="19"/>
      <c r="J1008" s="19"/>
      <c r="K1008" s="19"/>
      <c r="L1008" s="225"/>
      <c r="M1008" s="226"/>
      <c r="N1008" s="226"/>
      <c r="O1008" s="227"/>
      <c r="P1008" s="19"/>
      <c r="Q1008" s="19"/>
      <c r="R1008" s="19"/>
      <c r="S1008" s="228"/>
      <c r="T1008" s="228"/>
      <c r="U1008" s="229"/>
      <c r="V1008" s="22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</row>
  </sheetData>
  <mergeCells count="125">
    <mergeCell ref="P90:R90"/>
    <mergeCell ref="M89:O89"/>
    <mergeCell ref="P91:R91"/>
    <mergeCell ref="P88:R88"/>
    <mergeCell ref="S88:T93"/>
    <mergeCell ref="P97:R97"/>
    <mergeCell ref="M99:O99"/>
    <mergeCell ref="M103:O103"/>
    <mergeCell ref="P93:R93"/>
    <mergeCell ref="P92:R92"/>
    <mergeCell ref="M94:O94"/>
    <mergeCell ref="P13:R13"/>
    <mergeCell ref="P14:R14"/>
    <mergeCell ref="W10:Z10"/>
    <mergeCell ref="P10:R10"/>
    <mergeCell ref="P11:R11"/>
    <mergeCell ref="P12:R12"/>
    <mergeCell ref="P18:R18"/>
    <mergeCell ref="P17:R17"/>
    <mergeCell ref="P16:R16"/>
    <mergeCell ref="P22:R22"/>
    <mergeCell ref="P23:R23"/>
    <mergeCell ref="P25:R25"/>
    <mergeCell ref="S21:T26"/>
    <mergeCell ref="P21:R21"/>
    <mergeCell ref="P26:Q26"/>
    <mergeCell ref="P20:R20"/>
    <mergeCell ref="P19:R19"/>
    <mergeCell ref="S15:T20"/>
    <mergeCell ref="P24:R24"/>
    <mergeCell ref="A2:K2"/>
    <mergeCell ref="A3:K3"/>
    <mergeCell ref="A1:K1"/>
    <mergeCell ref="M7:O7"/>
    <mergeCell ref="C7:H7"/>
    <mergeCell ref="P8:R8"/>
    <mergeCell ref="S3:T8"/>
    <mergeCell ref="S9:T14"/>
    <mergeCell ref="L4:O4"/>
    <mergeCell ref="A4:K4"/>
    <mergeCell ref="P45:Q45"/>
    <mergeCell ref="P43:Q43"/>
    <mergeCell ref="P41:Q41"/>
    <mergeCell ref="P72:Q72"/>
    <mergeCell ref="P70:Q70"/>
    <mergeCell ref="P71:Q71"/>
    <mergeCell ref="P69:Q69"/>
    <mergeCell ref="P68:Q68"/>
    <mergeCell ref="P55:Q55"/>
    <mergeCell ref="P56:Q56"/>
    <mergeCell ref="P47:Q47"/>
    <mergeCell ref="P61:Q61"/>
    <mergeCell ref="P60:Q60"/>
    <mergeCell ref="P59:Q59"/>
    <mergeCell ref="P58:Q58"/>
    <mergeCell ref="P57:Q57"/>
    <mergeCell ref="P54:Q54"/>
    <mergeCell ref="P27:Q27"/>
    <mergeCell ref="P36:Q36"/>
    <mergeCell ref="P38:Q38"/>
    <mergeCell ref="P39:Q39"/>
    <mergeCell ref="P40:Q40"/>
    <mergeCell ref="P37:Q37"/>
    <mergeCell ref="P85:R85"/>
    <mergeCell ref="P86:R86"/>
    <mergeCell ref="P87:R87"/>
    <mergeCell ref="P63:R63"/>
    <mergeCell ref="P74:Q74"/>
    <mergeCell ref="P67:Q67"/>
    <mergeCell ref="P73:Q73"/>
    <mergeCell ref="P52:Q52"/>
    <mergeCell ref="P51:Q51"/>
    <mergeCell ref="P42:Q42"/>
    <mergeCell ref="P46:Q46"/>
    <mergeCell ref="P44:Q44"/>
    <mergeCell ref="P53:Q53"/>
    <mergeCell ref="P48:Q48"/>
    <mergeCell ref="S82:T87"/>
    <mergeCell ref="S51:T56"/>
    <mergeCell ref="S57:T62"/>
    <mergeCell ref="S69:T74"/>
    <mergeCell ref="S63:T68"/>
    <mergeCell ref="S76:T81"/>
    <mergeCell ref="P62:Q62"/>
    <mergeCell ref="P66:Q66"/>
    <mergeCell ref="P65:Q65"/>
    <mergeCell ref="P64:Q64"/>
    <mergeCell ref="P79:R79"/>
    <mergeCell ref="P78:R78"/>
    <mergeCell ref="P28:R28"/>
    <mergeCell ref="P30:Q30"/>
    <mergeCell ref="P34:Q34"/>
    <mergeCell ref="P35:Q35"/>
    <mergeCell ref="P49:Q49"/>
    <mergeCell ref="P50:Q50"/>
    <mergeCell ref="O32:O46"/>
    <mergeCell ref="M31:O31"/>
    <mergeCell ref="M47:O47"/>
    <mergeCell ref="O64:O74"/>
    <mergeCell ref="M63:O63"/>
    <mergeCell ref="O48:O62"/>
    <mergeCell ref="P102:R102"/>
    <mergeCell ref="P101:R101"/>
    <mergeCell ref="P104:R104"/>
    <mergeCell ref="P98:Q98"/>
    <mergeCell ref="P100:R100"/>
    <mergeCell ref="P96:R96"/>
    <mergeCell ref="P95:R95"/>
    <mergeCell ref="S94:T99"/>
    <mergeCell ref="S100:T105"/>
    <mergeCell ref="S45:T50"/>
    <mergeCell ref="S39:T44"/>
    <mergeCell ref="S33:T38"/>
    <mergeCell ref="S27:T32"/>
    <mergeCell ref="M84:O84"/>
    <mergeCell ref="N80:O83"/>
    <mergeCell ref="M76:O76"/>
    <mergeCell ref="A75:H75"/>
    <mergeCell ref="L2:O3"/>
    <mergeCell ref="L1:O1"/>
    <mergeCell ref="M15:O15"/>
    <mergeCell ref="O16:O30"/>
    <mergeCell ref="P32:Q32"/>
    <mergeCell ref="P33:Q33"/>
    <mergeCell ref="P29:Q29"/>
  </mergeCells>
  <hyperlinks>
    <hyperlink r:id="rId2" ref="A3"/>
    <hyperlink r:id="rId3" ref="M10"/>
    <hyperlink r:id="rId4" ref="N10"/>
    <hyperlink r:id="rId5" ref="O10"/>
    <hyperlink r:id="rId6" ref="P10"/>
    <hyperlink r:id="rId7" ref="M11"/>
    <hyperlink r:id="rId8" ref="N11"/>
    <hyperlink r:id="rId9" ref="O11"/>
    <hyperlink r:id="rId10" ref="P11"/>
    <hyperlink r:id="rId11" ref="M12"/>
    <hyperlink r:id="rId12" ref="N12"/>
    <hyperlink r:id="rId13" ref="P12"/>
    <hyperlink r:id="rId14" ref="M13"/>
    <hyperlink r:id="rId15" ref="N13"/>
    <hyperlink r:id="rId16" ref="P13"/>
    <hyperlink r:id="rId17" ref="M14"/>
    <hyperlink r:id="rId18" ref="N14"/>
    <hyperlink r:id="rId19" ref="O14"/>
    <hyperlink r:id="rId20" ref="P14"/>
    <hyperlink r:id="rId21" ref="M15"/>
    <hyperlink r:id="rId22" ref="M16"/>
    <hyperlink r:id="rId23" ref="N16"/>
    <hyperlink r:id="rId24" ref="P16"/>
    <hyperlink r:id="rId25" ref="M17"/>
    <hyperlink r:id="rId26" ref="N17"/>
    <hyperlink r:id="rId27" ref="P17"/>
    <hyperlink r:id="rId28" ref="M18"/>
    <hyperlink r:id="rId29" ref="N18"/>
    <hyperlink r:id="rId30" ref="P18"/>
    <hyperlink r:id="rId31" ref="M19"/>
    <hyperlink r:id="rId32" ref="N19"/>
    <hyperlink r:id="rId33" ref="P19"/>
    <hyperlink r:id="rId34" ref="M20"/>
    <hyperlink r:id="rId35" ref="N20"/>
    <hyperlink r:id="rId36" ref="P20"/>
    <hyperlink r:id="rId37" ref="M21"/>
    <hyperlink r:id="rId38" ref="N21"/>
    <hyperlink r:id="rId39" ref="P21"/>
    <hyperlink r:id="rId40" ref="M22"/>
    <hyperlink r:id="rId41" ref="N22"/>
    <hyperlink r:id="rId42" ref="P22"/>
    <hyperlink r:id="rId43" ref="M23"/>
    <hyperlink r:id="rId44" ref="N23"/>
    <hyperlink r:id="rId45" ref="P23"/>
    <hyperlink r:id="rId46" ref="M24"/>
    <hyperlink r:id="rId47" ref="N24"/>
    <hyperlink r:id="rId48" ref="P24"/>
    <hyperlink r:id="rId49" ref="M25"/>
    <hyperlink r:id="rId50" ref="N25"/>
    <hyperlink r:id="rId51" ref="P25"/>
    <hyperlink r:id="rId52" ref="M26"/>
    <hyperlink r:id="rId53" ref="N26"/>
    <hyperlink r:id="rId54" ref="P26"/>
    <hyperlink r:id="rId55" ref="R26"/>
    <hyperlink r:id="rId56" ref="M27"/>
    <hyperlink r:id="rId57" ref="N27"/>
    <hyperlink r:id="rId58" ref="P27"/>
    <hyperlink r:id="rId59" ref="R27"/>
    <hyperlink r:id="rId60" ref="M28"/>
    <hyperlink r:id="rId61" ref="N28"/>
    <hyperlink r:id="rId62" ref="P28"/>
    <hyperlink r:id="rId63" ref="M29"/>
    <hyperlink r:id="rId64" ref="N29"/>
    <hyperlink r:id="rId65" ref="P29"/>
    <hyperlink r:id="rId66" ref="R29"/>
    <hyperlink r:id="rId67" ref="M30"/>
    <hyperlink r:id="rId68" ref="N30"/>
    <hyperlink r:id="rId69" ref="P30"/>
    <hyperlink r:id="rId70" ref="R30"/>
    <hyperlink r:id="rId71" ref="M31"/>
    <hyperlink r:id="rId72" ref="M32"/>
    <hyperlink r:id="rId73" ref="N32"/>
    <hyperlink r:id="rId74" ref="P32"/>
    <hyperlink r:id="rId75" ref="R32"/>
    <hyperlink r:id="rId76" ref="M33"/>
    <hyperlink r:id="rId77" ref="N33"/>
    <hyperlink r:id="rId78" ref="P33"/>
    <hyperlink r:id="rId79" ref="R33"/>
    <hyperlink r:id="rId80" ref="M34"/>
    <hyperlink r:id="rId81" ref="N34"/>
    <hyperlink r:id="rId82" ref="P34"/>
    <hyperlink r:id="rId83" ref="R34"/>
    <hyperlink r:id="rId84" ref="M35"/>
    <hyperlink r:id="rId85" ref="N35"/>
    <hyperlink r:id="rId86" ref="P35"/>
    <hyperlink r:id="rId87" ref="R35"/>
    <hyperlink r:id="rId88" ref="M36"/>
    <hyperlink r:id="rId89" ref="N36"/>
    <hyperlink r:id="rId90" ref="P36"/>
    <hyperlink r:id="rId91" ref="R36"/>
    <hyperlink r:id="rId92" ref="M37"/>
    <hyperlink r:id="rId93" ref="N37"/>
    <hyperlink r:id="rId94" ref="P37"/>
    <hyperlink r:id="rId95" ref="R37"/>
    <hyperlink r:id="rId96" ref="M38"/>
    <hyperlink r:id="rId97" ref="N38"/>
    <hyperlink r:id="rId98" ref="P38"/>
    <hyperlink r:id="rId99" ref="R38"/>
    <hyperlink r:id="rId100" ref="M39"/>
    <hyperlink r:id="rId101" ref="N39"/>
    <hyperlink r:id="rId102" ref="P39"/>
    <hyperlink r:id="rId103" ref="R39"/>
    <hyperlink r:id="rId104" ref="M40"/>
    <hyperlink r:id="rId105" ref="N40"/>
    <hyperlink r:id="rId106" ref="P40"/>
    <hyperlink r:id="rId107" ref="R40"/>
    <hyperlink r:id="rId108" ref="M41"/>
    <hyperlink r:id="rId109" ref="N41"/>
    <hyperlink r:id="rId110" ref="P41"/>
    <hyperlink r:id="rId111" ref="R41"/>
    <hyperlink r:id="rId112" ref="M42"/>
    <hyperlink r:id="rId113" ref="N42"/>
    <hyperlink r:id="rId114" ref="P42"/>
    <hyperlink r:id="rId115" ref="R42"/>
    <hyperlink r:id="rId116" ref="M43"/>
    <hyperlink r:id="rId117" ref="N43"/>
    <hyperlink r:id="rId118" ref="P43"/>
    <hyperlink r:id="rId119" ref="R43"/>
    <hyperlink r:id="rId120" ref="M44"/>
    <hyperlink r:id="rId121" ref="N44"/>
    <hyperlink r:id="rId122" ref="P44"/>
    <hyperlink r:id="rId123" ref="R44"/>
    <hyperlink r:id="rId124" ref="M45"/>
    <hyperlink r:id="rId125" ref="N45"/>
    <hyperlink r:id="rId126" ref="P45"/>
    <hyperlink r:id="rId127" ref="R45"/>
    <hyperlink r:id="rId128" ref="M46"/>
    <hyperlink r:id="rId129" ref="N46"/>
    <hyperlink r:id="rId130" ref="P46"/>
    <hyperlink r:id="rId131" ref="R46"/>
    <hyperlink r:id="rId132" ref="M47"/>
    <hyperlink r:id="rId133" ref="M48"/>
    <hyperlink r:id="rId134" ref="N48"/>
    <hyperlink r:id="rId135" ref="P48"/>
    <hyperlink r:id="rId136" ref="R48"/>
    <hyperlink r:id="rId137" ref="M49"/>
    <hyperlink r:id="rId138" ref="N49"/>
    <hyperlink r:id="rId139" ref="P49"/>
    <hyperlink r:id="rId140" ref="R49"/>
    <hyperlink r:id="rId141" ref="M50"/>
    <hyperlink r:id="rId142" ref="N50"/>
    <hyperlink r:id="rId143" ref="P50"/>
    <hyperlink r:id="rId144" ref="R50"/>
    <hyperlink r:id="rId145" ref="M51"/>
    <hyperlink r:id="rId146" ref="N51"/>
    <hyperlink r:id="rId147" ref="P51"/>
    <hyperlink r:id="rId148" ref="R51"/>
    <hyperlink r:id="rId149" ref="M52"/>
    <hyperlink r:id="rId150" ref="N52"/>
    <hyperlink r:id="rId151" ref="P52"/>
    <hyperlink r:id="rId152" ref="R52"/>
    <hyperlink r:id="rId153" ref="M53"/>
    <hyperlink r:id="rId154" ref="N53"/>
    <hyperlink r:id="rId155" ref="P53"/>
    <hyperlink r:id="rId156" ref="R53"/>
    <hyperlink r:id="rId157" ref="M54"/>
    <hyperlink r:id="rId158" ref="N54"/>
    <hyperlink r:id="rId159" ref="P54"/>
    <hyperlink r:id="rId160" ref="R54"/>
    <hyperlink r:id="rId161" ref="M55"/>
    <hyperlink r:id="rId162" ref="N55"/>
    <hyperlink r:id="rId163" ref="P55"/>
    <hyperlink r:id="rId164" ref="R55"/>
    <hyperlink r:id="rId165" ref="M56"/>
    <hyperlink r:id="rId166" ref="N56"/>
    <hyperlink r:id="rId167" ref="P56"/>
    <hyperlink r:id="rId168" ref="R56"/>
    <hyperlink r:id="rId169" ref="M57"/>
    <hyperlink r:id="rId170" ref="N57"/>
    <hyperlink r:id="rId171" ref="P57"/>
    <hyperlink r:id="rId172" ref="R57"/>
    <hyperlink r:id="rId173" ref="M58"/>
    <hyperlink r:id="rId174" ref="N58"/>
    <hyperlink r:id="rId175" ref="P58"/>
    <hyperlink r:id="rId176" ref="R58"/>
    <hyperlink r:id="rId177" ref="M59"/>
    <hyperlink r:id="rId178" ref="N59"/>
    <hyperlink r:id="rId179" ref="P59"/>
    <hyperlink r:id="rId180" ref="R59"/>
    <hyperlink r:id="rId181" ref="M60"/>
    <hyperlink r:id="rId182" ref="N60"/>
    <hyperlink r:id="rId183" ref="P60"/>
    <hyperlink r:id="rId184" ref="R60"/>
    <hyperlink r:id="rId185" ref="M61"/>
    <hyperlink r:id="rId186" ref="N61"/>
    <hyperlink r:id="rId187" ref="P61"/>
    <hyperlink r:id="rId188" ref="R61"/>
    <hyperlink r:id="rId189" ref="M62"/>
    <hyperlink r:id="rId190" ref="N62"/>
    <hyperlink r:id="rId191" ref="P62"/>
    <hyperlink r:id="rId192" ref="R62"/>
    <hyperlink r:id="rId193" ref="M63"/>
    <hyperlink r:id="rId194" ref="M64"/>
    <hyperlink r:id="rId195" ref="N64"/>
    <hyperlink r:id="rId196" ref="P64"/>
    <hyperlink r:id="rId197" ref="R64"/>
    <hyperlink r:id="rId198" ref="M65"/>
    <hyperlink r:id="rId199" ref="N65"/>
    <hyperlink r:id="rId200" ref="P65"/>
    <hyperlink r:id="rId201" ref="R65"/>
    <hyperlink r:id="rId202" ref="M66"/>
    <hyperlink r:id="rId203" ref="N66"/>
    <hyperlink r:id="rId204" ref="P66"/>
    <hyperlink r:id="rId205" ref="R66"/>
    <hyperlink r:id="rId206" ref="M67"/>
    <hyperlink r:id="rId207" ref="N67"/>
    <hyperlink r:id="rId208" ref="P67"/>
    <hyperlink r:id="rId209" ref="R67"/>
    <hyperlink r:id="rId210" ref="M68"/>
    <hyperlink r:id="rId211" ref="N68"/>
    <hyperlink r:id="rId212" ref="P68"/>
    <hyperlink r:id="rId213" ref="R68"/>
    <hyperlink r:id="rId214" ref="M69"/>
    <hyperlink r:id="rId215" ref="N69"/>
    <hyperlink r:id="rId216" ref="P69"/>
    <hyperlink r:id="rId217" ref="R69"/>
    <hyperlink r:id="rId218" ref="M70"/>
    <hyperlink r:id="rId219" ref="N70"/>
    <hyperlink r:id="rId220" ref="P70"/>
    <hyperlink r:id="rId221" ref="R70"/>
    <hyperlink r:id="rId222" ref="M71"/>
    <hyperlink r:id="rId223" ref="N71"/>
    <hyperlink r:id="rId224" ref="P71"/>
    <hyperlink r:id="rId225" ref="R71"/>
    <hyperlink r:id="rId226" ref="M72"/>
    <hyperlink r:id="rId227" ref="N72"/>
    <hyperlink r:id="rId228" ref="P72"/>
    <hyperlink r:id="rId229" ref="R72"/>
    <hyperlink r:id="rId230" ref="M73"/>
    <hyperlink r:id="rId231" ref="N73"/>
    <hyperlink r:id="rId232" ref="P73"/>
    <hyperlink r:id="rId233" ref="R73"/>
    <hyperlink r:id="rId234" ref="M74"/>
    <hyperlink r:id="rId235" ref="N74"/>
    <hyperlink r:id="rId236" ref="P74"/>
    <hyperlink r:id="rId237" ref="R74"/>
    <hyperlink r:id="rId238" ref="M75"/>
    <hyperlink r:id="rId239" ref="N75"/>
    <hyperlink r:id="rId240" ref="O75"/>
    <hyperlink r:id="rId241" ref="P75"/>
    <hyperlink r:id="rId242" ref="Q75"/>
    <hyperlink r:id="rId243" ref="R75"/>
    <hyperlink r:id="rId244" ref="M76"/>
    <hyperlink r:id="rId245" ref="M78"/>
    <hyperlink r:id="rId246" ref="N78"/>
    <hyperlink r:id="rId247" ref="O78"/>
    <hyperlink r:id="rId248" ref="P78"/>
    <hyperlink r:id="rId249" ref="M79"/>
    <hyperlink r:id="rId250" ref="N79"/>
    <hyperlink r:id="rId251" ref="P79"/>
    <hyperlink r:id="rId252" ref="M80"/>
    <hyperlink r:id="rId253" ref="P80"/>
    <hyperlink r:id="rId254" ref="M81"/>
    <hyperlink r:id="rId255" ref="P81"/>
    <hyperlink r:id="rId256" ref="M82"/>
    <hyperlink r:id="rId257" ref="P82"/>
    <hyperlink r:id="rId258" ref="M83"/>
    <hyperlink r:id="rId259" ref="P83"/>
    <hyperlink r:id="rId260" ref="M84"/>
    <hyperlink r:id="rId261" ref="M85"/>
    <hyperlink r:id="rId262" ref="N85"/>
    <hyperlink r:id="rId263" ref="P85"/>
    <hyperlink r:id="rId264" ref="M86"/>
    <hyperlink r:id="rId265" ref="N86"/>
    <hyperlink r:id="rId266" ref="P86"/>
    <hyperlink r:id="rId267" ref="M87"/>
    <hyperlink r:id="rId268" ref="N87"/>
    <hyperlink r:id="rId269" ref="P87"/>
    <hyperlink r:id="rId270" ref="M88"/>
    <hyperlink r:id="rId271" ref="N88"/>
    <hyperlink r:id="rId272" ref="P88"/>
    <hyperlink r:id="rId273" ref="M89"/>
    <hyperlink r:id="rId274" ref="M90"/>
    <hyperlink r:id="rId275" ref="N90"/>
    <hyperlink r:id="rId276" ref="O90"/>
    <hyperlink r:id="rId277" ref="P90"/>
    <hyperlink r:id="rId278" ref="M91"/>
    <hyperlink r:id="rId279" ref="N91"/>
    <hyperlink r:id="rId280" ref="O91"/>
    <hyperlink r:id="rId281" ref="P91"/>
    <hyperlink r:id="rId282" ref="M92"/>
    <hyperlink r:id="rId283" ref="N92"/>
    <hyperlink r:id="rId284" ref="P92"/>
    <hyperlink r:id="rId285" ref="M93"/>
    <hyperlink r:id="rId286" ref="N93"/>
    <hyperlink r:id="rId287" ref="P93"/>
    <hyperlink r:id="rId288" ref="M94"/>
    <hyperlink r:id="rId289" ref="M95"/>
    <hyperlink r:id="rId290" ref="N95"/>
    <hyperlink r:id="rId291" ref="P95"/>
    <hyperlink r:id="rId292" ref="M96"/>
    <hyperlink r:id="rId293" ref="N96"/>
    <hyperlink r:id="rId294" ref="O96"/>
    <hyperlink r:id="rId295" ref="P96"/>
    <hyperlink r:id="rId296" ref="M97"/>
    <hyperlink r:id="rId297" ref="N97"/>
    <hyperlink r:id="rId298" ref="P97"/>
    <hyperlink r:id="rId299" ref="P98"/>
    <hyperlink r:id="rId300" ref="R98"/>
    <hyperlink r:id="rId301" ref="M99"/>
    <hyperlink r:id="rId302" ref="M100"/>
    <hyperlink r:id="rId303" ref="N100"/>
    <hyperlink r:id="rId304" ref="P100"/>
    <hyperlink r:id="rId305" ref="M101"/>
    <hyperlink r:id="rId306" ref="N101"/>
    <hyperlink r:id="rId307" ref="P101"/>
    <hyperlink r:id="rId308" ref="M102"/>
    <hyperlink r:id="rId309" ref="N102"/>
    <hyperlink r:id="rId310" ref="O102"/>
    <hyperlink r:id="rId311" ref="P102"/>
    <hyperlink r:id="rId312" ref="M103"/>
    <hyperlink r:id="rId313" ref="M104"/>
    <hyperlink r:id="rId314" ref="N104"/>
    <hyperlink r:id="rId315" ref="P104"/>
    <hyperlink r:id="rId316" ref="M105"/>
    <hyperlink r:id="rId317" ref="N105"/>
    <hyperlink r:id="rId318" ref="O105"/>
    <hyperlink r:id="rId319" ref="P105"/>
    <hyperlink r:id="rId320" ref="R105"/>
  </hyperlinks>
  <drawing r:id="rId321"/>
  <legacyDrawing r:id="rId322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1.86"/>
    <col customWidth="1" min="3" max="3" width="12.43"/>
    <col customWidth="1" min="4" max="4" width="6.14"/>
    <col customWidth="1" min="5" max="5" width="5.0"/>
    <col customWidth="1" min="6" max="6" width="6.14"/>
    <col customWidth="1" min="7" max="7" width="6.71"/>
    <col customWidth="1" min="8" max="8" width="7.43"/>
    <col customWidth="1" min="9" max="9" width="5.14"/>
    <col customWidth="1" min="10" max="10" width="13.14"/>
    <col customWidth="1" min="11" max="11" width="8.57"/>
    <col customWidth="1" min="12" max="12" width="5.71"/>
    <col customWidth="1" min="13" max="13" width="9.57"/>
    <col customWidth="1" min="14" max="14" width="10.57"/>
    <col customWidth="1" min="15" max="15" width="11.86"/>
    <col customWidth="1" min="16" max="16" width="7.71"/>
    <col customWidth="1" min="17" max="17" width="6.86"/>
    <col customWidth="1" min="18" max="18" width="12.71"/>
    <col customWidth="1" min="19" max="19" width="17.0"/>
    <col customWidth="1" min="20" max="20" width="13.86"/>
    <col customWidth="1" min="21" max="21" width="13.29"/>
    <col customWidth="1" min="22" max="22" width="30.71"/>
    <col customWidth="1" min="23" max="23" width="33.0"/>
    <col customWidth="1" min="24" max="24" width="11.0"/>
    <col customWidth="1" min="25" max="25" width="14.29"/>
    <col customWidth="1" min="27" max="27" width="7.14"/>
    <col customWidth="1" min="28" max="28" width="13.29"/>
    <col customWidth="1" min="29" max="29" width="8.14"/>
    <col customWidth="1" min="30" max="30" width="5.43"/>
    <col customWidth="1" min="31" max="32" width="5.29"/>
    <col customWidth="1" min="33" max="33" width="7.86"/>
  </cols>
  <sheetData>
    <row r="1" ht="60.75" customHeight="1">
      <c r="A1" s="230"/>
      <c r="B1" s="231" t="s">
        <v>2</v>
      </c>
      <c r="N1" s="232"/>
      <c r="O1" s="232"/>
      <c r="V1" s="233"/>
      <c r="W1" s="233"/>
      <c r="X1" s="233"/>
      <c r="Y1" s="234"/>
      <c r="Z1" s="234"/>
      <c r="AA1" s="234"/>
      <c r="AB1" s="234"/>
      <c r="AC1" s="234"/>
      <c r="AD1" s="234"/>
      <c r="AE1" s="234"/>
      <c r="AF1" s="234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>
      <c r="A2" s="235"/>
      <c r="B2" s="236" t="str">
        <f>HYPERLINK("https://www.reddit.com/r/DotA2/comments/3eb4nn/google_calendar_of_all_ti5_games_with_times/","Don't forget to check out /u/muricanredditor's calendar")</f>
        <v>Don't forget to check out /u/muricanredditor's calendar</v>
      </c>
      <c r="N2" s="232"/>
      <c r="O2" s="232"/>
      <c r="V2" s="233"/>
      <c r="W2" s="233"/>
      <c r="X2" s="233"/>
      <c r="Y2" s="39"/>
      <c r="Z2" s="217"/>
      <c r="AB2" s="39"/>
      <c r="AC2" s="217"/>
      <c r="AD2" s="217"/>
      <c r="AE2" s="217"/>
      <c r="AF2" s="217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3">
      <c r="A3" s="237"/>
      <c r="B3" s="237" t="s">
        <v>6</v>
      </c>
      <c r="N3" s="238" t="s">
        <v>163</v>
      </c>
      <c r="T3" s="39"/>
      <c r="V3" s="39"/>
      <c r="W3" s="39"/>
      <c r="X3" s="39"/>
      <c r="Y3" s="39"/>
      <c r="Z3" s="217"/>
      <c r="AA3" s="39"/>
      <c r="AB3" s="39"/>
      <c r="AC3" s="217"/>
      <c r="AD3" s="217"/>
      <c r="AE3" s="217"/>
      <c r="AF3" s="217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</row>
    <row r="4">
      <c r="A4" s="39"/>
      <c r="B4" s="39"/>
      <c r="C4" s="39"/>
      <c r="D4" s="17"/>
      <c r="E4" s="17"/>
      <c r="F4" s="17"/>
      <c r="G4" s="17"/>
      <c r="H4" s="17"/>
      <c r="I4" s="17"/>
      <c r="J4" s="239"/>
      <c r="K4" s="217"/>
      <c r="L4" s="239"/>
      <c r="M4" s="239"/>
      <c r="T4" s="39"/>
      <c r="V4" s="39"/>
      <c r="W4" s="39"/>
      <c r="X4" s="39"/>
      <c r="Y4" s="39"/>
      <c r="Z4" s="217"/>
      <c r="AA4" s="39"/>
      <c r="AB4" s="39"/>
      <c r="AC4" s="217"/>
      <c r="AD4" s="217"/>
      <c r="AE4" s="217"/>
      <c r="AF4" s="217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</row>
    <row r="5">
      <c r="A5" s="240"/>
      <c r="B5" s="241" t="s">
        <v>164</v>
      </c>
      <c r="N5" s="21" t="s">
        <v>165</v>
      </c>
      <c r="T5" s="21"/>
      <c r="U5" s="233"/>
      <c r="V5" s="233"/>
      <c r="W5" s="233"/>
      <c r="X5" s="39"/>
      <c r="Y5" s="39"/>
      <c r="Z5" s="39"/>
      <c r="AA5" s="242"/>
      <c r="AB5" s="242"/>
      <c r="AC5" s="242"/>
      <c r="AD5" s="242"/>
      <c r="AE5" s="242"/>
      <c r="AF5" s="242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>
      <c r="A6" s="39"/>
      <c r="B6" s="39"/>
      <c r="C6" s="22"/>
      <c r="D6" s="17"/>
      <c r="E6" s="17"/>
      <c r="F6" s="17"/>
      <c r="G6" s="17"/>
      <c r="H6" s="17"/>
      <c r="I6" s="17"/>
      <c r="J6" s="239"/>
      <c r="K6" s="217"/>
      <c r="L6" s="239"/>
      <c r="M6" s="239"/>
      <c r="N6" s="239"/>
      <c r="O6" s="239"/>
      <c r="P6" s="39"/>
      <c r="Q6" s="39"/>
      <c r="R6" s="39"/>
      <c r="S6" s="39"/>
      <c r="T6" s="39"/>
      <c r="X6" s="39"/>
      <c r="Y6" s="39"/>
      <c r="Z6" s="39"/>
      <c r="AA6" s="242"/>
      <c r="AB6" s="242"/>
      <c r="AC6" s="242"/>
      <c r="AD6" s="242"/>
      <c r="AE6" s="242"/>
      <c r="AF6" s="242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>
      <c r="P7" s="243"/>
      <c r="Q7" s="243"/>
      <c r="R7" s="243"/>
      <c r="X7" s="39"/>
      <c r="Y7" s="39"/>
      <c r="Z7" s="39"/>
      <c r="AA7" s="242"/>
      <c r="AB7" s="242"/>
      <c r="AC7" s="242"/>
      <c r="AD7" s="242"/>
      <c r="AE7" s="242"/>
      <c r="AF7" s="242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>
      <c r="B8" s="244" t="s">
        <v>166</v>
      </c>
      <c r="C8" s="245"/>
      <c r="D8" s="245"/>
      <c r="E8" s="245"/>
      <c r="F8" s="245"/>
      <c r="G8" s="245"/>
      <c r="H8" s="246"/>
      <c r="J8" s="247" t="s">
        <v>167</v>
      </c>
      <c r="K8" s="245"/>
      <c r="L8" s="245"/>
      <c r="M8" s="245"/>
      <c r="N8" s="245"/>
      <c r="O8" s="246"/>
      <c r="P8" s="243"/>
      <c r="Q8" s="243"/>
      <c r="R8" s="243"/>
      <c r="X8" s="39"/>
      <c r="Y8" s="39"/>
      <c r="Z8" s="39"/>
      <c r="AA8" s="242"/>
      <c r="AB8" s="242"/>
      <c r="AC8" s="242"/>
      <c r="AD8" s="242"/>
      <c r="AE8" s="242"/>
      <c r="AF8" s="242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>
      <c r="B9" s="248"/>
      <c r="C9" s="137"/>
      <c r="D9" s="137"/>
      <c r="E9" s="137"/>
      <c r="F9" s="137"/>
      <c r="G9" s="137"/>
      <c r="H9" s="249"/>
      <c r="J9" s="248"/>
      <c r="K9" s="137"/>
      <c r="L9" s="137"/>
      <c r="M9" s="137"/>
      <c r="N9" s="137"/>
      <c r="O9" s="249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39"/>
      <c r="AA9" s="242"/>
      <c r="AB9" s="242"/>
      <c r="AC9" s="242"/>
      <c r="AD9" s="242"/>
      <c r="AE9" s="242"/>
      <c r="AF9" s="242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>
      <c r="B10" s="244" t="s">
        <v>168</v>
      </c>
      <c r="C10" s="245"/>
      <c r="D10" s="245"/>
      <c r="E10" s="245"/>
      <c r="F10" s="245"/>
      <c r="G10" s="245"/>
      <c r="H10" s="246"/>
      <c r="J10" s="250" t="s">
        <v>169</v>
      </c>
      <c r="K10" s="245"/>
      <c r="L10" s="245"/>
      <c r="M10" s="245"/>
      <c r="N10" s="245"/>
      <c r="O10" s="246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39"/>
      <c r="AA10" s="242"/>
      <c r="AB10" s="242"/>
      <c r="AC10" s="242"/>
      <c r="AD10" s="242"/>
      <c r="AE10" s="242"/>
      <c r="AF10" s="242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ht="21.75" customHeight="1">
      <c r="B11" s="248"/>
      <c r="C11" s="137"/>
      <c r="D11" s="137"/>
      <c r="E11" s="137"/>
      <c r="F11" s="137"/>
      <c r="G11" s="137"/>
      <c r="H11" s="249"/>
      <c r="J11" s="157" t="s">
        <v>170</v>
      </c>
      <c r="K11" s="140" t="s">
        <v>171</v>
      </c>
      <c r="L11" s="140" t="s">
        <v>172</v>
      </c>
      <c r="M11" s="140" t="s">
        <v>173</v>
      </c>
      <c r="N11" s="140" t="s">
        <v>174</v>
      </c>
      <c r="O11" s="158" t="s">
        <v>175</v>
      </c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39"/>
      <c r="AA11" s="242"/>
      <c r="AB11" s="242"/>
      <c r="AC11" s="242"/>
      <c r="AD11" s="242"/>
      <c r="AE11" s="242"/>
      <c r="AF11" s="242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ht="16.5" customHeight="1">
      <c r="B12" s="251" t="s">
        <v>176</v>
      </c>
      <c r="C12" s="251" t="s">
        <v>170</v>
      </c>
      <c r="D12" s="245"/>
      <c r="E12" s="252" t="s">
        <v>177</v>
      </c>
      <c r="F12" s="245"/>
      <c r="G12" s="246"/>
      <c r="H12" s="158" t="s">
        <v>178</v>
      </c>
      <c r="J12" s="253" t="s">
        <v>66</v>
      </c>
      <c r="K12" s="254" t="str">
        <f t="shared" ref="K12:K19" si="1">SUM(L12:N12)
</f>
        <v>7</v>
      </c>
      <c r="L12" s="254">
        <v>5.0</v>
      </c>
      <c r="M12" s="254">
        <v>0.0</v>
      </c>
      <c r="N12" s="254">
        <v>2.0</v>
      </c>
      <c r="O12" s="255" t="str">
        <f t="shared" ref="O12:O19" si="2">(L12*3+N12*1)</f>
        <v>17</v>
      </c>
      <c r="P12" s="140"/>
      <c r="Z12" s="39"/>
      <c r="AA12" s="242"/>
      <c r="AB12" s="242"/>
      <c r="AC12" s="242"/>
      <c r="AD12" s="242"/>
      <c r="AE12" s="242"/>
      <c r="AF12" s="242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>
      <c r="B13" s="256">
        <v>1.0</v>
      </c>
      <c r="C13" s="257" t="s">
        <v>84</v>
      </c>
      <c r="E13" s="258" t="s">
        <v>179</v>
      </c>
      <c r="G13" s="87"/>
      <c r="H13" s="259">
        <v>0.36</v>
      </c>
      <c r="J13" s="253" t="s">
        <v>62</v>
      </c>
      <c r="K13" s="254" t="str">
        <f t="shared" si="1"/>
        <v>7</v>
      </c>
      <c r="L13" s="254">
        <v>4.0</v>
      </c>
      <c r="M13" s="254">
        <v>0.0</v>
      </c>
      <c r="N13" s="254">
        <v>3.0</v>
      </c>
      <c r="O13" s="255" t="str">
        <f t="shared" si="2"/>
        <v>15</v>
      </c>
      <c r="Q13" s="140"/>
      <c r="Z13" s="39"/>
      <c r="AA13" s="242"/>
      <c r="AB13" s="242"/>
      <c r="AC13" s="242"/>
      <c r="AD13" s="242"/>
      <c r="AE13" s="242"/>
      <c r="AF13" s="242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>
      <c r="B14" s="260">
        <v>2.0</v>
      </c>
      <c r="C14" s="261" t="s">
        <v>32</v>
      </c>
      <c r="E14" s="262" t="s">
        <v>180</v>
      </c>
      <c r="G14" s="87"/>
      <c r="H14" s="263">
        <v>0.16</v>
      </c>
      <c r="J14" s="253" t="s">
        <v>56</v>
      </c>
      <c r="K14" s="254" t="str">
        <f t="shared" si="1"/>
        <v>7</v>
      </c>
      <c r="L14" s="254">
        <v>4.0</v>
      </c>
      <c r="M14" s="254">
        <v>2.0</v>
      </c>
      <c r="N14" s="254">
        <v>1.0</v>
      </c>
      <c r="O14" s="255" t="str">
        <f t="shared" si="2"/>
        <v>13</v>
      </c>
      <c r="P14" s="264"/>
      <c r="Q14" s="264"/>
      <c r="Z14" s="39"/>
      <c r="AA14" s="242"/>
      <c r="AB14" s="242"/>
      <c r="AC14" s="242"/>
      <c r="AD14" s="242"/>
      <c r="AE14" s="242"/>
      <c r="AF14" s="242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>
      <c r="B15" s="265">
        <v>3.0</v>
      </c>
      <c r="C15" s="266" t="s">
        <v>66</v>
      </c>
      <c r="E15" s="267" t="s">
        <v>181</v>
      </c>
      <c r="G15" s="87"/>
      <c r="H15" s="268">
        <v>0.12</v>
      </c>
      <c r="J15" s="253" t="s">
        <v>67</v>
      </c>
      <c r="K15" s="254" t="str">
        <f t="shared" si="1"/>
        <v>7</v>
      </c>
      <c r="L15" s="254">
        <v>3.0</v>
      </c>
      <c r="M15" s="254">
        <v>3.0</v>
      </c>
      <c r="N15" s="254">
        <v>1.0</v>
      </c>
      <c r="O15" s="255" t="str">
        <f t="shared" si="2"/>
        <v>10</v>
      </c>
      <c r="P15" s="264"/>
      <c r="Q15" s="264"/>
      <c r="Z15" s="39"/>
      <c r="AA15" s="242"/>
      <c r="AB15" s="242"/>
      <c r="AC15" s="242"/>
      <c r="AD15" s="242"/>
      <c r="AE15" s="242"/>
      <c r="AF15" s="242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>
      <c r="B16" s="265">
        <v>4.0</v>
      </c>
      <c r="C16" s="266" t="s">
        <v>182</v>
      </c>
      <c r="E16" s="267" t="s">
        <v>183</v>
      </c>
      <c r="G16" s="87"/>
      <c r="H16" s="269">
        <v>0.085</v>
      </c>
      <c r="J16" s="270" t="s">
        <v>184</v>
      </c>
      <c r="K16" s="271" t="str">
        <f t="shared" si="1"/>
        <v>7</v>
      </c>
      <c r="L16" s="271">
        <v>1.0</v>
      </c>
      <c r="M16" s="271">
        <v>3.0</v>
      </c>
      <c r="N16" s="271">
        <v>3.0</v>
      </c>
      <c r="O16" s="272" t="str">
        <f t="shared" si="2"/>
        <v>6</v>
      </c>
      <c r="P16" s="264"/>
      <c r="Q16" s="264"/>
      <c r="Z16" s="39"/>
      <c r="AA16" s="242"/>
      <c r="AB16" s="242"/>
      <c r="AC16" s="242"/>
      <c r="AD16" s="242"/>
      <c r="AE16" s="242"/>
      <c r="AF16" s="242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>
      <c r="B17" s="273">
        <v>5.0</v>
      </c>
      <c r="C17" s="274" t="s">
        <v>81</v>
      </c>
      <c r="E17" s="275" t="s">
        <v>185</v>
      </c>
      <c r="G17" s="87"/>
      <c r="H17" s="276">
        <v>0.065</v>
      </c>
      <c r="J17" s="270" t="s">
        <v>77</v>
      </c>
      <c r="K17" s="271" t="str">
        <f t="shared" si="1"/>
        <v>7</v>
      </c>
      <c r="L17" s="271">
        <v>1.0</v>
      </c>
      <c r="M17" s="271">
        <v>3.0</v>
      </c>
      <c r="N17" s="271">
        <v>3.0</v>
      </c>
      <c r="O17" s="272" t="str">
        <f t="shared" si="2"/>
        <v>6</v>
      </c>
      <c r="P17" s="264"/>
      <c r="Q17" s="264"/>
      <c r="Z17" s="39"/>
      <c r="AA17" s="242"/>
      <c r="AB17" s="242"/>
      <c r="AC17" s="242"/>
      <c r="AD17" s="242"/>
      <c r="AE17" s="242"/>
      <c r="AF17" s="242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>
      <c r="B18" s="273">
        <v>6.0</v>
      </c>
      <c r="C18" s="274" t="s">
        <v>92</v>
      </c>
      <c r="E18" s="275" t="s">
        <v>185</v>
      </c>
      <c r="G18" s="87"/>
      <c r="H18" s="276">
        <v>0.065</v>
      </c>
      <c r="J18" s="270" t="s">
        <v>61</v>
      </c>
      <c r="K18" s="271" t="str">
        <f t="shared" si="1"/>
        <v>7</v>
      </c>
      <c r="L18" s="271">
        <v>0.0</v>
      </c>
      <c r="M18" s="271">
        <v>3.0</v>
      </c>
      <c r="N18" s="271">
        <v>4.0</v>
      </c>
      <c r="O18" s="272" t="str">
        <f t="shared" si="2"/>
        <v>4</v>
      </c>
      <c r="P18" s="264"/>
      <c r="Q18" s="264"/>
      <c r="Z18" s="39"/>
      <c r="AA18" s="242"/>
      <c r="AB18" s="242"/>
      <c r="AC18" s="242"/>
      <c r="AD18" s="242"/>
      <c r="AE18" s="242"/>
      <c r="AF18" s="242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>
      <c r="B19" s="277">
        <v>7.0</v>
      </c>
      <c r="C19" s="278" t="s">
        <v>62</v>
      </c>
      <c r="E19" s="279" t="s">
        <v>186</v>
      </c>
      <c r="G19" s="87"/>
      <c r="H19" s="280">
        <v>0.045</v>
      </c>
      <c r="J19" s="281" t="s">
        <v>72</v>
      </c>
      <c r="K19" s="282" t="str">
        <f t="shared" si="1"/>
        <v>7</v>
      </c>
      <c r="L19" s="282">
        <v>0.0</v>
      </c>
      <c r="M19" s="282">
        <v>4.0</v>
      </c>
      <c r="N19" s="282">
        <v>3.0</v>
      </c>
      <c r="O19" s="283" t="str">
        <f t="shared" si="2"/>
        <v>3</v>
      </c>
      <c r="P19" s="264"/>
      <c r="Q19" s="264"/>
      <c r="Z19" s="39"/>
      <c r="AA19" s="242"/>
      <c r="AB19" s="242"/>
      <c r="AC19" s="242"/>
      <c r="AD19" s="242"/>
      <c r="AE19" s="242"/>
      <c r="AF19" s="242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>
      <c r="B20" s="277">
        <v>8.0</v>
      </c>
      <c r="C20" s="278" t="s">
        <v>187</v>
      </c>
      <c r="E20" s="279" t="s">
        <v>186</v>
      </c>
      <c r="G20" s="87"/>
      <c r="H20" s="280">
        <v>0.045</v>
      </c>
      <c r="P20" s="264"/>
      <c r="Q20" s="264"/>
      <c r="Z20" s="39"/>
      <c r="AA20" s="242"/>
      <c r="AB20" s="242"/>
      <c r="AC20" s="242"/>
      <c r="AD20" s="242"/>
      <c r="AE20" s="242"/>
      <c r="AF20" s="242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>
      <c r="B21" s="284">
        <v>9.0</v>
      </c>
      <c r="C21" s="285" t="s">
        <v>188</v>
      </c>
      <c r="E21" s="286" t="s">
        <v>189</v>
      </c>
      <c r="G21" s="87"/>
      <c r="H21" s="287">
        <v>0.012</v>
      </c>
      <c r="J21" s="152" t="s">
        <v>190</v>
      </c>
      <c r="K21" s="245"/>
      <c r="L21" s="245"/>
      <c r="M21" s="245"/>
      <c r="N21" s="245"/>
      <c r="O21" s="246"/>
      <c r="P21" s="264"/>
      <c r="Q21" s="264"/>
      <c r="Z21" s="39"/>
      <c r="AA21" s="242"/>
      <c r="AB21" s="242"/>
      <c r="AC21" s="242"/>
      <c r="AD21" s="242"/>
      <c r="AE21" s="242"/>
      <c r="AF21" s="242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>
      <c r="B22" s="284">
        <v>10.0</v>
      </c>
      <c r="C22" s="285" t="s">
        <v>191</v>
      </c>
      <c r="E22" s="286" t="s">
        <v>189</v>
      </c>
      <c r="G22" s="87"/>
      <c r="H22" s="287">
        <v>0.012</v>
      </c>
      <c r="J22" s="157" t="s">
        <v>170</v>
      </c>
      <c r="K22" s="140" t="s">
        <v>171</v>
      </c>
      <c r="L22" s="140" t="s">
        <v>172</v>
      </c>
      <c r="M22" s="140" t="s">
        <v>173</v>
      </c>
      <c r="N22" s="140" t="s">
        <v>174</v>
      </c>
      <c r="O22" s="158" t="s">
        <v>175</v>
      </c>
      <c r="P22" s="243"/>
      <c r="Q22" s="243"/>
      <c r="R22" s="243"/>
      <c r="X22" s="39"/>
      <c r="Y22" s="39"/>
      <c r="Z22" s="39"/>
      <c r="AA22" s="242"/>
      <c r="AB22" s="242"/>
      <c r="AC22" s="242"/>
      <c r="AD22" s="242"/>
      <c r="AE22" s="242"/>
      <c r="AF22" s="242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>
      <c r="B23" s="284">
        <v>11.0</v>
      </c>
      <c r="C23" s="285" t="s">
        <v>67</v>
      </c>
      <c r="E23" s="286" t="s">
        <v>189</v>
      </c>
      <c r="G23" s="87"/>
      <c r="H23" s="287">
        <v>0.012</v>
      </c>
      <c r="J23" s="253" t="s">
        <v>84</v>
      </c>
      <c r="K23" s="254" t="str">
        <f t="shared" ref="K23:K30" si="3">SUM(M23:O23)
</f>
        <v>17</v>
      </c>
      <c r="L23" s="254">
        <v>3.0</v>
      </c>
      <c r="M23" s="254">
        <v>0.0</v>
      </c>
      <c r="N23" s="254">
        <v>4.0</v>
      </c>
      <c r="O23" s="255" t="str">
        <f t="shared" ref="O23:O30" si="4">(L23*3+N23*1)</f>
        <v>13</v>
      </c>
      <c r="P23" s="140"/>
      <c r="Q23" s="140"/>
      <c r="R23" s="243"/>
      <c r="X23" s="39"/>
      <c r="Y23" s="39"/>
      <c r="Z23" s="39"/>
      <c r="AA23" s="242"/>
      <c r="AB23" s="242"/>
      <c r="AC23" s="242"/>
      <c r="AD23" s="242"/>
      <c r="AE23" s="242"/>
      <c r="AF23" s="242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>
      <c r="B24" s="284">
        <v>12.0</v>
      </c>
      <c r="C24" s="285" t="s">
        <v>192</v>
      </c>
      <c r="E24" s="286" t="s">
        <v>189</v>
      </c>
      <c r="G24" s="87"/>
      <c r="H24" s="287">
        <v>0.012</v>
      </c>
      <c r="J24" s="253" t="s">
        <v>32</v>
      </c>
      <c r="K24" s="254" t="str">
        <f t="shared" si="3"/>
        <v>16</v>
      </c>
      <c r="L24" s="254">
        <v>4.0</v>
      </c>
      <c r="M24" s="254">
        <v>2.0</v>
      </c>
      <c r="N24" s="254">
        <v>1.0</v>
      </c>
      <c r="O24" s="255" t="str">
        <f t="shared" si="4"/>
        <v>13</v>
      </c>
      <c r="P24" s="140"/>
      <c r="R24" s="243"/>
      <c r="X24" s="39"/>
      <c r="Y24" s="39"/>
      <c r="Z24" s="39"/>
      <c r="AA24" s="242"/>
      <c r="AB24" s="242"/>
      <c r="AC24" s="242"/>
      <c r="AD24" s="242"/>
      <c r="AE24" s="242"/>
      <c r="AF24" s="242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>
      <c r="B25" s="288">
        <v>13.0</v>
      </c>
      <c r="C25" s="289" t="s">
        <v>80</v>
      </c>
      <c r="E25" s="290" t="s">
        <v>193</v>
      </c>
      <c r="G25" s="87"/>
      <c r="H25" s="291">
        <v>0.003</v>
      </c>
      <c r="J25" s="253" t="s">
        <v>92</v>
      </c>
      <c r="K25" s="254" t="str">
        <f t="shared" si="3"/>
        <v>16</v>
      </c>
      <c r="L25" s="254">
        <v>2.0</v>
      </c>
      <c r="M25" s="254">
        <v>0.0</v>
      </c>
      <c r="N25" s="254">
        <v>5.0</v>
      </c>
      <c r="O25" s="255" t="str">
        <f t="shared" si="4"/>
        <v>11</v>
      </c>
      <c r="P25" s="19"/>
      <c r="R25" s="243"/>
      <c r="X25" s="39"/>
      <c r="Y25" s="39"/>
      <c r="Z25" s="39"/>
      <c r="AA25" s="242"/>
      <c r="AB25" s="242"/>
      <c r="AC25" s="242"/>
      <c r="AD25" s="242"/>
      <c r="AE25" s="242"/>
      <c r="AF25" s="242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>
      <c r="A26" s="243"/>
      <c r="B26" s="288">
        <v>14.0</v>
      </c>
      <c r="C26" s="289" t="s">
        <v>194</v>
      </c>
      <c r="E26" s="290" t="s">
        <v>193</v>
      </c>
      <c r="G26" s="87"/>
      <c r="H26" s="291">
        <v>0.003</v>
      </c>
      <c r="I26" s="243"/>
      <c r="J26" s="253" t="s">
        <v>86</v>
      </c>
      <c r="K26" s="254" t="str">
        <f t="shared" si="3"/>
        <v>14</v>
      </c>
      <c r="L26" s="254">
        <v>2.0</v>
      </c>
      <c r="M26" s="254">
        <v>2.0</v>
      </c>
      <c r="N26" s="254">
        <v>3.0</v>
      </c>
      <c r="O26" s="255" t="str">
        <f t="shared" si="4"/>
        <v>9</v>
      </c>
      <c r="P26" s="19"/>
      <c r="R26" s="243"/>
      <c r="X26" s="39"/>
      <c r="Y26" s="39"/>
      <c r="Z26" s="39"/>
      <c r="AA26" s="242"/>
      <c r="AB26" s="242"/>
      <c r="AC26" s="242"/>
      <c r="AD26" s="242"/>
      <c r="AE26" s="242"/>
      <c r="AF26" s="242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>
      <c r="A27" s="243"/>
      <c r="B27" s="288">
        <v>15.0</v>
      </c>
      <c r="C27" s="289" t="s">
        <v>61</v>
      </c>
      <c r="E27" s="290" t="s">
        <v>193</v>
      </c>
      <c r="G27" s="87"/>
      <c r="H27" s="291">
        <v>0.003</v>
      </c>
      <c r="I27" s="243"/>
      <c r="J27" s="270" t="s">
        <v>81</v>
      </c>
      <c r="K27" s="271" t="str">
        <f t="shared" si="3"/>
        <v>14</v>
      </c>
      <c r="L27" s="271">
        <v>2.0</v>
      </c>
      <c r="M27" s="271">
        <v>2.0</v>
      </c>
      <c r="N27" s="271">
        <v>3.0</v>
      </c>
      <c r="O27" s="272" t="str">
        <f t="shared" si="4"/>
        <v>9</v>
      </c>
      <c r="P27" s="19"/>
      <c r="R27" s="243"/>
      <c r="X27" s="39"/>
      <c r="Y27" s="39"/>
      <c r="Z27" s="39"/>
      <c r="AA27" s="242"/>
      <c r="AB27" s="242"/>
      <c r="AC27" s="242"/>
      <c r="AD27" s="242"/>
      <c r="AE27" s="242"/>
      <c r="AF27" s="242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>
      <c r="A28" s="243"/>
      <c r="B28" s="292">
        <v>16.0</v>
      </c>
      <c r="C28" s="293" t="s">
        <v>89</v>
      </c>
      <c r="D28" s="137"/>
      <c r="E28" s="294" t="s">
        <v>193</v>
      </c>
      <c r="F28" s="137"/>
      <c r="G28" s="249"/>
      <c r="H28" s="291">
        <v>0.003</v>
      </c>
      <c r="I28" s="243"/>
      <c r="J28" s="270" t="s">
        <v>87</v>
      </c>
      <c r="K28" s="271" t="str">
        <f t="shared" si="3"/>
        <v>13</v>
      </c>
      <c r="L28" s="271">
        <v>1.0</v>
      </c>
      <c r="M28" s="271">
        <v>2.0</v>
      </c>
      <c r="N28" s="271">
        <v>4.0</v>
      </c>
      <c r="O28" s="272" t="str">
        <f t="shared" si="4"/>
        <v>7</v>
      </c>
      <c r="P28" s="19"/>
      <c r="R28" s="243"/>
      <c r="X28" s="39"/>
      <c r="Y28" s="39"/>
      <c r="Z28" s="39"/>
      <c r="AA28" s="242"/>
      <c r="AB28" s="242"/>
      <c r="AC28" s="242"/>
      <c r="AD28" s="242"/>
      <c r="AE28" s="242"/>
      <c r="AF28" s="242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>
      <c r="A29" s="243"/>
      <c r="B29" s="140" t="s">
        <v>195</v>
      </c>
      <c r="I29" s="243"/>
      <c r="J29" s="270" t="s">
        <v>80</v>
      </c>
      <c r="K29" s="271" t="str">
        <f t="shared" si="3"/>
        <v>13</v>
      </c>
      <c r="L29" s="271">
        <v>0.0</v>
      </c>
      <c r="M29" s="271">
        <v>1.0</v>
      </c>
      <c r="N29" s="271">
        <v>6.0</v>
      </c>
      <c r="O29" s="272" t="str">
        <f t="shared" si="4"/>
        <v>6</v>
      </c>
      <c r="P29" s="19"/>
      <c r="R29" s="243"/>
      <c r="X29" s="39"/>
      <c r="Y29" s="39"/>
      <c r="Z29" s="39"/>
      <c r="AA29" s="242"/>
      <c r="AB29" s="242"/>
      <c r="AC29" s="242"/>
      <c r="AD29" s="242"/>
      <c r="AE29" s="242"/>
      <c r="AF29" s="242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>
      <c r="A30" s="140"/>
      <c r="B30" s="243" t="s">
        <v>196</v>
      </c>
      <c r="I30" s="243"/>
      <c r="J30" s="281" t="s">
        <v>89</v>
      </c>
      <c r="K30" s="282" t="str">
        <f t="shared" si="3"/>
        <v>9</v>
      </c>
      <c r="L30" s="282">
        <v>0.0</v>
      </c>
      <c r="M30" s="282">
        <v>5.0</v>
      </c>
      <c r="N30" s="282">
        <v>2.0</v>
      </c>
      <c r="O30" s="283" t="str">
        <f t="shared" si="4"/>
        <v>2</v>
      </c>
      <c r="P30" s="19"/>
      <c r="R30" s="140"/>
      <c r="X30" s="39"/>
      <c r="Y30" s="39"/>
      <c r="Z30" s="39"/>
      <c r="AA30" s="242"/>
      <c r="AB30" s="242"/>
      <c r="AC30" s="242"/>
      <c r="AD30" s="242"/>
      <c r="AE30" s="242"/>
      <c r="AF30" s="242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>
      <c r="A31" s="140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19"/>
      <c r="X31" s="39"/>
      <c r="Y31" s="39"/>
      <c r="Z31" s="39"/>
      <c r="AA31" s="242"/>
      <c r="AB31" s="242"/>
      <c r="AC31" s="242"/>
      <c r="AD31" s="242"/>
      <c r="AE31" s="242"/>
      <c r="AF31" s="242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>
      <c r="A32" s="92"/>
      <c r="B32" s="243"/>
      <c r="C32" s="243"/>
      <c r="D32" s="243"/>
      <c r="E32" s="243"/>
      <c r="F32" s="243"/>
      <c r="G32" s="243"/>
      <c r="H32" s="243"/>
      <c r="I32" s="243"/>
      <c r="J32" s="254" t="s">
        <v>197</v>
      </c>
      <c r="M32" s="271" t="s">
        <v>198</v>
      </c>
      <c r="P32" s="19"/>
      <c r="X32" s="39"/>
      <c r="Y32" s="39"/>
      <c r="Z32" s="39"/>
      <c r="AA32" s="242"/>
      <c r="AB32" s="242"/>
      <c r="AC32" s="242"/>
      <c r="AD32" s="242"/>
      <c r="AE32" s="242"/>
      <c r="AF32" s="242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>
      <c r="A33" s="92"/>
      <c r="B33" s="243"/>
      <c r="C33" s="243"/>
      <c r="D33" s="243"/>
      <c r="E33" s="243"/>
      <c r="F33" s="243"/>
      <c r="G33" s="243"/>
      <c r="H33" s="243"/>
      <c r="I33" s="243"/>
      <c r="P33" s="243"/>
      <c r="Q33" s="243"/>
      <c r="AB33" s="242"/>
      <c r="AC33" s="242"/>
      <c r="AD33" s="242"/>
      <c r="AE33" s="242"/>
      <c r="AF33" s="242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>
      <c r="A34" s="92"/>
      <c r="B34" s="243"/>
      <c r="C34" s="243"/>
      <c r="D34" s="243"/>
      <c r="E34" s="243"/>
      <c r="F34" s="243"/>
      <c r="G34" s="243"/>
      <c r="H34" s="243"/>
      <c r="I34" s="243"/>
      <c r="P34" s="243"/>
      <c r="Q34" s="243"/>
      <c r="X34" s="39"/>
      <c r="Y34" s="39"/>
      <c r="Z34" s="39"/>
      <c r="AA34" s="242"/>
      <c r="AB34" s="242"/>
      <c r="AC34" s="242"/>
      <c r="AD34" s="242"/>
      <c r="AE34" s="242"/>
      <c r="AF34" s="242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>
      <c r="A35" s="92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X35" s="39"/>
      <c r="Y35" s="39"/>
      <c r="Z35" s="39"/>
      <c r="AA35" s="242"/>
      <c r="AB35" s="242"/>
      <c r="AC35" s="242"/>
      <c r="AD35" s="242"/>
      <c r="AE35" s="242"/>
      <c r="AF35" s="242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>
      <c r="A36" s="39"/>
      <c r="H36" s="17"/>
      <c r="I36" s="17"/>
      <c r="R36" s="39"/>
      <c r="S36" s="39"/>
      <c r="T36" s="39"/>
      <c r="X36" s="39"/>
      <c r="Y36" s="39"/>
      <c r="Z36" s="39"/>
      <c r="AA36" s="242"/>
      <c r="AB36" s="242"/>
      <c r="AC36" s="242"/>
      <c r="AD36" s="242"/>
      <c r="AE36" s="242"/>
      <c r="AF36" s="242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ht="39.0" customHeight="1">
      <c r="A37" s="295" t="s">
        <v>199</v>
      </c>
      <c r="R37" s="296"/>
      <c r="S37" s="296"/>
      <c r="T37" s="296"/>
      <c r="U37" s="186"/>
      <c r="V37" s="186"/>
      <c r="W37" s="186"/>
      <c r="X37" s="296"/>
      <c r="Y37" s="296"/>
      <c r="Z37" s="296"/>
      <c r="AA37" s="297"/>
      <c r="AB37" s="297"/>
      <c r="AC37" s="297"/>
      <c r="AD37" s="297"/>
      <c r="AE37" s="297"/>
      <c r="AF37" s="297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</row>
    <row r="38" ht="30.0" customHeight="1">
      <c r="A38" s="298" t="s">
        <v>200</v>
      </c>
      <c r="R38" s="299"/>
      <c r="S38" s="299"/>
      <c r="T38" s="299"/>
      <c r="U38" s="300"/>
      <c r="V38" s="300"/>
      <c r="W38" s="300"/>
      <c r="X38" s="299"/>
      <c r="Y38" s="299"/>
      <c r="Z38" s="299"/>
      <c r="AA38" s="300"/>
      <c r="AB38" s="300"/>
      <c r="AC38" s="300"/>
      <c r="AD38" s="300"/>
      <c r="AE38" s="300"/>
      <c r="AF38" s="300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</row>
    <row r="39" ht="18.75" customHeight="1">
      <c r="A39" s="302" t="s">
        <v>201</v>
      </c>
      <c r="R39" s="39"/>
      <c r="S39" s="303" t="s">
        <v>202</v>
      </c>
      <c r="T39" s="245"/>
      <c r="U39" s="246"/>
      <c r="X39" s="39"/>
      <c r="Y39" s="39"/>
      <c r="Z39" s="39"/>
      <c r="AA39" s="242"/>
      <c r="AB39" s="242"/>
      <c r="AC39" s="242"/>
      <c r="AD39" s="242"/>
      <c r="AE39" s="242"/>
      <c r="AF39" s="242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>
      <c r="A40" s="304">
        <v>1.0</v>
      </c>
      <c r="B40" s="305" t="s">
        <v>203</v>
      </c>
      <c r="C40" s="87"/>
      <c r="D40" s="306"/>
      <c r="E40" s="306"/>
      <c r="F40" s="306"/>
      <c r="G40" s="306"/>
      <c r="H40" s="34"/>
      <c r="I40" s="34"/>
      <c r="J40" s="306"/>
      <c r="K40" s="306"/>
      <c r="L40" s="306"/>
      <c r="M40" s="306"/>
      <c r="N40" s="306"/>
      <c r="O40" s="306"/>
      <c r="P40" s="306"/>
      <c r="Q40" s="306"/>
      <c r="S40" s="307" t="s">
        <v>204</v>
      </c>
      <c r="U40" s="87"/>
      <c r="X40" s="39"/>
      <c r="Y40" s="39"/>
      <c r="Z40" s="39"/>
      <c r="AA40" s="242"/>
      <c r="AB40" s="242"/>
      <c r="AC40" s="242"/>
      <c r="AD40" s="242"/>
      <c r="AE40" s="242"/>
      <c r="AF40" s="242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>
      <c r="A41" s="308"/>
      <c r="B41" s="248"/>
      <c r="C41" s="249"/>
      <c r="D41" s="309"/>
      <c r="E41" s="309"/>
      <c r="F41" s="309"/>
      <c r="G41" s="310"/>
      <c r="H41" s="306"/>
      <c r="I41" s="311" t="s">
        <v>205</v>
      </c>
      <c r="J41" s="245"/>
      <c r="K41" s="245"/>
      <c r="L41" s="246"/>
      <c r="M41" s="34"/>
      <c r="N41" s="306"/>
      <c r="O41" s="306"/>
      <c r="P41" s="306"/>
      <c r="Q41" s="306"/>
      <c r="S41" s="238" t="s">
        <v>206</v>
      </c>
      <c r="U41" s="87"/>
      <c r="X41" s="39"/>
      <c r="Y41" s="39"/>
      <c r="Z41" s="39"/>
      <c r="AA41" s="242"/>
      <c r="AB41" s="242"/>
      <c r="AC41" s="242"/>
      <c r="AD41" s="242"/>
      <c r="AE41" s="242"/>
      <c r="AF41" s="242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>
      <c r="A42" s="308"/>
      <c r="B42" s="312"/>
      <c r="C42" s="312"/>
      <c r="D42" s="306"/>
      <c r="E42" s="306"/>
      <c r="F42" s="306"/>
      <c r="G42" s="313"/>
      <c r="H42" s="314">
        <v>3.0</v>
      </c>
      <c r="I42" s="315"/>
      <c r="L42" s="87"/>
      <c r="M42" s="316"/>
      <c r="N42" s="306"/>
      <c r="O42" s="306"/>
      <c r="P42" s="306"/>
      <c r="Q42" s="306"/>
      <c r="S42" s="317" t="s">
        <v>207</v>
      </c>
      <c r="U42" s="87"/>
      <c r="X42" s="39"/>
      <c r="Y42" s="39"/>
      <c r="Z42" s="39"/>
      <c r="AA42" s="242"/>
      <c r="AB42" s="242"/>
      <c r="AC42" s="242"/>
      <c r="AD42" s="242"/>
      <c r="AE42" s="242"/>
      <c r="AF42" s="242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>
      <c r="A43" s="304">
        <v>2.0</v>
      </c>
      <c r="B43" s="318" t="s">
        <v>208</v>
      </c>
      <c r="C43" s="246"/>
      <c r="D43" s="306"/>
      <c r="E43" s="306"/>
      <c r="F43" s="306"/>
      <c r="G43" s="306"/>
      <c r="H43" s="319"/>
      <c r="I43" s="248"/>
      <c r="J43" s="137"/>
      <c r="K43" s="137"/>
      <c r="L43" s="249"/>
      <c r="M43" s="34"/>
      <c r="N43" s="320"/>
      <c r="O43" s="306"/>
      <c r="P43" s="306"/>
      <c r="Q43" s="306"/>
      <c r="S43" s="321" t="s">
        <v>209</v>
      </c>
      <c r="U43" s="87"/>
      <c r="X43" s="39"/>
      <c r="Y43" s="39"/>
      <c r="Z43" s="39"/>
      <c r="AA43" s="242"/>
      <c r="AB43" s="242"/>
      <c r="AC43" s="242"/>
      <c r="AD43" s="242"/>
      <c r="AE43" s="242"/>
      <c r="AF43" s="242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>
      <c r="A44" s="308"/>
      <c r="B44" s="248"/>
      <c r="C44" s="249"/>
      <c r="D44" s="309"/>
      <c r="E44" s="309"/>
      <c r="F44" s="309"/>
      <c r="G44" s="309"/>
      <c r="H44" s="306"/>
      <c r="I44" s="306"/>
      <c r="J44" s="306"/>
      <c r="K44" s="306"/>
      <c r="L44" s="34"/>
      <c r="M44" s="34"/>
      <c r="N44" s="320"/>
      <c r="O44" s="306"/>
      <c r="P44" s="306"/>
      <c r="Q44" s="306"/>
      <c r="S44" s="322" t="s">
        <v>210</v>
      </c>
      <c r="T44" s="137"/>
      <c r="U44" s="249"/>
      <c r="X44" s="39"/>
      <c r="Y44" s="39"/>
      <c r="Z44" s="39"/>
      <c r="AA44" s="242"/>
      <c r="AB44" s="242"/>
      <c r="AC44" s="242"/>
      <c r="AD44" s="242"/>
      <c r="AE44" s="242"/>
      <c r="AF44" s="242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>
      <c r="A45" s="308"/>
      <c r="B45" s="323"/>
      <c r="C45" s="323"/>
      <c r="D45" s="306"/>
      <c r="E45" s="306"/>
      <c r="F45" s="306"/>
      <c r="G45" s="306"/>
      <c r="H45" s="306"/>
      <c r="I45" s="306"/>
      <c r="J45" s="306"/>
      <c r="K45" s="306"/>
      <c r="L45" s="324">
        <v>2.0</v>
      </c>
      <c r="M45" s="325" t="s">
        <v>211</v>
      </c>
      <c r="N45" s="246"/>
      <c r="O45" s="306"/>
      <c r="P45" s="306"/>
      <c r="Q45" s="326"/>
      <c r="X45" s="39"/>
      <c r="Y45" s="39"/>
      <c r="Z45" s="39"/>
      <c r="AA45" s="242"/>
      <c r="AB45" s="242"/>
      <c r="AC45" s="242"/>
      <c r="AD45" s="242"/>
      <c r="AE45" s="242"/>
      <c r="AF45" s="242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>
      <c r="A46" s="307">
        <v>1.0</v>
      </c>
      <c r="B46" s="327" t="s">
        <v>212</v>
      </c>
      <c r="C46" s="246"/>
      <c r="D46" s="306"/>
      <c r="E46" s="306"/>
      <c r="F46" s="306"/>
      <c r="G46" s="306"/>
      <c r="H46" s="306"/>
      <c r="I46" s="306"/>
      <c r="J46" s="306"/>
      <c r="K46" s="306"/>
      <c r="L46" s="34"/>
      <c r="M46" s="248"/>
      <c r="N46" s="249"/>
      <c r="O46" s="309"/>
      <c r="P46" s="309"/>
      <c r="Q46" s="309"/>
      <c r="R46" s="245"/>
      <c r="S46" s="245"/>
      <c r="T46" s="246"/>
      <c r="X46" s="39"/>
      <c r="Y46" s="39"/>
      <c r="Z46" s="39"/>
      <c r="AA46" s="242"/>
      <c r="AB46" s="242"/>
      <c r="AC46" s="242"/>
      <c r="AD46" s="242"/>
      <c r="AE46" s="242"/>
      <c r="AF46" s="242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>
      <c r="A47" s="308"/>
      <c r="B47" s="248"/>
      <c r="C47" s="249"/>
      <c r="D47" s="309"/>
      <c r="E47" s="309"/>
      <c r="F47" s="309"/>
      <c r="G47" s="310"/>
      <c r="H47" s="306"/>
      <c r="I47" s="311" t="s">
        <v>213</v>
      </c>
      <c r="J47" s="245"/>
      <c r="K47" s="245"/>
      <c r="L47" s="246"/>
      <c r="M47" s="34"/>
      <c r="N47" s="320"/>
      <c r="O47" s="306"/>
      <c r="P47" s="306"/>
      <c r="Q47" s="306"/>
      <c r="T47" s="87"/>
      <c r="V47" s="39" t="s">
        <v>4</v>
      </c>
      <c r="X47" s="39"/>
      <c r="Y47" s="39"/>
      <c r="Z47" s="39"/>
      <c r="AA47" s="242"/>
      <c r="AB47" s="242"/>
      <c r="AC47" s="242"/>
      <c r="AD47" s="242"/>
      <c r="AE47" s="242"/>
      <c r="AF47" s="242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>
      <c r="A48" s="308"/>
      <c r="B48" s="312"/>
      <c r="C48" s="312"/>
      <c r="D48" s="306"/>
      <c r="E48" s="306"/>
      <c r="F48" s="306"/>
      <c r="G48" s="313"/>
      <c r="H48" s="328">
        <v>4.0</v>
      </c>
      <c r="I48" s="315"/>
      <c r="L48" s="87"/>
      <c r="M48" s="316"/>
      <c r="N48" s="320"/>
      <c r="O48" s="306"/>
      <c r="P48" s="306"/>
      <c r="Q48" s="306"/>
      <c r="T48" s="87"/>
      <c r="V48" s="39"/>
      <c r="X48" s="39"/>
      <c r="Y48" s="39"/>
      <c r="Z48" s="39"/>
      <c r="AA48" s="242"/>
      <c r="AB48" s="242"/>
      <c r="AC48" s="242"/>
      <c r="AD48" s="242"/>
      <c r="AE48" s="242"/>
      <c r="AF48" s="242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>
      <c r="A49" s="307">
        <v>2.0</v>
      </c>
      <c r="B49" s="327" t="s">
        <v>214</v>
      </c>
      <c r="C49" s="246"/>
      <c r="D49" s="329"/>
      <c r="E49" s="329"/>
      <c r="F49" s="329"/>
      <c r="G49" s="330"/>
      <c r="H49" s="306"/>
      <c r="I49" s="248"/>
      <c r="J49" s="137"/>
      <c r="K49" s="137"/>
      <c r="L49" s="249"/>
      <c r="M49" s="34"/>
      <c r="N49" s="306"/>
      <c r="O49" s="306"/>
      <c r="P49" s="306"/>
      <c r="Q49" s="306"/>
      <c r="T49" s="87"/>
      <c r="V49" s="39"/>
      <c r="X49" s="39"/>
      <c r="Y49" s="39"/>
      <c r="Z49" s="39"/>
      <c r="AA49" s="242"/>
      <c r="AB49" s="242"/>
      <c r="AC49" s="242"/>
      <c r="AD49" s="242"/>
      <c r="AE49" s="242"/>
      <c r="AF49" s="242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>
      <c r="A50" s="308"/>
      <c r="B50" s="248"/>
      <c r="C50" s="249"/>
      <c r="D50" s="309"/>
      <c r="E50" s="309"/>
      <c r="F50" s="309"/>
      <c r="G50" s="309"/>
      <c r="H50" s="306"/>
      <c r="I50" s="306"/>
      <c r="J50" s="306"/>
      <c r="K50" s="306"/>
      <c r="L50" s="34"/>
      <c r="M50" s="34"/>
      <c r="N50" s="306"/>
      <c r="O50" s="306"/>
      <c r="P50" s="306"/>
      <c r="Q50" s="306"/>
      <c r="T50" s="87"/>
      <c r="V50" s="39"/>
      <c r="X50" s="39"/>
      <c r="Y50" s="39"/>
      <c r="Z50" s="39"/>
      <c r="AA50" s="242"/>
      <c r="AB50" s="242"/>
      <c r="AC50" s="242"/>
      <c r="AD50" s="242"/>
      <c r="AE50" s="242"/>
      <c r="AF50" s="242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>
      <c r="A51" s="308"/>
      <c r="B51" s="306"/>
      <c r="C51" s="306"/>
      <c r="D51" s="306"/>
      <c r="E51" s="306"/>
      <c r="F51" s="306"/>
      <c r="G51" s="306"/>
      <c r="H51" s="34"/>
      <c r="I51" s="34"/>
      <c r="J51" s="306"/>
      <c r="K51" s="306"/>
      <c r="L51" s="306"/>
      <c r="M51" s="306"/>
      <c r="N51" s="306"/>
      <c r="O51" s="306"/>
      <c r="P51" s="306"/>
      <c r="Q51" s="306"/>
      <c r="R51" s="39"/>
      <c r="S51" s="39"/>
      <c r="T51" s="331"/>
      <c r="V51" s="39"/>
      <c r="X51" s="39"/>
      <c r="Y51" s="39"/>
      <c r="Z51" s="39"/>
      <c r="AA51" s="242"/>
      <c r="AB51" s="242"/>
      <c r="AC51" s="242"/>
      <c r="AD51" s="242"/>
      <c r="AE51" s="242"/>
      <c r="AF51" s="242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>
      <c r="A52" s="39"/>
      <c r="B52" s="332"/>
      <c r="H52" s="17"/>
      <c r="I52" s="17"/>
      <c r="S52" s="332">
        <v>2.0</v>
      </c>
      <c r="T52" s="333" t="s">
        <v>215</v>
      </c>
      <c r="U52" s="73"/>
      <c r="V52" s="39"/>
      <c r="W52" s="334"/>
      <c r="X52" s="334"/>
      <c r="Y52" s="39"/>
      <c r="Z52" s="39"/>
      <c r="AA52" s="242"/>
      <c r="AB52" s="242"/>
      <c r="AC52" s="242"/>
      <c r="AD52" s="242"/>
      <c r="AE52" s="242"/>
      <c r="AF52" s="242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>
      <c r="A53" s="298" t="s">
        <v>216</v>
      </c>
      <c r="T53" s="335" t="s">
        <v>217</v>
      </c>
      <c r="U53" s="246"/>
      <c r="V53" s="39"/>
      <c r="W53" s="334"/>
      <c r="X53" s="334"/>
      <c r="Y53" s="39"/>
      <c r="Z53" s="39"/>
      <c r="AA53" s="242"/>
      <c r="AB53" s="242"/>
      <c r="AC53" s="242"/>
      <c r="AD53" s="242"/>
      <c r="AE53" s="242"/>
      <c r="AF53" s="242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>
      <c r="S54" s="39"/>
      <c r="T54" s="248"/>
      <c r="U54" s="249"/>
      <c r="V54" s="39"/>
      <c r="W54" s="334"/>
      <c r="X54" s="334"/>
      <c r="Y54" s="39"/>
      <c r="Z54" s="39"/>
      <c r="AA54" s="242"/>
      <c r="AB54" s="242"/>
      <c r="AC54" s="242"/>
      <c r="AD54" s="242"/>
      <c r="AE54" s="242"/>
      <c r="AF54" s="242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ht="20.25" customHeight="1">
      <c r="A55" s="336" t="s">
        <v>218</v>
      </c>
      <c r="R55" s="39"/>
      <c r="T55" s="87"/>
      <c r="V55" s="39"/>
      <c r="W55" s="334"/>
      <c r="X55" s="334"/>
      <c r="Y55" s="39"/>
      <c r="Z55" s="39"/>
      <c r="AA55" s="242"/>
      <c r="AB55" s="242"/>
      <c r="AC55" s="242"/>
      <c r="AD55" s="242"/>
      <c r="AE55" s="242"/>
      <c r="AF55" s="242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>
      <c r="A56" s="304">
        <v>3.0</v>
      </c>
      <c r="B56" s="318" t="s">
        <v>219</v>
      </c>
      <c r="C56" s="246"/>
      <c r="D56" s="337">
        <v>3.0</v>
      </c>
      <c r="E56" s="327" t="s">
        <v>220</v>
      </c>
      <c r="F56" s="245"/>
      <c r="G56" s="246"/>
      <c r="H56" s="338"/>
      <c r="I56" s="339"/>
      <c r="J56" s="339"/>
      <c r="K56" s="339"/>
      <c r="L56" s="339"/>
      <c r="M56" s="339"/>
      <c r="N56" s="339"/>
      <c r="O56" s="339"/>
      <c r="P56" s="339"/>
      <c r="Q56" s="339"/>
      <c r="S56" s="39"/>
      <c r="T56" s="331"/>
      <c r="V56" s="39"/>
      <c r="W56" s="334"/>
      <c r="X56" s="334"/>
      <c r="Y56" s="39"/>
      <c r="Z56" s="39"/>
      <c r="AA56" s="242"/>
      <c r="AB56" s="242"/>
      <c r="AC56" s="242"/>
      <c r="AD56" s="242"/>
      <c r="AE56" s="242"/>
      <c r="AF56" s="242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>
      <c r="A57" s="340"/>
      <c r="B57" s="248"/>
      <c r="C57" s="249"/>
      <c r="D57" s="341"/>
      <c r="E57" s="248"/>
      <c r="F57" s="137"/>
      <c r="G57" s="249"/>
      <c r="H57" s="342"/>
      <c r="I57" s="343"/>
      <c r="J57" s="339"/>
      <c r="K57" s="339"/>
      <c r="L57" s="339"/>
      <c r="M57" s="344"/>
      <c r="N57" s="339"/>
      <c r="O57" s="339"/>
      <c r="P57" s="339"/>
      <c r="Q57" s="339"/>
      <c r="S57" s="39"/>
      <c r="T57" s="331"/>
      <c r="V57" s="39"/>
      <c r="X57" s="39"/>
      <c r="Y57" s="39"/>
      <c r="Z57" s="39"/>
      <c r="AA57" s="242"/>
      <c r="AB57" s="242"/>
      <c r="AC57" s="242"/>
      <c r="AD57" s="242"/>
      <c r="AE57" s="242"/>
      <c r="AF57" s="242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>
      <c r="A58" s="340"/>
      <c r="B58" s="344"/>
      <c r="C58" s="344"/>
      <c r="D58" s="345"/>
      <c r="E58" s="339"/>
      <c r="F58" s="339"/>
      <c r="G58" s="339"/>
      <c r="H58" s="338"/>
      <c r="I58" s="346">
        <v>1.0</v>
      </c>
      <c r="J58" s="347" t="s">
        <v>221</v>
      </c>
      <c r="K58" s="245"/>
      <c r="L58" s="246"/>
      <c r="M58" s="348">
        <v>3.0</v>
      </c>
      <c r="N58" s="347" t="s">
        <v>222</v>
      </c>
      <c r="O58" s="245"/>
      <c r="P58" s="246"/>
      <c r="Q58" s="339"/>
      <c r="S58" s="39"/>
      <c r="T58" s="331"/>
      <c r="X58" s="39"/>
      <c r="Y58" s="39"/>
      <c r="Z58" s="39"/>
      <c r="AA58" s="242"/>
      <c r="AB58" s="242"/>
      <c r="AC58" s="242"/>
      <c r="AD58" s="242"/>
      <c r="AE58" s="242"/>
      <c r="AF58" s="242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>
      <c r="A59" s="304">
        <v>4.0</v>
      </c>
      <c r="B59" s="318" t="s">
        <v>223</v>
      </c>
      <c r="C59" s="246"/>
      <c r="D59" s="337">
        <v>4.0</v>
      </c>
      <c r="E59" s="327" t="s">
        <v>224</v>
      </c>
      <c r="F59" s="245"/>
      <c r="G59" s="246"/>
      <c r="H59" s="338"/>
      <c r="I59" s="343"/>
      <c r="J59" s="248"/>
      <c r="K59" s="137"/>
      <c r="L59" s="249"/>
      <c r="M59" s="339"/>
      <c r="N59" s="248"/>
      <c r="O59" s="137"/>
      <c r="P59" s="249"/>
      <c r="Q59" s="349"/>
      <c r="R59" s="315"/>
      <c r="S59" s="39"/>
      <c r="T59" s="331"/>
      <c r="X59" s="39"/>
      <c r="Y59" s="39"/>
      <c r="Z59" s="39"/>
      <c r="AA59" s="242"/>
      <c r="AB59" s="242"/>
      <c r="AC59" s="242"/>
      <c r="AD59" s="242"/>
      <c r="AE59" s="242"/>
      <c r="AF59" s="242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>
      <c r="A60" s="340"/>
      <c r="B60" s="248"/>
      <c r="C60" s="249"/>
      <c r="D60" s="341"/>
      <c r="E60" s="248"/>
      <c r="F60" s="137"/>
      <c r="G60" s="249"/>
      <c r="H60" s="342"/>
      <c r="I60" s="339"/>
      <c r="J60" s="339"/>
      <c r="K60" s="339"/>
      <c r="L60" s="350"/>
      <c r="M60" s="339"/>
      <c r="N60" s="339"/>
      <c r="O60" s="339"/>
      <c r="P60" s="339"/>
      <c r="Q60" s="339"/>
      <c r="R60" s="351">
        <v>1.0</v>
      </c>
      <c r="S60" s="333" t="s">
        <v>225</v>
      </c>
      <c r="T60" s="73"/>
      <c r="X60" s="39"/>
      <c r="Y60" s="39"/>
      <c r="Z60" s="39"/>
      <c r="AA60" s="242"/>
      <c r="AB60" s="242"/>
      <c r="AC60" s="242"/>
      <c r="AD60" s="242"/>
      <c r="AE60" s="242"/>
      <c r="AF60" s="242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>
      <c r="A61" s="340"/>
      <c r="B61" s="345"/>
      <c r="C61" s="345"/>
      <c r="D61" s="345"/>
      <c r="E61" s="339"/>
      <c r="F61" s="339"/>
      <c r="G61" s="339"/>
      <c r="H61" s="338"/>
      <c r="I61" s="339"/>
      <c r="J61" s="352">
        <v>4.0</v>
      </c>
      <c r="K61" s="347" t="s">
        <v>226</v>
      </c>
      <c r="L61" s="245"/>
      <c r="M61" s="246"/>
      <c r="N61" s="339"/>
      <c r="O61" s="324">
        <v>3.0</v>
      </c>
      <c r="P61" s="325" t="s">
        <v>227</v>
      </c>
      <c r="Q61" s="246"/>
      <c r="R61" s="353"/>
      <c r="S61" s="335" t="s">
        <v>228</v>
      </c>
      <c r="T61" s="246"/>
      <c r="X61" s="39"/>
      <c r="Y61" s="39"/>
      <c r="Z61" s="39"/>
      <c r="AA61" s="242"/>
      <c r="AB61" s="242"/>
      <c r="AC61" s="242"/>
      <c r="AD61" s="242"/>
      <c r="AE61" s="242"/>
      <c r="AF61" s="242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>
      <c r="A62" s="304">
        <v>5.0</v>
      </c>
      <c r="B62" s="305" t="s">
        <v>229</v>
      </c>
      <c r="C62" s="87"/>
      <c r="D62" s="314">
        <v>1.0</v>
      </c>
      <c r="E62" s="311" t="s">
        <v>230</v>
      </c>
      <c r="F62" s="245"/>
      <c r="G62" s="246"/>
      <c r="H62" s="338"/>
      <c r="I62" s="339"/>
      <c r="J62" s="339"/>
      <c r="K62" s="248"/>
      <c r="L62" s="137"/>
      <c r="M62" s="249"/>
      <c r="N62" s="339"/>
      <c r="O62" s="339"/>
      <c r="P62" s="248"/>
      <c r="Q62" s="249"/>
      <c r="R62" s="39"/>
      <c r="S62" s="315"/>
      <c r="T62" s="87"/>
      <c r="X62" s="39"/>
      <c r="Y62" s="39"/>
      <c r="Z62" s="39"/>
      <c r="AA62" s="242"/>
      <c r="AB62" s="242"/>
      <c r="AC62" s="242"/>
      <c r="AD62" s="242"/>
      <c r="AE62" s="242"/>
      <c r="AF62" s="242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>
      <c r="A63" s="340"/>
      <c r="B63" s="248"/>
      <c r="C63" s="249"/>
      <c r="D63" s="341"/>
      <c r="E63" s="248"/>
      <c r="F63" s="137"/>
      <c r="G63" s="249"/>
      <c r="H63" s="342"/>
      <c r="I63" s="343"/>
      <c r="J63" s="339"/>
      <c r="K63" s="339"/>
      <c r="L63" s="339"/>
      <c r="M63" s="344"/>
      <c r="N63" s="339"/>
      <c r="O63" s="339"/>
      <c r="P63" s="339"/>
      <c r="Q63" s="339"/>
      <c r="R63" s="354"/>
      <c r="S63" s="248"/>
      <c r="T63" s="249"/>
      <c r="X63" s="39"/>
      <c r="Y63" s="39"/>
      <c r="Z63" s="39"/>
      <c r="AA63" s="242"/>
      <c r="AB63" s="242"/>
      <c r="AC63" s="242"/>
      <c r="AD63" s="242"/>
      <c r="AE63" s="242"/>
      <c r="AF63" s="242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>
      <c r="A64" s="340"/>
      <c r="B64" s="344"/>
      <c r="C64" s="344"/>
      <c r="D64" s="345"/>
      <c r="E64" s="339"/>
      <c r="F64" s="339"/>
      <c r="G64" s="339"/>
      <c r="H64" s="338"/>
      <c r="I64" s="346">
        <v>2.0</v>
      </c>
      <c r="J64" s="347" t="s">
        <v>231</v>
      </c>
      <c r="K64" s="245"/>
      <c r="L64" s="246"/>
      <c r="M64" s="324">
        <v>1.0</v>
      </c>
      <c r="N64" s="325" t="s">
        <v>232</v>
      </c>
      <c r="O64" s="245"/>
      <c r="P64" s="246"/>
      <c r="Q64" s="339"/>
      <c r="R64" s="315"/>
      <c r="S64" s="39"/>
      <c r="T64" s="39"/>
      <c r="Y64" s="39"/>
      <c r="Z64" s="39"/>
      <c r="AA64" s="242"/>
      <c r="AB64" s="242"/>
      <c r="AC64" s="242"/>
      <c r="AD64" s="242"/>
      <c r="AE64" s="242"/>
      <c r="AF64" s="242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>
      <c r="A65" s="304">
        <v>6.0</v>
      </c>
      <c r="B65" s="318" t="s">
        <v>233</v>
      </c>
      <c r="C65" s="246"/>
      <c r="D65" s="314">
        <v>2.0</v>
      </c>
      <c r="E65" s="311" t="s">
        <v>234</v>
      </c>
      <c r="F65" s="245"/>
      <c r="G65" s="246"/>
      <c r="H65" s="338"/>
      <c r="I65" s="343"/>
      <c r="J65" s="248"/>
      <c r="K65" s="137"/>
      <c r="L65" s="249"/>
      <c r="M65" s="349"/>
      <c r="N65" s="248"/>
      <c r="O65" s="137"/>
      <c r="P65" s="249"/>
      <c r="Q65" s="355"/>
      <c r="S65" s="39"/>
      <c r="T65" s="39"/>
      <c r="X65" s="39"/>
      <c r="Y65" s="39"/>
      <c r="Z65" s="39"/>
      <c r="AA65" s="242"/>
      <c r="AB65" s="242"/>
      <c r="AC65" s="242"/>
      <c r="AD65" s="242"/>
      <c r="AE65" s="242"/>
      <c r="AF65" s="242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>
      <c r="A66" s="340"/>
      <c r="B66" s="248"/>
      <c r="C66" s="249"/>
      <c r="D66" s="349"/>
      <c r="E66" s="248"/>
      <c r="F66" s="137"/>
      <c r="G66" s="249"/>
      <c r="H66" s="342"/>
      <c r="I66" s="339"/>
      <c r="J66" s="339"/>
      <c r="K66" s="339"/>
      <c r="L66" s="350"/>
      <c r="M66" s="339"/>
      <c r="N66" s="339"/>
      <c r="O66" s="339"/>
      <c r="P66" s="339"/>
      <c r="Q66" s="340"/>
      <c r="S66" s="39"/>
      <c r="T66" s="39"/>
      <c r="X66" s="39"/>
      <c r="Y66" s="39"/>
      <c r="Z66" s="39"/>
      <c r="AA66" s="242"/>
      <c r="AB66" s="242"/>
      <c r="AC66" s="242"/>
      <c r="AD66" s="242"/>
      <c r="AE66" s="242"/>
      <c r="AF66" s="242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>
      <c r="A67" s="340"/>
      <c r="B67" s="340"/>
      <c r="C67" s="356"/>
      <c r="D67" s="338"/>
      <c r="E67" s="338"/>
      <c r="F67" s="338"/>
      <c r="G67" s="338"/>
      <c r="H67" s="338"/>
      <c r="I67" s="338"/>
      <c r="J67" s="271"/>
      <c r="K67" s="271"/>
      <c r="L67" s="271"/>
      <c r="M67" s="357"/>
      <c r="N67" s="357"/>
      <c r="O67" s="357"/>
      <c r="P67" s="340"/>
      <c r="Q67" s="340"/>
      <c r="R67" s="39"/>
      <c r="S67" s="39"/>
      <c r="T67" s="39"/>
      <c r="X67" s="39"/>
      <c r="Y67" s="39"/>
      <c r="Z67" s="39"/>
      <c r="AA67" s="242"/>
      <c r="AB67" s="242"/>
      <c r="AC67" s="242"/>
      <c r="AD67" s="242"/>
      <c r="AE67" s="242"/>
      <c r="AF67" s="242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>
      <c r="A68" s="39"/>
      <c r="C68" s="22"/>
      <c r="D68" s="17" t="s">
        <v>9</v>
      </c>
      <c r="J68" s="92"/>
      <c r="K68" s="92"/>
      <c r="L68" s="92"/>
      <c r="M68" s="239"/>
      <c r="N68" s="239"/>
      <c r="O68" s="239"/>
      <c r="P68" s="39"/>
      <c r="Q68" s="39" t="s">
        <v>10</v>
      </c>
      <c r="T68" s="39"/>
      <c r="X68" s="39"/>
      <c r="Y68" s="39"/>
      <c r="Z68" s="39"/>
      <c r="AA68" s="242"/>
      <c r="AB68" s="242"/>
      <c r="AC68" s="242"/>
      <c r="AD68" s="242"/>
      <c r="AE68" s="242"/>
      <c r="AF68" s="242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>
      <c r="A69" s="39" t="s">
        <v>11</v>
      </c>
      <c r="C69" s="29" t="s">
        <v>12</v>
      </c>
      <c r="D69" s="358" t="s">
        <v>235</v>
      </c>
      <c r="E69" s="31" t="s">
        <v>14</v>
      </c>
      <c r="F69" s="32" t="s">
        <v>15</v>
      </c>
      <c r="G69" s="33" t="s">
        <v>16</v>
      </c>
      <c r="H69" s="34" t="s">
        <v>17</v>
      </c>
      <c r="I69" s="359" t="s">
        <v>18</v>
      </c>
      <c r="J69" s="354" t="s">
        <v>19</v>
      </c>
      <c r="K69" s="217"/>
      <c r="L69" s="39" t="s">
        <v>20</v>
      </c>
      <c r="N69" s="354" t="s">
        <v>21</v>
      </c>
      <c r="O69" s="87"/>
      <c r="P69" s="354" t="s">
        <v>22</v>
      </c>
      <c r="R69" s="39" t="s">
        <v>23</v>
      </c>
      <c r="S69" s="39" t="s">
        <v>24</v>
      </c>
      <c r="T69" s="39" t="s">
        <v>25</v>
      </c>
      <c r="X69" s="39" t="s">
        <v>236</v>
      </c>
      <c r="Y69" s="39"/>
      <c r="Z69" s="39"/>
      <c r="AA69" s="242"/>
      <c r="AB69" s="242"/>
      <c r="AC69" s="242"/>
      <c r="AD69" s="242"/>
      <c r="AE69" s="242"/>
      <c r="AF69" s="242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>
      <c r="A70" s="50"/>
      <c r="C70" s="41"/>
      <c r="D70" s="30" t="s">
        <v>26</v>
      </c>
      <c r="E70" s="42"/>
      <c r="F70" s="32" t="s">
        <v>27</v>
      </c>
      <c r="G70" s="43"/>
      <c r="H70" s="44"/>
      <c r="I70" s="360"/>
      <c r="J70" s="361"/>
      <c r="K70" s="362"/>
      <c r="L70" s="363"/>
      <c r="N70" s="364"/>
      <c r="P70" s="50"/>
      <c r="R70" s="50"/>
      <c r="S70" s="50"/>
      <c r="T70" s="50"/>
      <c r="U70" s="27"/>
      <c r="V70" s="50"/>
      <c r="W70" s="50"/>
      <c r="X70" s="50"/>
      <c r="Y70" s="365" t="s">
        <v>29</v>
      </c>
      <c r="Z70" s="366" t="s">
        <v>30</v>
      </c>
      <c r="AA70" s="217"/>
      <c r="AB70" s="217"/>
      <c r="AC70" s="217"/>
      <c r="AD70" s="217"/>
      <c r="AE70" s="217"/>
      <c r="AF70" s="217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>
      <c r="A71" s="54" t="s">
        <v>31</v>
      </c>
      <c r="C71" s="367">
        <v>42211.0</v>
      </c>
      <c r="D71" s="368">
        <v>0.7083333333333334</v>
      </c>
      <c r="E71" s="369">
        <v>0.375</v>
      </c>
      <c r="F71" s="370">
        <v>0.5</v>
      </c>
      <c r="G71" s="371">
        <v>0.75</v>
      </c>
      <c r="H71" s="372">
        <v>0.0</v>
      </c>
      <c r="I71" s="373">
        <v>0.08333333333333333</v>
      </c>
      <c r="J71" s="374" t="s">
        <v>32</v>
      </c>
      <c r="K71" s="191" t="s">
        <v>33</v>
      </c>
      <c r="L71" s="286" t="s">
        <v>34</v>
      </c>
      <c r="M71" s="87"/>
      <c r="N71" s="375"/>
      <c r="O71" s="87"/>
      <c r="P71" s="205" t="str">
        <f>HYPERLINK("http://dota.nyoron.co/ti5/wildcards/1663382647.dem","1663382647")</f>
        <v>1663382647</v>
      </c>
      <c r="R71" s="193" t="str">
        <f>HYPERLINK("http://dota.nyoron.co/ti5/wildcards/1663505929.dem","1663505929")</f>
        <v>1663505929</v>
      </c>
      <c r="S71" s="193" t="str">
        <f>HYPERLINK("http://dota.nyoron.co/ti5/wildcards/1663586146.dem","1663586146")</f>
        <v>1663586146</v>
      </c>
      <c r="T71" s="68" t="str">
        <f>HYPERLINK("https://www.youtube.com/watch?v=qBNWX8jkYRU","Wildcard Vega vs CDEC (Full Stream)")</f>
        <v>Wildcard Vega vs CDEC (Full Stream)</v>
      </c>
      <c r="X71" s="376" t="s">
        <v>237</v>
      </c>
      <c r="Y71" s="377" t="s">
        <v>32</v>
      </c>
      <c r="Z71" s="378" t="s">
        <v>34</v>
      </c>
      <c r="AA71" s="379" t="s">
        <v>35</v>
      </c>
      <c r="AB71" s="72"/>
      <c r="AC71" s="72"/>
      <c r="AD71" s="72"/>
      <c r="AE71" s="72"/>
      <c r="AF71" s="72"/>
      <c r="AG71" s="73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>
      <c r="A72" s="62" t="s">
        <v>36</v>
      </c>
      <c r="C72" s="367">
        <v>42211.0</v>
      </c>
      <c r="D72" s="56">
        <v>0.7083333333333334</v>
      </c>
      <c r="E72" s="57">
        <v>0.375</v>
      </c>
      <c r="F72" s="58">
        <v>0.5</v>
      </c>
      <c r="G72" s="59">
        <v>0.75</v>
      </c>
      <c r="H72" s="60">
        <v>0.0</v>
      </c>
      <c r="I72" s="380">
        <v>0.08333333333333333</v>
      </c>
      <c r="J72" s="381" t="s">
        <v>37</v>
      </c>
      <c r="K72" s="191" t="s">
        <v>33</v>
      </c>
      <c r="L72" s="382" t="s">
        <v>38</v>
      </c>
      <c r="N72" s="383" t="s">
        <v>39</v>
      </c>
      <c r="O72" s="87"/>
      <c r="P72" s="76" t="str">
        <f>HYPERLINK("http://dota.nyoron.co/ti5/wildcards/1663365687.dem","1663365687")</f>
        <v>1663365687</v>
      </c>
      <c r="R72" s="66" t="str">
        <f>HYPERLINK("http://dota.nyoron.co/ti5/wildcards/1663436687.dem","1663436687")</f>
        <v>1663436687</v>
      </c>
      <c r="S72" s="193" t="str">
        <f>HYPERLINK("http://dota.nyoron.co/ti5/wildcards/1663546431.dem","1663546431")</f>
        <v>1663546431</v>
      </c>
      <c r="T72" s="76" t="str">
        <f>HYPERLINK("https://www.youtube.com/watch?v=EpthfKYtv2A","Wildcard Archon vs MVP Phoenix (Full Stream)")</f>
        <v>Wildcard Archon vs MVP Phoenix (Full Stream)</v>
      </c>
      <c r="X72" s="376" t="s">
        <v>237</v>
      </c>
      <c r="Y72" s="384" t="s">
        <v>37</v>
      </c>
      <c r="Z72" s="378" t="s">
        <v>38</v>
      </c>
      <c r="AA72" s="354" t="s">
        <v>40</v>
      </c>
      <c r="AB72" s="191" t="s">
        <v>40</v>
      </c>
      <c r="AD72" s="39" t="s">
        <v>41</v>
      </c>
      <c r="AE72" s="385" t="s">
        <v>41</v>
      </c>
      <c r="AF72" s="245"/>
      <c r="AG72" s="246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</row>
    <row r="73">
      <c r="A73" s="191" t="s">
        <v>42</v>
      </c>
      <c r="C73" s="367">
        <v>42211.0</v>
      </c>
      <c r="D73" s="56">
        <v>0.8333333333333334</v>
      </c>
      <c r="E73" s="57">
        <v>0.5</v>
      </c>
      <c r="F73" s="58">
        <v>0.625</v>
      </c>
      <c r="G73" s="59">
        <v>0.875</v>
      </c>
      <c r="H73" s="60">
        <v>0.125</v>
      </c>
      <c r="I73" s="380">
        <v>0.20833333333333334</v>
      </c>
      <c r="J73" s="386" t="str">
        <f>Y71</f>
        <v>CDEC</v>
      </c>
      <c r="K73" s="191" t="s">
        <v>33</v>
      </c>
      <c r="L73" s="387" t="str">
        <f>Y72</f>
        <v>MVP Phoenix</v>
      </c>
      <c r="N73" s="383" t="s">
        <v>43</v>
      </c>
      <c r="O73" s="87"/>
      <c r="P73" s="76" t="str">
        <f>HYPERLINK("http://dota.nyoron.co/ti5/wildcards/1663683337.dem","1663683337")</f>
        <v>1663683337</v>
      </c>
      <c r="R73" s="193" t="str">
        <f>HYPERLINK("http://dota.nyoron.co/ti5/wildcards/1663763370.dem","1663763370")</f>
        <v>1663763370</v>
      </c>
      <c r="S73" s="191" t="s">
        <v>44</v>
      </c>
      <c r="T73" s="68" t="str">
        <f>HYPERLINK("https://www.youtube.com/watch?v=NyRKDP6av_k","Wildcard CDEC vs MVP Phoenix (Full Stream)")</f>
        <v>Wildcard CDEC vs MVP Phoenix (Full Stream)</v>
      </c>
      <c r="X73" s="376" t="s">
        <v>238</v>
      </c>
      <c r="Y73" s="388" t="s">
        <v>32</v>
      </c>
      <c r="Z73" s="378" t="s">
        <v>37</v>
      </c>
      <c r="AA73" s="354" t="s">
        <v>45</v>
      </c>
      <c r="AB73" s="191" t="s">
        <v>45</v>
      </c>
      <c r="AD73" s="39" t="s">
        <v>46</v>
      </c>
      <c r="AE73" s="191" t="s">
        <v>46</v>
      </c>
      <c r="AG73" s="8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</row>
    <row r="74">
      <c r="A74" s="191" t="s">
        <v>47</v>
      </c>
      <c r="C74" s="367">
        <v>42211.0</v>
      </c>
      <c r="D74" s="56">
        <v>0.8333333333333334</v>
      </c>
      <c r="E74" s="57">
        <v>0.5</v>
      </c>
      <c r="F74" s="58">
        <v>0.625</v>
      </c>
      <c r="G74" s="59">
        <v>0.875</v>
      </c>
      <c r="H74" s="60">
        <v>0.125</v>
      </c>
      <c r="I74" s="380">
        <v>0.20833333333333334</v>
      </c>
      <c r="J74" s="381" t="s">
        <v>34</v>
      </c>
      <c r="K74" s="191" t="s">
        <v>33</v>
      </c>
      <c r="L74" s="382" t="s">
        <v>38</v>
      </c>
      <c r="N74" s="383" t="s">
        <v>48</v>
      </c>
      <c r="O74" s="87"/>
      <c r="P74" s="76" t="str">
        <f>HYPERLINK("http://dota.nyoron.co/ti5/wildcards/1663682905.dem","1663682905")</f>
        <v>1663682905</v>
      </c>
      <c r="R74" s="193" t="str">
        <f>HYPERLINK("http://dota.nyoron.co/ti5/wildcards/1663755043.dem","1663755043")</f>
        <v>1663755043</v>
      </c>
      <c r="S74" s="191" t="s">
        <v>44</v>
      </c>
      <c r="T74" s="68" t="str">
        <f>HYPERLINK("https://www.youtube.com/watch?v=nxR8DVQEkYQ","Wildcard Vega vs Archon (Full Stream)")</f>
        <v>Wildcard Vega vs Archon (Full Stream)</v>
      </c>
      <c r="X74" s="376" t="s">
        <v>238</v>
      </c>
      <c r="Y74" s="389" t="s">
        <v>34</v>
      </c>
      <c r="Z74" s="378" t="s">
        <v>38</v>
      </c>
      <c r="AA74" s="354" t="s">
        <v>49</v>
      </c>
      <c r="AB74" s="191" t="s">
        <v>49</v>
      </c>
      <c r="AD74" s="39" t="s">
        <v>50</v>
      </c>
      <c r="AE74" s="191" t="s">
        <v>50</v>
      </c>
      <c r="AG74" s="8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</row>
    <row r="75">
      <c r="A75" s="191" t="s">
        <v>51</v>
      </c>
      <c r="C75" s="367">
        <v>42211.0</v>
      </c>
      <c r="D75" s="56">
        <v>0.9583333333333334</v>
      </c>
      <c r="E75" s="57">
        <v>0.625</v>
      </c>
      <c r="F75" s="58">
        <v>0.75</v>
      </c>
      <c r="G75" s="59">
        <v>0.0</v>
      </c>
      <c r="H75" s="60">
        <v>0.25</v>
      </c>
      <c r="I75" s="380">
        <v>0.3333333333333333</v>
      </c>
      <c r="J75" s="390" t="str">
        <f>Z73</f>
        <v>MVP Phoenix</v>
      </c>
      <c r="K75" s="191" t="s">
        <v>33</v>
      </c>
      <c r="L75" s="382" t="str">
        <f>Y74</f>
        <v>Vega Squadron</v>
      </c>
      <c r="N75" s="383" t="s">
        <v>52</v>
      </c>
      <c r="O75" s="87"/>
      <c r="P75" s="76" t="str">
        <f>HYPERLINK("http://dota.nyoron.co/ti5/wildcards/1663885942.dem","1663885942")</f>
        <v>1663885942</v>
      </c>
      <c r="R75" s="193" t="str">
        <f>HYPERLINK("http://dota.nyoron.co/ti5/wildcards/1663931259.dem","1663931259")</f>
        <v>1663931259</v>
      </c>
      <c r="S75" s="193" t="str">
        <f>HYPERLINK("http://dota.nyoron.co/ti5/wildcards/1664009497.dem","1664009497")</f>
        <v>1664009497</v>
      </c>
      <c r="T75" s="68" t="str">
        <f>HYPERLINK("https://www.youtube.com/watch?v=Ses30QO1lqM","Wildcard MVP Phoenix vs Vega (Full Stream)")</f>
        <v>Wildcard MVP Phoenix vs Vega (Full Stream)</v>
      </c>
      <c r="X75" s="376" t="s">
        <v>237</v>
      </c>
      <c r="Y75" s="391" t="s">
        <v>37</v>
      </c>
      <c r="Z75" s="392" t="s">
        <v>34</v>
      </c>
      <c r="AA75" s="354" t="s">
        <v>53</v>
      </c>
      <c r="AB75" s="191" t="s">
        <v>53</v>
      </c>
      <c r="AD75" s="39" t="s">
        <v>54</v>
      </c>
      <c r="AE75" s="191" t="s">
        <v>54</v>
      </c>
      <c r="AG75" s="8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</row>
    <row r="76">
      <c r="A76" s="50"/>
      <c r="C76" s="84"/>
      <c r="D76" s="48"/>
      <c r="E76" s="27"/>
      <c r="F76" s="27"/>
      <c r="G76" s="27"/>
      <c r="H76" s="27"/>
      <c r="I76" s="393"/>
      <c r="J76" s="50"/>
      <c r="K76" s="50"/>
      <c r="L76" s="50"/>
      <c r="N76" s="50"/>
      <c r="P76" s="86" t="str">
        <f>HYPERLINK("http://dota.nyoron.co/ti5/wildcards/wildcards.zip","Download all Wildcards replays here")</f>
        <v>Download all Wildcards replays here</v>
      </c>
      <c r="T76" s="394"/>
      <c r="U76" s="27"/>
      <c r="V76" s="50"/>
      <c r="W76" s="50"/>
      <c r="X76" s="50"/>
      <c r="Y76" s="50"/>
      <c r="Z76" s="50"/>
      <c r="AA76" s="395"/>
      <c r="AB76" s="174"/>
      <c r="AC76" s="174"/>
      <c r="AD76" s="174"/>
      <c r="AE76" s="174"/>
      <c r="AF76" s="72"/>
      <c r="AG76" s="73"/>
      <c r="AH76" s="50"/>
      <c r="AI76" s="50"/>
      <c r="AJ76" s="50"/>
      <c r="AK76" s="50"/>
      <c r="AL76" s="50"/>
      <c r="AM76" s="50"/>
      <c r="AN76" s="50"/>
      <c r="AO76" s="50"/>
      <c r="AP76" s="50"/>
      <c r="AQ76" s="50"/>
    </row>
    <row r="77">
      <c r="A77" s="191" t="s">
        <v>55</v>
      </c>
      <c r="C77" s="367">
        <v>42212.0</v>
      </c>
      <c r="D77" s="56">
        <v>0.7083333333333334</v>
      </c>
      <c r="E77" s="57">
        <v>0.375</v>
      </c>
      <c r="F77" s="58">
        <v>0.5</v>
      </c>
      <c r="G77" s="59">
        <v>0.75</v>
      </c>
      <c r="H77" s="60">
        <v>0.0</v>
      </c>
      <c r="I77" s="380">
        <v>0.08333333333333333</v>
      </c>
      <c r="J77" s="381" t="s">
        <v>56</v>
      </c>
      <c r="K77" s="191" t="s">
        <v>33</v>
      </c>
      <c r="L77" s="382" t="str">
        <f>Y75</f>
        <v>MVP Phoenix</v>
      </c>
      <c r="N77" s="383" t="s">
        <v>39</v>
      </c>
      <c r="O77" s="87"/>
      <c r="P77" s="76" t="str">
        <f>HYPERLINK("http://dota.nyoron.co/ti5/day1/1665685543.dem","1665685543")</f>
        <v>1665685543</v>
      </c>
      <c r="R77" s="193" t="str">
        <f>HYPERLINK("http://dota.nyoron.co/ti5/day1/1665826280,dem","1665826280")</f>
        <v>1665826280</v>
      </c>
      <c r="S77" s="396" t="s">
        <v>57</v>
      </c>
      <c r="T77" s="193" t="str">
        <f>HYPERLINK("https://www.youtube.com/watch?v=wgk7i93fX-A","Day 1 - Complexity vs MVP Phoenix (Full Stream)")</f>
        <v>Day 1 - Complexity vs MVP Phoenix (Full Stream)</v>
      </c>
      <c r="X77" s="191" t="s">
        <v>238</v>
      </c>
      <c r="Y77" s="397" t="s">
        <v>56</v>
      </c>
      <c r="Z77" s="397" t="s">
        <v>37</v>
      </c>
      <c r="AA77" s="354" t="s">
        <v>58</v>
      </c>
      <c r="AB77" s="191" t="s">
        <v>58</v>
      </c>
      <c r="AD77" s="39" t="s">
        <v>59</v>
      </c>
      <c r="AE77" s="191" t="s">
        <v>59</v>
      </c>
      <c r="AG77" s="8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</row>
    <row r="78">
      <c r="A78" s="191" t="s">
        <v>60</v>
      </c>
      <c r="C78" s="367">
        <v>42212.0</v>
      </c>
      <c r="D78" s="56">
        <v>0.7083333333333334</v>
      </c>
      <c r="E78" s="57">
        <v>0.375</v>
      </c>
      <c r="F78" s="58">
        <v>0.5</v>
      </c>
      <c r="G78" s="59">
        <v>0.75</v>
      </c>
      <c r="H78" s="60">
        <v>0.0</v>
      </c>
      <c r="I78" s="380">
        <v>0.08333333333333333</v>
      </c>
      <c r="J78" s="398" t="s">
        <v>61</v>
      </c>
      <c r="K78" s="191" t="s">
        <v>33</v>
      </c>
      <c r="L78" s="398" t="s">
        <v>62</v>
      </c>
      <c r="N78" s="383" t="s">
        <v>52</v>
      </c>
      <c r="O78" s="87"/>
      <c r="P78" s="76" t="str">
        <f>HYPERLINK("http://dota.nyoron.co/ti5/day1/1665686446.dem","1665686446")</f>
        <v>1665686446</v>
      </c>
      <c r="R78" s="193" t="str">
        <f>HYPERLINK("http://dota.nyoron.co/ti5/day1/1665822701.dem","1665822701")</f>
        <v>1665822701</v>
      </c>
      <c r="S78" s="87"/>
      <c r="T78" s="193" t="str">
        <f>HYPERLINK("https://www.youtube.com/watch?v=Py5PVOa1j6c","Day 1 - Fnatic vs Team Secret (Full Stream)")</f>
        <v>Day 1 - Fnatic vs Team Secret (Full Stream)</v>
      </c>
      <c r="X78" s="399" t="s">
        <v>239</v>
      </c>
      <c r="Y78" s="400"/>
      <c r="Z78" s="400"/>
      <c r="AA78" s="354" t="s">
        <v>63</v>
      </c>
      <c r="AB78" s="191" t="s">
        <v>63</v>
      </c>
      <c r="AD78" s="39" t="s">
        <v>64</v>
      </c>
      <c r="AE78" s="191" t="s">
        <v>64</v>
      </c>
      <c r="AG78" s="8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</row>
    <row r="79">
      <c r="A79" s="191" t="s">
        <v>65</v>
      </c>
      <c r="C79" s="367">
        <v>42212.0</v>
      </c>
      <c r="D79" s="56">
        <v>0.7083333333333334</v>
      </c>
      <c r="E79" s="57">
        <v>0.375</v>
      </c>
      <c r="F79" s="58">
        <v>0.5</v>
      </c>
      <c r="G79" s="59">
        <v>0.75</v>
      </c>
      <c r="H79" s="60">
        <v>0.0</v>
      </c>
      <c r="I79" s="380">
        <v>0.08333333333333333</v>
      </c>
      <c r="J79" s="381" t="s">
        <v>66</v>
      </c>
      <c r="K79" s="191" t="s">
        <v>33</v>
      </c>
      <c r="L79" s="382" t="s">
        <v>67</v>
      </c>
      <c r="N79" s="401" t="s">
        <v>68</v>
      </c>
      <c r="O79" s="87"/>
      <c r="P79" s="76" t="str">
        <f>HYPERLINK("http://dota.nyoron.co/ti5/day1/1665700254.dem","1665700254")</f>
        <v>1665700254</v>
      </c>
      <c r="R79" s="193" t="str">
        <f>HYPERLINK("http://dota.nyoron.co/ti5/day1/1665829829.dem","1665829829")</f>
        <v>1665829829</v>
      </c>
      <c r="S79" s="87"/>
      <c r="T79" s="193" t="str">
        <f>HYPERLINK("https://www.youtube.com/watch?v=7SZf0mEeuJc","Day 1 LGD vs Cloud9 - YouTube (Full Stream)")</f>
        <v>Day 1 LGD vs Cloud9 - YouTube (Full Stream)</v>
      </c>
      <c r="X79" s="191" t="s">
        <v>238</v>
      </c>
      <c r="Y79" s="397" t="s">
        <v>66</v>
      </c>
      <c r="Z79" s="397" t="s">
        <v>67</v>
      </c>
      <c r="AA79" s="354" t="s">
        <v>69</v>
      </c>
      <c r="AB79" s="191" t="s">
        <v>69</v>
      </c>
      <c r="AD79" s="39" t="s">
        <v>70</v>
      </c>
      <c r="AE79" s="191" t="s">
        <v>70</v>
      </c>
      <c r="AG79" s="8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</row>
    <row r="80">
      <c r="A80" s="191" t="s">
        <v>71</v>
      </c>
      <c r="C80" s="367">
        <v>42212.0</v>
      </c>
      <c r="D80" s="56">
        <v>0.8125</v>
      </c>
      <c r="E80" s="57">
        <v>0.4791666666666667</v>
      </c>
      <c r="F80" s="58">
        <v>0.5625</v>
      </c>
      <c r="G80" s="59">
        <v>0.8541666666666666</v>
      </c>
      <c r="H80" s="60">
        <v>0.0625</v>
      </c>
      <c r="I80" s="380">
        <v>0.14583333333333334</v>
      </c>
      <c r="J80" s="398" t="s">
        <v>67</v>
      </c>
      <c r="K80" s="191" t="s">
        <v>33</v>
      </c>
      <c r="L80" s="398" t="s">
        <v>72</v>
      </c>
      <c r="N80" s="401" t="s">
        <v>39</v>
      </c>
      <c r="O80" s="87"/>
      <c r="P80" s="193" t="str">
        <f>HYPERLINK("http://dota.nyoron.co/ti5/day1/1665990348.dem","1665990348")</f>
        <v>1665990348</v>
      </c>
      <c r="R80" s="193" t="str">
        <f>HYPERLINK("http://dota.nyoron.co/ti5/day1/1666088527.dem","1666088527")</f>
        <v>1666088527</v>
      </c>
      <c r="S80" s="87"/>
      <c r="T80" s="193" t="str">
        <f>HYPERLINK("https://www.youtube.com/watch?v=vWuMkI2DHG0","Day 1 - Navi vs C9 (Full Stream)")</f>
        <v>Day 1 - Navi vs C9 (Full Stream)</v>
      </c>
      <c r="X80" s="399" t="s">
        <v>239</v>
      </c>
      <c r="Y80" s="400"/>
      <c r="Z80" s="400"/>
      <c r="AA80" s="402" t="s">
        <v>73</v>
      </c>
      <c r="AB80" s="403" t="s">
        <v>73</v>
      </c>
      <c r="AC80" s="137"/>
      <c r="AD80" s="404" t="s">
        <v>74</v>
      </c>
      <c r="AE80" s="403" t="s">
        <v>74</v>
      </c>
      <c r="AF80" s="137"/>
      <c r="AG80" s="249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</row>
    <row r="81">
      <c r="A81" s="191" t="s">
        <v>75</v>
      </c>
      <c r="C81" s="367">
        <v>42212.0</v>
      </c>
      <c r="D81" s="56">
        <v>0.8125</v>
      </c>
      <c r="E81" s="57">
        <v>0.4791666666666667</v>
      </c>
      <c r="F81" s="58">
        <v>0.5625</v>
      </c>
      <c r="G81" s="59">
        <v>0.8541666666666666</v>
      </c>
      <c r="H81" s="60">
        <v>0.0625</v>
      </c>
      <c r="I81" s="380">
        <v>0.14583333333333334</v>
      </c>
      <c r="J81" s="381" t="s">
        <v>66</v>
      </c>
      <c r="K81" s="191" t="s">
        <v>33</v>
      </c>
      <c r="L81" s="382" t="s">
        <v>56</v>
      </c>
      <c r="N81" s="383" t="s">
        <v>52</v>
      </c>
      <c r="O81" s="87"/>
      <c r="P81" s="76" t="str">
        <f>HYPERLINK("http://dota.nyoron.co/ti5/day1/1665986855.dem","1665986855")</f>
        <v>1665986855</v>
      </c>
      <c r="R81" s="193" t="str">
        <f>HYPERLINK("http://dota.nyoron.co/ti5/day1/1666045478.dem","1666045478")</f>
        <v>1666045478</v>
      </c>
      <c r="S81" s="87"/>
      <c r="T81" s="193" t="str">
        <f>HYPERLINK("https://i.ytimg.com/vi/2oF4vY5AwHM/mqdefault.jpg","Day 1 - LGD vs Complexity (Full Stream)")</f>
        <v>Day 1 - LGD vs Complexity (Full Stream)</v>
      </c>
      <c r="X81" s="191" t="s">
        <v>238</v>
      </c>
      <c r="Y81" s="397" t="s">
        <v>66</v>
      </c>
      <c r="Z81" s="397" t="s">
        <v>56</v>
      </c>
      <c r="AA81" s="242"/>
      <c r="AB81" s="242"/>
      <c r="AC81" s="242"/>
      <c r="AD81" s="242"/>
      <c r="AE81" s="242"/>
      <c r="AF81" s="242"/>
      <c r="AG81" s="242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</row>
    <row r="82">
      <c r="A82" s="191" t="s">
        <v>76</v>
      </c>
      <c r="C82" s="367">
        <v>42212.0</v>
      </c>
      <c r="D82" s="56">
        <v>0.8125</v>
      </c>
      <c r="E82" s="57">
        <v>0.4791666666666667</v>
      </c>
      <c r="F82" s="58">
        <v>0.5625</v>
      </c>
      <c r="G82" s="59">
        <v>0.8541666666666666</v>
      </c>
      <c r="H82" s="60">
        <v>0.0625</v>
      </c>
      <c r="I82" s="380">
        <v>0.14583333333333334</v>
      </c>
      <c r="J82" s="381" t="s">
        <v>62</v>
      </c>
      <c r="K82" s="191" t="s">
        <v>33</v>
      </c>
      <c r="L82" s="382" t="s">
        <v>77</v>
      </c>
      <c r="N82" s="401" t="s">
        <v>68</v>
      </c>
      <c r="O82" s="87"/>
      <c r="P82" s="76" t="str">
        <f>HYPERLINK("http://dota.nyoron.co/ti5/day1/1665972746.dem","1665972746")</f>
        <v>1665972746</v>
      </c>
      <c r="R82" s="193" t="str">
        <f>HYPERLINK("http://dota.nyoron.co/ti5/day1/1666048848.dem","1666048848")</f>
        <v>1666048848</v>
      </c>
      <c r="S82" s="87"/>
      <c r="T82" s="193" t="str">
        <f>HYPERLINK("https://www.youtube.com/watch?v=AiFPX365Sjc","Day 1 - iG vs Team Secret (Full Stream)")</f>
        <v>Day 1 - iG vs Team Secret (Full Stream)</v>
      </c>
      <c r="X82" s="191" t="s">
        <v>238</v>
      </c>
      <c r="Y82" s="397" t="s">
        <v>62</v>
      </c>
      <c r="Z82" s="397" t="s">
        <v>77</v>
      </c>
      <c r="AA82" s="242"/>
      <c r="AB82" s="242"/>
      <c r="AC82" s="242"/>
      <c r="AD82" s="242"/>
      <c r="AE82" s="242"/>
      <c r="AF82" s="242"/>
      <c r="AG82" s="242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</row>
    <row r="83">
      <c r="A83" s="191" t="s">
        <v>78</v>
      </c>
      <c r="C83" s="367">
        <v>42212.0</v>
      </c>
      <c r="D83" s="56">
        <v>0.9166666666666666</v>
      </c>
      <c r="E83" s="57">
        <v>0.5833333333333334</v>
      </c>
      <c r="F83" s="58">
        <v>0.7083333333333334</v>
      </c>
      <c r="G83" s="59">
        <v>0.875</v>
      </c>
      <c r="H83" s="60">
        <v>0.20833333333333334</v>
      </c>
      <c r="I83" s="380">
        <v>0.2916666666666667</v>
      </c>
      <c r="J83" s="398" t="s">
        <v>61</v>
      </c>
      <c r="K83" s="191" t="s">
        <v>33</v>
      </c>
      <c r="L83" s="398" t="s">
        <v>77</v>
      </c>
      <c r="N83" s="401" t="s">
        <v>68</v>
      </c>
      <c r="O83" s="87"/>
      <c r="P83" s="76" t="str">
        <f>HYPERLINK("http://dota.nyoron.co/ti5/day1/1666122929.dem","1666122929")</f>
        <v>1666122929</v>
      </c>
      <c r="R83" s="193" t="str">
        <f>HYPERLINK("http://dota.nyoron.co/ti5/day1/1666185341.dem","1666185341")</f>
        <v>1666185341</v>
      </c>
      <c r="S83" s="87"/>
      <c r="T83" s="193" t="str">
        <f>HYPERLINK("https://www.youtube.com/watch?v=cf5WZZlrnIQ","Day 1 - Fnatic vs iG (Full Stream)")</f>
        <v>Day 1 - Fnatic vs iG (Full Stream)</v>
      </c>
      <c r="X83" s="399" t="s">
        <v>239</v>
      </c>
      <c r="Y83" s="400"/>
      <c r="Z83" s="405"/>
      <c r="AA83" s="242"/>
      <c r="AB83" s="242"/>
      <c r="AC83" s="242"/>
      <c r="AD83" s="242"/>
      <c r="AE83" s="242"/>
      <c r="AF83" s="242"/>
      <c r="AG83" s="242"/>
      <c r="AH83" s="191"/>
      <c r="AI83" s="217"/>
      <c r="AJ83" s="217"/>
      <c r="AK83" s="217"/>
      <c r="AL83" s="217"/>
      <c r="AM83" s="217"/>
      <c r="AN83" s="217"/>
      <c r="AO83" s="217"/>
      <c r="AP83" s="217"/>
      <c r="AQ83" s="217"/>
    </row>
    <row r="84">
      <c r="A84" s="191" t="s">
        <v>79</v>
      </c>
      <c r="C84" s="367">
        <v>42212.0</v>
      </c>
      <c r="D84" s="56">
        <v>0.9166666666666666</v>
      </c>
      <c r="E84" s="57">
        <v>0.5833333333333334</v>
      </c>
      <c r="F84" s="58">
        <v>0.7083333333333334</v>
      </c>
      <c r="G84" s="59">
        <v>0.9583333333333334</v>
      </c>
      <c r="H84" s="60">
        <v>0.20833333333333334</v>
      </c>
      <c r="I84" s="380">
        <v>0.2916666666666667</v>
      </c>
      <c r="J84" s="398" t="s">
        <v>80</v>
      </c>
      <c r="K84" s="191" t="s">
        <v>33</v>
      </c>
      <c r="L84" s="398" t="s">
        <v>81</v>
      </c>
      <c r="N84" s="383" t="s">
        <v>43</v>
      </c>
      <c r="O84" s="87"/>
      <c r="P84" s="76" t="str">
        <f>HYPERLINK("http://dota.nyoron.co/ti5/day1/1666125998.dem","1666125998")</f>
        <v>1666125998</v>
      </c>
      <c r="R84" s="193" t="str">
        <f>HYPERLINK("http://dota.nyoron.co/ti5/day1/1666177296.dem","1666177296")</f>
        <v>1666177296</v>
      </c>
      <c r="S84" s="87"/>
      <c r="T84" s="193" t="str">
        <f>HYPERLINK("https://www.youtube.com/watch?v=_v1auQrFF1M","Day 1 - Newbee vs Virtus Pro (Full Stream)")</f>
        <v>Day 1 - Newbee vs Virtus Pro (Full Stream)</v>
      </c>
      <c r="X84" s="399" t="s">
        <v>239</v>
      </c>
      <c r="Y84" s="400"/>
      <c r="Z84" s="405"/>
      <c r="AA84" s="242"/>
      <c r="AB84" s="242"/>
      <c r="AC84" s="242"/>
      <c r="AD84" s="242"/>
      <c r="AE84" s="242"/>
      <c r="AF84" s="242"/>
      <c r="AG84" s="242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</row>
    <row r="85">
      <c r="A85" s="191" t="s">
        <v>82</v>
      </c>
      <c r="C85" s="367">
        <v>42212.0</v>
      </c>
      <c r="D85" s="56">
        <v>0.9166666666666666</v>
      </c>
      <c r="E85" s="57">
        <v>0.5833333333333334</v>
      </c>
      <c r="F85" s="58">
        <v>0.7083333333333334</v>
      </c>
      <c r="G85" s="59">
        <v>0.9583333333333334</v>
      </c>
      <c r="H85" s="60">
        <v>0.20833333333333334</v>
      </c>
      <c r="I85" s="380">
        <v>0.2916666666666667</v>
      </c>
      <c r="J85" s="398" t="str">
        <f>Y75</f>
        <v>MVP Phoenix</v>
      </c>
      <c r="K85" s="191" t="s">
        <v>33</v>
      </c>
      <c r="L85" s="398" t="s">
        <v>72</v>
      </c>
      <c r="N85" s="383" t="s">
        <v>39</v>
      </c>
      <c r="O85" s="87"/>
      <c r="P85" s="76" t="str">
        <f>HYPERLINK("http://dota.nyoron.co/ti5/day1/1666148259.dem","1666148259")</f>
        <v>1666148259</v>
      </c>
      <c r="R85" s="193" t="str">
        <f>HYPERLINK("http://dota.nyoron.co/ti5/day1/1666209170.dem","1666209170")</f>
        <v>1666209170</v>
      </c>
      <c r="S85" s="87"/>
      <c r="T85" s="193" t="str">
        <f>HYPERLINK("https://www.youtube.com/watch?v=Zccia4NUD9k","Day 1 - NaVi vs MVP Phoenix (Full Stream)")</f>
        <v>Day 1 - NaVi vs MVP Phoenix (Full Stream)</v>
      </c>
      <c r="X85" s="399" t="s">
        <v>239</v>
      </c>
      <c r="Y85" s="400"/>
      <c r="Z85" s="405"/>
      <c r="AA85" s="242"/>
      <c r="AB85" s="242"/>
      <c r="AC85" s="242"/>
      <c r="AD85" s="242"/>
      <c r="AE85" s="242"/>
      <c r="AF85" s="242"/>
      <c r="AG85" s="242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</row>
    <row r="86">
      <c r="A86" s="191" t="s">
        <v>83</v>
      </c>
      <c r="C86" s="367">
        <v>42212.0</v>
      </c>
      <c r="D86" s="56">
        <v>0.020833333333333332</v>
      </c>
      <c r="E86" s="57">
        <v>0.6875</v>
      </c>
      <c r="F86" s="58">
        <v>0.8125</v>
      </c>
      <c r="G86" s="59">
        <v>0.0625</v>
      </c>
      <c r="H86" s="60">
        <v>0.3125</v>
      </c>
      <c r="I86" s="380">
        <v>0.3958333333333333</v>
      </c>
      <c r="J86" s="398" t="s">
        <v>84</v>
      </c>
      <c r="K86" s="191" t="s">
        <v>33</v>
      </c>
      <c r="L86" s="398" t="s">
        <v>80</v>
      </c>
      <c r="N86" s="383" t="s">
        <v>43</v>
      </c>
      <c r="O86" s="87"/>
      <c r="P86" s="76" t="str">
        <f>HYPERLINK("http://dota.nyoron.co/ti5/day1/1666238587.dem","1666238587")</f>
        <v>1666238587</v>
      </c>
      <c r="R86" s="193" t="str">
        <f>HYPERLINK("http://dota.nyoron.co/ti5/day1/1666286219.dem","1666286219")</f>
        <v>1666286219</v>
      </c>
      <c r="S86" s="87"/>
      <c r="T86" s="193" t="str">
        <f>HYPERLINK("https://www.youtube.com/watch?v=E4_1EGk9Teo","Day 1 - EG vs Newbee (Full Stream)")</f>
        <v>Day 1 - EG vs Newbee (Full Stream)</v>
      </c>
      <c r="X86" s="399" t="s">
        <v>239</v>
      </c>
      <c r="Y86" s="400"/>
      <c r="Z86" s="405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17"/>
      <c r="AO86" s="217"/>
      <c r="AP86" s="217"/>
      <c r="AQ86" s="217"/>
    </row>
    <row r="87">
      <c r="A87" s="191" t="s">
        <v>85</v>
      </c>
      <c r="C87" s="367">
        <v>42212.0</v>
      </c>
      <c r="D87" s="56">
        <v>0.020833333333333332</v>
      </c>
      <c r="E87" s="57">
        <v>0.6875</v>
      </c>
      <c r="F87" s="58">
        <v>0.8125</v>
      </c>
      <c r="G87" s="59">
        <v>0.0625</v>
      </c>
      <c r="H87" s="60">
        <v>0.3125</v>
      </c>
      <c r="I87" s="380">
        <v>0.3958333333333333</v>
      </c>
      <c r="J87" s="382" t="s">
        <v>86</v>
      </c>
      <c r="K87" s="191" t="s">
        <v>33</v>
      </c>
      <c r="L87" s="381" t="s">
        <v>87</v>
      </c>
      <c r="N87" s="383" t="s">
        <v>52</v>
      </c>
      <c r="O87" s="87"/>
      <c r="P87" s="76" t="str">
        <f>HYPERLINK("http://dota.nyoron.co/ti5/day1/1666308348.dem","1666308348")</f>
        <v>1666308348</v>
      </c>
      <c r="R87" s="193" t="str">
        <f>HYPERLINK("http://dota.nyoron.co/ti5/day1/1666366213.dem","1666366213")</f>
        <v>1666366213</v>
      </c>
      <c r="S87" s="87"/>
      <c r="T87" s="193" t="str">
        <f>HYPERLINK("https://www.youtube.com/watch?v=6gMewynjFWs","Day 1 - Empire vs VG Game 1")</f>
        <v>Day 1 - Empire vs VG Game 1</v>
      </c>
      <c r="W87" s="193" t="str">
        <f>HYPERLINK("https://www.youtube.com/watch?v=O6KThV0k0M8","Day 1 - Empire vs VG Game 2")</f>
        <v>Day 1 - Empire vs VG Game 2</v>
      </c>
      <c r="X87" s="191" t="s">
        <v>240</v>
      </c>
      <c r="Y87" s="397" t="s">
        <v>87</v>
      </c>
      <c r="Z87" s="397" t="s">
        <v>86</v>
      </c>
      <c r="AA87" s="242"/>
      <c r="AB87" s="242"/>
      <c r="AC87" s="242"/>
      <c r="AD87" s="242"/>
      <c r="AE87" s="242"/>
      <c r="AF87" s="242"/>
      <c r="AG87" s="242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</row>
    <row r="88">
      <c r="A88" s="191" t="s">
        <v>88</v>
      </c>
      <c r="C88" s="367">
        <v>42212.0</v>
      </c>
      <c r="D88" s="56">
        <v>0.020833333333333332</v>
      </c>
      <c r="E88" s="57">
        <v>0.6875</v>
      </c>
      <c r="F88" s="58">
        <v>0.8125</v>
      </c>
      <c r="G88" s="59">
        <v>0.0625</v>
      </c>
      <c r="H88" s="60">
        <v>0.3125</v>
      </c>
      <c r="I88" s="380">
        <v>0.3958333333333333</v>
      </c>
      <c r="J88" s="381" t="str">
        <f>Y73</f>
        <v>CDEC</v>
      </c>
      <c r="K88" s="191" t="s">
        <v>33</v>
      </c>
      <c r="L88" s="382" t="s">
        <v>89</v>
      </c>
      <c r="N88" s="383" t="s">
        <v>48</v>
      </c>
      <c r="O88" s="87"/>
      <c r="P88" s="76" t="str">
        <f>HYPERLINK("http://dota.nyoron.co/ti5/day1/1666276978.dem","1666276978")</f>
        <v>1666276978</v>
      </c>
      <c r="R88" s="193" t="str">
        <f>HYPERLINK("http://dota.nyoron.co/ti5/day1/1666372636.dem","1666372636")</f>
        <v>1666372636</v>
      </c>
      <c r="S88" s="87"/>
      <c r="T88" s="193" t="str">
        <f>HYPERLINK("https://www.youtube.com/watch?v=7Mp8TZUtQXU","Day 1 - CDEC vs MVP.Hot6 Game 1")</f>
        <v>Day 1 - CDEC vs MVP.Hot6 Game 1</v>
      </c>
      <c r="W88" s="193" t="str">
        <f>HYPERLINK("https://www.youtube.com/watch?v=PA7zX_o9gCA","Day 1 - CDEC vs MVP.Hot6 Game 2")</f>
        <v>Day 1 - CDEC vs MVP.Hot6 Game 2</v>
      </c>
      <c r="X88" s="191" t="s">
        <v>238</v>
      </c>
      <c r="Y88" s="397" t="s">
        <v>32</v>
      </c>
      <c r="Z88" s="397" t="s">
        <v>89</v>
      </c>
      <c r="AA88" s="242"/>
      <c r="AB88" s="242"/>
      <c r="AC88" s="242"/>
      <c r="AD88" s="242"/>
      <c r="AE88" s="242"/>
      <c r="AF88" s="242"/>
      <c r="AG88" s="242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</row>
    <row r="89">
      <c r="A89" s="191" t="s">
        <v>90</v>
      </c>
      <c r="C89" s="367">
        <v>42212.0</v>
      </c>
      <c r="D89" s="56">
        <v>0.125</v>
      </c>
      <c r="E89" s="57">
        <v>0.7916666666666666</v>
      </c>
      <c r="F89" s="58">
        <v>0.9166666666666666</v>
      </c>
      <c r="G89" s="59">
        <v>0.16666666666666666</v>
      </c>
      <c r="H89" s="60">
        <v>0.4166666666666667</v>
      </c>
      <c r="I89" s="380">
        <v>0.5</v>
      </c>
      <c r="J89" s="398" t="s">
        <v>84</v>
      </c>
      <c r="K89" s="191" t="s">
        <v>33</v>
      </c>
      <c r="L89" s="398" t="s">
        <v>81</v>
      </c>
      <c r="N89" s="383" t="s">
        <v>43</v>
      </c>
      <c r="O89" s="87"/>
      <c r="P89" s="76" t="str">
        <f>HYPERLINK("http://dota.nyoron.co/ti5/day1/1666366844.dem","1666366844")</f>
        <v>1666366844</v>
      </c>
      <c r="R89" s="193" t="str">
        <f>HYPERLINK("http://dota.nyoron.co/ti5/day1/1666424868.dem","1666424868")</f>
        <v>1666424868</v>
      </c>
      <c r="S89" s="87"/>
      <c r="T89" s="193" t="str">
        <f>HYPERLINK("https://www.youtube.com/watch?v=LTf8kSfK_8E","Day 1 - EG vs Virtus Pro (Full Stream)")</f>
        <v>Day 1 - EG vs Virtus Pro (Full Stream)</v>
      </c>
      <c r="X89" s="399" t="s">
        <v>239</v>
      </c>
      <c r="Y89" s="400"/>
      <c r="Z89" s="405"/>
      <c r="AA89" s="242"/>
      <c r="AB89" s="242"/>
      <c r="AC89" s="242"/>
      <c r="AD89" s="242"/>
      <c r="AE89" s="242"/>
      <c r="AF89" s="242"/>
      <c r="AG89" s="242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</row>
    <row r="90">
      <c r="A90" s="191" t="s">
        <v>91</v>
      </c>
      <c r="C90" s="367">
        <v>42212.0</v>
      </c>
      <c r="D90" s="56">
        <v>0.125</v>
      </c>
      <c r="E90" s="57">
        <v>0.7916666666666666</v>
      </c>
      <c r="F90" s="58">
        <v>0.9166666666666666</v>
      </c>
      <c r="G90" s="59">
        <v>0.16666666666666666</v>
      </c>
      <c r="H90" s="60">
        <v>0.4166666666666667</v>
      </c>
      <c r="I90" s="380">
        <v>0.5</v>
      </c>
      <c r="J90" s="398" t="s">
        <v>86</v>
      </c>
      <c r="K90" s="191" t="s">
        <v>33</v>
      </c>
      <c r="L90" s="398" t="s">
        <v>92</v>
      </c>
      <c r="N90" s="383" t="s">
        <v>52</v>
      </c>
      <c r="O90" s="87"/>
      <c r="P90" s="76" t="str">
        <f>HYPERLINK("http://dota.nyoron.co/ti5/day1/1666460321.dem","1666460321")</f>
        <v>1666460321</v>
      </c>
      <c r="R90" s="193" t="str">
        <f>HYPERLINK("http://dota.nyoron.co/ti5/day1/1666577877.dem","1666577877")</f>
        <v>1666577877</v>
      </c>
      <c r="S90" s="87"/>
      <c r="T90" s="193" t="str">
        <f>HYPERLINK("https://www.youtube.com/watch?v=wjzRKp7RNlw","Day 1 - Empire vs EHOME Game 1")</f>
        <v>Day 1 - Empire vs EHOME Game 1</v>
      </c>
      <c r="W90" s="193" t="str">
        <f>HYPERLINK("https://www.youtube.com/watch?v=SqAQYAxo_9Y","Day 1 - Empire vs EHOME Game 2")</f>
        <v>Day 1 - Empire vs EHOME Game 2</v>
      </c>
      <c r="X90" s="399" t="s">
        <v>239</v>
      </c>
      <c r="Y90" s="400"/>
      <c r="Z90" s="400"/>
      <c r="AA90" s="242"/>
      <c r="AB90" s="242"/>
      <c r="AC90" s="242"/>
      <c r="AD90" s="242"/>
      <c r="AE90" s="242"/>
      <c r="AF90" s="242"/>
      <c r="AG90" s="242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</row>
    <row r="91">
      <c r="A91" s="191" t="s">
        <v>93</v>
      </c>
      <c r="C91" s="367">
        <v>42212.0</v>
      </c>
      <c r="D91" s="56">
        <v>0.125</v>
      </c>
      <c r="E91" s="57">
        <v>0.7916666666666666</v>
      </c>
      <c r="F91" s="58">
        <v>0.9166666666666666</v>
      </c>
      <c r="G91" s="59">
        <v>0.16666666666666666</v>
      </c>
      <c r="H91" s="60">
        <v>0.4166666666666667</v>
      </c>
      <c r="I91" s="380">
        <v>0.5</v>
      </c>
      <c r="J91" s="398" t="s">
        <v>87</v>
      </c>
      <c r="K91" s="191" t="s">
        <v>33</v>
      </c>
      <c r="L91" s="398" t="s">
        <v>89</v>
      </c>
      <c r="N91" s="383" t="s">
        <v>48</v>
      </c>
      <c r="O91" s="87"/>
      <c r="P91" s="76" t="str">
        <f>HYPERLINK("http://dota.nyoron.co/ti5/day1/1666453945.dem","1666453945")</f>
        <v>1666453945</v>
      </c>
      <c r="R91" s="193" t="str">
        <f>HYPERLINK("http://dota.nyoron.co/ti5/day1/1666539842.dem","1666539842")</f>
        <v>1666539842</v>
      </c>
      <c r="S91" s="87"/>
      <c r="T91" s="193" t="str">
        <f>HYPERLINK("https://www.youtube.com/watch?v=0_32IwuLyAo","Day 1 - VG vs MVP.Hot6 Game 1")</f>
        <v>Day 1 - VG vs MVP.Hot6 Game 1</v>
      </c>
      <c r="W91" s="193" t="str">
        <f>HYPERLINK("https://www.youtube.com/watch?v=LHlyXM9WfkM","Day 1 - VG vs MVP.Hot6 Game 2")</f>
        <v>Day 1 - VG vs MVP.Hot6 Game 2</v>
      </c>
      <c r="X91" s="399" t="s">
        <v>239</v>
      </c>
      <c r="Y91" s="400"/>
      <c r="Z91" s="400"/>
      <c r="AA91" s="242"/>
      <c r="AB91" s="242"/>
      <c r="AC91" s="242"/>
      <c r="AD91" s="242"/>
      <c r="AE91" s="242"/>
      <c r="AF91" s="242"/>
      <c r="AG91" s="242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</row>
    <row r="92">
      <c r="A92" s="50"/>
      <c r="C92" s="84"/>
      <c r="D92" s="48"/>
      <c r="E92" s="27"/>
      <c r="F92" s="27"/>
      <c r="G92" s="27"/>
      <c r="H92" s="27"/>
      <c r="I92" s="393"/>
      <c r="J92" s="50"/>
      <c r="K92" s="50"/>
      <c r="L92" s="50"/>
      <c r="N92" s="50"/>
      <c r="P92" s="406" t="str">
        <f>HYPERLINK("http://dota.nyoron.co/ti5/day1/day1.zip","Download all day 1 replays here")</f>
        <v>Download all day 1 replays here</v>
      </c>
      <c r="T92" s="407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</row>
    <row r="93">
      <c r="A93" s="191" t="s">
        <v>65</v>
      </c>
      <c r="C93" s="367">
        <v>42213.0</v>
      </c>
      <c r="D93" s="56">
        <v>0.7083333333333334</v>
      </c>
      <c r="E93" s="57">
        <v>0.375</v>
      </c>
      <c r="F93" s="58">
        <v>0.5</v>
      </c>
      <c r="G93" s="59">
        <v>0.75</v>
      </c>
      <c r="H93" s="60">
        <v>0.0</v>
      </c>
      <c r="I93" s="380">
        <v>0.08333333333333333</v>
      </c>
      <c r="J93" s="398" t="s">
        <v>67</v>
      </c>
      <c r="K93" s="191" t="s">
        <v>33</v>
      </c>
      <c r="L93" s="398" t="s">
        <v>61</v>
      </c>
      <c r="N93" s="401" t="s">
        <v>68</v>
      </c>
      <c r="O93" s="87"/>
      <c r="P93" s="76" t="str">
        <f>HYPERLINK("http://dota.nyoron.co/ti5/day2/1668012309.dem.zip","1668012309")</f>
        <v>1668012309</v>
      </c>
      <c r="R93" s="193" t="str">
        <f>HYPERLINK("http://dota.nyoron.co/ti5/day2/1668110665.dem.zip","1668110665")</f>
        <v>1668110665</v>
      </c>
      <c r="S93" s="396" t="s">
        <v>57</v>
      </c>
      <c r="T93" s="193" t="str">
        <f>HYPERLINK("https://www.youtube.com/watch?v=InVb9tKGmJ4","Day 2 Cloud9 vs Fnatic Game 2")</f>
        <v>Day 2 Cloud9 vs Fnatic Game 2</v>
      </c>
      <c r="W93" s="193" t="str">
        <f>HYPERLINK("https://www.youtube.com/watch?v=InVb9tKGmJ4","Day 2 Cloud9 vs Fnatic Game 2")</f>
        <v>Day 2 Cloud9 vs Fnatic Game 2</v>
      </c>
      <c r="X93" s="399" t="s">
        <v>239</v>
      </c>
      <c r="Y93" s="400"/>
      <c r="Z93" s="400"/>
      <c r="AA93" s="39"/>
      <c r="AB93" s="191"/>
      <c r="AC93" s="191"/>
      <c r="AD93" s="191"/>
      <c r="AE93" s="191"/>
      <c r="AF93" s="191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</row>
    <row r="94">
      <c r="A94" s="191" t="s">
        <v>55</v>
      </c>
      <c r="C94" s="367">
        <v>42213.0</v>
      </c>
      <c r="D94" s="56">
        <v>0.7083333333333334</v>
      </c>
      <c r="E94" s="57">
        <v>0.375</v>
      </c>
      <c r="F94" s="58">
        <v>0.5</v>
      </c>
      <c r="G94" s="59">
        <v>0.75</v>
      </c>
      <c r="H94" s="60">
        <v>0.0</v>
      </c>
      <c r="I94" s="380">
        <v>0.08333333333333333</v>
      </c>
      <c r="J94" s="382" t="s">
        <v>77</v>
      </c>
      <c r="K94" s="191" t="s">
        <v>33</v>
      </c>
      <c r="L94" s="381" t="s">
        <v>66</v>
      </c>
      <c r="N94" s="383" t="s">
        <v>48</v>
      </c>
      <c r="O94" s="87"/>
      <c r="P94" s="76" t="str">
        <f>HYPERLINK("http://dota.nyoron.co/ti5/day2/1667995496.dem.zip","1667995496")</f>
        <v>1667995496</v>
      </c>
      <c r="R94" s="193" t="str">
        <f>HYPERLINK("http://dota.nyoron.co/ti5/day2/1668109169.dem.zip","1668109169")</f>
        <v>1668109169</v>
      </c>
      <c r="S94" s="87"/>
      <c r="T94" s="193" t="str">
        <f>HYPERLINK("https://www.youtube.com/watch?v=plNsetgWrhE","Day 2 iG vs LGD Game 1")</f>
        <v>Day 2 iG vs LGD Game 1</v>
      </c>
      <c r="W94" s="193" t="str">
        <f>HYPERLINK("https://www.youtube.com/watch?v=NbhI813BpXY","Day 2 iG vs LGD Game 2")</f>
        <v>Day 2 iG vs LGD Game 2</v>
      </c>
      <c r="X94" s="191" t="s">
        <v>240</v>
      </c>
      <c r="Y94" s="397" t="s">
        <v>66</v>
      </c>
      <c r="Z94" s="397" t="s">
        <v>77</v>
      </c>
      <c r="AA94" s="39"/>
      <c r="AB94" s="191"/>
      <c r="AC94" s="191"/>
      <c r="AD94" s="191"/>
      <c r="AE94" s="191"/>
      <c r="AF94" s="191"/>
      <c r="AG94" s="217"/>
      <c r="AH94" s="217"/>
      <c r="AI94" s="217"/>
      <c r="AJ94" s="217"/>
      <c r="AK94" s="217"/>
      <c r="AL94" s="217"/>
      <c r="AM94" s="217"/>
      <c r="AN94" s="217"/>
      <c r="AO94" s="217"/>
      <c r="AP94" s="217"/>
      <c r="AQ94" s="217"/>
    </row>
    <row r="95">
      <c r="A95" s="191" t="s">
        <v>75</v>
      </c>
      <c r="C95" s="367">
        <v>42213.0</v>
      </c>
      <c r="D95" s="56">
        <v>0.7083333333333334</v>
      </c>
      <c r="E95" s="57">
        <v>0.375</v>
      </c>
      <c r="F95" s="58">
        <v>0.5</v>
      </c>
      <c r="G95" s="59">
        <v>0.75</v>
      </c>
      <c r="H95" s="60">
        <v>0.0</v>
      </c>
      <c r="I95" s="380">
        <v>0.08333333333333333</v>
      </c>
      <c r="J95" s="382" t="s">
        <v>72</v>
      </c>
      <c r="K95" s="191" t="s">
        <v>33</v>
      </c>
      <c r="L95" s="381" t="s">
        <v>56</v>
      </c>
      <c r="N95" s="383" t="s">
        <v>39</v>
      </c>
      <c r="O95" s="87"/>
      <c r="P95" s="76" t="str">
        <f>HYPERLINK("http://dota.nyoron.co/ti5/day2/1667987887.dem.zip","1667987887")</f>
        <v>1667987887</v>
      </c>
      <c r="R95" s="193" t="str">
        <f>HYPERLINK("http://dota.nyoron.co/ti5/day2/1668137863.dem.zip","1668137863")</f>
        <v>1668137863</v>
      </c>
      <c r="S95" s="87"/>
      <c r="T95" s="193" t="str">
        <f>HYPERLINK("https://www.youtube.com/watch?v=ASVktsIGUww","Day 2 NaVi vs Complexity Game 1")</f>
        <v>Day 2 NaVi vs Complexity Game 1</v>
      </c>
      <c r="W95" s="193" t="str">
        <f>HYPERLINK("https://www.youtube.com/watch?v=NORz7tuKrpM","Day 2 NaVi vs Complecity Game 2")</f>
        <v>Day 2 NaVi vs Complecity Game 2</v>
      </c>
      <c r="X95" s="191" t="s">
        <v>240</v>
      </c>
      <c r="Y95" s="397" t="s">
        <v>56</v>
      </c>
      <c r="Z95" s="397" t="s">
        <v>72</v>
      </c>
      <c r="AA95" s="39"/>
      <c r="AB95" s="191"/>
      <c r="AC95" s="191"/>
      <c r="AD95" s="191"/>
      <c r="AE95" s="191"/>
      <c r="AF95" s="191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</row>
    <row r="96">
      <c r="A96" s="191" t="s">
        <v>76</v>
      </c>
      <c r="C96" s="367">
        <v>42213.0</v>
      </c>
      <c r="D96" s="56">
        <v>0.8125</v>
      </c>
      <c r="E96" s="57">
        <v>0.4791666666666667</v>
      </c>
      <c r="F96" s="58">
        <v>0.5625</v>
      </c>
      <c r="G96" s="59">
        <v>0.8541666666666666</v>
      </c>
      <c r="H96" s="60">
        <v>0.0625</v>
      </c>
      <c r="I96" s="380">
        <v>0.14583333333333334</v>
      </c>
      <c r="J96" s="382" t="s">
        <v>67</v>
      </c>
      <c r="K96" s="191" t="s">
        <v>33</v>
      </c>
      <c r="L96" s="381" t="s">
        <v>62</v>
      </c>
      <c r="N96" s="401" t="s">
        <v>68</v>
      </c>
      <c r="O96" s="87"/>
      <c r="P96" s="76" t="str">
        <f>HYPERLINK("http://dota.nyoron.co/ti5/day2/1668240246.dem.zip","1668240246")</f>
        <v>1668240246</v>
      </c>
      <c r="R96" s="193" t="str">
        <f>HYPERLINK("http://dota.nyoron.co/ti5/day2/1668345858.dem.zip","1668345858")</f>
        <v>1668345858</v>
      </c>
      <c r="S96" s="87"/>
      <c r="T96" s="193" t="str">
        <f>HYPERLINK("https://www.youtube.com/watch?v=EZi6ebAKhu0","Day 2 Cloud9 vs Secret Game 1")</f>
        <v>Day 2 Cloud9 vs Secret Game 1</v>
      </c>
      <c r="W96" s="193" t="str">
        <f>HYPERLINK("https://www.youtube.com/watch?v=D8TSAOyng-4","Day 2 Cloud9 vs Secret Game 2")</f>
        <v>Day 2 Cloud9 vs Secret Game 2</v>
      </c>
      <c r="X96" s="191" t="s">
        <v>240</v>
      </c>
      <c r="Y96" s="397" t="s">
        <v>62</v>
      </c>
      <c r="Z96" s="397" t="s">
        <v>67</v>
      </c>
      <c r="AA96" s="39"/>
      <c r="AB96" s="191"/>
      <c r="AC96" s="191"/>
      <c r="AD96" s="191"/>
      <c r="AE96" s="191"/>
      <c r="AF96" s="191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</row>
    <row r="97">
      <c r="A97" s="191" t="s">
        <v>79</v>
      </c>
      <c r="C97" s="367">
        <v>42213.0</v>
      </c>
      <c r="D97" s="56">
        <v>0.8125</v>
      </c>
      <c r="E97" s="57">
        <v>0.4791666666666667</v>
      </c>
      <c r="F97" s="58">
        <v>0.5625</v>
      </c>
      <c r="G97" s="59">
        <v>0.8541666666666666</v>
      </c>
      <c r="H97" s="60">
        <v>0.0625</v>
      </c>
      <c r="I97" s="380">
        <v>0.14583333333333334</v>
      </c>
      <c r="J97" s="398" t="s">
        <v>77</v>
      </c>
      <c r="K97" s="191" t="s">
        <v>33</v>
      </c>
      <c r="L97" s="398" t="s">
        <v>56</v>
      </c>
      <c r="N97" s="383" t="s">
        <v>39</v>
      </c>
      <c r="O97" s="87"/>
      <c r="P97" s="76" t="str">
        <f>HYPERLINK("http://dota.nyoron.co/ti5/day2/1668243304.dem.zip","1668243304")</f>
        <v>1668243304</v>
      </c>
      <c r="R97" s="193" t="str">
        <f>HYPERLINK("http://dota.nyoron.co/ti5/day2/1668319630.dem.zip","1668319630")</f>
        <v>1668319630</v>
      </c>
      <c r="S97" s="87"/>
      <c r="T97" s="193" t="str">
        <f>HYPERLINK("https://www.youtube.com/watch?v=gVGyuceJKZM","Day 2 iG vs Complexity Game 1")</f>
        <v>Day 2 iG vs Complexity Game 1</v>
      </c>
      <c r="W97" s="193" t="str">
        <f>HYPERLINK("https://www.youtube.com/watch?v=_k_aiSjaNMs","Day 2 iG vs Complexity Game 2")</f>
        <v>Day 2 iG vs Complexity Game 2</v>
      </c>
      <c r="X97" s="399" t="s">
        <v>239</v>
      </c>
      <c r="Y97" s="400"/>
      <c r="Z97" s="400"/>
      <c r="AA97" s="39"/>
      <c r="AB97" s="191"/>
      <c r="AC97" s="191"/>
      <c r="AD97" s="191"/>
      <c r="AE97" s="191"/>
      <c r="AF97" s="191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</row>
    <row r="98">
      <c r="A98" s="191" t="s">
        <v>71</v>
      </c>
      <c r="C98" s="367">
        <v>42213.0</v>
      </c>
      <c r="D98" s="56">
        <v>0.8125</v>
      </c>
      <c r="E98" s="57">
        <v>0.4791666666666667</v>
      </c>
      <c r="F98" s="58">
        <v>0.5625</v>
      </c>
      <c r="G98" s="59">
        <v>0.8541666666666666</v>
      </c>
      <c r="H98" s="60">
        <v>0.0625</v>
      </c>
      <c r="I98" s="380">
        <v>0.14583333333333334</v>
      </c>
      <c r="J98" s="382" t="s">
        <v>37</v>
      </c>
      <c r="K98" s="191" t="s">
        <v>33</v>
      </c>
      <c r="L98" s="381" t="s">
        <v>66</v>
      </c>
      <c r="N98" s="383" t="s">
        <v>48</v>
      </c>
      <c r="O98" s="87"/>
      <c r="P98" s="76" t="str">
        <f>HYPERLINK("http://dota.nyoron.co/ti5/day2/1668245426.dem.zip","1668245426")</f>
        <v>1668245426</v>
      </c>
      <c r="R98" s="193" t="str">
        <f>HYPERLINK("http://dota.nyoron.co/ti5/day2/1668338643.dem.zip","1668338643")</f>
        <v>1668338643</v>
      </c>
      <c r="S98" s="87"/>
      <c r="T98" s="193" t="str">
        <f>HYPERLINK("https://www.youtube.com/watch?v=ZGKAb5-pZcE","Day 2 MVPP vs LGD Game 1")</f>
        <v>Day 2 MVPP vs LGD Game 1</v>
      </c>
      <c r="W98" s="193" t="str">
        <f>HYPERLINK("https://www.youtube.com/watch?v=o401iY1y3fU","Day 2 MVPP vs LGD Game 2")</f>
        <v>Day 2 MVPP vs LGD Game 2</v>
      </c>
      <c r="X98" s="191" t="s">
        <v>240</v>
      </c>
      <c r="Y98" s="397" t="s">
        <v>66</v>
      </c>
      <c r="Z98" s="397" t="s">
        <v>37</v>
      </c>
      <c r="AA98" s="39"/>
      <c r="AB98" s="191"/>
      <c r="AC98" s="191"/>
      <c r="AD98" s="191"/>
      <c r="AE98" s="191"/>
      <c r="AF98" s="191"/>
      <c r="AG98" s="217"/>
      <c r="AH98" s="217"/>
      <c r="AI98" s="217"/>
      <c r="AJ98" s="217"/>
      <c r="AK98" s="217"/>
      <c r="AL98" s="217"/>
      <c r="AM98" s="217"/>
      <c r="AN98" s="217"/>
      <c r="AO98" s="217"/>
      <c r="AP98" s="217"/>
      <c r="AQ98" s="217"/>
    </row>
    <row r="99">
      <c r="A99" s="191" t="s">
        <v>82</v>
      </c>
      <c r="C99" s="367">
        <v>42213.0</v>
      </c>
      <c r="D99" s="56">
        <v>0.9166666666666666</v>
      </c>
      <c r="E99" s="57">
        <v>0.5833333333333334</v>
      </c>
      <c r="F99" s="58">
        <v>0.7083333333333334</v>
      </c>
      <c r="G99" s="59">
        <v>0.9583333333333334</v>
      </c>
      <c r="H99" s="60">
        <v>0.20833333333333334</v>
      </c>
      <c r="I99" s="380">
        <v>0.2916666666666667</v>
      </c>
      <c r="J99" s="398" t="s">
        <v>61</v>
      </c>
      <c r="K99" s="191" t="s">
        <v>33</v>
      </c>
      <c r="L99" s="398" t="s">
        <v>37</v>
      </c>
      <c r="N99" s="383" t="s">
        <v>48</v>
      </c>
      <c r="O99" s="87"/>
      <c r="P99" s="76" t="str">
        <f>HYPERLINK("http://dota.nyoron.co/ti5/day2/1668434795.dem.zip","1668434795")</f>
        <v>1668434795</v>
      </c>
      <c r="R99" s="193" t="str">
        <f>HYPERLINK("http://dota.nyoron.co/ti5/day2/1668493996.dem.zip","1668493996")</f>
        <v>1668493996</v>
      </c>
      <c r="S99" s="87"/>
      <c r="T99" s="193" t="str">
        <f>HYPERLINK("https://www.youtube.com/watch?v=tROu9UEbYjU","Day 2 Fnatic vs MVPP Game 1")</f>
        <v>Day 2 Fnatic vs MVPP Game 1</v>
      </c>
      <c r="W99" s="193" t="str">
        <f>HYPERLINK("https://www.youtube.com/watch?v=6K8BcMp1A9U","Day 2 Fnatic vs MVPP Game 2")</f>
        <v>Day 2 Fnatic vs MVPP Game 2</v>
      </c>
      <c r="X99" s="399" t="s">
        <v>239</v>
      </c>
      <c r="Y99" s="400"/>
      <c r="Z99" s="400"/>
      <c r="AA99" s="39"/>
      <c r="AB99" s="191"/>
      <c r="AC99" s="191"/>
      <c r="AD99" s="191"/>
      <c r="AE99" s="191"/>
      <c r="AF99" s="191"/>
      <c r="AG99" s="217"/>
      <c r="AH99" s="217"/>
      <c r="AI99" s="217"/>
      <c r="AJ99" s="217"/>
      <c r="AK99" s="217"/>
      <c r="AL99" s="217"/>
      <c r="AM99" s="217"/>
      <c r="AN99" s="217"/>
      <c r="AO99" s="217"/>
      <c r="AP99" s="217"/>
      <c r="AQ99" s="217"/>
    </row>
    <row r="100">
      <c r="A100" s="191" t="s">
        <v>78</v>
      </c>
      <c r="C100" s="367">
        <v>42213.0</v>
      </c>
      <c r="D100" s="56">
        <v>0.9166666666666666</v>
      </c>
      <c r="E100" s="57">
        <v>0.5833333333333334</v>
      </c>
      <c r="F100" s="58">
        <v>0.7083333333333334</v>
      </c>
      <c r="G100" s="59">
        <v>0.9583333333333334</v>
      </c>
      <c r="H100" s="60">
        <v>0.20833333333333334</v>
      </c>
      <c r="I100" s="380">
        <v>0.2916666666666667</v>
      </c>
      <c r="J100" s="381" t="s">
        <v>62</v>
      </c>
      <c r="K100" s="191" t="s">
        <v>33</v>
      </c>
      <c r="L100" s="382" t="s">
        <v>72</v>
      </c>
      <c r="N100" s="401" t="s">
        <v>68</v>
      </c>
      <c r="O100" s="87"/>
      <c r="P100" s="76" t="str">
        <f>HYPERLINK("http://dota.nyoron.co/ti5/day2/1668437721.dem.zip","1668437721")</f>
        <v>1668437721</v>
      </c>
      <c r="R100" s="193" t="str">
        <f>HYPERLINK("http://dota.nyoron.co/ti5/day2/1668506691.dem.zip","1668506691")</f>
        <v>1668506691</v>
      </c>
      <c r="S100" s="87"/>
      <c r="T100" s="193" t="str">
        <f>HYPERLINK("https://www.youtube.com/watch?v=98adVmcapNw","Day 2 Secret vs NaVi Game 1")</f>
        <v>Day 2 Secret vs NaVi Game 1</v>
      </c>
      <c r="W100" s="193" t="str">
        <f>HYPERLINK("https://www.youtube.com/watch?v=3HvYsDzjdX8","Day 2 Secret vs NaVi Game 2")</f>
        <v>Day 2 Secret vs NaVi Game 2</v>
      </c>
      <c r="X100" s="191" t="s">
        <v>238</v>
      </c>
      <c r="Y100" s="397" t="s">
        <v>62</v>
      </c>
      <c r="Z100" s="397" t="s">
        <v>72</v>
      </c>
      <c r="AA100" s="39"/>
      <c r="AB100" s="191"/>
      <c r="AC100" s="191"/>
      <c r="AD100" s="191"/>
      <c r="AE100" s="191"/>
      <c r="AF100" s="191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</row>
    <row r="101">
      <c r="A101" s="191" t="s">
        <v>83</v>
      </c>
      <c r="C101" s="367">
        <v>42213.0</v>
      </c>
      <c r="D101" s="56">
        <v>0.9166666666666666</v>
      </c>
      <c r="E101" s="57">
        <v>0.5833333333333334</v>
      </c>
      <c r="F101" s="58">
        <v>0.7083333333333334</v>
      </c>
      <c r="G101" s="59">
        <v>0.9583333333333334</v>
      </c>
      <c r="H101" s="60">
        <v>0.20833333333333334</v>
      </c>
      <c r="I101" s="380">
        <v>0.2916666666666667</v>
      </c>
      <c r="J101" s="382" t="s">
        <v>32</v>
      </c>
      <c r="K101" s="191" t="s">
        <v>33</v>
      </c>
      <c r="L101" s="381" t="s">
        <v>81</v>
      </c>
      <c r="N101" s="401" t="s">
        <v>94</v>
      </c>
      <c r="O101" s="87"/>
      <c r="P101" s="76" t="str">
        <f>HYPERLINK("http://dota.nyoron.co/ti5/day2/1668432255m.zip","1668432255")</f>
        <v>1668432255</v>
      </c>
      <c r="R101" s="193" t="str">
        <f>HYPERLINK("http://dota.nyoron.co/ti5/day2/1668507634.dem.zip","1668507634")</f>
        <v>1668507634</v>
      </c>
      <c r="S101" s="87"/>
      <c r="T101" s="193" t="str">
        <f>HYPERLINK("https://www.youtube.com/watch?v=jbiAtno9u_M","Day 2 CDEC vs VP Game 1")</f>
        <v>Day 2 CDEC vs VP Game 1</v>
      </c>
      <c r="W101" s="193" t="str">
        <f>HYPERLINK("https://www.youtube.com/watch?v=k6pW4mGL9uo","Day 2 CDEC vs VP Game 2")</f>
        <v>Day 2 CDEC vs VP Game 2</v>
      </c>
      <c r="X101" s="191" t="s">
        <v>240</v>
      </c>
      <c r="Y101" s="397" t="s">
        <v>81</v>
      </c>
      <c r="Z101" s="397" t="s">
        <v>32</v>
      </c>
      <c r="AA101" s="39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</row>
    <row r="102">
      <c r="A102" s="191" t="s">
        <v>85</v>
      </c>
      <c r="C102" s="367">
        <v>42213.0</v>
      </c>
      <c r="D102" s="56">
        <v>0.020833333333333332</v>
      </c>
      <c r="E102" s="57">
        <v>0.6875</v>
      </c>
      <c r="F102" s="58">
        <v>0.8125</v>
      </c>
      <c r="G102" s="59">
        <v>0.0625</v>
      </c>
      <c r="H102" s="60">
        <v>0.3125</v>
      </c>
      <c r="I102" s="380">
        <v>0.3958333333333333</v>
      </c>
      <c r="J102" s="381" t="s">
        <v>84</v>
      </c>
      <c r="K102" s="191" t="s">
        <v>33</v>
      </c>
      <c r="L102" s="382" t="s">
        <v>87</v>
      </c>
      <c r="N102" s="383" t="s">
        <v>39</v>
      </c>
      <c r="O102" s="87"/>
      <c r="P102" s="75" t="str">
        <f>HYPERLINK("http://dota.nyoron.co/ti5/day2/1668591683.dem.zip","1668591683")</f>
        <v>1668591683</v>
      </c>
      <c r="R102" s="66" t="str">
        <f>HYPERLINK("http://dota.nyoron.co/ti5/day2/1668682748.dem.zip","1668682748")</f>
        <v>1668682748</v>
      </c>
      <c r="S102" s="87"/>
      <c r="T102" s="193" t="str">
        <f>HYPERLINK("https://www.youtube.com/watch?v=0M0aIwPJhJc","Day 2 EG vs VG Game 1")</f>
        <v>Day 2 EG vs VG Game 1</v>
      </c>
      <c r="W102" s="193" t="str">
        <f>HYPERLINK("https://www.youtube.com/watch?v=1y0rcw7CsYs","Day 2 EG vs VG Game 2")</f>
        <v>Day 2 EG vs VG Game 2</v>
      </c>
      <c r="X102" s="191" t="s">
        <v>238</v>
      </c>
      <c r="Y102" s="397" t="s">
        <v>84</v>
      </c>
      <c r="Z102" s="397" t="s">
        <v>87</v>
      </c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</row>
    <row r="103">
      <c r="A103" s="191" t="s">
        <v>88</v>
      </c>
      <c r="C103" s="367">
        <v>42213.0</v>
      </c>
      <c r="D103" s="56">
        <v>0.020833333333333332</v>
      </c>
      <c r="E103" s="57">
        <v>0.6875</v>
      </c>
      <c r="F103" s="58">
        <v>0.8125</v>
      </c>
      <c r="G103" s="59">
        <v>0.0625</v>
      </c>
      <c r="H103" s="60">
        <v>0.3125</v>
      </c>
      <c r="I103" s="380">
        <v>0.3958333333333333</v>
      </c>
      <c r="J103" s="398" t="s">
        <v>92</v>
      </c>
      <c r="K103" s="191" t="s">
        <v>33</v>
      </c>
      <c r="L103" s="398" t="s">
        <v>80</v>
      </c>
      <c r="N103" s="383" t="s">
        <v>52</v>
      </c>
      <c r="O103" s="87"/>
      <c r="P103" s="75" t="str">
        <f>HYPERLINK("http://dota.nyoron.co/ti5/day2/1668556845.dem.zip","1668556845")</f>
        <v>1668556845</v>
      </c>
      <c r="R103" s="66" t="str">
        <f>HYPERLINK("http://dota.nyoron.co/ti5/day2/1668613457.dem.zip","1668613457")</f>
        <v>1668613457</v>
      </c>
      <c r="S103" s="87"/>
      <c r="T103" s="193" t="str">
        <f>HYPERLINK("https://www.youtube.com/watch?v=Guu5y6I9eFA","Day 2 EHOME vs Newbee Game 1")</f>
        <v>Day 2 EHOME vs Newbee Game 1</v>
      </c>
      <c r="W103" s="193" t="str">
        <f>HYPERLINK("https://www.youtube.com/watch?v=nj-Ysmg5I6c","Day 2 EHOME vs Newbee Game 2")</f>
        <v>Day 2 EHOME vs Newbee Game 2</v>
      </c>
      <c r="X103" s="399" t="s">
        <v>239</v>
      </c>
      <c r="Y103" s="400"/>
      <c r="Z103" s="400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</row>
    <row r="104">
      <c r="A104" s="191" t="s">
        <v>90</v>
      </c>
      <c r="C104" s="367">
        <v>42213.0</v>
      </c>
      <c r="D104" s="56">
        <v>0.020833333333333332</v>
      </c>
      <c r="E104" s="57">
        <v>0.6875</v>
      </c>
      <c r="F104" s="58">
        <v>0.8125</v>
      </c>
      <c r="G104" s="59">
        <v>0.0625</v>
      </c>
      <c r="H104" s="60">
        <v>0.3125</v>
      </c>
      <c r="I104" s="380">
        <v>0.3958333333333333</v>
      </c>
      <c r="J104" s="381" t="s">
        <v>86</v>
      </c>
      <c r="K104" s="191" t="s">
        <v>33</v>
      </c>
      <c r="L104" s="382" t="s">
        <v>95</v>
      </c>
      <c r="N104" s="401" t="s">
        <v>94</v>
      </c>
      <c r="O104" s="87"/>
      <c r="P104" s="75" t="str">
        <f>HYPERLINK("http://dota.nyoron.co/ti5/day2/1668579624.dem.zip","1668579624")</f>
        <v>1668579624</v>
      </c>
      <c r="R104" s="66" t="str">
        <f>HYPERLINK("http://dota.nyoron.co/ti5/day2/1668646062.dem.zip","1668646062")</f>
        <v>1668646062</v>
      </c>
      <c r="S104" s="87"/>
      <c r="T104" s="193" t="str">
        <f>HYPERLINK("https://www.youtube.com/watch?v=vjtqDqyh8WY","Day 2 Empire vs VP Game 1")</f>
        <v>Day 2 Empire vs VP Game 1</v>
      </c>
      <c r="W104" s="193" t="str">
        <f>HYPERLINK("https://www.youtube.com/watch?v=08Qb3EkV4p4","Day 2 Empire vs VP Game 2")</f>
        <v>Day 2 Empire vs VP Game 2</v>
      </c>
      <c r="X104" s="191" t="s">
        <v>238</v>
      </c>
      <c r="Y104" s="397" t="s">
        <v>86</v>
      </c>
      <c r="Z104" s="397" t="s">
        <v>81</v>
      </c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</row>
    <row r="105">
      <c r="A105" s="191" t="s">
        <v>91</v>
      </c>
      <c r="C105" s="367">
        <v>42213.0</v>
      </c>
      <c r="D105" s="56">
        <v>0.125</v>
      </c>
      <c r="E105" s="57">
        <v>0.7916666666666666</v>
      </c>
      <c r="F105" s="58">
        <v>0.9166666666666666</v>
      </c>
      <c r="G105" s="59">
        <v>0.16666666666666666</v>
      </c>
      <c r="H105" s="60">
        <v>0.4166666666666667</v>
      </c>
      <c r="I105" s="380">
        <v>0.5</v>
      </c>
      <c r="J105" s="381" t="s">
        <v>84</v>
      </c>
      <c r="K105" s="191" t="s">
        <v>33</v>
      </c>
      <c r="L105" s="382" t="s">
        <v>89</v>
      </c>
      <c r="N105" s="383" t="s">
        <v>39</v>
      </c>
      <c r="O105" s="87"/>
      <c r="P105" s="75" t="str">
        <f>HYPERLINK("http://dota.nyoron.co/ti5/day2/1668751522.dem.zip","1668751522")</f>
        <v>1668751522</v>
      </c>
      <c r="R105" s="66" t="str">
        <f>HYPERLINK("http://dota.nyoron.co/ti5/day2/1668839023.dem.zip","1668839023")</f>
        <v>1668839023</v>
      </c>
      <c r="S105" s="87"/>
      <c r="T105" s="193" t="str">
        <f>HYPERLINK("https://www.youtube.com/watch?v=gNT90mSMXwQ","Day 2 EG vs MVP.Hot6 Game 1")</f>
        <v>Day 2 EG vs MVP.Hot6 Game 1</v>
      </c>
      <c r="W105" s="193" t="str">
        <f>HYPERLINK("https://www.youtube.com/watch?v=GLv39_wJwH4","Day 2 EG vs MVP.Hot6 Game 2")</f>
        <v>Day 2 EG vs MVP.Hot6 Game 2</v>
      </c>
      <c r="X105" s="191" t="s">
        <v>238</v>
      </c>
      <c r="Y105" s="397" t="s">
        <v>84</v>
      </c>
      <c r="Z105" s="397" t="s">
        <v>89</v>
      </c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</row>
    <row r="106">
      <c r="A106" s="191" t="s">
        <v>93</v>
      </c>
      <c r="C106" s="367">
        <v>42213.0</v>
      </c>
      <c r="D106" s="56">
        <v>0.125</v>
      </c>
      <c r="E106" s="57">
        <v>0.7916666666666666</v>
      </c>
      <c r="F106" s="58">
        <v>0.9166666666666666</v>
      </c>
      <c r="G106" s="59">
        <v>0.16666666666666666</v>
      </c>
      <c r="H106" s="60">
        <v>0.4166666666666667</v>
      </c>
      <c r="I106" s="380">
        <v>0.5</v>
      </c>
      <c r="J106" s="398" t="s">
        <v>92</v>
      </c>
      <c r="K106" s="191" t="s">
        <v>33</v>
      </c>
      <c r="L106" s="398" t="s">
        <v>87</v>
      </c>
      <c r="N106" s="383" t="s">
        <v>52</v>
      </c>
      <c r="O106" s="87"/>
      <c r="P106" s="75" t="str">
        <f>HYPERLINK("http://dota.nyoron.co/ti5/day2/1668758379.dem.zip","1668758379")</f>
        <v>1668758379</v>
      </c>
      <c r="R106" s="107" t="str">
        <f>HYPERLINK("http://dota.nyoron.co/ti5/day2/1668862986.dem.zip","1668862986")</f>
        <v>1668862986</v>
      </c>
      <c r="S106" s="87"/>
      <c r="T106" s="193" t="str">
        <f>HYPERLINK("https://www.youtube.com/watch?v=MG5d5xEak7Y","Day 2 EHOME vs VG Game 1")</f>
        <v>Day 2 EHOME vs VG Game 1</v>
      </c>
      <c r="W106" s="193" t="str">
        <f>HYPERLINK("https://www.youtube.com/watch?v=Usi-so3vjzc","Day 2 EHOME vs VG Game 2")</f>
        <v>Day 2 EHOME vs VG Game 2</v>
      </c>
      <c r="X106" s="399" t="s">
        <v>239</v>
      </c>
      <c r="Y106" s="400"/>
      <c r="Z106" s="400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</row>
    <row r="107">
      <c r="A107" s="191" t="s">
        <v>96</v>
      </c>
      <c r="C107" s="367">
        <v>42213.0</v>
      </c>
      <c r="D107" s="56">
        <v>0.125</v>
      </c>
      <c r="E107" s="57">
        <v>0.7916666666666666</v>
      </c>
      <c r="F107" s="58">
        <v>0.9166666666666666</v>
      </c>
      <c r="G107" s="59">
        <v>0.16666666666666666</v>
      </c>
      <c r="H107" s="60">
        <v>0.4166666666666667</v>
      </c>
      <c r="I107" s="380">
        <v>0.5</v>
      </c>
      <c r="J107" s="382" t="s">
        <v>86</v>
      </c>
      <c r="K107" s="191" t="s">
        <v>33</v>
      </c>
      <c r="L107" s="381" t="s">
        <v>32</v>
      </c>
      <c r="N107" s="401" t="s">
        <v>94</v>
      </c>
      <c r="O107" s="87"/>
      <c r="P107" s="75" t="str">
        <f>HYPERLINK("http://dota.nyoron.co/ti5/day2/1668725839.dem.zip","1668725839")</f>
        <v>1668725839</v>
      </c>
      <c r="R107" s="66" t="str">
        <f>HYPERLINK("http://dota.nyoron.co/ti5/day2/1668792831.dem.zip","1668792831")</f>
        <v>1668792831</v>
      </c>
      <c r="S107" s="87"/>
      <c r="T107" s="193" t="str">
        <f>HYPERLINK("https://www.youtube.com/watch?v=MG5d5xEak7Y","Day 2 Empire vs CDEC Game 1")</f>
        <v>Day 2 Empire vs CDEC Game 1</v>
      </c>
      <c r="W107" s="193" t="str">
        <f>HYPERLINK("https://www.youtube.com/watch?v=C4esWcMb18U","Day 2 Empire vs CDEC Game 2")</f>
        <v>Day 2 Empire vs CDEC Game 2</v>
      </c>
      <c r="X107" s="191" t="s">
        <v>240</v>
      </c>
      <c r="Y107" s="397" t="s">
        <v>32</v>
      </c>
      <c r="Z107" s="397" t="s">
        <v>86</v>
      </c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</row>
    <row r="108">
      <c r="A108" s="50"/>
      <c r="C108" s="84"/>
      <c r="D108" s="48"/>
      <c r="E108" s="27"/>
      <c r="F108" s="27"/>
      <c r="G108" s="27"/>
      <c r="H108" s="27"/>
      <c r="I108" s="393"/>
      <c r="J108" s="50"/>
      <c r="K108" s="362"/>
      <c r="L108" s="50"/>
      <c r="N108" s="50"/>
      <c r="P108" s="406" t="str">
        <f>HYPERLINK("http://dota.nyoron.co/ti5/day2/day2.zip","Download all day 2 replays here")</f>
        <v>Download all day 2 replays here</v>
      </c>
      <c r="T108" s="407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</row>
    <row r="109">
      <c r="A109" s="191" t="s">
        <v>55</v>
      </c>
      <c r="C109" s="367">
        <v>42214.0</v>
      </c>
      <c r="D109" s="56">
        <v>0.7083333333333334</v>
      </c>
      <c r="E109" s="57">
        <v>0.375</v>
      </c>
      <c r="F109" s="58">
        <v>0.5</v>
      </c>
      <c r="G109" s="59">
        <v>0.75</v>
      </c>
      <c r="H109" s="60">
        <v>0.0</v>
      </c>
      <c r="I109" s="380">
        <v>0.08333333333333333</v>
      </c>
      <c r="J109" s="381" t="s">
        <v>67</v>
      </c>
      <c r="K109" s="191" t="s">
        <v>33</v>
      </c>
      <c r="L109" s="382" t="s">
        <v>77</v>
      </c>
      <c r="N109" s="401" t="s">
        <v>68</v>
      </c>
      <c r="O109" s="87"/>
      <c r="P109" s="76" t="str">
        <f>HYPERLINK("http://dota.nyoron.co/ti5/day3/1670594877.dem.zip","1670594877")</f>
        <v>1670594877</v>
      </c>
      <c r="R109" s="193" t="str">
        <f>HYPERLINK("http://dota.nyoron.co/ti5/day3/1670686522.dem.zip","1670686522")</f>
        <v>1670686522</v>
      </c>
      <c r="S109" s="396" t="s">
        <v>57</v>
      </c>
      <c r="T109" s="193" t="str">
        <f>HYPERLINK("https://www.youtube.com/watch?v=K4MEhtL2lyk","Day 3 Cloud9 vs iG Game 1")</f>
        <v>Day 3 Cloud9 vs iG Game 1</v>
      </c>
      <c r="W109" s="193" t="str">
        <f>HYPERLINK("https://www.youtube.com/watch?v=3C0O1i3_vlk","Day 3 Cloud9 vs iG Game 2")</f>
        <v>Day 3 Cloud9 vs iG Game 2</v>
      </c>
      <c r="X109" s="191" t="s">
        <v>240</v>
      </c>
      <c r="Y109" s="397" t="s">
        <v>67</v>
      </c>
      <c r="Z109" s="397" t="s">
        <v>77</v>
      </c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</row>
    <row r="110">
      <c r="A110" s="191" t="s">
        <v>75</v>
      </c>
      <c r="C110" s="367">
        <v>42214.0</v>
      </c>
      <c r="D110" s="56">
        <v>0.7083333333333334</v>
      </c>
      <c r="E110" s="57">
        <v>0.375</v>
      </c>
      <c r="F110" s="58">
        <v>0.5</v>
      </c>
      <c r="G110" s="59">
        <v>0.75</v>
      </c>
      <c r="H110" s="60">
        <v>0.0</v>
      </c>
      <c r="I110" s="380">
        <v>0.08333333333333333</v>
      </c>
      <c r="J110" s="398" t="s">
        <v>72</v>
      </c>
      <c r="K110" s="191" t="s">
        <v>33</v>
      </c>
      <c r="L110" s="398" t="s">
        <v>61</v>
      </c>
      <c r="N110" s="383" t="s">
        <v>39</v>
      </c>
      <c r="O110" s="87"/>
      <c r="P110" s="76" t="str">
        <f>HYPERLINK("http://dota.nyoron.co/ti5/day3/1670592135.dem.zip","1670592135")</f>
        <v>1670592135</v>
      </c>
      <c r="R110" s="193" t="str">
        <f>HYPERLINK("http://dota.nyoron.co/ti5/day3/1670702068.dem.zip","1670702068")</f>
        <v>1670702068</v>
      </c>
      <c r="S110" s="87"/>
      <c r="T110" s="193" t="str">
        <f>HYPERLINK("https://www.youtube.com/watch?v=7yGQoMhJGs4","Day 3 NaVi vs Fnatic Game 1")</f>
        <v>Day 3 NaVi vs Fnatic Game 1</v>
      </c>
      <c r="W110" s="193" t="str">
        <f>HYPERLINK("https://www.youtube.com/watch?v=PnXR-HugYqw","Day 3 NaVi vs Fnatic Game 2")</f>
        <v>Day 3 NaVi vs Fnatic Game 2</v>
      </c>
      <c r="X110" s="399" t="s">
        <v>239</v>
      </c>
      <c r="Y110" s="400"/>
      <c r="Z110" s="400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</row>
    <row r="111">
      <c r="A111" s="191" t="s">
        <v>65</v>
      </c>
      <c r="C111" s="367">
        <v>42214.0</v>
      </c>
      <c r="D111" s="56">
        <v>0.7083333333333334</v>
      </c>
      <c r="E111" s="57">
        <v>0.375</v>
      </c>
      <c r="F111" s="58">
        <v>0.5</v>
      </c>
      <c r="G111" s="59">
        <v>0.75</v>
      </c>
      <c r="H111" s="60">
        <v>0.0</v>
      </c>
      <c r="I111" s="380">
        <v>0.08333333333333333</v>
      </c>
      <c r="J111" s="398" t="s">
        <v>62</v>
      </c>
      <c r="K111" s="191" t="s">
        <v>33</v>
      </c>
      <c r="L111" s="398" t="s">
        <v>66</v>
      </c>
      <c r="N111" s="383" t="s">
        <v>48</v>
      </c>
      <c r="O111" s="87"/>
      <c r="P111" s="76" t="str">
        <f>HYPERLINK("http://dota.nyoron.co/ti5/day3/1670611989.dem.zip","1670611989")</f>
        <v>1670611989</v>
      </c>
      <c r="R111" s="193" t="str">
        <f>HYPERLINK("http://dota.nyoron.co/ti5/day3/1670707254.dem.zip","1670707254")</f>
        <v>1670707254</v>
      </c>
      <c r="S111" s="87"/>
      <c r="T111" s="193" t="str">
        <f>HYPERLINK("https://www.youtube.com/watch?v=WuY7yZhneqM","Day 3 Secret vs LGD Game 1")</f>
        <v>Day 3 Secret vs LGD Game 1</v>
      </c>
      <c r="W111" s="193" t="str">
        <f>HYPERLINK("https://www.youtube.com/watch?v=HNia24NYH74","Day 3 Secret vs LGD Game 2")</f>
        <v>Day 3 Secret vs LGD Game 2</v>
      </c>
      <c r="X111" s="399" t="s">
        <v>239</v>
      </c>
      <c r="Y111" s="400"/>
      <c r="Z111" s="400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</row>
    <row r="112">
      <c r="A112" s="191" t="s">
        <v>71</v>
      </c>
      <c r="C112" s="367">
        <v>42214.0</v>
      </c>
      <c r="D112" s="408">
        <v>0.8125</v>
      </c>
      <c r="E112" s="409">
        <v>0.4791666666666667</v>
      </c>
      <c r="F112" s="410">
        <v>0.5625</v>
      </c>
      <c r="G112" s="411">
        <v>0.8541666666666666</v>
      </c>
      <c r="H112" s="412">
        <v>0.0625</v>
      </c>
      <c r="I112" s="413">
        <v>0.14583333333333334</v>
      </c>
      <c r="J112" s="381" t="s">
        <v>67</v>
      </c>
      <c r="K112" s="191" t="s">
        <v>33</v>
      </c>
      <c r="L112" s="382" t="str">
        <f>Y75</f>
        <v>MVP Phoenix</v>
      </c>
      <c r="N112" s="401" t="s">
        <v>68</v>
      </c>
      <c r="O112" s="87"/>
      <c r="P112" s="76" t="str">
        <f>HYPERLINK("http://dota.nyoron.co/ti5/day3/1670808701.dem.zip","1670808701")</f>
        <v>1670808701</v>
      </c>
      <c r="R112" s="193" t="str">
        <f>HYPERLINK("http://dota.nyoron.co/ti5/day3/1670901885.dem.zip","1670901885")</f>
        <v>1670901885</v>
      </c>
      <c r="S112" s="87"/>
      <c r="T112" s="193" t="str">
        <f>HYPERLINK("https://www.youtube.com/watch?v=0kzFmjeb0ew","Day 3 Cloud9 vs MVPP Game 1")</f>
        <v>Day 3 Cloud9 vs MVPP Game 1</v>
      </c>
      <c r="W112" s="193" t="str">
        <f>HYPERLINK("https://www.youtube.com/watch?v=p3cx_myA-ZA","Day 3 Cloud9 vs MVPP Game 2")</f>
        <v>Day 3 Cloud9 vs MVPP Game 2</v>
      </c>
      <c r="X112" s="191" t="s">
        <v>238</v>
      </c>
      <c r="Y112" s="397" t="s">
        <v>67</v>
      </c>
      <c r="Z112" s="397" t="s">
        <v>37</v>
      </c>
      <c r="AA112" s="217"/>
      <c r="AB112" s="217"/>
      <c r="AC112" s="217"/>
      <c r="AD112" s="217"/>
      <c r="AE112" s="217"/>
      <c r="AF112" s="217"/>
      <c r="AG112" s="217"/>
      <c r="AH112" s="217"/>
      <c r="AI112" s="217"/>
      <c r="AJ112" s="217"/>
      <c r="AK112" s="217"/>
      <c r="AL112" s="217"/>
      <c r="AM112" s="217"/>
      <c r="AN112" s="217"/>
      <c r="AO112" s="217"/>
      <c r="AP112" s="217"/>
      <c r="AQ112" s="217"/>
    </row>
    <row r="113">
      <c r="A113" s="191" t="s">
        <v>76</v>
      </c>
      <c r="C113" s="367">
        <v>42214.0</v>
      </c>
      <c r="D113" s="408">
        <v>0.8125</v>
      </c>
      <c r="E113" s="409">
        <v>0.4791666666666667</v>
      </c>
      <c r="F113" s="410">
        <v>0.5625</v>
      </c>
      <c r="G113" s="411">
        <v>0.8541666666666666</v>
      </c>
      <c r="H113" s="412">
        <v>0.0625</v>
      </c>
      <c r="I113" s="413">
        <v>0.14583333333333334</v>
      </c>
      <c r="J113" s="382" t="s">
        <v>72</v>
      </c>
      <c r="K113" s="191" t="s">
        <v>33</v>
      </c>
      <c r="L113" s="381" t="s">
        <v>66</v>
      </c>
      <c r="N113" s="383" t="s">
        <v>48</v>
      </c>
      <c r="O113" s="87"/>
      <c r="P113" s="76" t="str">
        <f>HYPERLINK("http://dota.nyoron.co/ti5/day3/1670863093.dem.zip","1670863093")</f>
        <v>1670863093</v>
      </c>
      <c r="R113" s="193" t="str">
        <f>HYPERLINK("http://dota.nyoron.co/ti5/day3/1670963917.dem.zip","1670963917")</f>
        <v>1670963917</v>
      </c>
      <c r="S113" s="87"/>
      <c r="T113" s="193" t="str">
        <f>HYPERLINK("https://www.youtube.com/watch?v=qck7aS5RUmg","Day 3 NaVi vs LGD Game 1")</f>
        <v>Day 3 NaVi vs LGD Game 1</v>
      </c>
      <c r="W113" s="193" t="str">
        <f>HYPERLINK("https://www.youtube.com/watch?v=g-ZlsNOX4Uo","Day 3 NaVi vs LGD Game 2")</f>
        <v>Day 3 NaVi vs LGD Game 2</v>
      </c>
      <c r="X113" s="191" t="s">
        <v>240</v>
      </c>
      <c r="Y113" s="397" t="s">
        <v>66</v>
      </c>
      <c r="Z113" s="397" t="s">
        <v>72</v>
      </c>
      <c r="AA113" s="217"/>
      <c r="AB113" s="217"/>
      <c r="AC113" s="217"/>
      <c r="AD113" s="217"/>
      <c r="AE113" s="217"/>
      <c r="AF113" s="217"/>
      <c r="AG113" s="217"/>
      <c r="AH113" s="217"/>
      <c r="AI113" s="217"/>
      <c r="AJ113" s="217"/>
      <c r="AK113" s="217"/>
      <c r="AL113" s="217"/>
      <c r="AM113" s="217"/>
      <c r="AN113" s="217"/>
      <c r="AO113" s="217"/>
      <c r="AP113" s="217"/>
      <c r="AQ113" s="217"/>
    </row>
    <row r="114">
      <c r="A114" s="191" t="s">
        <v>79</v>
      </c>
      <c r="C114" s="367">
        <v>42214.0</v>
      </c>
      <c r="D114" s="408">
        <v>0.8125</v>
      </c>
      <c r="E114" s="409">
        <v>0.4791666666666667</v>
      </c>
      <c r="F114" s="410">
        <v>0.5625</v>
      </c>
      <c r="G114" s="411">
        <v>0.8541666666666666</v>
      </c>
      <c r="H114" s="412">
        <v>0.0625</v>
      </c>
      <c r="I114" s="413">
        <v>0.14583333333333334</v>
      </c>
      <c r="J114" s="381" t="s">
        <v>62</v>
      </c>
      <c r="K114" s="191" t="s">
        <v>33</v>
      </c>
      <c r="L114" s="382" t="s">
        <v>56</v>
      </c>
      <c r="N114" s="383" t="s">
        <v>39</v>
      </c>
      <c r="O114" s="87"/>
      <c r="P114" s="76" t="str">
        <f>HYPERLINK("http://dota.nyoron.co/ti5/day3/1670865252.dem.zip","1670865252")</f>
        <v>1670865252</v>
      </c>
      <c r="R114" s="193" t="str">
        <f>HYPERLINK("http://dota.nyoron.co/ti5/day3/1670974602.dem.zip","1670974602")</f>
        <v>1670974602</v>
      </c>
      <c r="S114" s="87"/>
      <c r="T114" s="193" t="str">
        <f>HYPERLINK("https://www.youtube.com/watch?v=McmZXmGaDaQ","Day 3 Secret vs Complexity Game 1")</f>
        <v>Day 3 Secret vs Complexity Game 1</v>
      </c>
      <c r="W114" s="193" t="str">
        <f>HYPERLINK("https://www.youtube.com/watch?v=ezmQNnxpE5c","Day 3 Secret vs Complexity Game 2")</f>
        <v>Day 3 Secret vs Complexity Game 2</v>
      </c>
      <c r="X114" s="191" t="s">
        <v>238</v>
      </c>
      <c r="Y114" s="397" t="s">
        <v>62</v>
      </c>
      <c r="Z114" s="397" t="s">
        <v>56</v>
      </c>
      <c r="AA114" s="217"/>
      <c r="AB114" s="217"/>
      <c r="AC114" s="217"/>
      <c r="AD114" s="217"/>
      <c r="AE114" s="217"/>
      <c r="AF114" s="217"/>
      <c r="AG114" s="217"/>
      <c r="AH114" s="217"/>
      <c r="AI114" s="217"/>
      <c r="AJ114" s="217"/>
      <c r="AK114" s="217"/>
      <c r="AL114" s="217"/>
      <c r="AM114" s="217"/>
      <c r="AN114" s="217"/>
      <c r="AO114" s="217"/>
      <c r="AP114" s="217"/>
      <c r="AQ114" s="217"/>
    </row>
    <row r="115">
      <c r="A115" s="191" t="s">
        <v>83</v>
      </c>
      <c r="C115" s="367">
        <v>42214.0</v>
      </c>
      <c r="D115" s="408">
        <v>0.9166666666666666</v>
      </c>
      <c r="E115" s="409">
        <v>0.5833333333333334</v>
      </c>
      <c r="F115" s="410">
        <v>0.7083333333333334</v>
      </c>
      <c r="G115" s="411">
        <v>0.9583333333333334</v>
      </c>
      <c r="H115" s="412">
        <v>0.20833333333333334</v>
      </c>
      <c r="I115" s="413">
        <v>0.2916666666666667</v>
      </c>
      <c r="J115" s="398" t="s">
        <v>86</v>
      </c>
      <c r="K115" s="191" t="s">
        <v>33</v>
      </c>
      <c r="L115" s="398" t="s">
        <v>80</v>
      </c>
      <c r="N115" s="383" t="s">
        <v>39</v>
      </c>
      <c r="O115" s="87"/>
      <c r="P115" s="76" t="str">
        <f>HYPERLINK("http://dota.nyoron.co/ti5/day3/1671067751.dem.zip","1671067751")</f>
        <v>1671067751</v>
      </c>
      <c r="R115" s="193" t="str">
        <f>HYPERLINK("http://dota.nyoron.co/ti5/day3/1671129267.dem.zip","1671129267")</f>
        <v>1671129267</v>
      </c>
      <c r="S115" s="87"/>
      <c r="T115" s="193" t="str">
        <f>HYPERLINK("https://www.youtube.com/watch?v=rJW0aKebL2k","Day 3 Empire vs Newbee Game 1")</f>
        <v>Day 3 Empire vs Newbee Game 1</v>
      </c>
      <c r="W115" s="193" t="str">
        <f>HYPERLINK("https://www.youtube.com/watch?v=EIRrN4fB0tI","Day 3 Empire vs Newbee Game 2")</f>
        <v>Day 3 Empire vs Newbee Game 2</v>
      </c>
      <c r="X115" s="399" t="s">
        <v>239</v>
      </c>
      <c r="Y115" s="400"/>
      <c r="Z115" s="400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</row>
    <row r="116">
      <c r="A116" s="191" t="s">
        <v>78</v>
      </c>
      <c r="C116" s="367">
        <v>42214.0</v>
      </c>
      <c r="D116" s="408">
        <v>0.9166666666666666</v>
      </c>
      <c r="E116" s="409">
        <v>0.5833333333333334</v>
      </c>
      <c r="F116" s="410">
        <v>0.7083333333333334</v>
      </c>
      <c r="G116" s="411">
        <v>0.9583333333333334</v>
      </c>
      <c r="H116" s="412">
        <v>0.20833333333333334</v>
      </c>
      <c r="I116" s="413">
        <v>0.2916666666666667</v>
      </c>
      <c r="J116" s="398" t="s">
        <v>81</v>
      </c>
      <c r="K116" s="191" t="s">
        <v>33</v>
      </c>
      <c r="L116" s="398" t="s">
        <v>89</v>
      </c>
      <c r="N116" s="383" t="s">
        <v>52</v>
      </c>
      <c r="O116" s="87"/>
      <c r="P116" s="76" t="str">
        <f>HYPERLINK("http://dota.nyoron.co/ti5/day3/1671063488.dem.zip","1671063488")</f>
        <v>1671063488</v>
      </c>
      <c r="R116" s="193" t="str">
        <f>HYPERLINK("http://dota.nyoron.co/ti5/day3/1671123709.dem.zip","1671123709")</f>
        <v>1671123709</v>
      </c>
      <c r="S116" s="87"/>
      <c r="T116" s="193" t="str">
        <f>HYPERLINK("https://www.youtube.com/watch?v=Yfhy-YloJb4","Day 3 VP vs MVP.Hot6 Game 1")</f>
        <v>Day 3 VP vs MVP.Hot6 Game 1</v>
      </c>
      <c r="W116" s="193" t="str">
        <f>HYPERLINK("https://www.youtube.com/watch?v=1tvoAU8vnxg","Day 3 VP vs MVP.Hot6 Game 2")</f>
        <v>Day 3 VP vs MVP.Hot6 Game 2</v>
      </c>
      <c r="X116" s="399" t="s">
        <v>239</v>
      </c>
      <c r="Y116" s="400"/>
      <c r="Z116" s="400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</row>
    <row r="117">
      <c r="A117" s="191" t="s">
        <v>82</v>
      </c>
      <c r="C117" s="367">
        <v>42214.0</v>
      </c>
      <c r="D117" s="408">
        <v>0.9166666666666666</v>
      </c>
      <c r="E117" s="409">
        <v>0.5833333333333334</v>
      </c>
      <c r="F117" s="410">
        <v>0.7083333333333334</v>
      </c>
      <c r="G117" s="411">
        <v>0.9583333333333334</v>
      </c>
      <c r="H117" s="412">
        <v>0.20833333333333334</v>
      </c>
      <c r="I117" s="413">
        <v>0.2916666666666667</v>
      </c>
      <c r="J117" s="381" t="str">
        <f>Y75</f>
        <v>MVP Phoenix</v>
      </c>
      <c r="K117" s="191" t="s">
        <v>33</v>
      </c>
      <c r="L117" s="382" t="s">
        <v>77</v>
      </c>
      <c r="N117" s="401" t="s">
        <v>68</v>
      </c>
      <c r="O117" s="87"/>
      <c r="P117" s="76" t="str">
        <f>HYPERLINK("http://dota.nyoron.co/ti5/day3/1670993670.dem.zip","1670993670")</f>
        <v>1670993670</v>
      </c>
      <c r="R117" s="193" t="str">
        <f>HYPERLINK("http://dota.nyoron.co/ti5/day3/1671121575.dem.zip","1671121575")</f>
        <v>1671121575</v>
      </c>
      <c r="S117" s="87"/>
      <c r="T117" s="193" t="str">
        <f>HYPERLINK("https://www.youtube.com/watch?v=xNQ0LmkzaC4","Day 3 MVPP vs iG Game 1")</f>
        <v>Day 3 MVPP vs iG Game 1</v>
      </c>
      <c r="W117" s="193" t="str">
        <f>HYPERLINK("https://www.youtube.com/watch?v=kXS9gRFnyWo","Day 3 MVPP vs iG Game 2")</f>
        <v>Day 3 MVPP vs iG Game 2</v>
      </c>
      <c r="X117" s="191" t="s">
        <v>241</v>
      </c>
      <c r="Y117" s="397" t="s">
        <v>37</v>
      </c>
      <c r="Z117" s="397" t="s">
        <v>77</v>
      </c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</row>
    <row r="118">
      <c r="A118" s="191" t="s">
        <v>85</v>
      </c>
      <c r="C118" s="367">
        <v>42214.0</v>
      </c>
      <c r="D118" s="408">
        <v>0.020833333333333332</v>
      </c>
      <c r="E118" s="409">
        <v>0.6875</v>
      </c>
      <c r="F118" s="410">
        <v>0.8125</v>
      </c>
      <c r="G118" s="411">
        <v>0.0625</v>
      </c>
      <c r="H118" s="412">
        <v>0.3125</v>
      </c>
      <c r="I118" s="413">
        <v>0.3958333333333333</v>
      </c>
      <c r="J118" s="398" t="s">
        <v>84</v>
      </c>
      <c r="K118" s="191" t="s">
        <v>33</v>
      </c>
      <c r="L118" s="398" t="s">
        <v>92</v>
      </c>
      <c r="N118" s="383" t="s">
        <v>52</v>
      </c>
      <c r="O118" s="87"/>
      <c r="P118" s="76" t="str">
        <f>HYPERLINK("http://dota.nyoron.co/ti5/day3/1671201476.dem.zip","1671201476")</f>
        <v>1671201476</v>
      </c>
      <c r="R118" s="193" t="str">
        <f>HYPERLINK("http://dota.nyoron.co/ti5/day3/1671274952.dem.zip","1671274952")</f>
        <v>1671274952</v>
      </c>
      <c r="S118" s="87"/>
      <c r="T118" s="193" t="str">
        <f>HYPERLINK("https://www.youtube.com/watch?v=zOwOd-Xz0iM","Day 3 EG vs EHOME Game 1")</f>
        <v>Day 3 EG vs EHOME Game 1</v>
      </c>
      <c r="W118" s="193" t="str">
        <f>HYPERLINK("https://www.youtube.com/watch?v=jlC1gDeextA","Day 3 EG vs EHOME Game 2")</f>
        <v>Day 3 EG vs EHOME Game 2</v>
      </c>
      <c r="X118" s="399" t="s">
        <v>239</v>
      </c>
      <c r="Y118" s="400"/>
      <c r="Z118" s="400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</row>
    <row r="119">
      <c r="A119" s="191" t="s">
        <v>90</v>
      </c>
      <c r="C119" s="367">
        <v>42214.0</v>
      </c>
      <c r="D119" s="408">
        <v>0.020833333333333332</v>
      </c>
      <c r="E119" s="409">
        <v>0.6875</v>
      </c>
      <c r="F119" s="410">
        <v>0.8125</v>
      </c>
      <c r="G119" s="411">
        <v>0.0625</v>
      </c>
      <c r="H119" s="412">
        <v>0.3125</v>
      </c>
      <c r="I119" s="413">
        <v>0.3958333333333333</v>
      </c>
      <c r="J119" s="382" t="s">
        <v>80</v>
      </c>
      <c r="K119" s="191" t="s">
        <v>33</v>
      </c>
      <c r="L119" s="381" t="s">
        <v>32</v>
      </c>
      <c r="N119" s="383" t="s">
        <v>48</v>
      </c>
      <c r="O119" s="87"/>
      <c r="P119" s="76" t="str">
        <f>HYPERLINK("http://dota.nyoron.co/ti5/day3/1671210956.dem.zip","1671210956")</f>
        <v>1671210956</v>
      </c>
      <c r="R119" s="193" t="str">
        <f>HYPERLINK("http://dota.nyoron.co/ti5/day3/1671265441.dem.zip","1671265441")</f>
        <v>1671265441</v>
      </c>
      <c r="S119" s="87"/>
      <c r="T119" s="193" t="str">
        <f>HYPERLINK("https://www.youtube.com/watch?v=X_7UD1xt80g","Day 3 Newbee vs CDEC Game 1")</f>
        <v>Day 3 Newbee vs CDEC Game 1</v>
      </c>
      <c r="W119" s="193" t="str">
        <f>HYPERLINK("https://www.youtube.com/watch?v=VAjH6yCC_bc","Day 3 Newbee vs CDEC Game 2")</f>
        <v>Day 3 Newbee vs CDEC Game 2</v>
      </c>
      <c r="X119" s="191" t="s">
        <v>240</v>
      </c>
      <c r="Y119" s="397" t="s">
        <v>32</v>
      </c>
      <c r="Z119" s="397" t="s">
        <v>80</v>
      </c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</row>
    <row r="120">
      <c r="A120" s="191" t="s">
        <v>88</v>
      </c>
      <c r="C120" s="367">
        <v>42214.0</v>
      </c>
      <c r="D120" s="408">
        <v>0.020833333333333332</v>
      </c>
      <c r="E120" s="409">
        <v>0.6875</v>
      </c>
      <c r="F120" s="410">
        <v>0.8125</v>
      </c>
      <c r="G120" s="411">
        <v>0.0625</v>
      </c>
      <c r="H120" s="412">
        <v>0.3125</v>
      </c>
      <c r="I120" s="413">
        <v>0.3958333333333333</v>
      </c>
      <c r="J120" s="398" t="s">
        <v>87</v>
      </c>
      <c r="K120" s="191" t="s">
        <v>33</v>
      </c>
      <c r="L120" s="398" t="s">
        <v>81</v>
      </c>
      <c r="N120" s="383" t="s">
        <v>43</v>
      </c>
      <c r="O120" s="87"/>
      <c r="P120" s="76" t="str">
        <f>HYPERLINK("http://dota.nyoron.co/ti5/day3/1671208055.dem.zip","1671208055")</f>
        <v>1671208055</v>
      </c>
      <c r="R120" s="193" t="str">
        <f>HYPERLINK("http://dota.nyoron.co/ti5/day3/1671256008.dem.zip","1671256008")</f>
        <v>1671256008</v>
      </c>
      <c r="S120" s="87"/>
      <c r="T120" s="193" t="str">
        <f>HYPERLINK("https://www.youtube.com/watch?v=mQfhqcCi5WQ","Day 3 VG vs VP Game 1")</f>
        <v>Day 3 VG vs VP Game 1</v>
      </c>
      <c r="W120" s="193" t="str">
        <f>HYPERLINK("https://www.youtube.com/watch?v=duxOCGhTSCg","Day 3 VG vs VP Game 2")</f>
        <v>Day 3 VG vs VP Game 2</v>
      </c>
      <c r="X120" s="399" t="s">
        <v>239</v>
      </c>
      <c r="Y120" s="400"/>
      <c r="Z120" s="400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</row>
    <row r="121">
      <c r="A121" s="191" t="s">
        <v>93</v>
      </c>
      <c r="C121" s="367">
        <v>42214.0</v>
      </c>
      <c r="D121" s="408">
        <v>0.125</v>
      </c>
      <c r="E121" s="409">
        <v>0.7916666666666666</v>
      </c>
      <c r="F121" s="410">
        <v>0.9166666666666666</v>
      </c>
      <c r="G121" s="411">
        <v>0.16666666666666666</v>
      </c>
      <c r="H121" s="412">
        <v>0.4166666666666667</v>
      </c>
      <c r="I121" s="413">
        <v>0.5</v>
      </c>
      <c r="J121" s="381" t="s">
        <v>92</v>
      </c>
      <c r="K121" s="191" t="s">
        <v>33</v>
      </c>
      <c r="L121" s="382" t="s">
        <v>89</v>
      </c>
      <c r="N121" s="383" t="s">
        <v>43</v>
      </c>
      <c r="O121" s="87"/>
      <c r="P121" s="76" t="str">
        <f>HYPERLINK("http://dota.nyoron.co/ti5/day3/1671358182.dem.zip","1671358182")</f>
        <v>1671358182</v>
      </c>
      <c r="R121" s="193" t="str">
        <f>HYPERLINK("http://dota.nyoron.co/ti5/day3/1671437866.dem.zip","1671437866")</f>
        <v>1671437866</v>
      </c>
      <c r="S121" s="87"/>
      <c r="T121" s="193" t="str">
        <f>HYPERLINK("https://www.youtube.com/watch?v=eoTN_YrAIMU","Day 3 EHOME vs MVP.Hot6 Game 1")</f>
        <v>Day 3 EHOME vs MVP.Hot6 Game 1</v>
      </c>
      <c r="W121" s="193" t="str">
        <f>HYPERLINK("https://www.youtube.com/watch?v=WZXJaXWGmZI","Day 3 EHOME vs MVP.Hot6 Game 2")</f>
        <v>Day 3 EHOME vs MVP.Hot6 Game 2</v>
      </c>
      <c r="X121" s="191" t="s">
        <v>238</v>
      </c>
      <c r="Y121" s="397" t="s">
        <v>92</v>
      </c>
      <c r="Z121" s="397" t="s">
        <v>89</v>
      </c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</row>
    <row r="122">
      <c r="A122" s="191" t="s">
        <v>91</v>
      </c>
      <c r="C122" s="367">
        <v>42214.0</v>
      </c>
      <c r="D122" s="408">
        <v>0.125</v>
      </c>
      <c r="E122" s="409">
        <v>0.7916666666666666</v>
      </c>
      <c r="F122" s="410">
        <v>0.9166666666666666</v>
      </c>
      <c r="G122" s="411">
        <v>0.16666666666666666</v>
      </c>
      <c r="H122" s="412">
        <v>0.4166666666666667</v>
      </c>
      <c r="I122" s="413">
        <v>0.5</v>
      </c>
      <c r="J122" s="398" t="s">
        <v>86</v>
      </c>
      <c r="K122" s="191" t="s">
        <v>33</v>
      </c>
      <c r="L122" s="398" t="s">
        <v>84</v>
      </c>
      <c r="N122" s="383" t="s">
        <v>52</v>
      </c>
      <c r="O122" s="87"/>
      <c r="P122" s="76" t="str">
        <f>HYPERLINK("http://dota.nyoron.co/ti5/day3/1671360687.dem.zip","1671360687")</f>
        <v>1671360687</v>
      </c>
      <c r="R122" s="193" t="str">
        <f>HYPERLINK("http://dota.nyoron.co/ti5/day3/1671432637.dem.zip","1671432637")</f>
        <v>1671432637</v>
      </c>
      <c r="S122" s="87"/>
      <c r="T122" s="193" t="str">
        <f>HYPERLINK("https://www.youtube.com/watch?v=u6qmgaSk_w4","Day 3 Empire vs EG Game 1")</f>
        <v>Day 3 Empire vs EG Game 1</v>
      </c>
      <c r="W122" s="193" t="str">
        <f>HYPERLINK("https://www.youtube.com/watch?v=k2r-NtBNEQ4","Day 3 Empire vs EG Game 2")</f>
        <v>Day 3 Empire vs EG Game 2</v>
      </c>
      <c r="X122" s="399" t="s">
        <v>239</v>
      </c>
      <c r="Y122" s="400"/>
      <c r="Z122" s="400"/>
      <c r="AA122" s="217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</row>
    <row r="123">
      <c r="A123" s="191" t="s">
        <v>96</v>
      </c>
      <c r="C123" s="367">
        <v>42214.0</v>
      </c>
      <c r="D123" s="408">
        <v>0.125</v>
      </c>
      <c r="E123" s="409">
        <v>0.7916666666666666</v>
      </c>
      <c r="F123" s="410">
        <v>0.9166666666666666</v>
      </c>
      <c r="G123" s="411">
        <v>0.16666666666666666</v>
      </c>
      <c r="H123" s="412">
        <v>0.4166666666666667</v>
      </c>
      <c r="I123" s="413">
        <v>0.5</v>
      </c>
      <c r="J123" s="381" t="s">
        <v>32</v>
      </c>
      <c r="K123" s="191" t="s">
        <v>33</v>
      </c>
      <c r="L123" s="382" t="s">
        <v>87</v>
      </c>
      <c r="N123" s="383" t="s">
        <v>48</v>
      </c>
      <c r="O123" s="87"/>
      <c r="P123" s="76" t="str">
        <f>HYPERLINK("http://dota.nyoron.co/ti5/day3/1671340219.dem.zip","1671340219")</f>
        <v>1671340219</v>
      </c>
      <c r="R123" s="193" t="str">
        <f>HYPERLINK("http://dota.nyoron.co/ti5/day3/1671421953.dem.zip","1671421953")</f>
        <v>1671421953</v>
      </c>
      <c r="S123" s="87"/>
      <c r="T123" s="193" t="str">
        <f>HYPERLINK("https://www.youtube.com/watch?v=yS4rhOHxvDY","Day 3 CDEC vs VG Game 1")</f>
        <v>Day 3 CDEC vs VG Game 1</v>
      </c>
      <c r="W123" s="193" t="str">
        <f>HYPERLINK("https://www.youtube.com/watch?v=Jjt1GthL-L4","Day 3 CDEC vs VG Game 2")</f>
        <v>Day 3 CDEC vs VG Game 2</v>
      </c>
      <c r="X123" s="191" t="s">
        <v>238</v>
      </c>
      <c r="Y123" s="397" t="s">
        <v>32</v>
      </c>
      <c r="Z123" s="397" t="s">
        <v>87</v>
      </c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</row>
    <row r="124">
      <c r="A124" s="50"/>
      <c r="C124" s="414"/>
      <c r="D124" s="415"/>
      <c r="E124" s="50"/>
      <c r="F124" s="50"/>
      <c r="G124" s="50"/>
      <c r="H124" s="50"/>
      <c r="I124" s="416"/>
      <c r="J124" s="50"/>
      <c r="K124" s="50"/>
      <c r="L124" s="50"/>
      <c r="N124" s="50"/>
      <c r="P124" s="406" t="str">
        <f>HYPERLINK("http://dota.nyoron.co/ti5/day3/day3.zip","Download all day 3 replays here")</f>
        <v>Download all day 3 replays here</v>
      </c>
      <c r="T124" s="407"/>
      <c r="U124" s="417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</row>
    <row r="125">
      <c r="A125" s="191" t="s">
        <v>55</v>
      </c>
      <c r="C125" s="367">
        <v>42215.0</v>
      </c>
      <c r="D125" s="408">
        <v>0.7083333333333334</v>
      </c>
      <c r="E125" s="409">
        <v>0.375</v>
      </c>
      <c r="F125" s="410">
        <v>0.5</v>
      </c>
      <c r="G125" s="411">
        <v>0.75</v>
      </c>
      <c r="H125" s="412">
        <v>0.0</v>
      </c>
      <c r="I125" s="413">
        <v>0.08333333333333333</v>
      </c>
      <c r="J125" s="382" t="s">
        <v>67</v>
      </c>
      <c r="K125" s="191" t="s">
        <v>33</v>
      </c>
      <c r="L125" s="381" t="s">
        <v>56</v>
      </c>
      <c r="N125" s="401" t="s">
        <v>94</v>
      </c>
      <c r="O125" s="87"/>
      <c r="P125" s="193" t="str">
        <f>HYPERLINK("http://dota.nyoron.co/ti5/day4/1673081038.dem.zip","1673081038")</f>
        <v>1673081038</v>
      </c>
      <c r="R125" s="193" t="str">
        <f>HYPERLINK("http://dota.nyoron.co/ti5/day4/1673210350.dem.zip","1673210350")</f>
        <v>1673210350</v>
      </c>
      <c r="S125" s="396" t="s">
        <v>57</v>
      </c>
      <c r="T125" s="193" t="str">
        <f>HYPERLINK("https://www.youtube.com/watch?v=UcNOuK9Qsl4","Day 4 Cloud9 vs Complexity Game 1")</f>
        <v>Day 4 Cloud9 vs Complexity Game 1</v>
      </c>
      <c r="W125" s="193" t="str">
        <f>HYPERLINK("https://www.youtube.com/watch?v=s8ZOf3-IWsA","Day 4 Cloud9 vs Complexity Game 2")</f>
        <v>Day 4 Cloud9 vs Complexity Game 2</v>
      </c>
      <c r="X125" s="191" t="s">
        <v>240</v>
      </c>
      <c r="Y125" s="397" t="s">
        <v>56</v>
      </c>
      <c r="Z125" s="397" t="s">
        <v>67</v>
      </c>
      <c r="AA125" s="217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</row>
    <row r="126">
      <c r="A126" s="191" t="s">
        <v>65</v>
      </c>
      <c r="C126" s="367">
        <v>42215.0</v>
      </c>
      <c r="D126" s="408">
        <v>0.7083333333333334</v>
      </c>
      <c r="E126" s="409">
        <v>0.375</v>
      </c>
      <c r="F126" s="410">
        <v>0.5</v>
      </c>
      <c r="G126" s="411">
        <v>0.75</v>
      </c>
      <c r="H126" s="412">
        <v>0.0</v>
      </c>
      <c r="I126" s="413">
        <v>0.08333333333333333</v>
      </c>
      <c r="J126" s="382" t="s">
        <v>61</v>
      </c>
      <c r="K126" s="191" t="s">
        <v>33</v>
      </c>
      <c r="L126" s="381" t="s">
        <v>66</v>
      </c>
      <c r="N126" s="401" t="s">
        <v>68</v>
      </c>
      <c r="O126" s="87"/>
      <c r="P126" s="76" t="str">
        <f>HYPERLINK("http://dota.nyoron.co/ti5/day4/1673099701.dem.zip","1673099701")</f>
        <v>1673099701</v>
      </c>
      <c r="R126" s="193" t="str">
        <f>HYPERLINK("http://dota.nyoron.co/ti5/day3/1671210956.dem.zip","1673194213")</f>
        <v>1673194213</v>
      </c>
      <c r="S126" s="87"/>
      <c r="T126" s="193" t="str">
        <f>HYPERLINK("https://www.youtube.com/watch?v=Xxj-K5H-ppw","Day 4 Fnatic vs LGD Game 1")</f>
        <v>Day 4 Fnatic vs LGD Game 1</v>
      </c>
      <c r="W126" s="193" t="str">
        <f>HYPERLINK("https://www.youtube.com/watch?v=WfkJj-mYQcw","Day 4 Fnatic vs LGD Game 2")</f>
        <v>Day 4 Fnatic vs LGD Game 2</v>
      </c>
      <c r="X126" s="191" t="s">
        <v>240</v>
      </c>
      <c r="Y126" s="397" t="s">
        <v>66</v>
      </c>
      <c r="Z126" s="397" t="s">
        <v>61</v>
      </c>
      <c r="AA126" s="217"/>
      <c r="AB126" s="217"/>
      <c r="AC126" s="217"/>
      <c r="AD126" s="217"/>
      <c r="AE126" s="217"/>
      <c r="AF126" s="217"/>
      <c r="AG126" s="217"/>
      <c r="AH126" s="217"/>
      <c r="AI126" s="217"/>
      <c r="AJ126" s="217"/>
      <c r="AK126" s="217"/>
      <c r="AL126" s="217"/>
      <c r="AM126" s="217"/>
      <c r="AN126" s="217"/>
      <c r="AO126" s="217"/>
      <c r="AP126" s="217"/>
      <c r="AQ126" s="217"/>
    </row>
    <row r="127">
      <c r="A127" s="191" t="s">
        <v>75</v>
      </c>
      <c r="C127" s="367">
        <v>42215.0</v>
      </c>
      <c r="D127" s="408">
        <v>0.7083333333333334</v>
      </c>
      <c r="E127" s="409">
        <v>0.375</v>
      </c>
      <c r="F127" s="410">
        <v>0.5</v>
      </c>
      <c r="G127" s="411">
        <v>0.75</v>
      </c>
      <c r="H127" s="412">
        <v>0.0</v>
      </c>
      <c r="I127" s="413">
        <v>0.08333333333333333</v>
      </c>
      <c r="J127" s="398" t="str">
        <f>Y75</f>
        <v>MVP Phoenix</v>
      </c>
      <c r="K127" s="191" t="s">
        <v>33</v>
      </c>
      <c r="L127" s="398" t="s">
        <v>62</v>
      </c>
      <c r="N127" s="383" t="s">
        <v>48</v>
      </c>
      <c r="O127" s="87"/>
      <c r="P127" s="76" t="str">
        <f>HYPERLINK("http://dota.nyoron.co/ti5/day4/1673078706.dem.zip","1673078706")</f>
        <v>1673078706</v>
      </c>
      <c r="R127" s="193" t="str">
        <f>HYPERLINK("http://dota.nyoron.co/ti5/day4/1673208977.dem.zip","1673208977")</f>
        <v>1673208977</v>
      </c>
      <c r="S127" s="87"/>
      <c r="T127" s="193" t="str">
        <f>HYPERLINK("https://www.youtube.com/watch?v=KpWb55bc8Zk","Day 4 MVPP vs Secret Game 1")</f>
        <v>Day 4 MVPP vs Secret Game 1</v>
      </c>
      <c r="W127" s="193" t="str">
        <f>HYPERLINK("https://www.youtube.com/watch?v=yuAfC9cNIsA","Day 4 MVPP vs Secret Game 2")</f>
        <v>Day 4 MVPP vs Secret Game 2</v>
      </c>
      <c r="X127" s="399" t="s">
        <v>239</v>
      </c>
      <c r="Y127" s="400"/>
      <c r="Z127" s="400"/>
      <c r="AA127" s="217"/>
      <c r="AB127" s="217"/>
      <c r="AC127" s="217"/>
      <c r="AD127" s="217"/>
      <c r="AE127" s="217"/>
      <c r="AF127" s="217"/>
      <c r="AG127" s="217"/>
      <c r="AH127" s="217"/>
      <c r="AI127" s="217"/>
      <c r="AJ127" s="217"/>
      <c r="AK127" s="217"/>
      <c r="AL127" s="217"/>
      <c r="AM127" s="217"/>
      <c r="AN127" s="217"/>
      <c r="AO127" s="217"/>
      <c r="AP127" s="217"/>
      <c r="AQ127" s="217"/>
    </row>
    <row r="128">
      <c r="A128" s="191" t="s">
        <v>71</v>
      </c>
      <c r="C128" s="367">
        <v>42215.0</v>
      </c>
      <c r="D128" s="408">
        <v>0.8125</v>
      </c>
      <c r="E128" s="409">
        <v>0.4791666666666667</v>
      </c>
      <c r="F128" s="410">
        <v>0.5625</v>
      </c>
      <c r="G128" s="411">
        <v>0.8541666666666666</v>
      </c>
      <c r="H128" s="412">
        <v>0.0625</v>
      </c>
      <c r="I128" s="413">
        <v>0.14583333333333334</v>
      </c>
      <c r="J128" s="382" t="s">
        <v>61</v>
      </c>
      <c r="K128" s="191" t="s">
        <v>33</v>
      </c>
      <c r="L128" s="381" t="s">
        <v>56</v>
      </c>
      <c r="N128" s="401" t="s">
        <v>94</v>
      </c>
      <c r="O128" s="87"/>
      <c r="P128" s="76" t="str">
        <f>HYPERLINK("http://dota.nyoron.co/ti5/day4/1673371349.dem.zip","1673371349")</f>
        <v>1673371349</v>
      </c>
      <c r="R128" s="193" t="str">
        <f>HYPERLINK("http://dota.nyoron.co/ti5/day4/1673477884.dem.zip","1673477884")</f>
        <v>1673477884</v>
      </c>
      <c r="S128" s="87"/>
      <c r="T128" s="193" t="str">
        <f>HYPERLINK("https://www.youtube.com/watch?v=bI_6mGdjDzo","Day 4 Fnatic vs Complexity Game 1")</f>
        <v>Day 4 Fnatic vs Complexity Game 1</v>
      </c>
      <c r="W128" s="193" t="str">
        <f>HYPERLINK("https://www.youtube.com/watch?v=HMExfEWtTLs","Day 4 Fnatic vs Complexity Game 2")</f>
        <v>Day 4 Fnatic vs Complexity Game 2</v>
      </c>
      <c r="X128" s="191" t="s">
        <v>240</v>
      </c>
      <c r="Y128" s="397" t="s">
        <v>56</v>
      </c>
      <c r="Z128" s="397" t="s">
        <v>61</v>
      </c>
      <c r="AA128" s="217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</row>
    <row r="129">
      <c r="A129" s="191" t="s">
        <v>76</v>
      </c>
      <c r="C129" s="367">
        <v>42215.0</v>
      </c>
      <c r="D129" s="408">
        <v>0.8125</v>
      </c>
      <c r="E129" s="409">
        <v>0.4791666666666667</v>
      </c>
      <c r="F129" s="410">
        <v>0.5625</v>
      </c>
      <c r="G129" s="411">
        <v>0.8541666666666666</v>
      </c>
      <c r="H129" s="412">
        <v>0.0625</v>
      </c>
      <c r="I129" s="413">
        <v>0.14583333333333334</v>
      </c>
      <c r="J129" s="382" t="s">
        <v>72</v>
      </c>
      <c r="K129" s="191" t="s">
        <v>33</v>
      </c>
      <c r="L129" s="381" t="s">
        <v>77</v>
      </c>
      <c r="N129" s="401" t="s">
        <v>68</v>
      </c>
      <c r="O129" s="87"/>
      <c r="P129" s="76" t="str">
        <f>HYPERLINK("http://dota.nyoron.co/ti5/day4/1673354401.dem.zip","1673354401")</f>
        <v>1673354401</v>
      </c>
      <c r="R129" s="193" t="str">
        <f>HYPERLINK("http://dota.nyoron.co/ti5/day3/1671210956.dem.zip","1673432700")</f>
        <v>1673432700</v>
      </c>
      <c r="S129" s="87"/>
      <c r="T129" s="193" t="str">
        <f>HYPERLINK("https://www.youtube.com/watch?v=OiNENlv_dt4","Day 4 NaVi vs iG Game 1")</f>
        <v>Day 4 NaVi vs iG Game 1</v>
      </c>
      <c r="W129" s="193" t="str">
        <f>HYPERLINK("https://www.youtube.com/watch?v=ymaM_oKIXd0","Day 4 NaVi vs iG Game 2")</f>
        <v>Day 4 NaVi vs iG Game 2</v>
      </c>
      <c r="X129" s="191" t="s">
        <v>240</v>
      </c>
      <c r="Y129" s="397" t="s">
        <v>77</v>
      </c>
      <c r="Z129" s="397" t="s">
        <v>72</v>
      </c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</row>
    <row r="130">
      <c r="A130" s="191" t="s">
        <v>79</v>
      </c>
      <c r="C130" s="367">
        <v>42215.0</v>
      </c>
      <c r="D130" s="408">
        <v>0.8125</v>
      </c>
      <c r="E130" s="409">
        <v>0.4791666666666667</v>
      </c>
      <c r="F130" s="410">
        <v>0.5625</v>
      </c>
      <c r="G130" s="411">
        <v>0.8541666666666666</v>
      </c>
      <c r="H130" s="412">
        <v>0.0625</v>
      </c>
      <c r="I130" s="413">
        <v>0.14583333333333334</v>
      </c>
      <c r="J130" s="398" t="s">
        <v>80</v>
      </c>
      <c r="K130" s="191" t="s">
        <v>33</v>
      </c>
      <c r="L130" s="398" t="s">
        <v>87</v>
      </c>
      <c r="N130" s="383" t="s">
        <v>48</v>
      </c>
      <c r="O130" s="87"/>
      <c r="P130" s="76" t="str">
        <f>HYPERLINK("http://dota.nyoron.co/ti5/day4/1673341849.dem.zip","1673341849")</f>
        <v>1673341849</v>
      </c>
      <c r="R130" s="193" t="str">
        <f>HYPERLINK("http://dota.nyoron.co/ti5/day4/1671210956.dem.zip","1673447710")</f>
        <v>1673447710</v>
      </c>
      <c r="S130" s="87"/>
      <c r="T130" s="193" t="str">
        <f>HYPERLINK("https://www.youtube.com/watch?v=RqJhmVrp5Ec","Day 4 Newbee vs VG Game 1")</f>
        <v>Day 4 Newbee vs VG Game 1</v>
      </c>
      <c r="W130" s="193" t="str">
        <f>HYPERLINK("https://www.youtube.com/watch?v=9xTpZDUo90A","Day 4 Newbee vs VG Game 2")</f>
        <v>Day 4 Newbee vs VG Game 2</v>
      </c>
      <c r="X130" s="399" t="s">
        <v>239</v>
      </c>
      <c r="Y130" s="400"/>
      <c r="Z130" s="400"/>
      <c r="AA130" s="217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</row>
    <row r="131">
      <c r="A131" s="191" t="s">
        <v>78</v>
      </c>
      <c r="C131" s="367">
        <v>42215.0</v>
      </c>
      <c r="D131" s="408">
        <v>0.9166666666666666</v>
      </c>
      <c r="E131" s="409">
        <v>0.5833333333333334</v>
      </c>
      <c r="F131" s="410">
        <v>0.7083333333333334</v>
      </c>
      <c r="G131" s="411">
        <v>0.9583333333333334</v>
      </c>
      <c r="H131" s="412">
        <v>0.20833333333333334</v>
      </c>
      <c r="I131" s="413">
        <v>0.2916666666666667</v>
      </c>
      <c r="J131" s="381" t="s">
        <v>92</v>
      </c>
      <c r="K131" s="191" t="s">
        <v>33</v>
      </c>
      <c r="L131" s="382" t="s">
        <v>81</v>
      </c>
      <c r="N131" s="383" t="s">
        <v>52</v>
      </c>
      <c r="O131" s="87"/>
      <c r="P131" s="76" t="str">
        <f>HYPERLINK("http://dota.nyoron.co/ti5/day4/1673584099.dem.zip","1673584099")</f>
        <v>1673584099</v>
      </c>
      <c r="R131" s="193" t="str">
        <f>HYPERLINK("http://dota.nyoron.co/ti5/day4/1671210956.dem.zip","1673659546")</f>
        <v>1673659546</v>
      </c>
      <c r="S131" s="87"/>
      <c r="T131" s="193" t="str">
        <f>HYPERLINK("https://www.youtube.com/watch?v=CwBCX_84Cxs","Day 4 EHOME vs VP Game 1")</f>
        <v>Day 4 EHOME vs VP Game 1</v>
      </c>
      <c r="W131" s="193" t="str">
        <f>HYPERLINK("https://www.youtube.com/watch?v=UiSv1aZsiGM","Day 4 EHOME vs VP Game 2")</f>
        <v>Day 4 EHOME vs VP Game 2</v>
      </c>
      <c r="X131" s="191" t="s">
        <v>238</v>
      </c>
      <c r="Y131" s="397" t="s">
        <v>92</v>
      </c>
      <c r="Z131" s="397" t="s">
        <v>81</v>
      </c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</row>
    <row r="132">
      <c r="A132" s="191" t="s">
        <v>83</v>
      </c>
      <c r="C132" s="367">
        <v>42215.0</v>
      </c>
      <c r="D132" s="408">
        <v>0.9166666666666666</v>
      </c>
      <c r="E132" s="409">
        <v>0.5833333333333334</v>
      </c>
      <c r="F132" s="410">
        <v>0.7083333333333334</v>
      </c>
      <c r="G132" s="411">
        <v>0.9583333333333334</v>
      </c>
      <c r="H132" s="412">
        <v>0.20833333333333334</v>
      </c>
      <c r="I132" s="413">
        <v>0.2916666666666667</v>
      </c>
      <c r="J132" s="398" t="s">
        <v>80</v>
      </c>
      <c r="K132" s="191" t="s">
        <v>33</v>
      </c>
      <c r="L132" s="398" t="s">
        <v>89</v>
      </c>
      <c r="N132" s="383" t="s">
        <v>43</v>
      </c>
      <c r="O132" s="87"/>
      <c r="P132" s="76" t="str">
        <f>HYPERLINK("http://dota.nyoron.co/ti5/day4/1673558412.dem.zip","1673558412")</f>
        <v>1673558412</v>
      </c>
      <c r="R132" s="193" t="str">
        <f>HYPERLINK("http://dota.nyoron.co/ti5/day4/1671210956.dem.zip","1673628179")</f>
        <v>1673628179</v>
      </c>
      <c r="S132" s="87"/>
      <c r="T132" s="193" t="str">
        <f>HYPERLINK("https://www.youtube.com/watch?v=J3ycQrlr7YE","Day 4 Newbee vs MVP.Hot6 Game 1")</f>
        <v>Day 4 Newbee vs MVP.Hot6 Game 1</v>
      </c>
      <c r="W132" s="193" t="str">
        <f>HYPERLINK("https://www.youtube.com/watch?v=HYKtl1jcQXE","Day 4 Newbee vs MVP.Hot6 Game 2")</f>
        <v>Day 4 Newbee vs MVP.Hot6 Game 2</v>
      </c>
      <c r="X132" s="399" t="s">
        <v>239</v>
      </c>
      <c r="Y132" s="400"/>
      <c r="Z132" s="400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</row>
    <row r="133">
      <c r="A133" s="191" t="s">
        <v>82</v>
      </c>
      <c r="C133" s="367">
        <v>42215.0</v>
      </c>
      <c r="D133" s="408">
        <v>0.9166666666666666</v>
      </c>
      <c r="E133" s="409">
        <v>0.5833333333333334</v>
      </c>
      <c r="F133" s="410">
        <v>0.7083333333333334</v>
      </c>
      <c r="G133" s="411">
        <v>0.9583333333333334</v>
      </c>
      <c r="H133" s="412">
        <v>0.20833333333333334</v>
      </c>
      <c r="I133" s="413">
        <v>0.2916666666666667</v>
      </c>
      <c r="J133" s="382" t="s">
        <v>32</v>
      </c>
      <c r="K133" s="191" t="s">
        <v>33</v>
      </c>
      <c r="L133" s="381" t="s">
        <v>84</v>
      </c>
      <c r="N133" s="401" t="s">
        <v>94</v>
      </c>
      <c r="O133" s="87"/>
      <c r="P133" s="76" t="str">
        <f>HYPERLINK("http://dota.nyoron.co/ti5/day4/1673552043.dem.zip","1673552043")</f>
        <v>1673552043</v>
      </c>
      <c r="R133" s="193" t="str">
        <f>HYPERLINK("http://dota.nyoron.co/ti5/day4/1671210956.dem.zip","1673630085")</f>
        <v>1673630085</v>
      </c>
      <c r="S133" s="87"/>
      <c r="T133" s="193" t="str">
        <f>HYPERLINK("https://www.youtube.com/watch?v=QJeT0c9BFs4","Day 4 CDEC vs EG Game 1")</f>
        <v>Day 4 CDEC vs EG Game 1</v>
      </c>
      <c r="W133" s="193" t="str">
        <f>HYPERLINK("https://www.youtube.com/watch?v=wvZ_ii_QcAs","Day 4 CDEC vs EG Game 2")</f>
        <v>Day 4 CDEC vs EG Game 2</v>
      </c>
      <c r="X133" s="191" t="s">
        <v>240</v>
      </c>
      <c r="Y133" s="397" t="s">
        <v>84</v>
      </c>
      <c r="Z133" s="397" t="s">
        <v>32</v>
      </c>
      <c r="AA133" s="217"/>
      <c r="AB133" s="217"/>
      <c r="AC133" s="217"/>
      <c r="AD133" s="217"/>
      <c r="AE133" s="217"/>
      <c r="AF133" s="217"/>
      <c r="AG133" s="217"/>
      <c r="AH133" s="217"/>
      <c r="AI133" s="217"/>
      <c r="AJ133" s="217"/>
      <c r="AK133" s="217"/>
      <c r="AL133" s="217"/>
      <c r="AM133" s="217"/>
      <c r="AN133" s="217"/>
      <c r="AO133" s="217"/>
      <c r="AP133" s="217"/>
      <c r="AQ133" s="217"/>
    </row>
    <row r="134">
      <c r="A134" s="191" t="s">
        <v>88</v>
      </c>
      <c r="C134" s="367">
        <v>42215.0</v>
      </c>
      <c r="D134" s="408">
        <v>0.020833333333333332</v>
      </c>
      <c r="E134" s="409">
        <v>0.6875</v>
      </c>
      <c r="F134" s="410">
        <v>0.8125</v>
      </c>
      <c r="G134" s="411">
        <v>0.0625</v>
      </c>
      <c r="H134" s="412">
        <v>0.3125</v>
      </c>
      <c r="I134" s="413">
        <v>0.3958333333333333</v>
      </c>
      <c r="J134" s="381" t="s">
        <v>86</v>
      </c>
      <c r="K134" s="191" t="s">
        <v>33</v>
      </c>
      <c r="L134" s="382" t="s">
        <v>89</v>
      </c>
      <c r="N134" s="383" t="s">
        <v>39</v>
      </c>
      <c r="O134" s="87"/>
      <c r="P134" s="76" t="str">
        <f>HYPERLINK("http://dota.nyoron.co/ti5/day4/1673738064.dem.zip","1673738064")</f>
        <v>1673738064</v>
      </c>
      <c r="R134" s="193" t="str">
        <f>HYPERLINK("http://dota.nyoron.co/ti5/day4/1673789962.dem.zip","1673789962")</f>
        <v>1673789962</v>
      </c>
      <c r="S134" s="87"/>
      <c r="T134" s="193" t="str">
        <f>HYPERLINK("https://www.youtube.com/watch?v=ztdcWoN9hE4","Day 4 Empire vs MVP.Hot6 Game 1")</f>
        <v>Day 4 Empire vs MVP.Hot6 Game 1</v>
      </c>
      <c r="W134" s="193" t="str">
        <f>HYPERLINK("https://www.youtube.com/watch?v=dD2IP-TG_XQ","Day 4 Empire vs MVP.Hot6 Game 2")</f>
        <v>Day 4 Empire vs MVP.Hot6 Game 2</v>
      </c>
      <c r="X134" s="191" t="s">
        <v>238</v>
      </c>
      <c r="Y134" s="397" t="s">
        <v>86</v>
      </c>
      <c r="Z134" s="397" t="s">
        <v>89</v>
      </c>
      <c r="AA134" s="217"/>
      <c r="AB134" s="217"/>
      <c r="AC134" s="217"/>
      <c r="AD134" s="217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</row>
    <row r="135">
      <c r="A135" s="403" t="s">
        <v>85</v>
      </c>
      <c r="B135" s="137"/>
      <c r="C135" s="418">
        <v>42215.0</v>
      </c>
      <c r="D135" s="419">
        <v>0.020833333333333332</v>
      </c>
      <c r="E135" s="420">
        <v>0.6875</v>
      </c>
      <c r="F135" s="421">
        <v>0.8125</v>
      </c>
      <c r="G135" s="422">
        <v>0.0625</v>
      </c>
      <c r="H135" s="423">
        <v>0.3125</v>
      </c>
      <c r="I135" s="424">
        <v>0.3958333333333333</v>
      </c>
      <c r="J135" s="425" t="s">
        <v>32</v>
      </c>
      <c r="K135" s="403" t="s">
        <v>33</v>
      </c>
      <c r="L135" s="425" t="s">
        <v>92</v>
      </c>
      <c r="M135" s="137"/>
      <c r="N135" s="426" t="s">
        <v>52</v>
      </c>
      <c r="O135" s="249"/>
      <c r="P135" s="427" t="str">
        <f>HYPERLINK("http://dota.nyoron.co/ti5/day4/1673748036.dem.zip","1673748036")</f>
        <v>1673748036</v>
      </c>
      <c r="Q135" s="137"/>
      <c r="R135" s="428" t="str">
        <f>HYPERLINK("http://dota.nyoron.co/ti5/day4/1673815749.dem.zip","1673815749")</f>
        <v>1673815749</v>
      </c>
      <c r="S135" s="87"/>
      <c r="T135" s="428" t="str">
        <f>HYPERLINK("https://www.youtube.com/watch?v=G6FtPFKTniA","Day 4 CDEC vs EHOME Game 1")</f>
        <v>Day 4 CDEC vs EHOME Game 1</v>
      </c>
      <c r="U135" s="137"/>
      <c r="V135" s="137"/>
      <c r="W135" s="428" t="str">
        <f>HYPERLINK("https://www.youtube.com/watch?v=EZiEmbxkGIQ","Day 4 CDEC vs EHOME Game 2")</f>
        <v>Day 4 CDEC vs EHOME Game 2</v>
      </c>
      <c r="X135" s="399" t="s">
        <v>239</v>
      </c>
      <c r="Y135" s="429"/>
      <c r="Z135" s="429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</row>
    <row r="136">
      <c r="A136" s="431" t="s">
        <v>98</v>
      </c>
      <c r="B136" s="245"/>
      <c r="C136" s="245"/>
      <c r="D136" s="245"/>
      <c r="E136" s="245"/>
      <c r="F136" s="245"/>
      <c r="G136" s="245"/>
      <c r="H136" s="245"/>
      <c r="I136" s="246"/>
      <c r="J136" s="432" t="s">
        <v>86</v>
      </c>
      <c r="K136" s="385" t="s">
        <v>33</v>
      </c>
      <c r="L136" s="433" t="s">
        <v>81</v>
      </c>
      <c r="M136" s="245"/>
      <c r="N136" s="383" t="s">
        <v>39</v>
      </c>
      <c r="O136" s="87"/>
      <c r="P136" s="434" t="str">
        <f>HYPERLINK("http://dota.nyoron.co/ti5/day4/1673865688.dem.zip","1673865688")</f>
        <v>1673865688</v>
      </c>
      <c r="Q136" s="245"/>
      <c r="R136" s="435" t="str">
        <f>HYPERLINK("http://dota.nyoron.co/ti5/day4/1673941543.dem.zip","1673941543")</f>
        <v>1673941543</v>
      </c>
      <c r="S136" s="436" t="str">
        <f>HYPERLINK("http://dota.nyoron.co/ti5/day4/1674031017.dem.zip","1674031017")</f>
        <v>1674031017</v>
      </c>
      <c r="T136" s="435" t="str">
        <f>HYPERLINK("https://www.youtube.com/watch?v=R_t_xGYzZYo","Tiebreaker Game 1")</f>
        <v>Tiebreaker Game 1</v>
      </c>
      <c r="U136" s="245"/>
      <c r="V136" s="435" t="str">
        <f>HYPERLINK("https://www.youtube.com/watch?v=TwVB6_d_7RY","Tiebreaker Game 2")</f>
        <v>Tiebreaker Game 2</v>
      </c>
      <c r="W136" s="435" t="str">
        <f>HYPERLINK("https://www.youtube.com/watch?v=rLWgDP-CHck","Tiebreaker Game 3")</f>
        <v>Tiebreaker Game 3</v>
      </c>
      <c r="X136" s="385" t="s">
        <v>237</v>
      </c>
      <c r="Y136" s="437" t="s">
        <v>86</v>
      </c>
      <c r="Z136" s="437" t="s">
        <v>81</v>
      </c>
      <c r="AA136" s="438"/>
      <c r="AB136" s="438"/>
      <c r="AC136" s="438"/>
      <c r="AD136" s="438"/>
      <c r="AE136" s="438"/>
      <c r="AF136" s="438"/>
      <c r="AG136" s="438"/>
      <c r="AH136" s="438"/>
      <c r="AI136" s="438"/>
      <c r="AJ136" s="438"/>
      <c r="AK136" s="438"/>
      <c r="AL136" s="438"/>
      <c r="AM136" s="438"/>
      <c r="AN136" s="438"/>
      <c r="AO136" s="438"/>
      <c r="AP136" s="438"/>
      <c r="AQ136" s="438"/>
    </row>
    <row r="137">
      <c r="A137" s="50"/>
      <c r="C137" s="414"/>
      <c r="D137" s="50"/>
      <c r="E137" s="50"/>
      <c r="F137" s="50"/>
      <c r="G137" s="50"/>
      <c r="H137" s="50"/>
      <c r="I137" s="50"/>
      <c r="J137" s="50"/>
      <c r="K137" s="50"/>
      <c r="L137" s="50"/>
      <c r="N137" s="50"/>
      <c r="P137" s="439" t="str">
        <f>HYPERLINK("http://dota.nyoron.co/ti5/day4/day4.zip","Download all day 4 replays here")</f>
        <v>Download all day 4 replays here</v>
      </c>
      <c r="T137" s="407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</row>
    <row r="138">
      <c r="A138" s="440"/>
      <c r="B138" s="440"/>
      <c r="C138" s="441"/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2"/>
      <c r="T138" s="443"/>
      <c r="U138" s="444"/>
      <c r="V138" s="444"/>
      <c r="W138" s="444"/>
      <c r="X138" s="444"/>
      <c r="Y138" s="444"/>
      <c r="Z138" s="444"/>
      <c r="AA138" s="440"/>
      <c r="AB138" s="440"/>
      <c r="AC138" s="440"/>
      <c r="AD138" s="440"/>
      <c r="AE138" s="440"/>
      <c r="AF138" s="440"/>
      <c r="AG138" s="440"/>
      <c r="AH138" s="440"/>
      <c r="AI138" s="440"/>
      <c r="AJ138" s="440"/>
      <c r="AK138" s="440"/>
      <c r="AL138" s="440"/>
      <c r="AM138" s="440"/>
      <c r="AN138" s="440"/>
      <c r="AO138" s="440"/>
      <c r="AP138" s="440"/>
      <c r="AQ138" s="440"/>
    </row>
    <row r="139">
      <c r="A139" s="50"/>
      <c r="B139" s="39" t="s">
        <v>242</v>
      </c>
      <c r="P139" s="87"/>
      <c r="Q139" s="296"/>
      <c r="R139" s="50"/>
      <c r="S139" s="396"/>
      <c r="T139" s="167"/>
      <c r="U139" s="296"/>
      <c r="V139" s="296"/>
      <c r="W139" s="296"/>
      <c r="X139" s="296"/>
      <c r="Y139" s="296"/>
      <c r="Z139" s="296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</row>
    <row r="140">
      <c r="A140" s="50"/>
      <c r="B140" s="365" t="s">
        <v>169</v>
      </c>
      <c r="C140" s="245"/>
      <c r="D140" s="245"/>
      <c r="E140" s="245"/>
      <c r="F140" s="245"/>
      <c r="G140" s="246"/>
      <c r="H140" s="365" t="s">
        <v>190</v>
      </c>
      <c r="I140" s="245"/>
      <c r="J140" s="245"/>
      <c r="K140" s="245"/>
      <c r="L140" s="245"/>
      <c r="M140" s="245"/>
      <c r="N140" s="245"/>
      <c r="O140" s="245"/>
      <c r="P140" s="246"/>
      <c r="Q140" s="296"/>
      <c r="R140" s="50"/>
      <c r="S140" s="396"/>
      <c r="T140" s="167"/>
      <c r="U140" s="296"/>
      <c r="V140" s="296"/>
      <c r="W140" s="296"/>
      <c r="X140" s="296"/>
      <c r="Y140" s="296"/>
      <c r="Z140" s="296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>
      <c r="A141" s="50"/>
      <c r="B141" s="354" t="s">
        <v>170</v>
      </c>
      <c r="C141" s="39" t="s">
        <v>171</v>
      </c>
      <c r="D141" s="39" t="s">
        <v>172</v>
      </c>
      <c r="E141" s="39" t="s">
        <v>173</v>
      </c>
      <c r="F141" s="39" t="s">
        <v>174</v>
      </c>
      <c r="G141" s="331" t="s">
        <v>175</v>
      </c>
      <c r="H141" s="242"/>
      <c r="I141" s="39"/>
      <c r="J141" s="354" t="s">
        <v>170</v>
      </c>
      <c r="K141" s="39" t="s">
        <v>171</v>
      </c>
      <c r="M141" s="39" t="s">
        <v>172</v>
      </c>
      <c r="N141" s="39" t="s">
        <v>173</v>
      </c>
      <c r="O141" s="39" t="s">
        <v>174</v>
      </c>
      <c r="P141" s="331" t="s">
        <v>175</v>
      </c>
      <c r="Q141" s="297"/>
      <c r="R141" s="50"/>
      <c r="S141" s="396"/>
      <c r="T141" s="167"/>
      <c r="U141" s="296"/>
      <c r="V141" s="296"/>
      <c r="W141" s="296"/>
      <c r="X141" s="296"/>
      <c r="Y141" s="296"/>
      <c r="Z141" s="296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</row>
    <row r="142">
      <c r="A142" s="50"/>
      <c r="B142" s="445" t="s">
        <v>66</v>
      </c>
      <c r="C142" s="446" t="str">
        <f t="shared" ref="C142:C149" si="5">SUM(D142:F142)
</f>
        <v>7</v>
      </c>
      <c r="D142" s="446">
        <v>5.0</v>
      </c>
      <c r="E142" s="446">
        <v>0.0</v>
      </c>
      <c r="F142" s="446">
        <v>2.0</v>
      </c>
      <c r="G142" s="447" t="str">
        <f t="shared" ref="G142:G149" si="6">(D142*3+F142*1)</f>
        <v>17</v>
      </c>
      <c r="H142" s="230" t="s">
        <v>243</v>
      </c>
      <c r="J142" s="445" t="s">
        <v>84</v>
      </c>
      <c r="K142" s="446" t="str">
        <f t="shared" ref="K142:K149" si="7">SUM(M142:O142)
</f>
        <v>7</v>
      </c>
      <c r="M142" s="446">
        <v>3.0</v>
      </c>
      <c r="N142" s="446">
        <v>0.0</v>
      </c>
      <c r="O142" s="446">
        <v>4.0</v>
      </c>
      <c r="P142" s="447" t="str">
        <f t="shared" ref="P142:P149" si="8">(M142*3+O142*1)</f>
        <v>13</v>
      </c>
      <c r="Q142" s="297"/>
      <c r="R142" s="50"/>
      <c r="S142" s="396"/>
      <c r="T142" s="167"/>
      <c r="U142" s="296"/>
      <c r="V142" s="296"/>
      <c r="W142" s="296"/>
      <c r="X142" s="296"/>
      <c r="Y142" s="296"/>
      <c r="Z142" s="296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</row>
    <row r="143">
      <c r="A143" s="50"/>
      <c r="B143" s="445" t="s">
        <v>62</v>
      </c>
      <c r="C143" s="446" t="str">
        <f t="shared" si="5"/>
        <v>7</v>
      </c>
      <c r="D143" s="446">
        <v>4.0</v>
      </c>
      <c r="E143" s="446">
        <v>0.0</v>
      </c>
      <c r="F143" s="446">
        <v>3.0</v>
      </c>
      <c r="G143" s="447" t="str">
        <f t="shared" si="6"/>
        <v>15</v>
      </c>
      <c r="J143" s="445" t="s">
        <v>32</v>
      </c>
      <c r="K143" s="446" t="str">
        <f t="shared" si="7"/>
        <v>7</v>
      </c>
      <c r="M143" s="446">
        <v>4.0</v>
      </c>
      <c r="N143" s="446">
        <v>2.0</v>
      </c>
      <c r="O143" s="446">
        <v>1.0</v>
      </c>
      <c r="P143" s="447" t="str">
        <f t="shared" si="8"/>
        <v>13</v>
      </c>
      <c r="Q143" s="297"/>
      <c r="R143" s="50"/>
      <c r="S143" s="396"/>
      <c r="T143" s="167"/>
      <c r="U143" s="296"/>
      <c r="V143" s="296"/>
      <c r="W143" s="296"/>
      <c r="X143" s="296"/>
      <c r="Y143" s="296"/>
      <c r="Z143" s="296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</row>
    <row r="144">
      <c r="A144" s="50"/>
      <c r="B144" s="445" t="s">
        <v>56</v>
      </c>
      <c r="C144" s="446" t="str">
        <f t="shared" si="5"/>
        <v>7</v>
      </c>
      <c r="D144" s="446">
        <v>4.0</v>
      </c>
      <c r="E144" s="446">
        <v>2.0</v>
      </c>
      <c r="F144" s="446">
        <v>1.0</v>
      </c>
      <c r="G144" s="447" t="str">
        <f t="shared" si="6"/>
        <v>13</v>
      </c>
      <c r="J144" s="445" t="s">
        <v>92</v>
      </c>
      <c r="K144" s="446" t="str">
        <f t="shared" si="7"/>
        <v>7</v>
      </c>
      <c r="M144" s="446">
        <v>2.0</v>
      </c>
      <c r="N144" s="446">
        <v>0.0</v>
      </c>
      <c r="O144" s="446">
        <v>5.0</v>
      </c>
      <c r="P144" s="447" t="str">
        <f t="shared" si="8"/>
        <v>11</v>
      </c>
      <c r="Q144" s="297"/>
      <c r="R144" s="50"/>
      <c r="S144" s="448"/>
      <c r="T144" s="297"/>
      <c r="U144" s="297"/>
      <c r="V144" s="296"/>
      <c r="W144" s="296"/>
      <c r="X144" s="296"/>
      <c r="Y144" s="296"/>
      <c r="Z144" s="296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</row>
    <row r="145">
      <c r="A145" s="50"/>
      <c r="B145" s="445" t="s">
        <v>67</v>
      </c>
      <c r="C145" s="446" t="str">
        <f t="shared" si="5"/>
        <v>7</v>
      </c>
      <c r="D145" s="446">
        <v>3.0</v>
      </c>
      <c r="E145" s="446">
        <v>3.0</v>
      </c>
      <c r="F145" s="446">
        <v>1.0</v>
      </c>
      <c r="G145" s="447" t="str">
        <f t="shared" si="6"/>
        <v>10</v>
      </c>
      <c r="J145" s="445" t="s">
        <v>86</v>
      </c>
      <c r="K145" s="446" t="str">
        <f t="shared" si="7"/>
        <v>7</v>
      </c>
      <c r="M145" s="446">
        <v>2.0</v>
      </c>
      <c r="N145" s="446">
        <v>2.0</v>
      </c>
      <c r="O145" s="446">
        <v>3.0</v>
      </c>
      <c r="P145" s="447" t="str">
        <f t="shared" si="8"/>
        <v>9</v>
      </c>
      <c r="Q145" s="297"/>
      <c r="R145" s="50"/>
      <c r="S145" s="396"/>
      <c r="T145" s="167"/>
      <c r="U145" s="296"/>
      <c r="V145" s="296"/>
      <c r="W145" s="296"/>
      <c r="X145" s="296"/>
      <c r="Y145" s="296"/>
      <c r="Z145" s="296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>
      <c r="A146" s="50"/>
      <c r="B146" s="449" t="s">
        <v>184</v>
      </c>
      <c r="C146" s="450" t="str">
        <f t="shared" si="5"/>
        <v>7</v>
      </c>
      <c r="D146" s="450">
        <v>1.0</v>
      </c>
      <c r="E146" s="450">
        <v>3.0</v>
      </c>
      <c r="F146" s="450">
        <v>3.0</v>
      </c>
      <c r="G146" s="451" t="str">
        <f t="shared" si="6"/>
        <v>6</v>
      </c>
      <c r="H146" s="230" t="s">
        <v>244</v>
      </c>
      <c r="J146" s="449" t="s">
        <v>81</v>
      </c>
      <c r="K146" s="450" t="str">
        <f t="shared" si="7"/>
        <v>7</v>
      </c>
      <c r="M146" s="450">
        <v>2.0</v>
      </c>
      <c r="N146" s="450">
        <v>2.0</v>
      </c>
      <c r="O146" s="450">
        <v>3.0</v>
      </c>
      <c r="P146" s="451" t="str">
        <f t="shared" si="8"/>
        <v>9</v>
      </c>
      <c r="Q146" s="297"/>
      <c r="R146" s="50"/>
      <c r="S146" s="396"/>
      <c r="T146" s="167"/>
      <c r="U146" s="296"/>
      <c r="V146" s="296"/>
      <c r="W146" s="296"/>
      <c r="X146" s="296"/>
      <c r="Y146" s="296"/>
      <c r="Z146" s="296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</row>
    <row r="147">
      <c r="A147" s="50"/>
      <c r="B147" s="449" t="s">
        <v>77</v>
      </c>
      <c r="C147" s="450" t="str">
        <f t="shared" si="5"/>
        <v>7</v>
      </c>
      <c r="D147" s="450">
        <v>1.0</v>
      </c>
      <c r="E147" s="450">
        <v>3.0</v>
      </c>
      <c r="F147" s="450">
        <v>3.0</v>
      </c>
      <c r="G147" s="451" t="str">
        <f t="shared" si="6"/>
        <v>6</v>
      </c>
      <c r="J147" s="449" t="s">
        <v>87</v>
      </c>
      <c r="K147" s="450" t="str">
        <f t="shared" si="7"/>
        <v>7</v>
      </c>
      <c r="M147" s="450">
        <v>1.0</v>
      </c>
      <c r="N147" s="450">
        <v>2.0</v>
      </c>
      <c r="O147" s="450">
        <v>4.0</v>
      </c>
      <c r="P147" s="451" t="str">
        <f t="shared" si="8"/>
        <v>7</v>
      </c>
      <c r="Q147" s="297"/>
      <c r="R147" s="50"/>
      <c r="S147" s="396"/>
      <c r="T147" s="167"/>
      <c r="U147" s="296"/>
      <c r="V147" s="296"/>
      <c r="W147" s="296"/>
      <c r="X147" s="296"/>
      <c r="Y147" s="296"/>
      <c r="Z147" s="296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</row>
    <row r="148">
      <c r="A148" s="50"/>
      <c r="B148" s="449" t="s">
        <v>61</v>
      </c>
      <c r="C148" s="450" t="str">
        <f t="shared" si="5"/>
        <v>7</v>
      </c>
      <c r="D148" s="450">
        <v>0.0</v>
      </c>
      <c r="E148" s="450">
        <v>3.0</v>
      </c>
      <c r="F148" s="450">
        <v>4.0</v>
      </c>
      <c r="G148" s="451" t="str">
        <f t="shared" si="6"/>
        <v>4</v>
      </c>
      <c r="J148" s="449" t="s">
        <v>80</v>
      </c>
      <c r="K148" s="450" t="str">
        <f t="shared" si="7"/>
        <v>7</v>
      </c>
      <c r="M148" s="450">
        <v>0.0</v>
      </c>
      <c r="N148" s="450">
        <v>1.0</v>
      </c>
      <c r="O148" s="450">
        <v>6.0</v>
      </c>
      <c r="P148" s="451" t="str">
        <f t="shared" si="8"/>
        <v>6</v>
      </c>
      <c r="Q148" s="297"/>
      <c r="R148" s="50"/>
      <c r="S148" s="396"/>
      <c r="T148" s="167"/>
      <c r="U148" s="296"/>
      <c r="V148" s="296"/>
      <c r="W148" s="296"/>
      <c r="X148" s="296"/>
      <c r="Y148" s="296"/>
      <c r="Z148" s="296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</row>
    <row r="149">
      <c r="A149" s="50"/>
      <c r="B149" s="452" t="s">
        <v>72</v>
      </c>
      <c r="C149" s="453" t="str">
        <f t="shared" si="5"/>
        <v>7</v>
      </c>
      <c r="D149" s="453">
        <v>0.0</v>
      </c>
      <c r="E149" s="453">
        <v>4.0</v>
      </c>
      <c r="F149" s="453">
        <v>3.0</v>
      </c>
      <c r="G149" s="454" t="str">
        <f t="shared" si="6"/>
        <v>3</v>
      </c>
      <c r="J149" s="452" t="s">
        <v>89</v>
      </c>
      <c r="K149" s="453" t="str">
        <f t="shared" si="7"/>
        <v>7</v>
      </c>
      <c r="L149" s="137"/>
      <c r="M149" s="453">
        <v>0.0</v>
      </c>
      <c r="N149" s="453">
        <v>5.0</v>
      </c>
      <c r="O149" s="453">
        <v>2.0</v>
      </c>
      <c r="P149" s="451" t="str">
        <f t="shared" si="8"/>
        <v>2</v>
      </c>
      <c r="Q149" s="297"/>
      <c r="R149" s="50"/>
      <c r="S149" s="396"/>
      <c r="T149" s="167"/>
      <c r="U149" s="296"/>
      <c r="V149" s="296"/>
      <c r="W149" s="296"/>
      <c r="X149" s="296"/>
      <c r="Y149" s="296"/>
      <c r="Z149" s="296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</row>
    <row r="150">
      <c r="A150" s="50"/>
      <c r="C150" s="414"/>
      <c r="D150" s="415"/>
      <c r="E150" s="50"/>
      <c r="F150" s="50"/>
      <c r="G150" s="50"/>
      <c r="H150" s="50"/>
      <c r="I150" s="416"/>
      <c r="J150" s="50"/>
      <c r="K150" s="50"/>
      <c r="L150" s="50"/>
      <c r="N150" s="50"/>
      <c r="P150" s="50"/>
      <c r="Q150" s="50"/>
      <c r="R150" s="50"/>
      <c r="S150" s="396"/>
      <c r="T150" s="167"/>
      <c r="U150" s="296"/>
      <c r="V150" s="296"/>
      <c r="W150" s="296"/>
      <c r="X150" s="296"/>
      <c r="Y150" s="297"/>
      <c r="Z150" s="297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</row>
    <row r="151">
      <c r="A151" s="217"/>
      <c r="B151" s="217"/>
      <c r="C151" s="455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456"/>
      <c r="T151" s="456"/>
      <c r="U151" s="39"/>
      <c r="V151" s="39"/>
      <c r="W151" s="39"/>
      <c r="X151" s="39"/>
      <c r="Y151" s="242"/>
      <c r="Z151" s="242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</row>
    <row r="152">
      <c r="A152" s="457" t="s">
        <v>245</v>
      </c>
      <c r="T152" s="457"/>
      <c r="U152" s="296"/>
      <c r="V152" s="296"/>
      <c r="W152" s="296"/>
      <c r="X152" s="296"/>
      <c r="Y152" s="365" t="s">
        <v>29</v>
      </c>
      <c r="Z152" s="366" t="s">
        <v>30</v>
      </c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</row>
    <row r="153">
      <c r="T153" s="457"/>
      <c r="U153" s="296"/>
      <c r="V153" s="296"/>
      <c r="W153" s="296"/>
      <c r="X153" s="296"/>
      <c r="Y153" s="354"/>
      <c r="Z153" s="331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</row>
    <row r="154">
      <c r="A154" s="191" t="s">
        <v>99</v>
      </c>
      <c r="C154" s="458">
        <v>42219.0</v>
      </c>
      <c r="D154" s="408">
        <v>0.75</v>
      </c>
      <c r="E154" s="409">
        <v>0.4166666666666667</v>
      </c>
      <c r="F154" s="410">
        <v>0.5416666666666666</v>
      </c>
      <c r="G154" s="411">
        <v>0.7916666666666666</v>
      </c>
      <c r="H154" s="412">
        <v>0.041666666666666664</v>
      </c>
      <c r="I154" s="413">
        <v>0.125</v>
      </c>
      <c r="J154" s="459" t="s">
        <v>66</v>
      </c>
      <c r="K154" s="191" t="s">
        <v>33</v>
      </c>
      <c r="L154" s="460" t="s">
        <v>86</v>
      </c>
      <c r="N154" s="401" t="s">
        <v>100</v>
      </c>
      <c r="O154" s="87"/>
      <c r="P154" s="193" t="str">
        <f>HYPERLINK("http://dota.nyoron.co/ti5/main1/1684227514.dem.zip","1684227514")</f>
        <v>1684227514</v>
      </c>
      <c r="R154" s="193" t="str">
        <f>HYPERLINK("http://dota.nyoron.co/ti5/main1/1684334726.dem.zip","1684334726")</f>
        <v>1684334726</v>
      </c>
      <c r="S154" s="461" t="str">
        <f>HYPERLINK("http://dota.nyoron.co/ti5/main1/1684419960.dem.zip","1684419960")</f>
        <v>1684419960</v>
      </c>
      <c r="T154" s="193" t="str">
        <f>HYPERLINK("https://www.youtube.com/watch?v=ltqU33emEVE","LGD vs Empire Game 1")</f>
        <v>LGD vs Empire Game 1</v>
      </c>
      <c r="V154" s="193" t="str">
        <f>HYPERLINK("https://www.youtube.com/watch?v=-ZwMsUkeMF4","LGD vs Empire Game 2")</f>
        <v>LGD vs Empire Game 2</v>
      </c>
      <c r="W154" s="193" t="str">
        <f>HYPERLINK("https://www.youtube.com/watch?v=OnyuIiMvR70","LGD vs Empire Game 3")</f>
        <v>LGD vs Empire Game 3</v>
      </c>
      <c r="X154" s="191" t="s">
        <v>237</v>
      </c>
      <c r="Y154" s="401" t="s">
        <v>66</v>
      </c>
      <c r="Z154" s="378" t="s">
        <v>86</v>
      </c>
      <c r="AA154" s="217"/>
      <c r="AB154" s="217"/>
      <c r="AC154" s="217"/>
      <c r="AD154" s="217"/>
      <c r="AE154" s="217"/>
      <c r="AF154" s="217"/>
      <c r="AG154" s="217"/>
      <c r="AH154" s="217"/>
      <c r="AI154" s="217"/>
      <c r="AJ154" s="217"/>
      <c r="AK154" s="217"/>
      <c r="AL154" s="217"/>
      <c r="AM154" s="217"/>
      <c r="AN154" s="217"/>
      <c r="AO154" s="217"/>
      <c r="AP154" s="217"/>
      <c r="AQ154" s="217"/>
    </row>
    <row r="155">
      <c r="A155" s="191" t="s">
        <v>101</v>
      </c>
      <c r="C155" s="458">
        <v>42219.0</v>
      </c>
      <c r="D155" s="408">
        <v>0.75</v>
      </c>
      <c r="E155" s="409">
        <v>0.4166666666666667</v>
      </c>
      <c r="F155" s="410">
        <v>0.5416666666666666</v>
      </c>
      <c r="G155" s="411">
        <v>0.7916666666666666</v>
      </c>
      <c r="H155" s="412">
        <v>0.041666666666666664</v>
      </c>
      <c r="I155" s="413">
        <v>0.125</v>
      </c>
      <c r="J155" s="459" t="s">
        <v>32</v>
      </c>
      <c r="K155" s="191" t="s">
        <v>33</v>
      </c>
      <c r="L155" s="460" t="s">
        <v>67</v>
      </c>
      <c r="N155" s="401" t="s">
        <v>102</v>
      </c>
      <c r="O155" s="87"/>
      <c r="P155" s="193" t="str">
        <f>HYPERLINK("http://dota.nyoron.co/ti5/main1/1684521403.dem.zip","1684521403")</f>
        <v>1684521403</v>
      </c>
      <c r="R155" s="193" t="str">
        <f>HYPERLINK("http://dota.nyoron.co/ti5/main1/1684571786.dem.zip","1684571786")</f>
        <v>1684571786</v>
      </c>
      <c r="S155" s="462" t="s">
        <v>44</v>
      </c>
      <c r="T155" s="463" t="str">
        <f>HYPERLINK("https://www.youtube.com/watch?v=muivZeE1RPE","CDEC vs C9 Game 1")</f>
        <v>CDEC vs C9 Game 1</v>
      </c>
      <c r="V155" s="193" t="str">
        <f>HYPERLINK("https://www.youtube.com/watch?v=hcUcSS6zBuQ","CDEC vs C9 Game 2")</f>
        <v>CDEC vs C9 Game 2</v>
      </c>
      <c r="W155" s="191" t="s">
        <v>44</v>
      </c>
      <c r="X155" s="191" t="s">
        <v>238</v>
      </c>
      <c r="Y155" s="401" t="s">
        <v>32</v>
      </c>
      <c r="Z155" s="378" t="s">
        <v>103</v>
      </c>
      <c r="AA155" s="217"/>
      <c r="AB155" s="217"/>
      <c r="AC155" s="217"/>
      <c r="AD155" s="217"/>
      <c r="AE155" s="217"/>
      <c r="AF155" s="217"/>
      <c r="AG155" s="217"/>
      <c r="AH155" s="217"/>
      <c r="AI155" s="217"/>
      <c r="AJ155" s="217"/>
      <c r="AK155" s="217"/>
      <c r="AL155" s="217"/>
      <c r="AM155" s="217"/>
      <c r="AN155" s="217"/>
      <c r="AO155" s="217"/>
      <c r="AP155" s="217"/>
      <c r="AQ155" s="217"/>
    </row>
    <row r="156">
      <c r="A156" s="191" t="s">
        <v>104</v>
      </c>
      <c r="C156" s="458">
        <v>42219.0</v>
      </c>
      <c r="D156" s="408">
        <v>0.875</v>
      </c>
      <c r="E156" s="409">
        <v>0.5416666666666666</v>
      </c>
      <c r="F156" s="410">
        <v>0.6666666666666666</v>
      </c>
      <c r="G156" s="411">
        <v>0.9166666666666666</v>
      </c>
      <c r="H156" s="412">
        <v>0.16666666666666666</v>
      </c>
      <c r="I156" s="413">
        <v>0.25</v>
      </c>
      <c r="J156" s="459" t="s">
        <v>37</v>
      </c>
      <c r="K156" s="191" t="s">
        <v>33</v>
      </c>
      <c r="L156" s="460" t="s">
        <v>80</v>
      </c>
      <c r="N156" s="401" t="s">
        <v>105</v>
      </c>
      <c r="O156" s="87"/>
      <c r="P156" s="193" t="str">
        <f>HYPERLINK("http://dota.nyoron.co/ti5/main1/1684715899.dem.zip","1684715899")</f>
        <v>1684715899</v>
      </c>
      <c r="R156" s="464" t="s">
        <v>106</v>
      </c>
      <c r="T156" s="465" t="str">
        <f>HYPERLINK("https://www.youtube.com/watch?v=ryc4CZ2mYZ0","MVP.P vs Newbee")</f>
        <v>MVP.P vs Newbee</v>
      </c>
      <c r="V156" s="50"/>
      <c r="W156" s="50"/>
      <c r="X156" s="191" t="s">
        <v>246</v>
      </c>
      <c r="Y156" s="401" t="s">
        <v>37</v>
      </c>
      <c r="Z156" s="466" t="s">
        <v>80</v>
      </c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</row>
    <row r="157">
      <c r="A157" s="191" t="s">
        <v>107</v>
      </c>
      <c r="C157" s="458">
        <v>42219.0</v>
      </c>
      <c r="D157" s="408">
        <v>0.9375</v>
      </c>
      <c r="E157" s="409">
        <v>0.6041666666666666</v>
      </c>
      <c r="F157" s="410">
        <v>0.7291666666666666</v>
      </c>
      <c r="G157" s="411">
        <v>0.9791666666666666</v>
      </c>
      <c r="H157" s="412">
        <v>0.22916666666666666</v>
      </c>
      <c r="I157" s="413">
        <v>0.3125</v>
      </c>
      <c r="J157" s="459" t="s">
        <v>87</v>
      </c>
      <c r="K157" s="191" t="s">
        <v>33</v>
      </c>
      <c r="L157" s="460" t="s">
        <v>72</v>
      </c>
      <c r="N157" s="401" t="s">
        <v>105</v>
      </c>
      <c r="O157" s="87"/>
      <c r="P157" s="193" t="str">
        <f>HYPERLINK("http://dota.nyoron.co/ti5/main1/1684809000.dem.zip","1684809000")</f>
        <v>1684809000</v>
      </c>
      <c r="T157" s="465" t="str">
        <f>HYPERLINK("https://www.youtube.com/watch?v=mA17XAP_lpM","VG vs NaVi")</f>
        <v>VG vs NaVi</v>
      </c>
      <c r="V157" s="50"/>
      <c r="W157" s="50"/>
      <c r="X157" s="191" t="s">
        <v>246</v>
      </c>
      <c r="Y157" s="401" t="s">
        <v>87</v>
      </c>
      <c r="Z157" s="466" t="s">
        <v>72</v>
      </c>
      <c r="AA157" s="217"/>
      <c r="AB157" s="217"/>
      <c r="AC157" s="217"/>
      <c r="AD157" s="217"/>
      <c r="AE157" s="217"/>
      <c r="AF157" s="217"/>
      <c r="AG157" s="217"/>
      <c r="AH157" s="217"/>
      <c r="AI157" s="217"/>
      <c r="AJ157" s="217"/>
      <c r="AK157" s="217"/>
      <c r="AL157" s="217"/>
      <c r="AM157" s="217"/>
      <c r="AN157" s="217"/>
      <c r="AO157" s="217"/>
      <c r="AP157" s="217"/>
      <c r="AQ157" s="217"/>
    </row>
    <row r="158">
      <c r="A158" s="191" t="s">
        <v>108</v>
      </c>
      <c r="C158" s="458">
        <v>42219.0</v>
      </c>
      <c r="D158" s="408">
        <v>0.0</v>
      </c>
      <c r="E158" s="409">
        <v>0.6666666666666666</v>
      </c>
      <c r="F158" s="410">
        <v>0.7916666666666666</v>
      </c>
      <c r="G158" s="411">
        <v>0.041666666666666664</v>
      </c>
      <c r="H158" s="412">
        <v>0.2916666666666667</v>
      </c>
      <c r="I158" s="413">
        <v>0.375</v>
      </c>
      <c r="J158" s="459" t="s">
        <v>81</v>
      </c>
      <c r="K158" s="191" t="s">
        <v>33</v>
      </c>
      <c r="L158" s="460" t="s">
        <v>61</v>
      </c>
      <c r="N158" s="383" t="s">
        <v>52</v>
      </c>
      <c r="O158" s="87"/>
      <c r="P158" s="193" t="str">
        <f>HYPERLINK("http://dota.nyoron.co/ti5/main1/1684903975.dem.zip","1684903975")</f>
        <v>1684903975</v>
      </c>
      <c r="T158" s="465" t="str">
        <f>HYPERLINK("https://www.youtube.com/watch?v=Pu9MZBygw4M","VP vs Fnatic")</f>
        <v>VP vs Fnatic</v>
      </c>
      <c r="V158" s="50"/>
      <c r="W158" s="50"/>
      <c r="X158" s="191" t="s">
        <v>246</v>
      </c>
      <c r="Y158" s="401" t="s">
        <v>81</v>
      </c>
      <c r="Z158" s="466" t="s">
        <v>61</v>
      </c>
      <c r="AA158" s="217"/>
      <c r="AB158" s="217"/>
      <c r="AC158" s="217"/>
      <c r="AD158" s="217"/>
      <c r="AE158" s="217"/>
      <c r="AF158" s="217"/>
      <c r="AG158" s="217"/>
      <c r="AH158" s="217"/>
      <c r="AI158" s="217"/>
      <c r="AJ158" s="217"/>
      <c r="AK158" s="217"/>
      <c r="AL158" s="217"/>
      <c r="AM158" s="217"/>
      <c r="AN158" s="217"/>
      <c r="AO158" s="217"/>
      <c r="AP158" s="217"/>
      <c r="AQ158" s="217"/>
    </row>
    <row r="159">
      <c r="A159" s="191" t="s">
        <v>109</v>
      </c>
      <c r="C159" s="458">
        <v>42219.0</v>
      </c>
      <c r="D159" s="408">
        <v>0.0625</v>
      </c>
      <c r="E159" s="409">
        <v>0.7291666666666666</v>
      </c>
      <c r="F159" s="410">
        <v>0.8541666666666666</v>
      </c>
      <c r="G159" s="411">
        <v>0.10416666666666667</v>
      </c>
      <c r="H159" s="412">
        <v>0.3541666666666667</v>
      </c>
      <c r="I159" s="413">
        <v>0.4375</v>
      </c>
      <c r="J159" s="459" t="s">
        <v>77</v>
      </c>
      <c r="K159" s="191" t="s">
        <v>33</v>
      </c>
      <c r="L159" s="460" t="s">
        <v>89</v>
      </c>
      <c r="N159" s="383" t="s">
        <v>52</v>
      </c>
      <c r="O159" s="87"/>
      <c r="P159" s="193" t="str">
        <f>HYPERLINK("http://dota.nyoron.co/ti5/main1/1685000902.dem.zip","1685000902")</f>
        <v>1685000902</v>
      </c>
      <c r="T159" s="465" t="str">
        <f>HYPERLINK("https://www.youtube.com/watch?v=py2b8cOt8lU","iG vs MVP.Hot6")</f>
        <v>iG vs MVP.Hot6</v>
      </c>
      <c r="V159" s="50"/>
      <c r="W159" s="50"/>
      <c r="X159" s="191" t="s">
        <v>246</v>
      </c>
      <c r="Y159" s="401" t="s">
        <v>77</v>
      </c>
      <c r="Z159" s="466" t="s">
        <v>89</v>
      </c>
      <c r="AA159" s="217"/>
      <c r="AB159" s="217"/>
      <c r="AC159" s="217"/>
      <c r="AD159" s="217"/>
      <c r="AE159" s="217"/>
      <c r="AF159" s="217"/>
      <c r="AG159" s="217"/>
      <c r="AH159" s="217"/>
      <c r="AI159" s="217"/>
      <c r="AJ159" s="217"/>
      <c r="AK159" s="217"/>
      <c r="AL159" s="217"/>
      <c r="AM159" s="217"/>
      <c r="AN159" s="217"/>
      <c r="AO159" s="217"/>
      <c r="AP159" s="217"/>
      <c r="AQ159" s="217"/>
    </row>
    <row r="160">
      <c r="A160" s="50"/>
      <c r="C160" s="467"/>
      <c r="D160" s="415"/>
      <c r="E160" s="50"/>
      <c r="F160" s="50"/>
      <c r="G160" s="50"/>
      <c r="H160" s="50"/>
      <c r="I160" s="416"/>
      <c r="J160" s="50"/>
      <c r="K160" s="50"/>
      <c r="L160" s="50"/>
      <c r="N160" s="415"/>
      <c r="O160" s="87"/>
      <c r="P160" s="468" t="str">
        <f>HYPERLINK("http://dota.nyoron.co/ti5/main1/main1.zip","Download all Main Event Day 1 replays here")</f>
        <v>Download all Main Event Day 1 replays here</v>
      </c>
      <c r="T160" s="469"/>
      <c r="U160" s="50"/>
      <c r="V160" s="50"/>
      <c r="W160" s="50"/>
      <c r="X160" s="50"/>
      <c r="Y160" s="415"/>
      <c r="Z160" s="416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>
      <c r="A161" s="191" t="s">
        <v>110</v>
      </c>
      <c r="C161" s="470">
        <v>42220.0</v>
      </c>
      <c r="D161" s="408">
        <v>0.75</v>
      </c>
      <c r="E161" s="409">
        <v>0.4166666666666667</v>
      </c>
      <c r="F161" s="410">
        <v>0.5416666666666666</v>
      </c>
      <c r="G161" s="411">
        <v>0.7916666666666666</v>
      </c>
      <c r="H161" s="412">
        <v>0.041666666666666664</v>
      </c>
      <c r="I161" s="413">
        <v>0.125</v>
      </c>
      <c r="J161" s="459" t="s">
        <v>84</v>
      </c>
      <c r="K161" s="191" t="s">
        <v>33</v>
      </c>
      <c r="L161" s="460" t="s">
        <v>56</v>
      </c>
      <c r="N161" s="401" t="s">
        <v>100</v>
      </c>
      <c r="O161" s="87"/>
      <c r="P161" s="193" t="str">
        <f>HYPERLINK("http://dota.nyoron.co/ti5/main2/1686604927.dem.zip","1686604927")</f>
        <v>1686604927</v>
      </c>
      <c r="R161" s="193" t="str">
        <f>HYPERLINK("http://dota.nyoron.co/ti5/main2/1686838227.dem.zip","1686838227")</f>
        <v>1686838227</v>
      </c>
      <c r="S161" s="471" t="s">
        <v>44</v>
      </c>
      <c r="T161" s="465" t="str">
        <f>HYPERLINK("https://www.youtube.com/watch?v=DopzDJTfunI","EG vs coLGame 1")</f>
        <v>EG vs coLGame 1</v>
      </c>
      <c r="V161" s="193" t="str">
        <f>HYPERLINK("https://www.youtube.com/watch?v=mhyNWVoitUA","EG vs coLGame 2")</f>
        <v>EG vs coLGame 2</v>
      </c>
      <c r="W161" s="191" t="s">
        <v>44</v>
      </c>
      <c r="X161" s="191" t="s">
        <v>238</v>
      </c>
      <c r="Y161" s="401" t="s">
        <v>84</v>
      </c>
      <c r="Z161" s="378" t="s">
        <v>111</v>
      </c>
      <c r="AA161" s="217"/>
      <c r="AB161" s="217"/>
      <c r="AC161" s="217"/>
      <c r="AD161" s="217"/>
      <c r="AE161" s="217"/>
      <c r="AF161" s="217"/>
      <c r="AG161" s="217"/>
      <c r="AH161" s="217"/>
      <c r="AI161" s="217"/>
      <c r="AJ161" s="217"/>
      <c r="AK161" s="217"/>
      <c r="AL161" s="217"/>
      <c r="AM161" s="217"/>
      <c r="AN161" s="217"/>
      <c r="AO161" s="217"/>
      <c r="AP161" s="217"/>
      <c r="AQ161" s="217"/>
    </row>
    <row r="162">
      <c r="A162" s="191" t="s">
        <v>112</v>
      </c>
      <c r="C162" s="470">
        <v>42220.0</v>
      </c>
      <c r="D162" s="408">
        <v>0.875</v>
      </c>
      <c r="E162" s="409">
        <v>0.5416666666666666</v>
      </c>
      <c r="F162" s="410">
        <v>0.6666666666666666</v>
      </c>
      <c r="G162" s="411">
        <v>0.9166666666666666</v>
      </c>
      <c r="H162" s="412">
        <v>0.16666666666666666</v>
      </c>
      <c r="I162" s="413">
        <v>0.25</v>
      </c>
      <c r="J162" s="460" t="s">
        <v>113</v>
      </c>
      <c r="K162" s="191" t="s">
        <v>33</v>
      </c>
      <c r="L162" s="459" t="s">
        <v>92</v>
      </c>
      <c r="N162" s="401" t="s">
        <v>102</v>
      </c>
      <c r="O162" s="87"/>
      <c r="P162" s="193" t="str">
        <f>HYPERLINK("http://dota.nyoron.co/ti5/main2/1686931489.dem.zip","1686931489")</f>
        <v>1686931489</v>
      </c>
      <c r="R162" s="193" t="str">
        <f>HYPERLINK("http://dota.nyoron.co/ti5/main2/1687000541.dem.zip","1687000541")</f>
        <v>1687000541</v>
      </c>
      <c r="S162" s="471" t="s">
        <v>44</v>
      </c>
      <c r="T162" s="465" t="str">
        <f>HYPERLINK("https://www.youtube.com/watch?v=JhdKZ1O7w8Q","Secret vs EHOME Game 1")</f>
        <v>Secret vs EHOME Game 1</v>
      </c>
      <c r="V162" s="193" t="str">
        <f>HYPERLINK("https://www.youtube.com/watch?v=rkNvzO_-3Kk","Secret vs EHOME Game 2")</f>
        <v>Secret vs EHOME Game 2</v>
      </c>
      <c r="W162" s="191" t="s">
        <v>44</v>
      </c>
      <c r="X162" s="191" t="s">
        <v>240</v>
      </c>
      <c r="Y162" s="401" t="s">
        <v>92</v>
      </c>
      <c r="Z162" s="378" t="s">
        <v>113</v>
      </c>
      <c r="AA162" s="39" t="s">
        <v>114</v>
      </c>
      <c r="AC162" s="217"/>
      <c r="AD162" s="217"/>
      <c r="AE162" s="217"/>
      <c r="AF162" s="217"/>
      <c r="AG162" s="217"/>
      <c r="AH162" s="217"/>
      <c r="AI162" s="217"/>
      <c r="AJ162" s="217"/>
      <c r="AK162" s="217"/>
      <c r="AL162" s="217"/>
      <c r="AM162" s="217"/>
      <c r="AN162" s="217"/>
      <c r="AO162" s="217"/>
      <c r="AP162" s="217"/>
      <c r="AQ162" s="217"/>
    </row>
    <row r="163">
      <c r="A163" s="191" t="s">
        <v>115</v>
      </c>
      <c r="C163" s="470">
        <v>42220.0</v>
      </c>
      <c r="D163" s="408">
        <v>0.0</v>
      </c>
      <c r="E163" s="409">
        <v>0.6666666666666666</v>
      </c>
      <c r="F163" s="410">
        <v>0.7916666666666666</v>
      </c>
      <c r="G163" s="411">
        <v>0.041666666666666664</v>
      </c>
      <c r="H163" s="412">
        <v>0.2916666666666667</v>
      </c>
      <c r="I163" s="413">
        <v>0.375</v>
      </c>
      <c r="J163" s="460" t="str">
        <f t="shared" ref="J163:J164" si="9">Z154</f>
        <v>Empire</v>
      </c>
      <c r="K163" s="191" t="s">
        <v>33</v>
      </c>
      <c r="L163" s="472" t="str">
        <f t="shared" ref="L163:L164" si="10">Y156</f>
        <v>MVP Phoenix</v>
      </c>
      <c r="N163" s="401" t="s">
        <v>105</v>
      </c>
      <c r="O163" s="87"/>
      <c r="P163" s="193" t="str">
        <f>HYPERLINK("http://dota.nyoron.co/ti5/main2/1686931489.dem.zip","1687063262")</f>
        <v>1687063262</v>
      </c>
      <c r="R163" s="193" t="str">
        <f>HYPERLINK("http://dota.nyoron.co/ti5/main2/1687118078.dem.zip","1687118078")</f>
        <v>1687118078</v>
      </c>
      <c r="S163" s="471" t="s">
        <v>44</v>
      </c>
      <c r="T163" s="465" t="str">
        <f>HYPERLINK("https://www.youtube.com/watch?v=kh5EjG9IjYw","Empire vs MVP.P Game 1")</f>
        <v>Empire vs MVP.P Game 1</v>
      </c>
      <c r="V163" s="193" t="str">
        <f>HYPERLINK("https://www.youtube.com/watch?v=0NKu0HlmHzo","Empire vs MVP.P Game 2")</f>
        <v>Empire vs MVP.P Game 2</v>
      </c>
      <c r="W163" s="191" t="s">
        <v>44</v>
      </c>
      <c r="X163" s="191" t="s">
        <v>240</v>
      </c>
      <c r="Y163" s="401" t="s">
        <v>37</v>
      </c>
      <c r="Z163" s="473" t="s">
        <v>86</v>
      </c>
      <c r="AA163" s="401" t="s">
        <v>116</v>
      </c>
      <c r="AC163" s="191" t="s">
        <v>33</v>
      </c>
      <c r="AD163" s="191" t="s">
        <v>117</v>
      </c>
      <c r="AG163" s="217"/>
      <c r="AH163" s="217"/>
      <c r="AI163" s="217"/>
      <c r="AJ163" s="217"/>
      <c r="AK163" s="217"/>
      <c r="AL163" s="217"/>
      <c r="AM163" s="217"/>
      <c r="AN163" s="217"/>
      <c r="AO163" s="217"/>
      <c r="AP163" s="217"/>
      <c r="AQ163" s="217"/>
    </row>
    <row r="164">
      <c r="A164" s="191" t="s">
        <v>118</v>
      </c>
      <c r="C164" s="470">
        <v>42220.0</v>
      </c>
      <c r="D164" s="408">
        <v>0.125</v>
      </c>
      <c r="E164" s="409">
        <v>0.7916666666666666</v>
      </c>
      <c r="F164" s="410">
        <v>0.9166666666666666</v>
      </c>
      <c r="G164" s="411">
        <v>0.16666666666666666</v>
      </c>
      <c r="H164" s="412">
        <v>0.4166666666666667</v>
      </c>
      <c r="I164" s="413">
        <v>0.5</v>
      </c>
      <c r="J164" s="460" t="str">
        <f t="shared" si="9"/>
        <v>C9</v>
      </c>
      <c r="K164" s="191" t="s">
        <v>33</v>
      </c>
      <c r="L164" s="459" t="str">
        <f t="shared" si="10"/>
        <v>VG</v>
      </c>
      <c r="N164" s="383" t="s">
        <v>52</v>
      </c>
      <c r="O164" s="87"/>
      <c r="P164" s="193" t="str">
        <f>HYPERLINK("http://dota.nyoron.co/ti5/main2/1687199442.dem.zip","1687199442")</f>
        <v>1687199442</v>
      </c>
      <c r="R164" s="193" t="str">
        <f>HYPERLINK("http://dota.nyoron.co/ti5/main2/1687304352.dem.zip","1687304352")</f>
        <v>1687304352</v>
      </c>
      <c r="S164" s="471" t="s">
        <v>44</v>
      </c>
      <c r="T164" s="465" t="str">
        <f>HYPERLINK("https://www.youtube.com/watch?v=F5eLD_5DHZM","C9 vs VG Game 1")</f>
        <v>C9 vs VG Game 1</v>
      </c>
      <c r="V164" s="193" t="str">
        <f>HYPERLINK("https://www.youtube.com/watch?v=AUkJ7dYbYmk","C9 vs VG Game 2")</f>
        <v>C9 vs VG Game 2</v>
      </c>
      <c r="W164" s="191" t="s">
        <v>44</v>
      </c>
      <c r="X164" s="191" t="s">
        <v>240</v>
      </c>
      <c r="Y164" s="401" t="s">
        <v>87</v>
      </c>
      <c r="Z164" s="466" t="s">
        <v>103</v>
      </c>
      <c r="AA164" s="191" t="s">
        <v>119</v>
      </c>
      <c r="AC164" s="191" t="s">
        <v>33</v>
      </c>
      <c r="AD164" s="191" t="s">
        <v>120</v>
      </c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17"/>
      <c r="AQ164" s="217"/>
    </row>
    <row r="165">
      <c r="A165" s="50"/>
      <c r="C165" s="467"/>
      <c r="D165" s="415"/>
      <c r="E165" s="50"/>
      <c r="F165" s="50"/>
      <c r="G165" s="50"/>
      <c r="H165" s="50"/>
      <c r="I165" s="416"/>
      <c r="J165" s="50"/>
      <c r="K165" s="50"/>
      <c r="L165" s="50"/>
      <c r="N165" s="415"/>
      <c r="O165" s="87"/>
      <c r="P165" s="439" t="str">
        <f>HYPERLINK("http://dota.nyoron.co/ti5/main2/main2.zip","Download all Main Event Day 2 replays here")</f>
        <v>Download all Main Event Day 2 replays here</v>
      </c>
      <c r="T165" s="50"/>
      <c r="V165" s="50"/>
      <c r="W165" s="50"/>
      <c r="X165" s="50"/>
      <c r="Y165" s="415"/>
      <c r="Z165" s="416"/>
      <c r="AA165" s="50"/>
      <c r="AC165" s="362"/>
      <c r="AD165" s="297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</row>
    <row r="166">
      <c r="A166" s="191" t="s">
        <v>121</v>
      </c>
      <c r="C166" s="474">
        <v>42221.0</v>
      </c>
      <c r="D166" s="408">
        <v>0.75</v>
      </c>
      <c r="E166" s="409">
        <v>0.4166666666666667</v>
      </c>
      <c r="F166" s="410">
        <v>0.5416666666666666</v>
      </c>
      <c r="G166" s="411">
        <v>0.7916666666666666</v>
      </c>
      <c r="H166" s="412">
        <v>0.041666666666666664</v>
      </c>
      <c r="I166" s="413">
        <v>0.125</v>
      </c>
      <c r="J166" s="460" t="str">
        <f t="shared" ref="J166:J167" si="11">Z161</f>
        <v>coL</v>
      </c>
      <c r="K166" s="191" t="s">
        <v>33</v>
      </c>
      <c r="L166" s="459" t="str">
        <f t="shared" ref="L166:L167" si="12">Y158</f>
        <v>Virtus Pro</v>
      </c>
      <c r="N166" s="401" t="s">
        <v>100</v>
      </c>
      <c r="O166" s="87"/>
      <c r="P166" s="76" t="str">
        <f>HYPERLINK("http://dota.nyoron.co/ti5/main3/1689080648.dem.zip","1689080648")</f>
        <v>1689080648</v>
      </c>
      <c r="R166" s="193" t="str">
        <f>HYPERLINK("http://dota.nyoron.co/ti5/main3/1689199207.dem.zip","1689199207")</f>
        <v>1689199207</v>
      </c>
      <c r="S166" s="475" t="str">
        <f>HYPERLINK("http://dota.nyoron.co/ti5/main3/1689326808.dem.zip","1689326808")</f>
        <v>1689326808</v>
      </c>
      <c r="T166" s="193" t="str">
        <f>HYPERLINK("https://www.youtube.com/watch?v=giPCeZiIimk","coL vs VP Game 1")</f>
        <v>coL vs VP Game 1</v>
      </c>
      <c r="V166" s="193" t="str">
        <f>HYPERLINK("https://www.youtube.com/watch?v=u-yOM6C4eqw","coL vs VP Game 2")</f>
        <v>coL vs VP Game 2</v>
      </c>
      <c r="W166" s="193" t="str">
        <f>HYPERLINK("https://www.youtube.com/watch?v=NqAy7_M3Qs8","coL vs VP Game 3")</f>
        <v>coL vs VP Game 3</v>
      </c>
      <c r="X166" s="191" t="s">
        <v>247</v>
      </c>
      <c r="Y166" s="401" t="s">
        <v>81</v>
      </c>
      <c r="Z166" s="466" t="s">
        <v>111</v>
      </c>
      <c r="AA166" s="191" t="s">
        <v>122</v>
      </c>
      <c r="AC166" s="191" t="s">
        <v>33</v>
      </c>
      <c r="AD166" s="191" t="s">
        <v>123</v>
      </c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</row>
    <row r="167">
      <c r="A167" s="191" t="s">
        <v>124</v>
      </c>
      <c r="C167" s="474">
        <v>42221.0</v>
      </c>
      <c r="D167" s="408">
        <v>0.875</v>
      </c>
      <c r="E167" s="409">
        <v>0.5416666666666666</v>
      </c>
      <c r="F167" s="410">
        <v>0.6666666666666666</v>
      </c>
      <c r="G167" s="411">
        <v>0.9166666666666666</v>
      </c>
      <c r="H167" s="412">
        <v>0.16666666666666666</v>
      </c>
      <c r="I167" s="413">
        <v>0.25</v>
      </c>
      <c r="J167" s="459" t="str">
        <f t="shared" si="11"/>
        <v>Secret</v>
      </c>
      <c r="K167" s="191" t="s">
        <v>33</v>
      </c>
      <c r="L167" s="460" t="str">
        <f t="shared" si="12"/>
        <v>iG</v>
      </c>
      <c r="N167" s="401" t="s">
        <v>102</v>
      </c>
      <c r="O167" s="87"/>
      <c r="P167" s="193" t="str">
        <f>HYPERLINK("http://dota.nyoron.co/ti5/main3/1689417916.dem.zip","1689417916")</f>
        <v>1689417916</v>
      </c>
      <c r="R167" s="66" t="str">
        <f>HYPERLINK("http://dota.nyoron.co/ti5/main3/1689486729.dem.zip","1689486729")</f>
        <v>1689486729</v>
      </c>
      <c r="S167" s="461" t="str">
        <f>HYPERLINK("http://dota.nyoron.co/ti5/main3/1689526977.dem.zip","1689526977")</f>
        <v>1689526977</v>
      </c>
      <c r="T167" s="465" t="str">
        <f>HYPERLINK("https://www.youtube.com/watch?v=0b66Sv_taFs","Secret vs iG Game1")</f>
        <v>Secret vs iG Game1</v>
      </c>
      <c r="V167" s="193" t="str">
        <f>HYPERLINK("https://www.youtube.com/watch?v=X84YOxSqD5s","Secret vs iG Game2")</f>
        <v>Secret vs iG Game2</v>
      </c>
      <c r="W167" s="193" t="str">
        <f>HYPERLINK("https://www.youtube.com/watch?v=zdcD5srHXfc","Secret vs iG Game3")</f>
        <v>Secret vs iG Game3</v>
      </c>
      <c r="X167" s="191" t="s">
        <v>237</v>
      </c>
      <c r="Y167" s="401" t="s">
        <v>113</v>
      </c>
      <c r="Z167" s="466" t="s">
        <v>77</v>
      </c>
      <c r="AA167" s="191" t="s">
        <v>125</v>
      </c>
      <c r="AC167" s="191" t="s">
        <v>33</v>
      </c>
      <c r="AD167" s="191" t="s">
        <v>126</v>
      </c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</row>
    <row r="168">
      <c r="A168" s="191" t="s">
        <v>127</v>
      </c>
      <c r="C168" s="474">
        <v>42221.0</v>
      </c>
      <c r="D168" s="408">
        <v>0.0</v>
      </c>
      <c r="E168" s="409">
        <v>0.6666666666666666</v>
      </c>
      <c r="F168" s="410">
        <v>0.7916666666666666</v>
      </c>
      <c r="G168" s="411">
        <v>0.041666666666666664</v>
      </c>
      <c r="H168" s="412">
        <v>0.2916666666666667</v>
      </c>
      <c r="I168" s="413">
        <v>0.375</v>
      </c>
      <c r="J168" s="460" t="str">
        <f>Y154</f>
        <v>LGD</v>
      </c>
      <c r="K168" s="191" t="s">
        <v>33</v>
      </c>
      <c r="L168" s="459" t="str">
        <f>Y155</f>
        <v>CDEC</v>
      </c>
      <c r="N168" s="401" t="s">
        <v>100</v>
      </c>
      <c r="O168" s="87"/>
      <c r="P168" s="66" t="str">
        <f>HYPERLINK("http://dota.nyoron.co/ti5/main3/1689593268.dem.zip","1689593268")</f>
        <v>1689593268</v>
      </c>
      <c r="R168" s="66" t="str">
        <f>HYPERLINK("http://dota.nyoron.co/ti5/main3/1689659635.dem.zip","1689659635")</f>
        <v>1689659635</v>
      </c>
      <c r="S168" s="471" t="s">
        <v>44</v>
      </c>
      <c r="T168" s="465" t="str">
        <f>HYPERLINK("https://www.youtube.com/watch?v=C1LQwh6OtKI","LGD vs CDEC Game 1")</f>
        <v>LGD vs CDEC Game 1</v>
      </c>
      <c r="V168" s="193" t="str">
        <f>HYPERLINK("https://www.youtube.com/watch?v=IhzAhvUghJY","LGD vs CDEC Game 2")</f>
        <v>LGD vs CDEC Game 2</v>
      </c>
      <c r="W168" s="191" t="s">
        <v>44</v>
      </c>
      <c r="X168" s="191" t="s">
        <v>240</v>
      </c>
      <c r="Y168" s="401" t="s">
        <v>32</v>
      </c>
      <c r="Z168" s="378" t="s">
        <v>66</v>
      </c>
      <c r="AA168" s="191" t="s">
        <v>128</v>
      </c>
      <c r="AC168" s="191" t="s">
        <v>33</v>
      </c>
      <c r="AD168" s="191" t="s">
        <v>129</v>
      </c>
      <c r="AG168" s="217"/>
      <c r="AH168" s="217"/>
      <c r="AI168" s="217"/>
      <c r="AJ168" s="217"/>
      <c r="AK168" s="217"/>
      <c r="AL168" s="217"/>
      <c r="AM168" s="217"/>
      <c r="AN168" s="217"/>
      <c r="AO168" s="217"/>
      <c r="AP168" s="217"/>
      <c r="AQ168" s="217"/>
    </row>
    <row r="169">
      <c r="A169" s="191" t="s">
        <v>130</v>
      </c>
      <c r="C169" s="474">
        <v>42221.0</v>
      </c>
      <c r="D169" s="408">
        <v>0.125</v>
      </c>
      <c r="E169" s="409">
        <v>0.7916666666666666</v>
      </c>
      <c r="F169" s="410">
        <v>0.9166666666666666</v>
      </c>
      <c r="G169" s="411">
        <v>0.16666666666666666</v>
      </c>
      <c r="H169" s="412">
        <v>0.4166666666666667</v>
      </c>
      <c r="I169" s="413">
        <v>0.5</v>
      </c>
      <c r="J169" s="459" t="str">
        <f>Y161</f>
        <v>EG</v>
      </c>
      <c r="K169" s="191" t="s">
        <v>33</v>
      </c>
      <c r="L169" s="460" t="str">
        <f>Y162</f>
        <v>EHOME</v>
      </c>
      <c r="N169" s="383" t="s">
        <v>52</v>
      </c>
      <c r="O169" s="87"/>
      <c r="P169" s="66" t="str">
        <f>HYPERLINK("http://dota.nyoron.co/ti5/main3/1689744737.dem.zip","1689744737")</f>
        <v>1689744737</v>
      </c>
      <c r="R169" s="66" t="str">
        <f>HYPERLINK("http://dota.nyoron.co/ti5/main3/1689812780.dem.zip","1689812780")</f>
        <v>1689812780</v>
      </c>
      <c r="S169" s="461" t="str">
        <f>HYPERLINK("http://dota.nyoron.co/ti5/main3/1689893744.dem.zip","1689893744")</f>
        <v>1689893744</v>
      </c>
      <c r="T169" s="465" t="str">
        <f>HYPERLINK("https://www.youtube.com/watch?v=VQBDwNUexEc","EG vs EHOME Game 1")</f>
        <v>EG vs EHOME Game 1</v>
      </c>
      <c r="V169" s="465" t="str">
        <f>HYPERLINK("https://www.youtube.com/watch?v=Nipm4KqSAgA","EG vs EHOME Game 2")</f>
        <v>EG vs EHOME Game 2</v>
      </c>
      <c r="W169" s="465" t="str">
        <f>HYPERLINK("https://www.youtube.com/watch?v=I7_2zJK_ypU","EG vs EHOME Game 3")</f>
        <v>EG vs EHOME Game 3</v>
      </c>
      <c r="X169" s="191" t="s">
        <v>237</v>
      </c>
      <c r="Y169" s="401" t="s">
        <v>84</v>
      </c>
      <c r="Z169" s="378" t="s">
        <v>92</v>
      </c>
      <c r="AA169" s="191" t="s">
        <v>131</v>
      </c>
      <c r="AC169" s="191" t="s">
        <v>33</v>
      </c>
      <c r="AD169" s="191" t="s">
        <v>132</v>
      </c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</row>
    <row r="170">
      <c r="A170" s="50"/>
      <c r="C170" s="467"/>
      <c r="D170" s="415"/>
      <c r="E170" s="50"/>
      <c r="F170" s="50"/>
      <c r="G170" s="50"/>
      <c r="H170" s="50"/>
      <c r="I170" s="416"/>
      <c r="J170" s="50"/>
      <c r="K170" s="50"/>
      <c r="L170" s="50"/>
      <c r="N170" s="415"/>
      <c r="O170" s="87"/>
      <c r="P170" s="439" t="str">
        <f>HYPERLINK("http://dota.nyoron.co/ti5/main3/main3.zip","Download all Main Event Day 3 replays here")</f>
        <v>Download all Main Event Day 3 replays here</v>
      </c>
      <c r="T170" s="50"/>
      <c r="V170" s="50"/>
      <c r="W170" s="50"/>
      <c r="X170" s="50"/>
      <c r="Y170" s="415"/>
      <c r="Z170" s="416"/>
      <c r="AA170" s="50"/>
      <c r="AC170" s="362"/>
      <c r="AD170" s="297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</row>
    <row r="171">
      <c r="A171" s="191" t="s">
        <v>133</v>
      </c>
      <c r="C171" s="476">
        <v>42222.0</v>
      </c>
      <c r="D171" s="408">
        <v>0.75</v>
      </c>
      <c r="E171" s="409">
        <v>0.4166666666666667</v>
      </c>
      <c r="F171" s="410">
        <v>0.5416666666666666</v>
      </c>
      <c r="G171" s="411">
        <v>0.7916666666666666</v>
      </c>
      <c r="H171" s="412">
        <v>0.041666666666666664</v>
      </c>
      <c r="I171" s="413">
        <v>0.125</v>
      </c>
      <c r="J171" s="460" t="s">
        <v>134</v>
      </c>
      <c r="K171" s="191" t="s">
        <v>33</v>
      </c>
      <c r="L171" s="459" t="str">
        <f>Y164</f>
        <v>VG</v>
      </c>
      <c r="N171" s="401" t="s">
        <v>100</v>
      </c>
      <c r="O171" s="87"/>
      <c r="P171" s="193" t="str">
        <f>HYPERLINK("http://dota.nyoron.co/ti5/main4/1691612847.dem.zip","1691612847")</f>
        <v>1691612847</v>
      </c>
      <c r="R171" s="193" t="str">
        <f>HYPERLINK("http://dota.nyoron.co/ti5/main4/1691714801.dem.zip","1691714801")</f>
        <v>1691714801</v>
      </c>
      <c r="S171" s="471" t="s">
        <v>44</v>
      </c>
      <c r="T171" s="465" t="str">
        <f>HYPERLINK("https://www.youtube.com/watch?v=H9J2qqjQh8U","MVP.P vs VG Game 1")</f>
        <v>MVP.P vs VG Game 1</v>
      </c>
      <c r="V171" s="465" t="str">
        <f>HYPERLINK("https://www.youtube.com/watch?v=DkVMh8faQI0","MVP.P vs VG Game 2")</f>
        <v>MVP.P vs VG Game 2</v>
      </c>
      <c r="W171" s="191" t="s">
        <v>44</v>
      </c>
      <c r="X171" s="191" t="s">
        <v>240</v>
      </c>
      <c r="Y171" s="401" t="s">
        <v>87</v>
      </c>
      <c r="Z171" s="466" t="s">
        <v>134</v>
      </c>
      <c r="AA171" s="191" t="s">
        <v>135</v>
      </c>
      <c r="AC171" s="191" t="s">
        <v>33</v>
      </c>
      <c r="AD171" s="191" t="s">
        <v>136</v>
      </c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</row>
    <row r="172">
      <c r="A172" s="191" t="s">
        <v>137</v>
      </c>
      <c r="C172" s="476">
        <v>42222.0</v>
      </c>
      <c r="D172" s="408">
        <v>0.875</v>
      </c>
      <c r="E172" s="409">
        <v>0.5416666666666666</v>
      </c>
      <c r="F172" s="410">
        <v>0.6666666666666666</v>
      </c>
      <c r="G172" s="411">
        <v>0.9166666666666666</v>
      </c>
      <c r="H172" s="412">
        <v>0.16666666666666666</v>
      </c>
      <c r="I172" s="413">
        <v>0.25</v>
      </c>
      <c r="J172" s="459" t="str">
        <f>Y166</f>
        <v>Virtus Pro</v>
      </c>
      <c r="K172" s="191" t="s">
        <v>33</v>
      </c>
      <c r="L172" s="460" t="str">
        <f>Y167</f>
        <v>Secret</v>
      </c>
      <c r="N172" s="383" t="s">
        <v>52</v>
      </c>
      <c r="O172" s="87"/>
      <c r="P172" s="193" t="str">
        <f>HYPERLINK("http://dota.nyoron.co/ti5/main4/1691817562.dem.zip","1691817562")</f>
        <v>1691817562</v>
      </c>
      <c r="R172" s="193" t="str">
        <f>HYPERLINK("http://dota.nyoron.co/ti5/main4/1691887181.dem.zip","1691887181")</f>
        <v>1691887181</v>
      </c>
      <c r="S172" s="475" t="str">
        <f>HYPERLINK("http://dota.nyoron.co/ti5/main4/1691952611.dem.zip","1691952611")</f>
        <v>1691952611</v>
      </c>
      <c r="T172" s="465" t="str">
        <f>HYPERLINK("https://www.youtube.com/watch?v=VFgmfzNFfTw","VP vs Secret Game 1")</f>
        <v>VP vs Secret Game 1</v>
      </c>
      <c r="V172" s="193" t="str">
        <f>HYPERLINK("https://www.youtube.com/watch?v=TEOYTopk4-Y","VP vs Secret Game 2")</f>
        <v>VP vs Secret Game 2</v>
      </c>
      <c r="W172" s="193" t="str">
        <f>HYPERLINK("https://www.youtube.com/watch?v=pwMNCFyxUXg","VP vs Secret Game 3")</f>
        <v>VP vs Secret Game 3</v>
      </c>
      <c r="X172" s="191" t="s">
        <v>237</v>
      </c>
      <c r="Y172" s="401" t="s">
        <v>95</v>
      </c>
      <c r="Z172" s="466" t="s">
        <v>113</v>
      </c>
      <c r="AA172" s="191" t="s">
        <v>138</v>
      </c>
      <c r="AC172" s="191" t="s">
        <v>33</v>
      </c>
      <c r="AD172" s="191" t="s">
        <v>139</v>
      </c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</row>
    <row r="173">
      <c r="A173" s="191" t="s">
        <v>140</v>
      </c>
      <c r="C173" s="476">
        <v>42222.0</v>
      </c>
      <c r="D173" s="408">
        <v>0.0</v>
      </c>
      <c r="E173" s="409">
        <v>0.6666666666666666</v>
      </c>
      <c r="F173" s="410">
        <v>0.7916666666666666</v>
      </c>
      <c r="G173" s="411">
        <v>0.041666666666666664</v>
      </c>
      <c r="H173" s="412">
        <v>0.2916666666666667</v>
      </c>
      <c r="I173" s="413">
        <v>0.375</v>
      </c>
      <c r="J173" s="460" t="s">
        <v>92</v>
      </c>
      <c r="K173" s="191" t="s">
        <v>33</v>
      </c>
      <c r="L173" s="459" t="str">
        <f>Y171</f>
        <v>VG</v>
      </c>
      <c r="N173" s="401" t="s">
        <v>100</v>
      </c>
      <c r="O173" s="87"/>
      <c r="P173" s="193" t="str">
        <f>HYPERLINK("http://dota.nyoron.co/ti5/main4/1692027822.dem.zip","1692027822")</f>
        <v>1692027822</v>
      </c>
      <c r="R173" s="193" t="str">
        <f>HYPERLINK("http://dota.nyoron.co/ti5/main4/1692105377.dem.zip","1692105377")</f>
        <v>1692105377</v>
      </c>
      <c r="S173" s="471" t="s">
        <v>44</v>
      </c>
      <c r="T173" s="465" t="str">
        <f>HYPERLINK("https://www.youtube.com/watch?v=RyPEqre6EPI","EHOME vs VG Game 1")</f>
        <v>EHOME vs VG Game 1</v>
      </c>
      <c r="V173" s="193" t="str">
        <f>HYPERLINK("https://www.youtube.com/watch?v=S-oMpfj0FDw","EHOME vs VG Game 2")</f>
        <v>EHOME vs VG Game 2</v>
      </c>
      <c r="W173" s="191" t="s">
        <v>44</v>
      </c>
      <c r="X173" s="191" t="s">
        <v>240</v>
      </c>
      <c r="Y173" s="401" t="s">
        <v>87</v>
      </c>
      <c r="Z173" s="466" t="s">
        <v>92</v>
      </c>
      <c r="AA173" s="191" t="s">
        <v>141</v>
      </c>
      <c r="AC173" s="191" t="s">
        <v>33</v>
      </c>
      <c r="AD173" s="191" t="s">
        <v>142</v>
      </c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</row>
    <row r="174">
      <c r="A174" s="191" t="s">
        <v>143</v>
      </c>
      <c r="C174" s="476">
        <v>42222.0</v>
      </c>
      <c r="D174" s="408">
        <v>0.125</v>
      </c>
      <c r="E174" s="409">
        <v>0.7916666666666666</v>
      </c>
      <c r="F174" s="410">
        <v>0.9166666666666666</v>
      </c>
      <c r="G174" s="411">
        <v>0.16666666666666666</v>
      </c>
      <c r="H174" s="412">
        <v>0.4166666666666667</v>
      </c>
      <c r="I174" s="413">
        <v>0.5</v>
      </c>
      <c r="J174" s="477" t="s">
        <v>144</v>
      </c>
      <c r="K174" s="191" t="s">
        <v>33</v>
      </c>
      <c r="L174" s="478" t="s">
        <v>145</v>
      </c>
      <c r="N174" s="383" t="s">
        <v>248</v>
      </c>
      <c r="O174" s="87"/>
      <c r="P174" s="50"/>
      <c r="R174" s="50"/>
      <c r="S174" s="416"/>
      <c r="T174" s="194" t="str">
        <f>HYPERLINK("https://www.youtube.com/watch?v=CnAPQQ5t0JM","ALL-STAR MATCH SURPRISE")</f>
        <v>ALL-STAR MATCH SURPRISE</v>
      </c>
      <c r="W174" s="193" t="str">
        <f>HYPERLINK("https://www.youtube.com/watch?v=ltMsrON0xcM","ALL-STAR MATCH")</f>
        <v>ALL-STAR MATCH</v>
      </c>
      <c r="X174" s="50"/>
      <c r="Y174" s="401" t="s">
        <v>144</v>
      </c>
      <c r="Z174" s="378" t="s">
        <v>145</v>
      </c>
      <c r="AA174" s="50"/>
      <c r="AC174" s="362"/>
      <c r="AD174" s="297"/>
      <c r="AG174" s="50"/>
      <c r="AH174" s="50"/>
      <c r="AI174" s="50"/>
      <c r="AJ174" s="50"/>
      <c r="AK174" s="50"/>
      <c r="AL174" s="50"/>
      <c r="AM174" s="50"/>
      <c r="AN174" s="50"/>
      <c r="AO174" s="217"/>
      <c r="AP174" s="217"/>
      <c r="AQ174" s="217"/>
    </row>
    <row r="175">
      <c r="A175" s="362"/>
      <c r="J175" s="479" t="s">
        <v>249</v>
      </c>
      <c r="K175" s="362"/>
      <c r="L175" s="480" t="s">
        <v>250</v>
      </c>
      <c r="M175" s="246"/>
      <c r="N175" s="481"/>
      <c r="O175" s="87"/>
      <c r="P175" s="439" t="str">
        <f>HYPERLINK("http://dota.nyoron.co/ti5/main4/main4.zip","Download all Main Event Day 4 replays here")</f>
        <v>Download all Main Event Day 4 replays here</v>
      </c>
      <c r="T175" s="362"/>
      <c r="Y175" s="482"/>
      <c r="Z175" s="87"/>
      <c r="AA175" s="362"/>
      <c r="AG175" s="362"/>
      <c r="AH175" s="362"/>
      <c r="AI175" s="362"/>
      <c r="AJ175" s="362"/>
      <c r="AK175" s="50"/>
      <c r="AL175" s="50"/>
      <c r="AM175" s="50"/>
      <c r="AN175" s="50"/>
      <c r="AO175" s="217"/>
      <c r="AP175" s="217"/>
      <c r="AQ175" s="217"/>
    </row>
    <row r="176">
      <c r="J176" s="123" t="s">
        <v>251</v>
      </c>
      <c r="L176" s="401" t="s">
        <v>252</v>
      </c>
      <c r="M176" s="87"/>
      <c r="O176" s="87"/>
      <c r="P176" s="50"/>
      <c r="Y176" s="315"/>
      <c r="Z176" s="87"/>
      <c r="AG176" s="362"/>
      <c r="AH176" s="362"/>
      <c r="AI176" s="362"/>
      <c r="AJ176" s="362"/>
      <c r="AK176" s="50"/>
      <c r="AL176" s="50"/>
      <c r="AM176" s="50"/>
      <c r="AN176" s="50"/>
      <c r="AO176" s="217"/>
      <c r="AP176" s="217"/>
      <c r="AQ176" s="217"/>
    </row>
    <row r="177">
      <c r="J177" s="123" t="s">
        <v>253</v>
      </c>
      <c r="L177" s="401" t="s">
        <v>254</v>
      </c>
      <c r="M177" s="87"/>
      <c r="O177" s="87"/>
      <c r="Y177" s="315"/>
      <c r="Z177" s="87"/>
      <c r="AG177" s="362"/>
      <c r="AH177" s="362"/>
      <c r="AI177" s="362"/>
      <c r="AJ177" s="362"/>
      <c r="AK177" s="50"/>
      <c r="AL177" s="50"/>
      <c r="AM177" s="50"/>
      <c r="AN177" s="50"/>
      <c r="AO177" s="217"/>
      <c r="AP177" s="217"/>
      <c r="AQ177" s="217"/>
    </row>
    <row r="178">
      <c r="J178" s="123" t="s">
        <v>255</v>
      </c>
      <c r="L178" s="401" t="s">
        <v>256</v>
      </c>
      <c r="M178" s="87"/>
      <c r="O178" s="87"/>
      <c r="Y178" s="315"/>
      <c r="Z178" s="87"/>
      <c r="AG178" s="362"/>
      <c r="AH178" s="362"/>
      <c r="AI178" s="362"/>
      <c r="AJ178" s="362"/>
      <c r="AK178" s="50"/>
      <c r="AL178" s="50"/>
      <c r="AM178" s="50"/>
      <c r="AN178" s="50"/>
      <c r="AO178" s="217"/>
      <c r="AP178" s="217"/>
      <c r="AQ178" s="217"/>
    </row>
    <row r="179">
      <c r="J179" s="483" t="s">
        <v>257</v>
      </c>
      <c r="L179" s="484" t="s">
        <v>258</v>
      </c>
      <c r="M179" s="249"/>
      <c r="O179" s="87"/>
      <c r="Y179" s="315"/>
      <c r="Z179" s="87"/>
      <c r="AG179" s="362"/>
      <c r="AH179" s="362"/>
      <c r="AI179" s="362"/>
      <c r="AJ179" s="362"/>
      <c r="AK179" s="50"/>
      <c r="AL179" s="50"/>
      <c r="AM179" s="50"/>
      <c r="AN179" s="50"/>
      <c r="AO179" s="217"/>
      <c r="AP179" s="217"/>
      <c r="AQ179" s="217"/>
    </row>
    <row r="180">
      <c r="A180" s="50"/>
    </row>
    <row r="181">
      <c r="A181" s="191" t="s">
        <v>147</v>
      </c>
      <c r="C181" s="485">
        <v>42223.0</v>
      </c>
      <c r="D181" s="408">
        <v>0.75</v>
      </c>
      <c r="E181" s="409">
        <v>0.4166666666666667</v>
      </c>
      <c r="F181" s="410">
        <v>0.5416666666666666</v>
      </c>
      <c r="G181" s="411">
        <v>0.7916666666666666</v>
      </c>
      <c r="H181" s="412">
        <v>0.041666666666666664</v>
      </c>
      <c r="I181" s="413">
        <v>0.125</v>
      </c>
      <c r="J181" s="459" t="str">
        <f>Z168</f>
        <v>LGD</v>
      </c>
      <c r="K181" s="191" t="s">
        <v>33</v>
      </c>
      <c r="L181" s="460" t="s">
        <v>95</v>
      </c>
      <c r="N181" s="401" t="s">
        <v>100</v>
      </c>
      <c r="O181" s="87"/>
      <c r="P181" s="193" t="str">
        <f>HYPERLINK("http://dota.nyoron.co/ti5/main5/1694261668.dem.zip","1694261668")</f>
        <v>1694261668</v>
      </c>
      <c r="R181" s="193" t="str">
        <f>HYPERLINK("http://dota.nyoron.co/ti5/main5/1694392262.dem.zip","1694392262")</f>
        <v>1694392262</v>
      </c>
      <c r="S181" s="378" t="s">
        <v>44</v>
      </c>
      <c r="T181" s="193" t="str">
        <f>HYPERLINK("https://www.youtube.com/watch?v=_CM_M-inl1w","LGD vs VP Game 1")</f>
        <v>LGD vs VP Game 1</v>
      </c>
      <c r="V181" s="193" t="str">
        <f>HYPERLINK("https://www.youtube.com/watch?v=vr3wbH-4iQ0","LGD vs VP Game 2")</f>
        <v>LGD vs VP Game 2</v>
      </c>
      <c r="W181" s="191" t="s">
        <v>44</v>
      </c>
      <c r="X181" s="378" t="s">
        <v>238</v>
      </c>
      <c r="Y181" s="191" t="s">
        <v>66</v>
      </c>
      <c r="Z181" s="466" t="s">
        <v>95</v>
      </c>
      <c r="AA181" s="191" t="s">
        <v>148</v>
      </c>
      <c r="AC181" s="191" t="s">
        <v>33</v>
      </c>
      <c r="AD181" s="191" t="s">
        <v>149</v>
      </c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</row>
    <row r="182">
      <c r="A182" s="191" t="s">
        <v>150</v>
      </c>
      <c r="C182" s="485">
        <v>42223.0</v>
      </c>
      <c r="D182" s="408">
        <v>0.875</v>
      </c>
      <c r="E182" s="409">
        <v>0.5416666666666666</v>
      </c>
      <c r="F182" s="410">
        <v>0.6666666666666666</v>
      </c>
      <c r="G182" s="411">
        <v>0.9166666666666666</v>
      </c>
      <c r="H182" s="412">
        <v>0.16666666666666666</v>
      </c>
      <c r="I182" s="413">
        <v>0.25</v>
      </c>
      <c r="J182" s="459" t="str">
        <f>Y168</f>
        <v>CDEC</v>
      </c>
      <c r="K182" s="191" t="s">
        <v>33</v>
      </c>
      <c r="L182" s="460" t="str">
        <f>Y169</f>
        <v>EG</v>
      </c>
      <c r="N182" s="401" t="s">
        <v>259</v>
      </c>
      <c r="O182" s="87"/>
      <c r="P182" s="193" t="str">
        <f>HYPERLINK("http://dota.nyoron.co/ti5/main5/1694506494.dem.zip","1694506494")</f>
        <v>1694506494</v>
      </c>
      <c r="R182" s="193" t="str">
        <f>HYPERLINK("http://dota.nyoron.co/ti5/main5/1694607827.dem.zip","1694607827")</f>
        <v>1694607827</v>
      </c>
      <c r="S182" s="378" t="s">
        <v>44</v>
      </c>
      <c r="T182" s="193" t="str">
        <f>HYPERLINK("https://www.youtube.com/watch?v=LdCcooLh7VI","CDEC vs EG Game 1")</f>
        <v>CDEC vs EG Game 1</v>
      </c>
      <c r="V182" s="193" t="str">
        <f>HYPERLINK("https://www.youtube.com/watch?v=_nch0l8mZ30","CDEC vs EG Game 2")</f>
        <v>CDEC vs EG Game 2</v>
      </c>
      <c r="W182" s="191" t="s">
        <v>44</v>
      </c>
      <c r="X182" s="378" t="s">
        <v>238</v>
      </c>
      <c r="Y182" s="191" t="s">
        <v>32</v>
      </c>
      <c r="Z182" s="378" t="s">
        <v>84</v>
      </c>
      <c r="AA182" s="191" t="s">
        <v>151</v>
      </c>
      <c r="AC182" s="191" t="s">
        <v>33</v>
      </c>
      <c r="AD182" s="191" t="s">
        <v>152</v>
      </c>
      <c r="AG182" s="217"/>
      <c r="AH182" s="217"/>
      <c r="AI182" s="217"/>
      <c r="AJ182" s="217"/>
      <c r="AK182" s="217"/>
      <c r="AL182" s="217"/>
      <c r="AM182" s="217"/>
      <c r="AN182" s="217"/>
      <c r="AO182" s="217"/>
      <c r="AP182" s="217"/>
      <c r="AQ182" s="217"/>
    </row>
    <row r="183">
      <c r="A183" s="191" t="s">
        <v>153</v>
      </c>
      <c r="C183" s="485">
        <v>42223.0</v>
      </c>
      <c r="D183" s="408">
        <v>0.0</v>
      </c>
      <c r="E183" s="409">
        <v>0.6666666666666666</v>
      </c>
      <c r="F183" s="410">
        <v>0.7916666666666666</v>
      </c>
      <c r="G183" s="411">
        <v>0.041666666666666664</v>
      </c>
      <c r="H183" s="412">
        <v>0.2916666666666667</v>
      </c>
      <c r="I183" s="413">
        <v>0.375</v>
      </c>
      <c r="J183" s="460" t="str">
        <f>Y173</f>
        <v>VG</v>
      </c>
      <c r="K183" s="191" t="s">
        <v>33</v>
      </c>
      <c r="L183" s="459" t="str">
        <f>Y181</f>
        <v>LGD</v>
      </c>
      <c r="N183" s="401" t="s">
        <v>102</v>
      </c>
      <c r="O183" s="87"/>
      <c r="P183" s="193" t="str">
        <f>HYPERLINK("http://dota.nyoron.co/ti5/main5/1694672562.dem.zip","1694672562")</f>
        <v>1694672562</v>
      </c>
      <c r="R183" s="193" t="str">
        <f>HYPERLINK("http://dota.nyoron.co/ti5/main5/1694734460.dem.zip","1694734460")</f>
        <v>1694734460</v>
      </c>
      <c r="S183" s="436" t="str">
        <f>HYPERLINK("http://dota.nyoron.co/ti5/main5/1694785141.dem.zip","1694785141")</f>
        <v>1694785141</v>
      </c>
      <c r="T183" s="193" t="str">
        <f>HYPERLINK("https://www.youtube.com/watch?v=XI6mtz9c7V0","VG vs LGD Game1")</f>
        <v>VG vs LGD Game1</v>
      </c>
      <c r="V183" s="193" t="str">
        <f>HYPERLINK("https://www.youtube.com/watch?v=Y__m6Ocn9RY","VG vs LGD Game 2")</f>
        <v>VG vs LGD Game 2</v>
      </c>
      <c r="W183" s="193" t="str">
        <f>HYPERLINK("https://www.youtube.com/watch?v=6-5pzlNhjoc","VG vs LGD Game 3")</f>
        <v>VG vs LGD Game 3</v>
      </c>
      <c r="X183" s="191" t="s">
        <v>247</v>
      </c>
      <c r="Y183" s="401" t="s">
        <v>66</v>
      </c>
      <c r="Z183" s="466" t="s">
        <v>87</v>
      </c>
      <c r="AA183" s="191" t="s">
        <v>154</v>
      </c>
      <c r="AC183" s="191" t="s">
        <v>33</v>
      </c>
      <c r="AD183" s="191" t="s">
        <v>155</v>
      </c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</row>
    <row r="184">
      <c r="A184" s="88"/>
      <c r="C184" s="486"/>
      <c r="D184" s="487"/>
      <c r="E184" s="364"/>
      <c r="F184" s="364"/>
      <c r="G184" s="364"/>
      <c r="H184" s="488"/>
      <c r="I184" s="489"/>
      <c r="J184" s="364"/>
      <c r="K184" s="88"/>
      <c r="L184" s="364"/>
      <c r="N184" s="487"/>
      <c r="O184" s="87"/>
      <c r="P184" s="439" t="str">
        <f>HYPERLINK("http://dota.nyoron.co/ti5/main5/main5.zip","Download all Main Event Day 5 replays here")</f>
        <v>Download all Main Event Day 5 replays here</v>
      </c>
      <c r="T184" s="50"/>
      <c r="U184" s="50"/>
      <c r="V184" s="50"/>
      <c r="W184" s="50"/>
      <c r="X184" s="50"/>
      <c r="Y184" s="120"/>
      <c r="Z184" s="185"/>
      <c r="AA184" s="88"/>
      <c r="AC184" s="187"/>
      <c r="AD184" s="187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</row>
    <row r="185">
      <c r="A185" s="198" t="s">
        <v>156</v>
      </c>
      <c r="C185" s="490">
        <v>42224.0</v>
      </c>
      <c r="D185" s="491">
        <v>0.75</v>
      </c>
      <c r="E185" s="492">
        <v>0.4166666666666667</v>
      </c>
      <c r="F185" s="493">
        <v>0.5416666666666666</v>
      </c>
      <c r="G185" s="494">
        <v>0.7916666666666666</v>
      </c>
      <c r="H185" s="495">
        <v>0.041666666666666664</v>
      </c>
      <c r="I185" s="496">
        <v>0.125</v>
      </c>
      <c r="J185" s="497" t="str">
        <f>Z182</f>
        <v>EG</v>
      </c>
      <c r="K185" s="92" t="s">
        <v>33</v>
      </c>
      <c r="L185" s="290" t="str">
        <f>Y183</f>
        <v>LGD</v>
      </c>
      <c r="N185" s="498" t="s">
        <v>102</v>
      </c>
      <c r="O185" s="87"/>
      <c r="P185" s="193" t="str">
        <f>HYPERLINK("http://dota.nyoron.co/ti5/main6/1697230041.dem.zip","1697230041")</f>
        <v>1697230041</v>
      </c>
      <c r="R185" s="193" t="str">
        <f>HYPERLINK("http://dota.nyoron.co/ti5/main6/1697367568.dem.zip","1697367568")</f>
        <v>1697367568</v>
      </c>
      <c r="S185" s="378" t="s">
        <v>157</v>
      </c>
      <c r="T185" s="193" t="str">
        <f>HYPERLINK("https://www.youtube.com/watch?v=6o4gldDfglI","EG vs LGD Game 1")</f>
        <v>EG vs LGD Game 1</v>
      </c>
      <c r="V185" s="94" t="str">
        <f>HYPERLINK("https://www.youtube.com/watch?v=hAjuVR8Etms","EG vs LGD Game 2")</f>
        <v>EG vs LGD Game 2</v>
      </c>
      <c r="W185" s="191" t="s">
        <v>44</v>
      </c>
      <c r="X185" s="191" t="s">
        <v>238</v>
      </c>
      <c r="Y185" s="499" t="s">
        <v>84</v>
      </c>
      <c r="Z185" s="500" t="s">
        <v>66</v>
      </c>
      <c r="AA185" s="92" t="s">
        <v>158</v>
      </c>
      <c r="AC185" s="92" t="s">
        <v>33</v>
      </c>
      <c r="AD185" s="92" t="s">
        <v>159</v>
      </c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>
      <c r="A186" s="92" t="s">
        <v>160</v>
      </c>
      <c r="C186" s="490">
        <v>42224.0</v>
      </c>
      <c r="D186" s="491">
        <v>0.875</v>
      </c>
      <c r="E186" s="492">
        <v>0.5416666666666666</v>
      </c>
      <c r="F186" s="493">
        <v>0.6666666666666666</v>
      </c>
      <c r="G186" s="494">
        <v>0.9166666666666666</v>
      </c>
      <c r="H186" s="495">
        <v>0.16666666666666666</v>
      </c>
      <c r="I186" s="496">
        <v>0.25</v>
      </c>
      <c r="J186" s="290" t="str">
        <f>Y182</f>
        <v>CDEC</v>
      </c>
      <c r="K186" s="92" t="s">
        <v>33</v>
      </c>
      <c r="L186" s="497" t="str">
        <f>Y185</f>
        <v>EG</v>
      </c>
      <c r="N186" s="498" t="s">
        <v>100</v>
      </c>
      <c r="O186" s="87"/>
      <c r="P186" s="193" t="str">
        <f>HYPERLINK("http://dota.nyoron.co/ti5/main6/1697618202.dem.zip","1697618202")</f>
        <v>1697618202</v>
      </c>
      <c r="R186" s="193" t="str">
        <f>HYPERLINK("http://dota.nyoron.co/ti5/main6/1697676707.dem.zip","1697676707")</f>
        <v>1697676707</v>
      </c>
      <c r="S186" s="193" t="str">
        <f>HYPERLINK("http://dota.nyoron.co/ti5/main6/1697737102.dem.zip","1697737102")</f>
        <v>1697737102</v>
      </c>
      <c r="T186" s="435" t="str">
        <f>HYPERLINK("http://dota.nyoron.co/ti5/main6/1697818230.dem.zip","1697818230")</f>
        <v>1697818230</v>
      </c>
      <c r="U186" s="501" t="s">
        <v>44</v>
      </c>
      <c r="V186" s="94" t="str">
        <f>HYPERLINK("https://www.youtube.com/watch?v=6u2NuuVLFT0","All Games Stream (YouTube)")</f>
        <v>All Games Stream (YouTube)</v>
      </c>
      <c r="X186" s="191" t="s">
        <v>260</v>
      </c>
      <c r="Y186" s="502" t="s">
        <v>84</v>
      </c>
      <c r="Z186" s="503" t="s">
        <v>32</v>
      </c>
      <c r="AA186" s="92" t="s">
        <v>161</v>
      </c>
      <c r="AC186" s="92" t="s">
        <v>33</v>
      </c>
      <c r="AD186" s="92" t="s">
        <v>162</v>
      </c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>
      <c r="A187" s="88"/>
      <c r="C187" s="119"/>
      <c r="D187" s="364"/>
      <c r="E187" s="364"/>
      <c r="F187" s="364"/>
      <c r="G187" s="364"/>
      <c r="H187" s="364"/>
      <c r="I187" s="504"/>
      <c r="J187" s="364"/>
      <c r="K187" s="88"/>
      <c r="L187" s="364"/>
      <c r="N187" s="364"/>
      <c r="P187" s="439" t="str">
        <f>HYPERLINK("http://dota.nyoron.co/ti5/main6/main6.zip","Download all Main Event Day 5 replays here")</f>
        <v>Download all Main Event Day 5 replays here</v>
      </c>
      <c r="V187" s="187"/>
      <c r="W187" s="187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</row>
    <row r="188">
      <c r="A188" s="184"/>
      <c r="C188" s="184"/>
      <c r="D188" s="184"/>
      <c r="E188" s="184"/>
      <c r="F188" s="184"/>
      <c r="G188" s="184"/>
      <c r="H188" s="184"/>
      <c r="I188" s="184"/>
      <c r="J188" s="505"/>
      <c r="K188" s="184"/>
      <c r="L188" s="505"/>
      <c r="N188" s="505"/>
      <c r="P188" s="208"/>
      <c r="Q188" s="208"/>
      <c r="R188" s="208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</row>
    <row r="189">
      <c r="A189" s="184"/>
      <c r="C189" s="184"/>
      <c r="D189" s="184"/>
      <c r="E189" s="184"/>
      <c r="F189" s="184"/>
      <c r="G189" s="184"/>
      <c r="H189" s="184"/>
      <c r="I189" s="184"/>
      <c r="J189" s="505"/>
      <c r="K189" s="184"/>
      <c r="L189" s="505"/>
      <c r="N189" s="505"/>
      <c r="P189" s="208"/>
      <c r="Q189" s="208"/>
      <c r="R189" s="208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</row>
    <row r="190">
      <c r="A190" s="184"/>
      <c r="B190" s="184"/>
      <c r="C190" s="184"/>
      <c r="D190" s="184"/>
      <c r="E190" s="184"/>
      <c r="F190" s="184"/>
      <c r="G190" s="184"/>
      <c r="H190" s="184"/>
      <c r="I190" s="184"/>
      <c r="J190" s="505"/>
      <c r="K190" s="184"/>
      <c r="L190" s="505"/>
      <c r="N190" s="505"/>
      <c r="O190" s="506"/>
      <c r="P190" s="208"/>
      <c r="Q190" s="208"/>
      <c r="R190" s="208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</row>
    <row r="191">
      <c r="A191" s="184"/>
      <c r="B191" s="184"/>
      <c r="C191" s="184"/>
      <c r="D191" s="184"/>
      <c r="E191" s="184"/>
      <c r="F191" s="184"/>
      <c r="G191" s="184"/>
      <c r="H191" s="184"/>
      <c r="I191" s="184"/>
      <c r="J191" s="505"/>
      <c r="K191" s="184"/>
      <c r="L191" s="505"/>
      <c r="N191" s="505"/>
      <c r="O191" s="506"/>
      <c r="P191" s="208"/>
      <c r="Q191" s="208"/>
      <c r="R191" s="208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</row>
    <row r="192">
      <c r="A192" s="184"/>
      <c r="B192" s="184"/>
      <c r="C192" s="184"/>
      <c r="D192" s="184"/>
      <c r="E192" s="184"/>
      <c r="F192" s="184"/>
      <c r="G192" s="184"/>
      <c r="H192" s="184"/>
      <c r="I192" s="184"/>
      <c r="J192" s="505"/>
      <c r="K192" s="184"/>
      <c r="L192" s="505"/>
      <c r="N192" s="505"/>
      <c r="O192" s="506"/>
      <c r="P192" s="208"/>
      <c r="Q192" s="208"/>
      <c r="R192" s="208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</row>
    <row r="193">
      <c r="A193" s="184"/>
      <c r="B193" s="184"/>
      <c r="C193" s="184"/>
      <c r="D193" s="184"/>
      <c r="E193" s="184"/>
      <c r="F193" s="184"/>
      <c r="G193" s="184"/>
      <c r="H193" s="184"/>
      <c r="I193" s="184"/>
      <c r="J193" s="505"/>
      <c r="K193" s="184"/>
      <c r="L193" s="505"/>
      <c r="N193" s="505"/>
      <c r="O193" s="506"/>
      <c r="P193" s="208"/>
      <c r="Q193" s="208"/>
      <c r="R193" s="208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</row>
    <row r="194">
      <c r="A194" s="184"/>
      <c r="B194" s="184"/>
      <c r="C194" s="184"/>
      <c r="D194" s="184"/>
      <c r="E194" s="184"/>
      <c r="F194" s="184"/>
      <c r="G194" s="184"/>
      <c r="H194" s="184"/>
      <c r="I194" s="184"/>
      <c r="J194" s="505"/>
      <c r="K194" s="184"/>
      <c r="L194" s="505"/>
      <c r="N194" s="505"/>
      <c r="O194" s="506"/>
      <c r="P194" s="208"/>
      <c r="Q194" s="208"/>
      <c r="R194" s="208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</row>
    <row r="195">
      <c r="A195" s="184"/>
      <c r="B195" s="184"/>
      <c r="C195" s="184"/>
      <c r="D195" s="184"/>
      <c r="E195" s="184"/>
      <c r="F195" s="184"/>
      <c r="G195" s="184"/>
      <c r="H195" s="184"/>
      <c r="I195" s="184"/>
      <c r="J195" s="505"/>
      <c r="K195" s="184"/>
      <c r="L195" s="505"/>
      <c r="N195" s="505"/>
      <c r="O195" s="506"/>
      <c r="P195" s="208"/>
      <c r="Q195" s="208"/>
      <c r="R195" s="208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</row>
    <row r="196">
      <c r="A196" s="184"/>
      <c r="B196" s="184"/>
      <c r="C196" s="184"/>
      <c r="D196" s="184"/>
      <c r="E196" s="184"/>
      <c r="F196" s="184"/>
      <c r="G196" s="184"/>
      <c r="H196" s="184"/>
      <c r="I196" s="184"/>
      <c r="J196" s="505"/>
      <c r="K196" s="184"/>
      <c r="L196" s="505"/>
      <c r="N196" s="505"/>
      <c r="O196" s="506"/>
      <c r="P196" s="208"/>
      <c r="Q196" s="208"/>
      <c r="R196" s="208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</row>
    <row r="197">
      <c r="A197" s="184"/>
      <c r="B197" s="184"/>
      <c r="C197" s="184"/>
      <c r="D197" s="184"/>
      <c r="E197" s="184"/>
      <c r="F197" s="184"/>
      <c r="G197" s="184"/>
      <c r="H197" s="184"/>
      <c r="I197" s="184"/>
      <c r="J197" s="505"/>
      <c r="K197" s="184"/>
      <c r="L197" s="505"/>
      <c r="N197" s="505"/>
      <c r="O197" s="506"/>
      <c r="P197" s="208"/>
      <c r="Q197" s="208"/>
      <c r="R197" s="208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</row>
    <row r="198">
      <c r="A198" s="184"/>
      <c r="B198" s="184"/>
      <c r="C198" s="184"/>
      <c r="D198" s="184"/>
      <c r="E198" s="184"/>
      <c r="F198" s="184"/>
      <c r="G198" s="184"/>
      <c r="H198" s="184"/>
      <c r="I198" s="184"/>
      <c r="J198" s="505"/>
      <c r="K198" s="184"/>
      <c r="L198" s="505"/>
      <c r="N198" s="505"/>
      <c r="O198" s="506"/>
      <c r="P198" s="208"/>
      <c r="Q198" s="208"/>
      <c r="R198" s="208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</row>
    <row r="199">
      <c r="A199" s="184"/>
      <c r="B199" s="184"/>
      <c r="C199" s="184"/>
      <c r="D199" s="184"/>
      <c r="E199" s="184"/>
      <c r="F199" s="184"/>
      <c r="G199" s="184"/>
      <c r="H199" s="184"/>
      <c r="I199" s="184"/>
      <c r="J199" s="505"/>
      <c r="K199" s="184"/>
      <c r="L199" s="505"/>
      <c r="N199" s="505"/>
      <c r="O199" s="506"/>
      <c r="P199" s="208"/>
      <c r="Q199" s="208"/>
      <c r="R199" s="208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  <c r="AQ199" s="184"/>
    </row>
    <row r="200">
      <c r="A200" s="184"/>
      <c r="B200" s="184"/>
      <c r="C200" s="184"/>
      <c r="D200" s="184"/>
      <c r="E200" s="184"/>
      <c r="F200" s="184"/>
      <c r="G200" s="184"/>
      <c r="H200" s="184"/>
      <c r="I200" s="184"/>
      <c r="J200" s="505"/>
      <c r="K200" s="184"/>
      <c r="L200" s="505"/>
      <c r="N200" s="505"/>
      <c r="O200" s="506"/>
      <c r="P200" s="208"/>
      <c r="Q200" s="208"/>
      <c r="R200" s="208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  <c r="AQ200" s="184"/>
    </row>
    <row r="201">
      <c r="A201" s="184"/>
      <c r="B201" s="184"/>
      <c r="C201" s="184"/>
      <c r="D201" s="184"/>
      <c r="E201" s="184"/>
      <c r="F201" s="184"/>
      <c r="G201" s="184"/>
      <c r="H201" s="184"/>
      <c r="I201" s="184"/>
      <c r="J201" s="505"/>
      <c r="K201" s="184"/>
      <c r="L201" s="505"/>
      <c r="N201" s="505"/>
      <c r="O201" s="506"/>
      <c r="P201" s="208"/>
      <c r="Q201" s="208"/>
      <c r="R201" s="208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  <c r="AQ201" s="184"/>
    </row>
    <row r="202">
      <c r="A202" s="184"/>
      <c r="B202" s="184"/>
      <c r="C202" s="184"/>
      <c r="D202" s="184"/>
      <c r="E202" s="184"/>
      <c r="F202" s="184"/>
      <c r="G202" s="184"/>
      <c r="H202" s="184"/>
      <c r="I202" s="184"/>
      <c r="J202" s="505"/>
      <c r="K202" s="184"/>
      <c r="L202" s="505"/>
      <c r="N202" s="505"/>
      <c r="O202" s="506"/>
      <c r="P202" s="208"/>
      <c r="Q202" s="208"/>
      <c r="R202" s="208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</row>
    <row r="203">
      <c r="A203" s="184"/>
      <c r="B203" s="184"/>
      <c r="C203" s="184"/>
      <c r="D203" s="184"/>
      <c r="E203" s="184"/>
      <c r="F203" s="184"/>
      <c r="G203" s="184"/>
      <c r="H203" s="184"/>
      <c r="I203" s="184"/>
      <c r="J203" s="505"/>
      <c r="K203" s="184"/>
      <c r="L203" s="505"/>
      <c r="M203" s="505"/>
      <c r="N203" s="505"/>
      <c r="O203" s="506"/>
      <c r="P203" s="208"/>
      <c r="Q203" s="208"/>
      <c r="R203" s="208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</row>
    <row r="204">
      <c r="A204" s="184"/>
      <c r="B204" s="184"/>
      <c r="C204" s="184"/>
      <c r="D204" s="184"/>
      <c r="E204" s="184"/>
      <c r="F204" s="184"/>
      <c r="G204" s="184"/>
      <c r="H204" s="184"/>
      <c r="I204" s="184"/>
      <c r="J204" s="505"/>
      <c r="K204" s="184"/>
      <c r="L204" s="505"/>
      <c r="M204" s="505"/>
      <c r="N204" s="505"/>
      <c r="O204" s="506"/>
      <c r="P204" s="208"/>
      <c r="Q204" s="208"/>
      <c r="R204" s="208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</row>
    <row r="205">
      <c r="A205" s="184"/>
      <c r="B205" s="184"/>
      <c r="C205" s="184"/>
      <c r="D205" s="184"/>
      <c r="E205" s="184"/>
      <c r="F205" s="184"/>
      <c r="G205" s="184"/>
      <c r="H205" s="184"/>
      <c r="I205" s="184"/>
      <c r="J205" s="505"/>
      <c r="K205" s="184"/>
      <c r="L205" s="505"/>
      <c r="M205" s="505"/>
      <c r="N205" s="505"/>
      <c r="O205" s="506"/>
      <c r="P205" s="208"/>
      <c r="Q205" s="208"/>
      <c r="R205" s="208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</row>
    <row r="206">
      <c r="A206" s="184"/>
      <c r="B206" s="184"/>
      <c r="C206" s="184"/>
      <c r="D206" s="184"/>
      <c r="E206" s="184"/>
      <c r="F206" s="184"/>
      <c r="G206" s="184"/>
      <c r="H206" s="184"/>
      <c r="I206" s="184"/>
      <c r="J206" s="505"/>
      <c r="K206" s="184"/>
      <c r="L206" s="505"/>
      <c r="M206" s="505"/>
      <c r="N206" s="505"/>
      <c r="O206" s="506"/>
      <c r="P206" s="208"/>
      <c r="Q206" s="208"/>
      <c r="R206" s="208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</row>
    <row r="207">
      <c r="A207" s="184"/>
      <c r="B207" s="184"/>
      <c r="C207" s="184"/>
      <c r="D207" s="184"/>
      <c r="E207" s="184"/>
      <c r="F207" s="184"/>
      <c r="G207" s="184"/>
      <c r="H207" s="184"/>
      <c r="I207" s="184"/>
      <c r="J207" s="505"/>
      <c r="K207" s="184"/>
      <c r="L207" s="505"/>
      <c r="M207" s="505"/>
      <c r="N207" s="505"/>
      <c r="O207" s="506"/>
      <c r="P207" s="208"/>
      <c r="Q207" s="208"/>
      <c r="R207" s="208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</row>
    <row r="208">
      <c r="A208" s="184"/>
      <c r="B208" s="184"/>
      <c r="C208" s="184"/>
      <c r="D208" s="184"/>
      <c r="E208" s="184"/>
      <c r="F208" s="184"/>
      <c r="G208" s="184"/>
      <c r="H208" s="184"/>
      <c r="I208" s="184"/>
      <c r="J208" s="505"/>
      <c r="K208" s="184"/>
      <c r="L208" s="505"/>
      <c r="M208" s="505"/>
      <c r="N208" s="505"/>
      <c r="O208" s="506"/>
      <c r="P208" s="208"/>
      <c r="Q208" s="208"/>
      <c r="R208" s="208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</row>
    <row r="209">
      <c r="A209" s="184"/>
      <c r="B209" s="184"/>
      <c r="C209" s="184"/>
      <c r="D209" s="184"/>
      <c r="E209" s="184"/>
      <c r="F209" s="184"/>
      <c r="G209" s="184"/>
      <c r="H209" s="184"/>
      <c r="I209" s="184"/>
      <c r="J209" s="505"/>
      <c r="K209" s="184"/>
      <c r="L209" s="505"/>
      <c r="M209" s="505"/>
      <c r="N209" s="505"/>
      <c r="O209" s="506"/>
      <c r="P209" s="208"/>
      <c r="Q209" s="208"/>
      <c r="R209" s="208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</row>
    <row r="210">
      <c r="A210" s="184"/>
      <c r="B210" s="184"/>
      <c r="C210" s="184"/>
      <c r="D210" s="184"/>
      <c r="E210" s="184"/>
      <c r="F210" s="184"/>
      <c r="G210" s="184"/>
      <c r="H210" s="184"/>
      <c r="I210" s="184"/>
      <c r="J210" s="505"/>
      <c r="K210" s="184"/>
      <c r="L210" s="505"/>
      <c r="M210" s="505"/>
      <c r="N210" s="505"/>
      <c r="O210" s="506"/>
      <c r="P210" s="208"/>
      <c r="Q210" s="208"/>
      <c r="R210" s="208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</row>
    <row r="211">
      <c r="A211" s="184"/>
      <c r="B211" s="184"/>
      <c r="C211" s="184"/>
      <c r="D211" s="184"/>
      <c r="E211" s="184"/>
      <c r="F211" s="184"/>
      <c r="G211" s="184"/>
      <c r="H211" s="184"/>
      <c r="I211" s="184"/>
      <c r="J211" s="505"/>
      <c r="K211" s="184"/>
      <c r="L211" s="505"/>
      <c r="M211" s="505"/>
      <c r="N211" s="505"/>
      <c r="O211" s="506"/>
      <c r="P211" s="208"/>
      <c r="Q211" s="208"/>
      <c r="R211" s="208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</row>
    <row r="212">
      <c r="A212" s="184"/>
      <c r="B212" s="184"/>
      <c r="C212" s="184"/>
      <c r="D212" s="184"/>
      <c r="E212" s="184"/>
      <c r="F212" s="184"/>
      <c r="G212" s="184"/>
      <c r="H212" s="184"/>
      <c r="I212" s="184"/>
      <c r="J212" s="505"/>
      <c r="K212" s="184"/>
      <c r="L212" s="505"/>
      <c r="M212" s="505"/>
      <c r="N212" s="505"/>
      <c r="O212" s="506"/>
      <c r="P212" s="208"/>
      <c r="Q212" s="208"/>
      <c r="R212" s="208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</row>
    <row r="213">
      <c r="A213" s="184"/>
      <c r="B213" s="184"/>
      <c r="C213" s="184"/>
      <c r="D213" s="184"/>
      <c r="E213" s="184"/>
      <c r="F213" s="184"/>
      <c r="G213" s="184"/>
      <c r="H213" s="184"/>
      <c r="I213" s="184"/>
      <c r="J213" s="505"/>
      <c r="K213" s="184"/>
      <c r="L213" s="505"/>
      <c r="M213" s="505"/>
      <c r="N213" s="505"/>
      <c r="O213" s="506"/>
      <c r="P213" s="208"/>
      <c r="Q213" s="208"/>
      <c r="R213" s="208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</row>
    <row r="214">
      <c r="A214" s="19"/>
      <c r="B214" s="19"/>
      <c r="C214" s="19"/>
      <c r="D214" s="219"/>
      <c r="E214" s="220"/>
      <c r="F214" s="221"/>
      <c r="G214" s="222"/>
      <c r="H214" s="223"/>
      <c r="I214" s="224"/>
      <c r="J214" s="507"/>
      <c r="K214" s="19"/>
      <c r="L214" s="507"/>
      <c r="M214" s="507"/>
      <c r="N214" s="507"/>
      <c r="O214" s="508"/>
      <c r="P214" s="217"/>
      <c r="Q214" s="217"/>
      <c r="R214" s="217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>
      <c r="A215" s="19"/>
      <c r="B215" s="19"/>
      <c r="C215" s="19"/>
      <c r="D215" s="219"/>
      <c r="E215" s="220"/>
      <c r="F215" s="221"/>
      <c r="G215" s="222"/>
      <c r="H215" s="223"/>
      <c r="I215" s="224"/>
      <c r="J215" s="507"/>
      <c r="K215" s="19"/>
      <c r="L215" s="507"/>
      <c r="M215" s="507"/>
      <c r="N215" s="507"/>
      <c r="O215" s="508"/>
      <c r="P215" s="217"/>
      <c r="Q215" s="217"/>
      <c r="R215" s="217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>
      <c r="A216" s="19"/>
      <c r="B216" s="19"/>
      <c r="C216" s="19"/>
      <c r="D216" s="219"/>
      <c r="E216" s="220"/>
      <c r="F216" s="221"/>
      <c r="G216" s="222"/>
      <c r="H216" s="223"/>
      <c r="I216" s="224"/>
      <c r="J216" s="507"/>
      <c r="K216" s="19"/>
      <c r="L216" s="507"/>
      <c r="M216" s="507"/>
      <c r="N216" s="507"/>
      <c r="O216" s="508"/>
      <c r="P216" s="217"/>
      <c r="Q216" s="217"/>
      <c r="R216" s="217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>
      <c r="A217" s="19"/>
      <c r="B217" s="19"/>
      <c r="C217" s="19"/>
      <c r="D217" s="219"/>
      <c r="E217" s="220"/>
      <c r="F217" s="221"/>
      <c r="G217" s="222"/>
      <c r="H217" s="223"/>
      <c r="I217" s="224"/>
      <c r="J217" s="507"/>
      <c r="K217" s="19"/>
      <c r="L217" s="507"/>
      <c r="M217" s="507"/>
      <c r="N217" s="507"/>
      <c r="O217" s="508"/>
      <c r="P217" s="217"/>
      <c r="Q217" s="217"/>
      <c r="R217" s="217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>
      <c r="A218" s="19"/>
      <c r="B218" s="19"/>
      <c r="C218" s="19"/>
      <c r="D218" s="219"/>
      <c r="E218" s="220"/>
      <c r="F218" s="221"/>
      <c r="G218" s="222"/>
      <c r="H218" s="223"/>
      <c r="I218" s="224"/>
      <c r="J218" s="507"/>
      <c r="K218" s="19"/>
      <c r="L218" s="507"/>
      <c r="M218" s="507"/>
      <c r="N218" s="507"/>
      <c r="O218" s="508"/>
      <c r="P218" s="217"/>
      <c r="Q218" s="217"/>
      <c r="R218" s="217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>
      <c r="A219" s="19"/>
      <c r="B219" s="19"/>
      <c r="C219" s="19"/>
      <c r="D219" s="219"/>
      <c r="E219" s="220"/>
      <c r="F219" s="221"/>
      <c r="G219" s="222"/>
      <c r="H219" s="223"/>
      <c r="I219" s="224"/>
      <c r="J219" s="507"/>
      <c r="K219" s="19"/>
      <c r="L219" s="507"/>
      <c r="M219" s="507"/>
      <c r="N219" s="507"/>
      <c r="O219" s="508"/>
      <c r="P219" s="217"/>
      <c r="Q219" s="217"/>
      <c r="R219" s="217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>
      <c r="A220" s="19"/>
      <c r="B220" s="19"/>
      <c r="C220" s="19"/>
      <c r="D220" s="219"/>
      <c r="E220" s="220"/>
      <c r="F220" s="221"/>
      <c r="G220" s="222"/>
      <c r="H220" s="223"/>
      <c r="I220" s="224"/>
      <c r="J220" s="507"/>
      <c r="K220" s="19"/>
      <c r="L220" s="507"/>
      <c r="M220" s="507"/>
      <c r="N220" s="507"/>
      <c r="O220" s="508"/>
      <c r="P220" s="217"/>
      <c r="Q220" s="217"/>
      <c r="R220" s="217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>
      <c r="A221" s="19"/>
      <c r="B221" s="19"/>
      <c r="C221" s="19"/>
      <c r="D221" s="219"/>
      <c r="E221" s="220"/>
      <c r="F221" s="221"/>
      <c r="G221" s="222"/>
      <c r="H221" s="223"/>
      <c r="I221" s="224"/>
      <c r="J221" s="507"/>
      <c r="K221" s="19"/>
      <c r="L221" s="507"/>
      <c r="M221" s="507"/>
      <c r="N221" s="507"/>
      <c r="O221" s="508"/>
      <c r="P221" s="217"/>
      <c r="Q221" s="217"/>
      <c r="R221" s="217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>
      <c r="A222" s="19"/>
      <c r="B222" s="19"/>
      <c r="C222" s="19"/>
      <c r="D222" s="219"/>
      <c r="E222" s="220"/>
      <c r="F222" s="221"/>
      <c r="G222" s="222"/>
      <c r="H222" s="223"/>
      <c r="I222" s="224"/>
      <c r="J222" s="507"/>
      <c r="K222" s="19"/>
      <c r="L222" s="507"/>
      <c r="M222" s="507"/>
      <c r="N222" s="507"/>
      <c r="O222" s="508"/>
      <c r="P222" s="217"/>
      <c r="Q222" s="217"/>
      <c r="R222" s="217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>
      <c r="A223" s="19"/>
      <c r="B223" s="19"/>
      <c r="C223" s="19"/>
      <c r="D223" s="219"/>
      <c r="E223" s="220"/>
      <c r="F223" s="221"/>
      <c r="G223" s="222"/>
      <c r="H223" s="223"/>
      <c r="I223" s="224"/>
      <c r="J223" s="507"/>
      <c r="K223" s="19"/>
      <c r="L223" s="507"/>
      <c r="M223" s="507"/>
      <c r="N223" s="507"/>
      <c r="O223" s="508"/>
      <c r="P223" s="217"/>
      <c r="Q223" s="217"/>
      <c r="R223" s="217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>
      <c r="A224" s="19"/>
      <c r="B224" s="19"/>
      <c r="C224" s="19"/>
      <c r="D224" s="219"/>
      <c r="E224" s="220"/>
      <c r="F224" s="221"/>
      <c r="G224" s="222"/>
      <c r="H224" s="223"/>
      <c r="I224" s="224"/>
      <c r="J224" s="507"/>
      <c r="K224" s="19"/>
      <c r="L224" s="507"/>
      <c r="M224" s="507"/>
      <c r="N224" s="507"/>
      <c r="O224" s="508"/>
      <c r="P224" s="217"/>
      <c r="Q224" s="217"/>
      <c r="R224" s="217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>
      <c r="A225" s="19"/>
      <c r="B225" s="19"/>
      <c r="C225" s="19"/>
      <c r="D225" s="219"/>
      <c r="E225" s="220"/>
      <c r="F225" s="221"/>
      <c r="G225" s="222"/>
      <c r="H225" s="223"/>
      <c r="I225" s="224"/>
      <c r="J225" s="507"/>
      <c r="K225" s="19"/>
      <c r="L225" s="507"/>
      <c r="M225" s="507"/>
      <c r="N225" s="507"/>
      <c r="O225" s="508"/>
      <c r="P225" s="217"/>
      <c r="Q225" s="217"/>
      <c r="R225" s="217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>
      <c r="A226" s="19"/>
      <c r="B226" s="19"/>
      <c r="C226" s="19"/>
      <c r="D226" s="219"/>
      <c r="E226" s="220"/>
      <c r="F226" s="221"/>
      <c r="G226" s="222"/>
      <c r="H226" s="223"/>
      <c r="I226" s="224"/>
      <c r="J226" s="507"/>
      <c r="K226" s="19"/>
      <c r="L226" s="507"/>
      <c r="M226" s="507"/>
      <c r="N226" s="507"/>
      <c r="O226" s="508"/>
      <c r="P226" s="217"/>
      <c r="Q226" s="217"/>
      <c r="R226" s="217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>
      <c r="A227" s="19"/>
      <c r="B227" s="19"/>
      <c r="C227" s="19"/>
      <c r="D227" s="219"/>
      <c r="E227" s="220"/>
      <c r="F227" s="221"/>
      <c r="G227" s="222"/>
      <c r="H227" s="223"/>
      <c r="I227" s="224"/>
      <c r="J227" s="507"/>
      <c r="K227" s="19"/>
      <c r="L227" s="507"/>
      <c r="M227" s="507"/>
      <c r="N227" s="507"/>
      <c r="O227" s="508"/>
      <c r="P227" s="217"/>
      <c r="Q227" s="217"/>
      <c r="R227" s="217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>
      <c r="A228" s="19"/>
      <c r="B228" s="19"/>
      <c r="C228" s="19"/>
      <c r="D228" s="219"/>
      <c r="E228" s="220"/>
      <c r="F228" s="221"/>
      <c r="G228" s="222"/>
      <c r="H228" s="223"/>
      <c r="I228" s="224"/>
      <c r="J228" s="507"/>
      <c r="K228" s="19"/>
      <c r="L228" s="507"/>
      <c r="M228" s="507"/>
      <c r="N228" s="507"/>
      <c r="O228" s="508"/>
      <c r="P228" s="217"/>
      <c r="Q228" s="217"/>
      <c r="R228" s="217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>
      <c r="A229" s="19"/>
      <c r="B229" s="19"/>
      <c r="C229" s="19"/>
      <c r="D229" s="219"/>
      <c r="E229" s="220"/>
      <c r="F229" s="221"/>
      <c r="G229" s="222"/>
      <c r="H229" s="223"/>
      <c r="I229" s="224"/>
      <c r="J229" s="507"/>
      <c r="K229" s="19"/>
      <c r="L229" s="507"/>
      <c r="M229" s="507"/>
      <c r="N229" s="507"/>
      <c r="O229" s="508"/>
      <c r="P229" s="217"/>
      <c r="Q229" s="217"/>
      <c r="R229" s="217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>
      <c r="A230" s="19"/>
      <c r="B230" s="19"/>
      <c r="C230" s="19"/>
      <c r="D230" s="219"/>
      <c r="E230" s="220"/>
      <c r="F230" s="221"/>
      <c r="G230" s="222"/>
      <c r="H230" s="223"/>
      <c r="I230" s="224"/>
      <c r="J230" s="507"/>
      <c r="K230" s="19"/>
      <c r="L230" s="507"/>
      <c r="M230" s="507"/>
      <c r="N230" s="507"/>
      <c r="O230" s="508"/>
      <c r="P230" s="217"/>
      <c r="Q230" s="217"/>
      <c r="R230" s="217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>
      <c r="A231" s="19"/>
      <c r="B231" s="19"/>
      <c r="C231" s="19"/>
      <c r="D231" s="219"/>
      <c r="E231" s="220"/>
      <c r="F231" s="221"/>
      <c r="G231" s="222"/>
      <c r="H231" s="223"/>
      <c r="I231" s="224"/>
      <c r="J231" s="507"/>
      <c r="K231" s="19"/>
      <c r="L231" s="507"/>
      <c r="M231" s="507"/>
      <c r="N231" s="507"/>
      <c r="O231" s="508"/>
      <c r="P231" s="217"/>
      <c r="Q231" s="217"/>
      <c r="R231" s="217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>
      <c r="A232" s="19"/>
      <c r="B232" s="19"/>
      <c r="C232" s="19"/>
      <c r="D232" s="219"/>
      <c r="E232" s="220"/>
      <c r="F232" s="221"/>
      <c r="G232" s="222"/>
      <c r="H232" s="223"/>
      <c r="I232" s="224"/>
      <c r="J232" s="507"/>
      <c r="K232" s="19"/>
      <c r="L232" s="507"/>
      <c r="M232" s="507"/>
      <c r="N232" s="507"/>
      <c r="O232" s="508"/>
      <c r="P232" s="217"/>
      <c r="Q232" s="217"/>
      <c r="R232" s="217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>
      <c r="A233" s="19"/>
      <c r="B233" s="19"/>
      <c r="C233" s="19"/>
      <c r="D233" s="219"/>
      <c r="E233" s="220"/>
      <c r="F233" s="221"/>
      <c r="G233" s="222"/>
      <c r="H233" s="223"/>
      <c r="I233" s="224"/>
      <c r="J233" s="507"/>
      <c r="K233" s="19"/>
      <c r="L233" s="507"/>
      <c r="M233" s="507"/>
      <c r="N233" s="507"/>
      <c r="O233" s="508"/>
      <c r="P233" s="217"/>
      <c r="Q233" s="217"/>
      <c r="R233" s="217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>
      <c r="A234" s="19"/>
      <c r="B234" s="19"/>
      <c r="C234" s="19"/>
      <c r="D234" s="219"/>
      <c r="E234" s="220"/>
      <c r="F234" s="221"/>
      <c r="G234" s="222"/>
      <c r="H234" s="223"/>
      <c r="I234" s="224"/>
      <c r="J234" s="507"/>
      <c r="K234" s="19"/>
      <c r="L234" s="507"/>
      <c r="M234" s="507"/>
      <c r="N234" s="507"/>
      <c r="O234" s="508"/>
      <c r="P234" s="217"/>
      <c r="Q234" s="217"/>
      <c r="R234" s="217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>
      <c r="A235" s="19"/>
      <c r="B235" s="19"/>
      <c r="C235" s="19"/>
      <c r="D235" s="219"/>
      <c r="E235" s="220"/>
      <c r="F235" s="221"/>
      <c r="G235" s="222"/>
      <c r="H235" s="223"/>
      <c r="I235" s="224"/>
      <c r="J235" s="507"/>
      <c r="K235" s="19"/>
      <c r="L235" s="507"/>
      <c r="M235" s="507"/>
      <c r="N235" s="507"/>
      <c r="O235" s="508"/>
      <c r="P235" s="217"/>
      <c r="Q235" s="217"/>
      <c r="R235" s="217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>
      <c r="A236" s="19"/>
      <c r="B236" s="19"/>
      <c r="C236" s="19"/>
      <c r="D236" s="219"/>
      <c r="E236" s="220"/>
      <c r="F236" s="221"/>
      <c r="G236" s="222"/>
      <c r="H236" s="223"/>
      <c r="I236" s="224"/>
      <c r="J236" s="507"/>
      <c r="K236" s="19"/>
      <c r="L236" s="507"/>
      <c r="M236" s="507"/>
      <c r="N236" s="507"/>
      <c r="O236" s="508"/>
      <c r="P236" s="217"/>
      <c r="Q236" s="217"/>
      <c r="R236" s="217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>
      <c r="A237" s="19"/>
      <c r="B237" s="19"/>
      <c r="C237" s="19"/>
      <c r="D237" s="219"/>
      <c r="E237" s="220"/>
      <c r="F237" s="221"/>
      <c r="G237" s="222"/>
      <c r="H237" s="223"/>
      <c r="I237" s="224"/>
      <c r="J237" s="507"/>
      <c r="K237" s="19"/>
      <c r="L237" s="507"/>
      <c r="M237" s="507"/>
      <c r="N237" s="507"/>
      <c r="O237" s="508"/>
      <c r="P237" s="217"/>
      <c r="Q237" s="217"/>
      <c r="R237" s="217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>
      <c r="A238" s="19"/>
      <c r="B238" s="19"/>
      <c r="C238" s="19"/>
      <c r="D238" s="219"/>
      <c r="E238" s="220"/>
      <c r="F238" s="221"/>
      <c r="G238" s="222"/>
      <c r="H238" s="223"/>
      <c r="I238" s="224"/>
      <c r="J238" s="507"/>
      <c r="K238" s="19"/>
      <c r="L238" s="507"/>
      <c r="M238" s="507"/>
      <c r="N238" s="507"/>
      <c r="O238" s="508"/>
      <c r="P238" s="217"/>
      <c r="Q238" s="217"/>
      <c r="R238" s="217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>
      <c r="A239" s="19"/>
      <c r="B239" s="19"/>
      <c r="C239" s="19"/>
      <c r="D239" s="219"/>
      <c r="E239" s="220"/>
      <c r="F239" s="221"/>
      <c r="G239" s="222"/>
      <c r="H239" s="223"/>
      <c r="I239" s="224"/>
      <c r="J239" s="507"/>
      <c r="K239" s="19"/>
      <c r="L239" s="507"/>
      <c r="M239" s="507"/>
      <c r="N239" s="507"/>
      <c r="O239" s="508"/>
      <c r="P239" s="217"/>
      <c r="Q239" s="217"/>
      <c r="R239" s="217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>
      <c r="A240" s="19"/>
      <c r="B240" s="19"/>
      <c r="C240" s="19"/>
      <c r="D240" s="219"/>
      <c r="E240" s="220"/>
      <c r="F240" s="221"/>
      <c r="G240" s="222"/>
      <c r="H240" s="223"/>
      <c r="I240" s="224"/>
      <c r="J240" s="507"/>
      <c r="K240" s="19"/>
      <c r="L240" s="507"/>
      <c r="M240" s="507"/>
      <c r="N240" s="507"/>
      <c r="O240" s="508"/>
      <c r="P240" s="217"/>
      <c r="Q240" s="217"/>
      <c r="R240" s="217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>
      <c r="A241" s="19"/>
      <c r="B241" s="19"/>
      <c r="C241" s="19"/>
      <c r="D241" s="219"/>
      <c r="E241" s="220"/>
      <c r="F241" s="221"/>
      <c r="G241" s="222"/>
      <c r="H241" s="223"/>
      <c r="I241" s="224"/>
      <c r="J241" s="507"/>
      <c r="K241" s="19"/>
      <c r="L241" s="507"/>
      <c r="M241" s="507"/>
      <c r="N241" s="507"/>
      <c r="O241" s="508"/>
      <c r="P241" s="217"/>
      <c r="Q241" s="217"/>
      <c r="R241" s="217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>
      <c r="A242" s="19"/>
      <c r="B242" s="19"/>
      <c r="C242" s="19"/>
      <c r="D242" s="219"/>
      <c r="E242" s="220"/>
      <c r="F242" s="221"/>
      <c r="G242" s="222"/>
      <c r="H242" s="223"/>
      <c r="I242" s="224"/>
      <c r="J242" s="507"/>
      <c r="K242" s="19"/>
      <c r="L242" s="507"/>
      <c r="M242" s="507"/>
      <c r="N242" s="507"/>
      <c r="O242" s="508"/>
      <c r="P242" s="217"/>
      <c r="Q242" s="217"/>
      <c r="R242" s="217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>
      <c r="A243" s="19"/>
      <c r="B243" s="19"/>
      <c r="C243" s="19"/>
      <c r="D243" s="219"/>
      <c r="E243" s="220"/>
      <c r="F243" s="221"/>
      <c r="G243" s="222"/>
      <c r="H243" s="223"/>
      <c r="I243" s="224"/>
      <c r="J243" s="507"/>
      <c r="K243" s="19"/>
      <c r="L243" s="507"/>
      <c r="M243" s="507"/>
      <c r="N243" s="507"/>
      <c r="O243" s="508"/>
      <c r="P243" s="217"/>
      <c r="Q243" s="217"/>
      <c r="R243" s="217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>
      <c r="A244" s="19"/>
      <c r="B244" s="19"/>
      <c r="C244" s="19"/>
      <c r="D244" s="219"/>
      <c r="E244" s="220"/>
      <c r="F244" s="221"/>
      <c r="G244" s="222"/>
      <c r="H244" s="223"/>
      <c r="I244" s="224"/>
      <c r="J244" s="507"/>
      <c r="K244" s="19"/>
      <c r="L244" s="507"/>
      <c r="M244" s="507"/>
      <c r="N244" s="507"/>
      <c r="O244" s="508"/>
      <c r="P244" s="217"/>
      <c r="Q244" s="217"/>
      <c r="R244" s="217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>
      <c r="A245" s="19"/>
      <c r="B245" s="19"/>
      <c r="C245" s="19"/>
      <c r="D245" s="219"/>
      <c r="E245" s="220"/>
      <c r="F245" s="221"/>
      <c r="G245" s="222"/>
      <c r="H245" s="223"/>
      <c r="I245" s="224"/>
      <c r="J245" s="507"/>
      <c r="K245" s="19"/>
      <c r="L245" s="507"/>
      <c r="M245" s="507"/>
      <c r="N245" s="507"/>
      <c r="O245" s="508"/>
      <c r="P245" s="217"/>
      <c r="Q245" s="217"/>
      <c r="R245" s="217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>
      <c r="A246" s="19"/>
      <c r="B246" s="19"/>
      <c r="C246" s="19"/>
      <c r="D246" s="219"/>
      <c r="E246" s="220"/>
      <c r="F246" s="221"/>
      <c r="G246" s="222"/>
      <c r="H246" s="223"/>
      <c r="I246" s="224"/>
      <c r="J246" s="507"/>
      <c r="K246" s="19"/>
      <c r="L246" s="507"/>
      <c r="M246" s="507"/>
      <c r="N246" s="507"/>
      <c r="O246" s="508"/>
      <c r="P246" s="217"/>
      <c r="Q246" s="217"/>
      <c r="R246" s="217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>
      <c r="A247" s="19"/>
      <c r="B247" s="19"/>
      <c r="C247" s="19"/>
      <c r="D247" s="219"/>
      <c r="E247" s="220"/>
      <c r="F247" s="221"/>
      <c r="G247" s="222"/>
      <c r="H247" s="223"/>
      <c r="I247" s="224"/>
      <c r="J247" s="507"/>
      <c r="K247" s="19"/>
      <c r="L247" s="507"/>
      <c r="M247" s="507"/>
      <c r="N247" s="507"/>
      <c r="O247" s="508"/>
      <c r="P247" s="217"/>
      <c r="Q247" s="217"/>
      <c r="R247" s="217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>
      <c r="A248" s="19"/>
      <c r="B248" s="19"/>
      <c r="C248" s="19"/>
      <c r="D248" s="219"/>
      <c r="E248" s="220"/>
      <c r="F248" s="221"/>
      <c r="G248" s="222"/>
      <c r="H248" s="223"/>
      <c r="I248" s="224"/>
      <c r="J248" s="507"/>
      <c r="K248" s="19"/>
      <c r="L248" s="507"/>
      <c r="M248" s="507"/>
      <c r="N248" s="507"/>
      <c r="O248" s="508"/>
      <c r="P248" s="217"/>
      <c r="Q248" s="217"/>
      <c r="R248" s="217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>
      <c r="A249" s="19"/>
      <c r="B249" s="19"/>
      <c r="C249" s="19"/>
      <c r="D249" s="219"/>
      <c r="E249" s="220"/>
      <c r="F249" s="221"/>
      <c r="G249" s="222"/>
      <c r="H249" s="223"/>
      <c r="I249" s="224"/>
      <c r="J249" s="507"/>
      <c r="K249" s="19"/>
      <c r="L249" s="507"/>
      <c r="M249" s="507"/>
      <c r="N249" s="507"/>
      <c r="O249" s="508"/>
      <c r="P249" s="217"/>
      <c r="Q249" s="217"/>
      <c r="R249" s="217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>
      <c r="A250" s="19"/>
      <c r="B250" s="19"/>
      <c r="C250" s="19"/>
      <c r="D250" s="219"/>
      <c r="E250" s="220"/>
      <c r="F250" s="221"/>
      <c r="G250" s="222"/>
      <c r="H250" s="223"/>
      <c r="I250" s="224"/>
      <c r="J250" s="507"/>
      <c r="K250" s="19"/>
      <c r="L250" s="507"/>
      <c r="M250" s="507"/>
      <c r="N250" s="507"/>
      <c r="O250" s="508"/>
      <c r="P250" s="217"/>
      <c r="Q250" s="217"/>
      <c r="R250" s="217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>
      <c r="A251" s="19"/>
      <c r="B251" s="19"/>
      <c r="C251" s="19"/>
      <c r="D251" s="219"/>
      <c r="E251" s="220"/>
      <c r="F251" s="221"/>
      <c r="G251" s="222"/>
      <c r="H251" s="223"/>
      <c r="I251" s="224"/>
      <c r="J251" s="507"/>
      <c r="K251" s="19"/>
      <c r="L251" s="507"/>
      <c r="M251" s="507"/>
      <c r="N251" s="507"/>
      <c r="O251" s="508"/>
      <c r="P251" s="217"/>
      <c r="Q251" s="217"/>
      <c r="R251" s="217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>
      <c r="A252" s="19"/>
      <c r="B252" s="19"/>
      <c r="C252" s="19"/>
      <c r="D252" s="219"/>
      <c r="E252" s="220"/>
      <c r="F252" s="221"/>
      <c r="G252" s="222"/>
      <c r="H252" s="223"/>
      <c r="I252" s="224"/>
      <c r="J252" s="507"/>
      <c r="K252" s="19"/>
      <c r="L252" s="507"/>
      <c r="M252" s="507"/>
      <c r="N252" s="507"/>
      <c r="O252" s="508"/>
      <c r="P252" s="217"/>
      <c r="Q252" s="217"/>
      <c r="R252" s="217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>
      <c r="A253" s="19"/>
      <c r="B253" s="19"/>
      <c r="C253" s="19"/>
      <c r="D253" s="219"/>
      <c r="E253" s="220"/>
      <c r="F253" s="221"/>
      <c r="G253" s="222"/>
      <c r="H253" s="223"/>
      <c r="I253" s="224"/>
      <c r="J253" s="507"/>
      <c r="K253" s="19"/>
      <c r="L253" s="507"/>
      <c r="M253" s="507"/>
      <c r="N253" s="507"/>
      <c r="O253" s="508"/>
      <c r="P253" s="217"/>
      <c r="Q253" s="217"/>
      <c r="R253" s="217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>
      <c r="A254" s="19"/>
      <c r="B254" s="19"/>
      <c r="C254" s="19"/>
      <c r="D254" s="219"/>
      <c r="E254" s="220"/>
      <c r="F254" s="221"/>
      <c r="G254" s="222"/>
      <c r="H254" s="223"/>
      <c r="I254" s="224"/>
      <c r="J254" s="507"/>
      <c r="K254" s="19"/>
      <c r="L254" s="507"/>
      <c r="M254" s="507"/>
      <c r="N254" s="507"/>
      <c r="O254" s="508"/>
      <c r="P254" s="217"/>
      <c r="Q254" s="217"/>
      <c r="R254" s="217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>
      <c r="A255" s="19"/>
      <c r="B255" s="19"/>
      <c r="C255" s="19"/>
      <c r="D255" s="219"/>
      <c r="E255" s="220"/>
      <c r="F255" s="221"/>
      <c r="G255" s="222"/>
      <c r="H255" s="223"/>
      <c r="I255" s="224"/>
      <c r="J255" s="507"/>
      <c r="K255" s="19"/>
      <c r="L255" s="507"/>
      <c r="M255" s="507"/>
      <c r="N255" s="507"/>
      <c r="O255" s="508"/>
      <c r="P255" s="217"/>
      <c r="Q255" s="217"/>
      <c r="R255" s="217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>
      <c r="A256" s="19"/>
      <c r="B256" s="19"/>
      <c r="C256" s="19"/>
      <c r="D256" s="219"/>
      <c r="E256" s="220"/>
      <c r="F256" s="221"/>
      <c r="G256" s="222"/>
      <c r="H256" s="223"/>
      <c r="I256" s="224"/>
      <c r="J256" s="507"/>
      <c r="K256" s="19"/>
      <c r="L256" s="507"/>
      <c r="M256" s="507"/>
      <c r="N256" s="507"/>
      <c r="O256" s="508"/>
      <c r="P256" s="217"/>
      <c r="Q256" s="217"/>
      <c r="R256" s="217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>
      <c r="A257" s="19"/>
      <c r="B257" s="19"/>
      <c r="C257" s="19"/>
      <c r="D257" s="219"/>
      <c r="E257" s="220"/>
      <c r="F257" s="221"/>
      <c r="G257" s="222"/>
      <c r="H257" s="223"/>
      <c r="I257" s="224"/>
      <c r="J257" s="507"/>
      <c r="K257" s="19"/>
      <c r="L257" s="507"/>
      <c r="M257" s="507"/>
      <c r="N257" s="507"/>
      <c r="O257" s="508"/>
      <c r="P257" s="217"/>
      <c r="Q257" s="217"/>
      <c r="R257" s="217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>
      <c r="A258" s="19"/>
      <c r="B258" s="19"/>
      <c r="C258" s="19"/>
      <c r="D258" s="219"/>
      <c r="E258" s="220"/>
      <c r="F258" s="221"/>
      <c r="G258" s="222"/>
      <c r="H258" s="223"/>
      <c r="I258" s="224"/>
      <c r="J258" s="507"/>
      <c r="K258" s="19"/>
      <c r="L258" s="507"/>
      <c r="M258" s="507"/>
      <c r="N258" s="507"/>
      <c r="O258" s="508"/>
      <c r="P258" s="217"/>
      <c r="Q258" s="217"/>
      <c r="R258" s="217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>
      <c r="A259" s="19"/>
      <c r="B259" s="19"/>
      <c r="C259" s="19"/>
      <c r="D259" s="219"/>
      <c r="E259" s="220"/>
      <c r="F259" s="221"/>
      <c r="G259" s="222"/>
      <c r="H259" s="223"/>
      <c r="I259" s="224"/>
      <c r="J259" s="507"/>
      <c r="K259" s="19"/>
      <c r="L259" s="507"/>
      <c r="M259" s="507"/>
      <c r="N259" s="507"/>
      <c r="O259" s="508"/>
      <c r="P259" s="217"/>
      <c r="Q259" s="217"/>
      <c r="R259" s="217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>
      <c r="A260" s="19"/>
      <c r="B260" s="19"/>
      <c r="C260" s="19"/>
      <c r="D260" s="219"/>
      <c r="E260" s="220"/>
      <c r="F260" s="221"/>
      <c r="G260" s="222"/>
      <c r="H260" s="223"/>
      <c r="I260" s="224"/>
      <c r="J260" s="507"/>
      <c r="K260" s="19"/>
      <c r="L260" s="507"/>
      <c r="M260" s="507"/>
      <c r="N260" s="507"/>
      <c r="O260" s="508"/>
      <c r="P260" s="217"/>
      <c r="Q260" s="217"/>
      <c r="R260" s="217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>
      <c r="A261" s="19"/>
      <c r="B261" s="19"/>
      <c r="C261" s="19"/>
      <c r="D261" s="219"/>
      <c r="E261" s="220"/>
      <c r="F261" s="221"/>
      <c r="G261" s="222"/>
      <c r="H261" s="223"/>
      <c r="I261" s="224"/>
      <c r="J261" s="507"/>
      <c r="K261" s="19"/>
      <c r="L261" s="507"/>
      <c r="M261" s="507"/>
      <c r="N261" s="507"/>
      <c r="O261" s="508"/>
      <c r="P261" s="217"/>
      <c r="Q261" s="217"/>
      <c r="R261" s="217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>
      <c r="A262" s="19"/>
      <c r="B262" s="19"/>
      <c r="C262" s="19"/>
      <c r="D262" s="219"/>
      <c r="E262" s="220"/>
      <c r="F262" s="221"/>
      <c r="G262" s="222"/>
      <c r="H262" s="223"/>
      <c r="I262" s="224"/>
      <c r="J262" s="507"/>
      <c r="K262" s="19"/>
      <c r="L262" s="507"/>
      <c r="M262" s="507"/>
      <c r="N262" s="507"/>
      <c r="O262" s="508"/>
      <c r="P262" s="217"/>
      <c r="Q262" s="217"/>
      <c r="R262" s="217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>
      <c r="A263" s="19"/>
      <c r="B263" s="19"/>
      <c r="C263" s="19"/>
      <c r="D263" s="219"/>
      <c r="E263" s="220"/>
      <c r="F263" s="221"/>
      <c r="G263" s="222"/>
      <c r="H263" s="223"/>
      <c r="I263" s="224"/>
      <c r="J263" s="507"/>
      <c r="K263" s="19"/>
      <c r="L263" s="507"/>
      <c r="M263" s="507"/>
      <c r="N263" s="507"/>
      <c r="O263" s="508"/>
      <c r="P263" s="217"/>
      <c r="Q263" s="217"/>
      <c r="R263" s="217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>
      <c r="A264" s="19"/>
      <c r="B264" s="19"/>
      <c r="C264" s="19"/>
      <c r="D264" s="219"/>
      <c r="E264" s="220"/>
      <c r="F264" s="221"/>
      <c r="G264" s="222"/>
      <c r="H264" s="223"/>
      <c r="I264" s="224"/>
      <c r="J264" s="507"/>
      <c r="K264" s="19"/>
      <c r="L264" s="507"/>
      <c r="M264" s="507"/>
      <c r="N264" s="507"/>
      <c r="O264" s="508"/>
      <c r="P264" s="217"/>
      <c r="Q264" s="217"/>
      <c r="R264" s="217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>
      <c r="A265" s="19"/>
      <c r="B265" s="19"/>
      <c r="C265" s="19"/>
      <c r="D265" s="219"/>
      <c r="E265" s="220"/>
      <c r="F265" s="221"/>
      <c r="G265" s="222"/>
      <c r="H265" s="223"/>
      <c r="I265" s="224"/>
      <c r="J265" s="507"/>
      <c r="K265" s="19"/>
      <c r="L265" s="507"/>
      <c r="M265" s="507"/>
      <c r="N265" s="507"/>
      <c r="O265" s="508"/>
      <c r="P265" s="217"/>
      <c r="Q265" s="217"/>
      <c r="R265" s="217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>
      <c r="A266" s="19"/>
      <c r="B266" s="19"/>
      <c r="C266" s="19"/>
      <c r="D266" s="219"/>
      <c r="E266" s="220"/>
      <c r="F266" s="221"/>
      <c r="G266" s="222"/>
      <c r="H266" s="223"/>
      <c r="I266" s="224"/>
      <c r="J266" s="507"/>
      <c r="K266" s="19"/>
      <c r="L266" s="507"/>
      <c r="M266" s="507"/>
      <c r="N266" s="507"/>
      <c r="O266" s="508"/>
      <c r="P266" s="217"/>
      <c r="Q266" s="217"/>
      <c r="R266" s="217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>
      <c r="A267" s="19"/>
      <c r="B267" s="19"/>
      <c r="C267" s="19"/>
      <c r="D267" s="219"/>
      <c r="E267" s="220"/>
      <c r="F267" s="221"/>
      <c r="G267" s="222"/>
      <c r="H267" s="223"/>
      <c r="I267" s="224"/>
      <c r="J267" s="507"/>
      <c r="K267" s="19"/>
      <c r="L267" s="507"/>
      <c r="M267" s="507"/>
      <c r="N267" s="507"/>
      <c r="O267" s="508"/>
      <c r="P267" s="217"/>
      <c r="Q267" s="217"/>
      <c r="R267" s="217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>
      <c r="A268" s="19"/>
      <c r="B268" s="19"/>
      <c r="C268" s="19"/>
      <c r="D268" s="219"/>
      <c r="E268" s="220"/>
      <c r="F268" s="221"/>
      <c r="G268" s="222"/>
      <c r="H268" s="223"/>
      <c r="I268" s="224"/>
      <c r="J268" s="507"/>
      <c r="K268" s="19"/>
      <c r="L268" s="507"/>
      <c r="M268" s="507"/>
      <c r="N268" s="507"/>
      <c r="O268" s="508"/>
      <c r="P268" s="217"/>
      <c r="Q268" s="217"/>
      <c r="R268" s="217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>
      <c r="A269" s="19"/>
      <c r="B269" s="19"/>
      <c r="C269" s="19"/>
      <c r="D269" s="219"/>
      <c r="E269" s="220"/>
      <c r="F269" s="221"/>
      <c r="G269" s="222"/>
      <c r="H269" s="223"/>
      <c r="I269" s="224"/>
      <c r="J269" s="507"/>
      <c r="K269" s="19"/>
      <c r="L269" s="507"/>
      <c r="M269" s="507"/>
      <c r="N269" s="507"/>
      <c r="O269" s="508"/>
      <c r="P269" s="217"/>
      <c r="Q269" s="217"/>
      <c r="R269" s="217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>
      <c r="A270" s="19"/>
      <c r="B270" s="19"/>
      <c r="C270" s="19"/>
      <c r="D270" s="219"/>
      <c r="E270" s="220"/>
      <c r="F270" s="221"/>
      <c r="G270" s="222"/>
      <c r="H270" s="223"/>
      <c r="I270" s="224"/>
      <c r="J270" s="507"/>
      <c r="K270" s="19"/>
      <c r="L270" s="507"/>
      <c r="M270" s="507"/>
      <c r="N270" s="507"/>
      <c r="O270" s="508"/>
      <c r="P270" s="217"/>
      <c r="Q270" s="217"/>
      <c r="R270" s="217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>
      <c r="A271" s="19"/>
      <c r="B271" s="19"/>
      <c r="C271" s="19"/>
      <c r="D271" s="219"/>
      <c r="E271" s="220"/>
      <c r="F271" s="221"/>
      <c r="G271" s="222"/>
      <c r="H271" s="223"/>
      <c r="I271" s="224"/>
      <c r="J271" s="507"/>
      <c r="K271" s="19"/>
      <c r="L271" s="507"/>
      <c r="M271" s="507"/>
      <c r="N271" s="507"/>
      <c r="O271" s="508"/>
      <c r="P271" s="217"/>
      <c r="Q271" s="217"/>
      <c r="R271" s="217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>
      <c r="A272" s="19"/>
      <c r="B272" s="19"/>
      <c r="C272" s="19"/>
      <c r="D272" s="219"/>
      <c r="E272" s="220"/>
      <c r="F272" s="221"/>
      <c r="G272" s="222"/>
      <c r="H272" s="223"/>
      <c r="I272" s="224"/>
      <c r="J272" s="507"/>
      <c r="K272" s="19"/>
      <c r="L272" s="507"/>
      <c r="M272" s="507"/>
      <c r="N272" s="507"/>
      <c r="O272" s="508"/>
      <c r="P272" s="217"/>
      <c r="Q272" s="217"/>
      <c r="R272" s="217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>
      <c r="A273" s="19"/>
      <c r="B273" s="19"/>
      <c r="C273" s="19"/>
      <c r="D273" s="219"/>
      <c r="E273" s="220"/>
      <c r="F273" s="221"/>
      <c r="G273" s="222"/>
      <c r="H273" s="223"/>
      <c r="I273" s="224"/>
      <c r="J273" s="507"/>
      <c r="K273" s="19"/>
      <c r="L273" s="507"/>
      <c r="M273" s="507"/>
      <c r="N273" s="507"/>
      <c r="O273" s="508"/>
      <c r="P273" s="217"/>
      <c r="Q273" s="217"/>
      <c r="R273" s="217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>
      <c r="A274" s="19"/>
      <c r="B274" s="19"/>
      <c r="C274" s="19"/>
      <c r="D274" s="219"/>
      <c r="E274" s="220"/>
      <c r="F274" s="221"/>
      <c r="G274" s="222"/>
      <c r="H274" s="223"/>
      <c r="I274" s="224"/>
      <c r="J274" s="507"/>
      <c r="K274" s="19"/>
      <c r="L274" s="507"/>
      <c r="M274" s="507"/>
      <c r="N274" s="507"/>
      <c r="O274" s="508"/>
      <c r="P274" s="217"/>
      <c r="Q274" s="217"/>
      <c r="R274" s="217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>
      <c r="A275" s="19"/>
      <c r="B275" s="19"/>
      <c r="C275" s="19"/>
      <c r="D275" s="219"/>
      <c r="E275" s="220"/>
      <c r="F275" s="221"/>
      <c r="G275" s="222"/>
      <c r="H275" s="223"/>
      <c r="I275" s="224"/>
      <c r="J275" s="507"/>
      <c r="K275" s="19"/>
      <c r="L275" s="507"/>
      <c r="M275" s="507"/>
      <c r="N275" s="507"/>
      <c r="O275" s="508"/>
      <c r="P275" s="217"/>
      <c r="Q275" s="217"/>
      <c r="R275" s="217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>
      <c r="A276" s="19"/>
      <c r="B276" s="19"/>
      <c r="C276" s="19"/>
      <c r="D276" s="219"/>
      <c r="E276" s="220"/>
      <c r="F276" s="221"/>
      <c r="G276" s="222"/>
      <c r="H276" s="223"/>
      <c r="I276" s="224"/>
      <c r="J276" s="507"/>
      <c r="K276" s="19"/>
      <c r="L276" s="507"/>
      <c r="M276" s="507"/>
      <c r="N276" s="507"/>
      <c r="O276" s="508"/>
      <c r="P276" s="217"/>
      <c r="Q276" s="217"/>
      <c r="R276" s="217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>
      <c r="A277" s="19"/>
      <c r="B277" s="19"/>
      <c r="C277" s="19"/>
      <c r="D277" s="219"/>
      <c r="E277" s="220"/>
      <c r="F277" s="221"/>
      <c r="G277" s="222"/>
      <c r="H277" s="223"/>
      <c r="I277" s="224"/>
      <c r="J277" s="507"/>
      <c r="K277" s="19"/>
      <c r="L277" s="507"/>
      <c r="M277" s="507"/>
      <c r="N277" s="507"/>
      <c r="O277" s="508"/>
      <c r="P277" s="217"/>
      <c r="Q277" s="217"/>
      <c r="R277" s="217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>
      <c r="A278" s="19"/>
      <c r="B278" s="19"/>
      <c r="C278" s="19"/>
      <c r="D278" s="219"/>
      <c r="E278" s="220"/>
      <c r="F278" s="221"/>
      <c r="G278" s="222"/>
      <c r="H278" s="223"/>
      <c r="I278" s="224"/>
      <c r="J278" s="507"/>
      <c r="K278" s="19"/>
      <c r="L278" s="507"/>
      <c r="M278" s="507"/>
      <c r="N278" s="507"/>
      <c r="O278" s="508"/>
      <c r="P278" s="217"/>
      <c r="Q278" s="217"/>
      <c r="R278" s="217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>
      <c r="A279" s="19"/>
      <c r="B279" s="19"/>
      <c r="C279" s="19"/>
      <c r="D279" s="219"/>
      <c r="E279" s="220"/>
      <c r="F279" s="221"/>
      <c r="G279" s="222"/>
      <c r="H279" s="223"/>
      <c r="I279" s="224"/>
      <c r="J279" s="507"/>
      <c r="K279" s="19"/>
      <c r="L279" s="507"/>
      <c r="M279" s="507"/>
      <c r="N279" s="507"/>
      <c r="O279" s="508"/>
      <c r="P279" s="217"/>
      <c r="Q279" s="217"/>
      <c r="R279" s="217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>
      <c r="A280" s="19"/>
      <c r="B280" s="19"/>
      <c r="C280" s="19"/>
      <c r="D280" s="219"/>
      <c r="E280" s="220"/>
      <c r="F280" s="221"/>
      <c r="G280" s="222"/>
      <c r="H280" s="223"/>
      <c r="I280" s="224"/>
      <c r="J280" s="507"/>
      <c r="K280" s="19"/>
      <c r="L280" s="507"/>
      <c r="M280" s="507"/>
      <c r="N280" s="507"/>
      <c r="O280" s="508"/>
      <c r="P280" s="217"/>
      <c r="Q280" s="217"/>
      <c r="R280" s="217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>
      <c r="A281" s="19"/>
      <c r="B281" s="19"/>
      <c r="C281" s="19"/>
      <c r="D281" s="219"/>
      <c r="E281" s="220"/>
      <c r="F281" s="221"/>
      <c r="G281" s="222"/>
      <c r="H281" s="223"/>
      <c r="I281" s="224"/>
      <c r="J281" s="507"/>
      <c r="K281" s="19"/>
      <c r="L281" s="507"/>
      <c r="M281" s="507"/>
      <c r="N281" s="507"/>
      <c r="O281" s="508"/>
      <c r="P281" s="217"/>
      <c r="Q281" s="217"/>
      <c r="R281" s="217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>
      <c r="A282" s="19"/>
      <c r="B282" s="19"/>
      <c r="C282" s="19"/>
      <c r="D282" s="219"/>
      <c r="E282" s="220"/>
      <c r="F282" s="221"/>
      <c r="G282" s="222"/>
      <c r="H282" s="223"/>
      <c r="I282" s="224"/>
      <c r="J282" s="507"/>
      <c r="K282" s="19"/>
      <c r="L282" s="507"/>
      <c r="M282" s="507"/>
      <c r="N282" s="507"/>
      <c r="O282" s="508"/>
      <c r="P282" s="217"/>
      <c r="Q282" s="217"/>
      <c r="R282" s="217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>
      <c r="A283" s="19"/>
      <c r="B283" s="19"/>
      <c r="C283" s="19"/>
      <c r="D283" s="219"/>
      <c r="E283" s="220"/>
      <c r="F283" s="221"/>
      <c r="G283" s="222"/>
      <c r="H283" s="223"/>
      <c r="I283" s="224"/>
      <c r="J283" s="507"/>
      <c r="K283" s="19"/>
      <c r="L283" s="507"/>
      <c r="M283" s="507"/>
      <c r="N283" s="507"/>
      <c r="O283" s="508"/>
      <c r="P283" s="217"/>
      <c r="Q283" s="217"/>
      <c r="R283" s="217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>
      <c r="A284" s="19"/>
      <c r="B284" s="19"/>
      <c r="C284" s="19"/>
      <c r="D284" s="219"/>
      <c r="E284" s="220"/>
      <c r="F284" s="221"/>
      <c r="G284" s="222"/>
      <c r="H284" s="223"/>
      <c r="I284" s="224"/>
      <c r="J284" s="507"/>
      <c r="K284" s="19"/>
      <c r="L284" s="507"/>
      <c r="M284" s="507"/>
      <c r="N284" s="507"/>
      <c r="O284" s="508"/>
      <c r="P284" s="217"/>
      <c r="Q284" s="217"/>
      <c r="R284" s="217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>
      <c r="A285" s="19"/>
      <c r="B285" s="19"/>
      <c r="C285" s="19"/>
      <c r="D285" s="219"/>
      <c r="E285" s="220"/>
      <c r="F285" s="221"/>
      <c r="G285" s="222"/>
      <c r="H285" s="223"/>
      <c r="I285" s="224"/>
      <c r="J285" s="507"/>
      <c r="K285" s="19"/>
      <c r="L285" s="507"/>
      <c r="M285" s="507"/>
      <c r="N285" s="507"/>
      <c r="O285" s="508"/>
      <c r="P285" s="217"/>
      <c r="Q285" s="217"/>
      <c r="R285" s="217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>
      <c r="A286" s="19"/>
      <c r="B286" s="19"/>
      <c r="C286" s="19"/>
      <c r="D286" s="219"/>
      <c r="E286" s="220"/>
      <c r="F286" s="221"/>
      <c r="G286" s="222"/>
      <c r="H286" s="223"/>
      <c r="I286" s="224"/>
      <c r="J286" s="507"/>
      <c r="K286" s="19"/>
      <c r="L286" s="507"/>
      <c r="M286" s="507"/>
      <c r="N286" s="507"/>
      <c r="O286" s="508"/>
      <c r="P286" s="217"/>
      <c r="Q286" s="217"/>
      <c r="R286" s="217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>
      <c r="A287" s="19"/>
      <c r="B287" s="19"/>
      <c r="C287" s="19"/>
      <c r="D287" s="219"/>
      <c r="E287" s="220"/>
      <c r="F287" s="221"/>
      <c r="G287" s="222"/>
      <c r="H287" s="223"/>
      <c r="I287" s="224"/>
      <c r="J287" s="507"/>
      <c r="K287" s="19"/>
      <c r="L287" s="507"/>
      <c r="M287" s="507"/>
      <c r="N287" s="507"/>
      <c r="O287" s="508"/>
      <c r="P287" s="217"/>
      <c r="Q287" s="217"/>
      <c r="R287" s="217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>
      <c r="A288" s="19"/>
      <c r="B288" s="19"/>
      <c r="C288" s="19"/>
      <c r="D288" s="219"/>
      <c r="E288" s="220"/>
      <c r="F288" s="221"/>
      <c r="G288" s="222"/>
      <c r="H288" s="223"/>
      <c r="I288" s="224"/>
      <c r="J288" s="507"/>
      <c r="K288" s="19"/>
      <c r="L288" s="507"/>
      <c r="M288" s="507"/>
      <c r="N288" s="507"/>
      <c r="O288" s="508"/>
      <c r="P288" s="217"/>
      <c r="Q288" s="217"/>
      <c r="R288" s="217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>
      <c r="A289" s="19"/>
      <c r="B289" s="19"/>
      <c r="C289" s="19"/>
      <c r="D289" s="219"/>
      <c r="E289" s="220"/>
      <c r="F289" s="221"/>
      <c r="G289" s="222"/>
      <c r="H289" s="223"/>
      <c r="I289" s="224"/>
      <c r="J289" s="507"/>
      <c r="K289" s="19"/>
      <c r="L289" s="507"/>
      <c r="M289" s="507"/>
      <c r="N289" s="507"/>
      <c r="O289" s="508"/>
      <c r="P289" s="217"/>
      <c r="Q289" s="217"/>
      <c r="R289" s="217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>
      <c r="A290" s="19"/>
      <c r="B290" s="19"/>
      <c r="C290" s="19"/>
      <c r="D290" s="219"/>
      <c r="E290" s="220"/>
      <c r="F290" s="221"/>
      <c r="G290" s="222"/>
      <c r="H290" s="223"/>
      <c r="I290" s="224"/>
      <c r="J290" s="507"/>
      <c r="K290" s="19"/>
      <c r="L290" s="507"/>
      <c r="M290" s="507"/>
      <c r="N290" s="507"/>
      <c r="O290" s="508"/>
      <c r="P290" s="217"/>
      <c r="Q290" s="217"/>
      <c r="R290" s="217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>
      <c r="A291" s="19"/>
      <c r="B291" s="19"/>
      <c r="C291" s="19"/>
      <c r="D291" s="219"/>
      <c r="E291" s="220"/>
      <c r="F291" s="221"/>
      <c r="G291" s="222"/>
      <c r="H291" s="223"/>
      <c r="I291" s="224"/>
      <c r="J291" s="507"/>
      <c r="K291" s="19"/>
      <c r="L291" s="507"/>
      <c r="M291" s="507"/>
      <c r="N291" s="507"/>
      <c r="O291" s="508"/>
      <c r="P291" s="217"/>
      <c r="Q291" s="217"/>
      <c r="R291" s="217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>
      <c r="A292" s="19"/>
      <c r="B292" s="19"/>
      <c r="C292" s="19"/>
      <c r="D292" s="219"/>
      <c r="E292" s="220"/>
      <c r="F292" s="221"/>
      <c r="G292" s="222"/>
      <c r="H292" s="223"/>
      <c r="I292" s="224"/>
      <c r="J292" s="507"/>
      <c r="K292" s="19"/>
      <c r="L292" s="507"/>
      <c r="M292" s="507"/>
      <c r="N292" s="507"/>
      <c r="O292" s="508"/>
      <c r="P292" s="217"/>
      <c r="Q292" s="217"/>
      <c r="R292" s="217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>
      <c r="A293" s="19"/>
      <c r="B293" s="19"/>
      <c r="C293" s="19"/>
      <c r="D293" s="219"/>
      <c r="E293" s="220"/>
      <c r="F293" s="221"/>
      <c r="G293" s="222"/>
      <c r="H293" s="223"/>
      <c r="I293" s="224"/>
      <c r="J293" s="507"/>
      <c r="K293" s="19"/>
      <c r="L293" s="507"/>
      <c r="M293" s="507"/>
      <c r="N293" s="507"/>
      <c r="O293" s="508"/>
      <c r="P293" s="217"/>
      <c r="Q293" s="217"/>
      <c r="R293" s="217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>
      <c r="A294" s="19"/>
      <c r="B294" s="19"/>
      <c r="C294" s="19"/>
      <c r="D294" s="219"/>
      <c r="E294" s="220"/>
      <c r="F294" s="221"/>
      <c r="G294" s="222"/>
      <c r="H294" s="223"/>
      <c r="I294" s="224"/>
      <c r="J294" s="507"/>
      <c r="K294" s="19"/>
      <c r="L294" s="507"/>
      <c r="M294" s="507"/>
      <c r="N294" s="507"/>
      <c r="O294" s="508"/>
      <c r="P294" s="217"/>
      <c r="Q294" s="217"/>
      <c r="R294" s="217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>
      <c r="A295" s="19"/>
      <c r="B295" s="19"/>
      <c r="C295" s="19"/>
      <c r="D295" s="219"/>
      <c r="E295" s="220"/>
      <c r="F295" s="221"/>
      <c r="G295" s="222"/>
      <c r="H295" s="223"/>
      <c r="I295" s="224"/>
      <c r="J295" s="507"/>
      <c r="K295" s="19"/>
      <c r="L295" s="507"/>
      <c r="M295" s="507"/>
      <c r="N295" s="507"/>
      <c r="O295" s="508"/>
      <c r="P295" s="217"/>
      <c r="Q295" s="217"/>
      <c r="R295" s="217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>
      <c r="A296" s="19"/>
      <c r="B296" s="19"/>
      <c r="C296" s="19"/>
      <c r="D296" s="219"/>
      <c r="E296" s="220"/>
      <c r="F296" s="221"/>
      <c r="G296" s="222"/>
      <c r="H296" s="223"/>
      <c r="I296" s="224"/>
      <c r="J296" s="507"/>
      <c r="K296" s="19"/>
      <c r="L296" s="507"/>
      <c r="M296" s="507"/>
      <c r="N296" s="507"/>
      <c r="O296" s="508"/>
      <c r="P296" s="217"/>
      <c r="Q296" s="217"/>
      <c r="R296" s="217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>
      <c r="A297" s="19"/>
      <c r="B297" s="19"/>
      <c r="C297" s="19"/>
      <c r="D297" s="219"/>
      <c r="E297" s="220"/>
      <c r="F297" s="221"/>
      <c r="G297" s="222"/>
      <c r="H297" s="223"/>
      <c r="I297" s="224"/>
      <c r="J297" s="507"/>
      <c r="K297" s="19"/>
      <c r="L297" s="507"/>
      <c r="M297" s="507"/>
      <c r="N297" s="507"/>
      <c r="O297" s="508"/>
      <c r="P297" s="217"/>
      <c r="Q297" s="217"/>
      <c r="R297" s="217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>
      <c r="A298" s="19"/>
      <c r="B298" s="19"/>
      <c r="C298" s="19"/>
      <c r="D298" s="219"/>
      <c r="E298" s="220"/>
      <c r="F298" s="221"/>
      <c r="G298" s="222"/>
      <c r="H298" s="223"/>
      <c r="I298" s="224"/>
      <c r="J298" s="507"/>
      <c r="K298" s="19"/>
      <c r="L298" s="507"/>
      <c r="M298" s="507"/>
      <c r="N298" s="507"/>
      <c r="O298" s="508"/>
      <c r="P298" s="217"/>
      <c r="Q298" s="217"/>
      <c r="R298" s="217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>
      <c r="A299" s="19"/>
      <c r="B299" s="19"/>
      <c r="C299" s="19"/>
      <c r="D299" s="219"/>
      <c r="E299" s="220"/>
      <c r="F299" s="221"/>
      <c r="G299" s="222"/>
      <c r="H299" s="223"/>
      <c r="I299" s="224"/>
      <c r="J299" s="507"/>
      <c r="K299" s="19"/>
      <c r="L299" s="507"/>
      <c r="M299" s="507"/>
      <c r="N299" s="507"/>
      <c r="O299" s="508"/>
      <c r="P299" s="217"/>
      <c r="Q299" s="217"/>
      <c r="R299" s="217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>
      <c r="A300" s="19"/>
      <c r="B300" s="19"/>
      <c r="C300" s="19"/>
      <c r="D300" s="219"/>
      <c r="E300" s="220"/>
      <c r="F300" s="221"/>
      <c r="G300" s="222"/>
      <c r="H300" s="223"/>
      <c r="I300" s="224"/>
      <c r="J300" s="507"/>
      <c r="K300" s="19"/>
      <c r="L300" s="507"/>
      <c r="M300" s="507"/>
      <c r="N300" s="507"/>
      <c r="O300" s="508"/>
      <c r="P300" s="217"/>
      <c r="Q300" s="217"/>
      <c r="R300" s="217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>
      <c r="A301" s="19"/>
      <c r="B301" s="19"/>
      <c r="C301" s="19"/>
      <c r="D301" s="219"/>
      <c r="E301" s="220"/>
      <c r="F301" s="221"/>
      <c r="G301" s="222"/>
      <c r="H301" s="223"/>
      <c r="I301" s="224"/>
      <c r="J301" s="507"/>
      <c r="K301" s="19"/>
      <c r="L301" s="507"/>
      <c r="M301" s="507"/>
      <c r="N301" s="507"/>
      <c r="O301" s="508"/>
      <c r="P301" s="217"/>
      <c r="Q301" s="217"/>
      <c r="R301" s="217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>
      <c r="A302" s="19"/>
      <c r="B302" s="19"/>
      <c r="C302" s="19"/>
      <c r="D302" s="219"/>
      <c r="E302" s="220"/>
      <c r="F302" s="221"/>
      <c r="G302" s="222"/>
      <c r="H302" s="223"/>
      <c r="I302" s="224"/>
      <c r="J302" s="507"/>
      <c r="K302" s="19"/>
      <c r="L302" s="507"/>
      <c r="M302" s="507"/>
      <c r="N302" s="507"/>
      <c r="O302" s="508"/>
      <c r="P302" s="217"/>
      <c r="Q302" s="217"/>
      <c r="R302" s="217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>
      <c r="A303" s="19"/>
      <c r="B303" s="19"/>
      <c r="C303" s="19"/>
      <c r="D303" s="219"/>
      <c r="E303" s="220"/>
      <c r="F303" s="221"/>
      <c r="G303" s="222"/>
      <c r="H303" s="223"/>
      <c r="I303" s="224"/>
      <c r="J303" s="507"/>
      <c r="K303" s="19"/>
      <c r="L303" s="507"/>
      <c r="M303" s="507"/>
      <c r="N303" s="507"/>
      <c r="O303" s="508"/>
      <c r="P303" s="217"/>
      <c r="Q303" s="217"/>
      <c r="R303" s="217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>
      <c r="A304" s="19"/>
      <c r="B304" s="19"/>
      <c r="C304" s="19"/>
      <c r="D304" s="219"/>
      <c r="E304" s="220"/>
      <c r="F304" s="221"/>
      <c r="G304" s="222"/>
      <c r="H304" s="223"/>
      <c r="I304" s="224"/>
      <c r="J304" s="507"/>
      <c r="K304" s="19"/>
      <c r="L304" s="507"/>
      <c r="M304" s="507"/>
      <c r="N304" s="507"/>
      <c r="O304" s="508"/>
      <c r="P304" s="217"/>
      <c r="Q304" s="217"/>
      <c r="R304" s="217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>
      <c r="A305" s="19"/>
      <c r="B305" s="19"/>
      <c r="C305" s="19"/>
      <c r="D305" s="219"/>
      <c r="E305" s="220"/>
      <c r="F305" s="221"/>
      <c r="G305" s="222"/>
      <c r="H305" s="223"/>
      <c r="I305" s="224"/>
      <c r="J305" s="507"/>
      <c r="K305" s="19"/>
      <c r="L305" s="507"/>
      <c r="M305" s="507"/>
      <c r="N305" s="507"/>
      <c r="O305" s="508"/>
      <c r="P305" s="217"/>
      <c r="Q305" s="217"/>
      <c r="R305" s="217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>
      <c r="A306" s="19"/>
      <c r="B306" s="19"/>
      <c r="C306" s="19"/>
      <c r="D306" s="219"/>
      <c r="E306" s="220"/>
      <c r="F306" s="221"/>
      <c r="G306" s="222"/>
      <c r="H306" s="223"/>
      <c r="I306" s="224"/>
      <c r="J306" s="507"/>
      <c r="K306" s="19"/>
      <c r="L306" s="507"/>
      <c r="M306" s="507"/>
      <c r="N306" s="507"/>
      <c r="O306" s="508"/>
      <c r="P306" s="217"/>
      <c r="Q306" s="217"/>
      <c r="R306" s="217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>
      <c r="A307" s="19"/>
      <c r="B307" s="19"/>
      <c r="C307" s="19"/>
      <c r="D307" s="219"/>
      <c r="E307" s="220"/>
      <c r="F307" s="221"/>
      <c r="G307" s="222"/>
      <c r="H307" s="223"/>
      <c r="I307" s="224"/>
      <c r="J307" s="507"/>
      <c r="K307" s="19"/>
      <c r="L307" s="507"/>
      <c r="M307" s="507"/>
      <c r="N307" s="507"/>
      <c r="O307" s="508"/>
      <c r="P307" s="217"/>
      <c r="Q307" s="217"/>
      <c r="R307" s="217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>
      <c r="A308" s="19"/>
      <c r="B308" s="19"/>
      <c r="C308" s="19"/>
      <c r="D308" s="219"/>
      <c r="E308" s="220"/>
      <c r="F308" s="221"/>
      <c r="G308" s="222"/>
      <c r="H308" s="223"/>
      <c r="I308" s="224"/>
      <c r="J308" s="507"/>
      <c r="K308" s="19"/>
      <c r="L308" s="507"/>
      <c r="M308" s="507"/>
      <c r="N308" s="507"/>
      <c r="O308" s="508"/>
      <c r="P308" s="217"/>
      <c r="Q308" s="217"/>
      <c r="R308" s="217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>
      <c r="A309" s="19"/>
      <c r="B309" s="19"/>
      <c r="C309" s="19"/>
      <c r="D309" s="219"/>
      <c r="E309" s="220"/>
      <c r="F309" s="221"/>
      <c r="G309" s="222"/>
      <c r="H309" s="223"/>
      <c r="I309" s="224"/>
      <c r="J309" s="507"/>
      <c r="K309" s="19"/>
      <c r="L309" s="507"/>
      <c r="M309" s="507"/>
      <c r="N309" s="507"/>
      <c r="O309" s="508"/>
      <c r="P309" s="217"/>
      <c r="Q309" s="217"/>
      <c r="R309" s="217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>
      <c r="A310" s="19"/>
      <c r="B310" s="19"/>
      <c r="C310" s="19"/>
      <c r="D310" s="219"/>
      <c r="E310" s="220"/>
      <c r="F310" s="221"/>
      <c r="G310" s="222"/>
      <c r="H310" s="223"/>
      <c r="I310" s="224"/>
      <c r="J310" s="507"/>
      <c r="K310" s="19"/>
      <c r="L310" s="507"/>
      <c r="M310" s="507"/>
      <c r="N310" s="507"/>
      <c r="O310" s="508"/>
      <c r="P310" s="217"/>
      <c r="Q310" s="217"/>
      <c r="R310" s="217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>
      <c r="A311" s="19"/>
      <c r="B311" s="19"/>
      <c r="C311" s="19"/>
      <c r="D311" s="219"/>
      <c r="E311" s="220"/>
      <c r="F311" s="221"/>
      <c r="G311" s="222"/>
      <c r="H311" s="223"/>
      <c r="I311" s="224"/>
      <c r="J311" s="507"/>
      <c r="K311" s="19"/>
      <c r="L311" s="507"/>
      <c r="M311" s="507"/>
      <c r="N311" s="507"/>
      <c r="O311" s="508"/>
      <c r="P311" s="217"/>
      <c r="Q311" s="217"/>
      <c r="R311" s="217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>
      <c r="A312" s="19"/>
      <c r="B312" s="19"/>
      <c r="C312" s="19"/>
      <c r="D312" s="219"/>
      <c r="E312" s="220"/>
      <c r="F312" s="221"/>
      <c r="G312" s="222"/>
      <c r="H312" s="223"/>
      <c r="I312" s="224"/>
      <c r="J312" s="507"/>
      <c r="K312" s="19"/>
      <c r="L312" s="507"/>
      <c r="M312" s="507"/>
      <c r="N312" s="507"/>
      <c r="O312" s="508"/>
      <c r="P312" s="217"/>
      <c r="Q312" s="217"/>
      <c r="R312" s="217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>
      <c r="A313" s="19"/>
      <c r="B313" s="19"/>
      <c r="C313" s="19"/>
      <c r="D313" s="219"/>
      <c r="E313" s="220"/>
      <c r="F313" s="221"/>
      <c r="G313" s="222"/>
      <c r="H313" s="223"/>
      <c r="I313" s="224"/>
      <c r="J313" s="507"/>
      <c r="K313" s="19"/>
      <c r="L313" s="507"/>
      <c r="M313" s="507"/>
      <c r="N313" s="507"/>
      <c r="O313" s="508"/>
      <c r="P313" s="217"/>
      <c r="Q313" s="217"/>
      <c r="R313" s="217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>
      <c r="A314" s="19"/>
      <c r="B314" s="19"/>
      <c r="C314" s="19"/>
      <c r="D314" s="219"/>
      <c r="E314" s="220"/>
      <c r="F314" s="221"/>
      <c r="G314" s="222"/>
      <c r="H314" s="223"/>
      <c r="I314" s="224"/>
      <c r="J314" s="507"/>
      <c r="K314" s="19"/>
      <c r="L314" s="507"/>
      <c r="M314" s="507"/>
      <c r="N314" s="507"/>
      <c r="O314" s="508"/>
      <c r="P314" s="217"/>
      <c r="Q314" s="217"/>
      <c r="R314" s="217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>
      <c r="A315" s="19"/>
      <c r="B315" s="19"/>
      <c r="C315" s="19"/>
      <c r="D315" s="219"/>
      <c r="E315" s="220"/>
      <c r="F315" s="221"/>
      <c r="G315" s="222"/>
      <c r="H315" s="223"/>
      <c r="I315" s="224"/>
      <c r="J315" s="507"/>
      <c r="K315" s="19"/>
      <c r="L315" s="507"/>
      <c r="M315" s="507"/>
      <c r="N315" s="507"/>
      <c r="O315" s="508"/>
      <c r="P315" s="217"/>
      <c r="Q315" s="217"/>
      <c r="R315" s="217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>
      <c r="A316" s="19"/>
      <c r="B316" s="19"/>
      <c r="C316" s="19"/>
      <c r="D316" s="219"/>
      <c r="E316" s="220"/>
      <c r="F316" s="221"/>
      <c r="G316" s="222"/>
      <c r="H316" s="223"/>
      <c r="I316" s="224"/>
      <c r="J316" s="507"/>
      <c r="K316" s="19"/>
      <c r="L316" s="507"/>
      <c r="M316" s="507"/>
      <c r="N316" s="507"/>
      <c r="O316" s="508"/>
      <c r="P316" s="217"/>
      <c r="Q316" s="217"/>
      <c r="R316" s="217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>
      <c r="A317" s="19"/>
      <c r="B317" s="19"/>
      <c r="C317" s="19"/>
      <c r="D317" s="219"/>
      <c r="E317" s="220"/>
      <c r="F317" s="221"/>
      <c r="G317" s="222"/>
      <c r="H317" s="223"/>
      <c r="I317" s="224"/>
      <c r="J317" s="507"/>
      <c r="K317" s="19"/>
      <c r="L317" s="507"/>
      <c r="M317" s="507"/>
      <c r="N317" s="507"/>
      <c r="O317" s="508"/>
      <c r="P317" s="217"/>
      <c r="Q317" s="217"/>
      <c r="R317" s="217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>
      <c r="A318" s="19"/>
      <c r="B318" s="19"/>
      <c r="C318" s="19"/>
      <c r="D318" s="219"/>
      <c r="E318" s="220"/>
      <c r="F318" s="221"/>
      <c r="G318" s="222"/>
      <c r="H318" s="223"/>
      <c r="I318" s="224"/>
      <c r="J318" s="507"/>
      <c r="K318" s="19"/>
      <c r="L318" s="507"/>
      <c r="M318" s="507"/>
      <c r="N318" s="507"/>
      <c r="O318" s="508"/>
      <c r="P318" s="217"/>
      <c r="Q318" s="217"/>
      <c r="R318" s="217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>
      <c r="A319" s="19"/>
      <c r="B319" s="19"/>
      <c r="C319" s="19"/>
      <c r="D319" s="219"/>
      <c r="E319" s="220"/>
      <c r="F319" s="221"/>
      <c r="G319" s="222"/>
      <c r="H319" s="223"/>
      <c r="I319" s="224"/>
      <c r="J319" s="507"/>
      <c r="K319" s="19"/>
      <c r="L319" s="507"/>
      <c r="M319" s="507"/>
      <c r="N319" s="507"/>
      <c r="O319" s="508"/>
      <c r="P319" s="217"/>
      <c r="Q319" s="217"/>
      <c r="R319" s="217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>
      <c r="A320" s="19"/>
      <c r="B320" s="19"/>
      <c r="C320" s="19"/>
      <c r="D320" s="219"/>
      <c r="E320" s="220"/>
      <c r="F320" s="221"/>
      <c r="G320" s="222"/>
      <c r="H320" s="223"/>
      <c r="I320" s="224"/>
      <c r="J320" s="507"/>
      <c r="K320" s="19"/>
      <c r="L320" s="507"/>
      <c r="M320" s="507"/>
      <c r="N320" s="507"/>
      <c r="O320" s="508"/>
      <c r="P320" s="217"/>
      <c r="Q320" s="217"/>
      <c r="R320" s="217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>
      <c r="A321" s="19"/>
      <c r="B321" s="19"/>
      <c r="C321" s="19"/>
      <c r="D321" s="219"/>
      <c r="E321" s="220"/>
      <c r="F321" s="221"/>
      <c r="G321" s="222"/>
      <c r="H321" s="223"/>
      <c r="I321" s="224"/>
      <c r="J321" s="507"/>
      <c r="K321" s="19"/>
      <c r="L321" s="507"/>
      <c r="M321" s="507"/>
      <c r="N321" s="507"/>
      <c r="O321" s="508"/>
      <c r="P321" s="217"/>
      <c r="Q321" s="217"/>
      <c r="R321" s="217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>
      <c r="A322" s="19"/>
      <c r="B322" s="19"/>
      <c r="C322" s="19"/>
      <c r="D322" s="219"/>
      <c r="E322" s="220"/>
      <c r="F322" s="221"/>
      <c r="G322" s="222"/>
      <c r="H322" s="223"/>
      <c r="I322" s="224"/>
      <c r="J322" s="507"/>
      <c r="K322" s="19"/>
      <c r="L322" s="507"/>
      <c r="M322" s="507"/>
      <c r="N322" s="507"/>
      <c r="O322" s="508"/>
      <c r="P322" s="217"/>
      <c r="Q322" s="217"/>
      <c r="R322" s="217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>
      <c r="A323" s="19"/>
      <c r="B323" s="19"/>
      <c r="C323" s="19"/>
      <c r="D323" s="219"/>
      <c r="E323" s="220"/>
      <c r="F323" s="221"/>
      <c r="G323" s="222"/>
      <c r="H323" s="223"/>
      <c r="I323" s="224"/>
      <c r="J323" s="507"/>
      <c r="K323" s="19"/>
      <c r="L323" s="507"/>
      <c r="M323" s="507"/>
      <c r="N323" s="507"/>
      <c r="O323" s="508"/>
      <c r="P323" s="217"/>
      <c r="Q323" s="217"/>
      <c r="R323" s="217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>
      <c r="A324" s="19"/>
      <c r="B324" s="19"/>
      <c r="C324" s="19"/>
      <c r="D324" s="219"/>
      <c r="E324" s="220"/>
      <c r="F324" s="221"/>
      <c r="G324" s="222"/>
      <c r="H324" s="223"/>
      <c r="I324" s="224"/>
      <c r="J324" s="507"/>
      <c r="K324" s="19"/>
      <c r="L324" s="507"/>
      <c r="M324" s="507"/>
      <c r="N324" s="507"/>
      <c r="O324" s="508"/>
      <c r="P324" s="217"/>
      <c r="Q324" s="217"/>
      <c r="R324" s="217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>
      <c r="A325" s="19"/>
      <c r="B325" s="19"/>
      <c r="C325" s="19"/>
      <c r="D325" s="219"/>
      <c r="E325" s="220"/>
      <c r="F325" s="221"/>
      <c r="G325" s="222"/>
      <c r="H325" s="223"/>
      <c r="I325" s="224"/>
      <c r="J325" s="507"/>
      <c r="K325" s="19"/>
      <c r="L325" s="507"/>
      <c r="M325" s="507"/>
      <c r="N325" s="507"/>
      <c r="O325" s="508"/>
      <c r="P325" s="217"/>
      <c r="Q325" s="217"/>
      <c r="R325" s="217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>
      <c r="A326" s="19"/>
      <c r="B326" s="19"/>
      <c r="C326" s="19"/>
      <c r="D326" s="219"/>
      <c r="E326" s="220"/>
      <c r="F326" s="221"/>
      <c r="G326" s="222"/>
      <c r="H326" s="223"/>
      <c r="I326" s="224"/>
      <c r="J326" s="507"/>
      <c r="K326" s="19"/>
      <c r="L326" s="507"/>
      <c r="M326" s="507"/>
      <c r="N326" s="507"/>
      <c r="O326" s="508"/>
      <c r="P326" s="217"/>
      <c r="Q326" s="217"/>
      <c r="R326" s="217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>
      <c r="A327" s="19"/>
      <c r="B327" s="19"/>
      <c r="C327" s="19"/>
      <c r="D327" s="219"/>
      <c r="E327" s="220"/>
      <c r="F327" s="221"/>
      <c r="G327" s="222"/>
      <c r="H327" s="223"/>
      <c r="I327" s="224"/>
      <c r="J327" s="507"/>
      <c r="K327" s="19"/>
      <c r="L327" s="507"/>
      <c r="M327" s="507"/>
      <c r="N327" s="507"/>
      <c r="O327" s="508"/>
      <c r="P327" s="217"/>
      <c r="Q327" s="217"/>
      <c r="R327" s="217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>
      <c r="A328" s="19"/>
      <c r="B328" s="19"/>
      <c r="C328" s="19"/>
      <c r="D328" s="219"/>
      <c r="E328" s="220"/>
      <c r="F328" s="221"/>
      <c r="G328" s="222"/>
      <c r="H328" s="223"/>
      <c r="I328" s="224"/>
      <c r="J328" s="507"/>
      <c r="K328" s="19"/>
      <c r="L328" s="507"/>
      <c r="M328" s="507"/>
      <c r="N328" s="507"/>
      <c r="O328" s="508"/>
      <c r="P328" s="217"/>
      <c r="Q328" s="217"/>
      <c r="R328" s="217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>
      <c r="A329" s="19"/>
      <c r="B329" s="19"/>
      <c r="C329" s="19"/>
      <c r="D329" s="219"/>
      <c r="E329" s="220"/>
      <c r="F329" s="221"/>
      <c r="G329" s="222"/>
      <c r="H329" s="223"/>
      <c r="I329" s="224"/>
      <c r="J329" s="507"/>
      <c r="K329" s="19"/>
      <c r="L329" s="507"/>
      <c r="M329" s="507"/>
      <c r="N329" s="507"/>
      <c r="O329" s="508"/>
      <c r="P329" s="217"/>
      <c r="Q329" s="217"/>
      <c r="R329" s="217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>
      <c r="A330" s="19"/>
      <c r="B330" s="19"/>
      <c r="C330" s="19"/>
      <c r="D330" s="219"/>
      <c r="E330" s="220"/>
      <c r="F330" s="221"/>
      <c r="G330" s="222"/>
      <c r="H330" s="223"/>
      <c r="I330" s="224"/>
      <c r="J330" s="507"/>
      <c r="K330" s="19"/>
      <c r="L330" s="507"/>
      <c r="M330" s="507"/>
      <c r="N330" s="507"/>
      <c r="O330" s="508"/>
      <c r="P330" s="217"/>
      <c r="Q330" s="217"/>
      <c r="R330" s="217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>
      <c r="A331" s="19"/>
      <c r="B331" s="19"/>
      <c r="C331" s="19"/>
      <c r="D331" s="219"/>
      <c r="E331" s="220"/>
      <c r="F331" s="221"/>
      <c r="G331" s="222"/>
      <c r="H331" s="223"/>
      <c r="I331" s="224"/>
      <c r="J331" s="507"/>
      <c r="K331" s="19"/>
      <c r="L331" s="507"/>
      <c r="M331" s="507"/>
      <c r="N331" s="507"/>
      <c r="O331" s="508"/>
      <c r="P331" s="217"/>
      <c r="Q331" s="217"/>
      <c r="R331" s="217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>
      <c r="A332" s="19"/>
      <c r="B332" s="19"/>
      <c r="C332" s="19"/>
      <c r="D332" s="219"/>
      <c r="E332" s="220"/>
      <c r="F332" s="221"/>
      <c r="G332" s="222"/>
      <c r="H332" s="223"/>
      <c r="I332" s="224"/>
      <c r="J332" s="507"/>
      <c r="K332" s="19"/>
      <c r="L332" s="507"/>
      <c r="M332" s="507"/>
      <c r="N332" s="507"/>
      <c r="O332" s="508"/>
      <c r="P332" s="217"/>
      <c r="Q332" s="217"/>
      <c r="R332" s="217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>
      <c r="A333" s="19"/>
      <c r="B333" s="19"/>
      <c r="C333" s="19"/>
      <c r="D333" s="219"/>
      <c r="E333" s="220"/>
      <c r="F333" s="221"/>
      <c r="G333" s="222"/>
      <c r="H333" s="223"/>
      <c r="I333" s="224"/>
      <c r="J333" s="507"/>
      <c r="K333" s="19"/>
      <c r="L333" s="507"/>
      <c r="M333" s="507"/>
      <c r="N333" s="507"/>
      <c r="O333" s="508"/>
      <c r="P333" s="217"/>
      <c r="Q333" s="217"/>
      <c r="R333" s="217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>
      <c r="A334" s="19"/>
      <c r="B334" s="19"/>
      <c r="C334" s="19"/>
      <c r="D334" s="219"/>
      <c r="E334" s="220"/>
      <c r="F334" s="221"/>
      <c r="G334" s="222"/>
      <c r="H334" s="223"/>
      <c r="I334" s="224"/>
      <c r="J334" s="507"/>
      <c r="K334" s="19"/>
      <c r="L334" s="507"/>
      <c r="M334" s="507"/>
      <c r="N334" s="507"/>
      <c r="O334" s="508"/>
      <c r="P334" s="217"/>
      <c r="Q334" s="217"/>
      <c r="R334" s="217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>
      <c r="A335" s="19"/>
      <c r="B335" s="19"/>
      <c r="C335" s="19"/>
      <c r="D335" s="219"/>
      <c r="E335" s="220"/>
      <c r="F335" s="221"/>
      <c r="G335" s="222"/>
      <c r="H335" s="223"/>
      <c r="I335" s="224"/>
      <c r="J335" s="507"/>
      <c r="K335" s="19"/>
      <c r="L335" s="507"/>
      <c r="M335" s="507"/>
      <c r="N335" s="507"/>
      <c r="O335" s="508"/>
      <c r="P335" s="217"/>
      <c r="Q335" s="217"/>
      <c r="R335" s="217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>
      <c r="A336" s="19"/>
      <c r="B336" s="19"/>
      <c r="C336" s="19"/>
      <c r="D336" s="219"/>
      <c r="E336" s="220"/>
      <c r="F336" s="221"/>
      <c r="G336" s="222"/>
      <c r="H336" s="223"/>
      <c r="I336" s="224"/>
      <c r="J336" s="507"/>
      <c r="K336" s="19"/>
      <c r="L336" s="507"/>
      <c r="M336" s="507"/>
      <c r="N336" s="507"/>
      <c r="O336" s="508"/>
      <c r="P336" s="217"/>
      <c r="Q336" s="217"/>
      <c r="R336" s="217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>
      <c r="A337" s="19"/>
      <c r="B337" s="19"/>
      <c r="C337" s="19"/>
      <c r="D337" s="219"/>
      <c r="E337" s="220"/>
      <c r="F337" s="221"/>
      <c r="G337" s="222"/>
      <c r="H337" s="223"/>
      <c r="I337" s="224"/>
      <c r="J337" s="507"/>
      <c r="K337" s="19"/>
      <c r="L337" s="507"/>
      <c r="M337" s="507"/>
      <c r="N337" s="507"/>
      <c r="O337" s="508"/>
      <c r="P337" s="217"/>
      <c r="Q337" s="217"/>
      <c r="R337" s="217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>
      <c r="A338" s="19"/>
      <c r="B338" s="19"/>
      <c r="C338" s="19"/>
      <c r="D338" s="219"/>
      <c r="E338" s="220"/>
      <c r="F338" s="221"/>
      <c r="G338" s="222"/>
      <c r="H338" s="223"/>
      <c r="I338" s="224"/>
      <c r="J338" s="507"/>
      <c r="K338" s="19"/>
      <c r="L338" s="507"/>
      <c r="M338" s="507"/>
      <c r="N338" s="507"/>
      <c r="O338" s="508"/>
      <c r="P338" s="217"/>
      <c r="Q338" s="217"/>
      <c r="R338" s="217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>
      <c r="A339" s="19"/>
      <c r="B339" s="19"/>
      <c r="C339" s="19"/>
      <c r="D339" s="219"/>
      <c r="E339" s="220"/>
      <c r="F339" s="221"/>
      <c r="G339" s="222"/>
      <c r="H339" s="223"/>
      <c r="I339" s="224"/>
      <c r="J339" s="507"/>
      <c r="K339" s="19"/>
      <c r="L339" s="507"/>
      <c r="M339" s="507"/>
      <c r="N339" s="507"/>
      <c r="O339" s="508"/>
      <c r="P339" s="217"/>
      <c r="Q339" s="217"/>
      <c r="R339" s="217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>
      <c r="A340" s="19"/>
      <c r="B340" s="19"/>
      <c r="C340" s="19"/>
      <c r="D340" s="219"/>
      <c r="E340" s="220"/>
      <c r="F340" s="221"/>
      <c r="G340" s="222"/>
      <c r="H340" s="223"/>
      <c r="I340" s="224"/>
      <c r="J340" s="507"/>
      <c r="K340" s="19"/>
      <c r="L340" s="507"/>
      <c r="M340" s="507"/>
      <c r="N340" s="507"/>
      <c r="O340" s="508"/>
      <c r="P340" s="217"/>
      <c r="Q340" s="217"/>
      <c r="R340" s="217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>
      <c r="A341" s="19"/>
      <c r="B341" s="19"/>
      <c r="C341" s="19"/>
      <c r="D341" s="219"/>
      <c r="E341" s="220"/>
      <c r="F341" s="221"/>
      <c r="G341" s="222"/>
      <c r="H341" s="223"/>
      <c r="I341" s="224"/>
      <c r="J341" s="507"/>
      <c r="K341" s="19"/>
      <c r="L341" s="507"/>
      <c r="M341" s="507"/>
      <c r="N341" s="507"/>
      <c r="O341" s="508"/>
      <c r="P341" s="217"/>
      <c r="Q341" s="217"/>
      <c r="R341" s="217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>
      <c r="A342" s="19"/>
      <c r="B342" s="19"/>
      <c r="C342" s="19"/>
      <c r="D342" s="219"/>
      <c r="E342" s="220"/>
      <c r="F342" s="221"/>
      <c r="G342" s="222"/>
      <c r="H342" s="223"/>
      <c r="I342" s="224"/>
      <c r="J342" s="507"/>
      <c r="K342" s="19"/>
      <c r="L342" s="507"/>
      <c r="M342" s="507"/>
      <c r="N342" s="507"/>
      <c r="O342" s="508"/>
      <c r="P342" s="217"/>
      <c r="Q342" s="217"/>
      <c r="R342" s="217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>
      <c r="A343" s="19"/>
      <c r="B343" s="19"/>
      <c r="C343" s="19"/>
      <c r="D343" s="219"/>
      <c r="E343" s="220"/>
      <c r="F343" s="221"/>
      <c r="G343" s="222"/>
      <c r="H343" s="223"/>
      <c r="I343" s="224"/>
      <c r="J343" s="507"/>
      <c r="K343" s="19"/>
      <c r="L343" s="507"/>
      <c r="M343" s="507"/>
      <c r="N343" s="507"/>
      <c r="O343" s="508"/>
      <c r="P343" s="217"/>
      <c r="Q343" s="217"/>
      <c r="R343" s="217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>
      <c r="A344" s="19"/>
      <c r="B344" s="19"/>
      <c r="C344" s="19"/>
      <c r="D344" s="219"/>
      <c r="E344" s="220"/>
      <c r="F344" s="221"/>
      <c r="G344" s="222"/>
      <c r="H344" s="223"/>
      <c r="I344" s="224"/>
      <c r="J344" s="507"/>
      <c r="K344" s="19"/>
      <c r="L344" s="507"/>
      <c r="M344" s="507"/>
      <c r="N344" s="507"/>
      <c r="O344" s="508"/>
      <c r="P344" s="217"/>
      <c r="Q344" s="217"/>
      <c r="R344" s="217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>
      <c r="A345" s="19"/>
      <c r="B345" s="19"/>
      <c r="C345" s="19"/>
      <c r="D345" s="219"/>
      <c r="E345" s="220"/>
      <c r="F345" s="221"/>
      <c r="G345" s="222"/>
      <c r="H345" s="223"/>
      <c r="I345" s="224"/>
      <c r="J345" s="507"/>
      <c r="K345" s="19"/>
      <c r="L345" s="507"/>
      <c r="M345" s="507"/>
      <c r="N345" s="507"/>
      <c r="O345" s="508"/>
      <c r="P345" s="217"/>
      <c r="Q345" s="217"/>
      <c r="R345" s="217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>
      <c r="A346" s="19"/>
      <c r="B346" s="19"/>
      <c r="C346" s="19"/>
      <c r="D346" s="219"/>
      <c r="E346" s="220"/>
      <c r="F346" s="221"/>
      <c r="G346" s="222"/>
      <c r="H346" s="223"/>
      <c r="I346" s="224"/>
      <c r="J346" s="507"/>
      <c r="K346" s="19"/>
      <c r="L346" s="507"/>
      <c r="M346" s="507"/>
      <c r="N346" s="507"/>
      <c r="O346" s="508"/>
      <c r="P346" s="217"/>
      <c r="Q346" s="217"/>
      <c r="R346" s="217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>
      <c r="A347" s="19"/>
      <c r="B347" s="19"/>
      <c r="C347" s="19"/>
      <c r="D347" s="219"/>
      <c r="E347" s="220"/>
      <c r="F347" s="221"/>
      <c r="G347" s="222"/>
      <c r="H347" s="223"/>
      <c r="I347" s="224"/>
      <c r="J347" s="507"/>
      <c r="K347" s="19"/>
      <c r="L347" s="507"/>
      <c r="M347" s="507"/>
      <c r="N347" s="507"/>
      <c r="O347" s="508"/>
      <c r="P347" s="217"/>
      <c r="Q347" s="217"/>
      <c r="R347" s="217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>
      <c r="A348" s="19"/>
      <c r="B348" s="19"/>
      <c r="C348" s="19"/>
      <c r="D348" s="219"/>
      <c r="E348" s="220"/>
      <c r="F348" s="221"/>
      <c r="G348" s="222"/>
      <c r="H348" s="223"/>
      <c r="I348" s="224"/>
      <c r="J348" s="507"/>
      <c r="K348" s="19"/>
      <c r="L348" s="507"/>
      <c r="M348" s="507"/>
      <c r="N348" s="507"/>
      <c r="O348" s="508"/>
      <c r="P348" s="217"/>
      <c r="Q348" s="217"/>
      <c r="R348" s="217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>
      <c r="A349" s="19"/>
      <c r="B349" s="19"/>
      <c r="C349" s="19"/>
      <c r="D349" s="219"/>
      <c r="E349" s="220"/>
      <c r="F349" s="221"/>
      <c r="G349" s="222"/>
      <c r="H349" s="223"/>
      <c r="I349" s="224"/>
      <c r="J349" s="507"/>
      <c r="K349" s="19"/>
      <c r="L349" s="507"/>
      <c r="M349" s="507"/>
      <c r="N349" s="507"/>
      <c r="O349" s="508"/>
      <c r="P349" s="217"/>
      <c r="Q349" s="217"/>
      <c r="R349" s="217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>
      <c r="A350" s="19"/>
      <c r="B350" s="19"/>
      <c r="C350" s="19"/>
      <c r="D350" s="219"/>
      <c r="E350" s="220"/>
      <c r="F350" s="221"/>
      <c r="G350" s="222"/>
      <c r="H350" s="223"/>
      <c r="I350" s="224"/>
      <c r="J350" s="507"/>
      <c r="K350" s="19"/>
      <c r="L350" s="507"/>
      <c r="M350" s="507"/>
      <c r="N350" s="507"/>
      <c r="O350" s="508"/>
      <c r="P350" s="217"/>
      <c r="Q350" s="217"/>
      <c r="R350" s="217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>
      <c r="A351" s="19"/>
      <c r="B351" s="19"/>
      <c r="C351" s="19"/>
      <c r="D351" s="219"/>
      <c r="E351" s="220"/>
      <c r="F351" s="221"/>
      <c r="G351" s="222"/>
      <c r="H351" s="223"/>
      <c r="I351" s="224"/>
      <c r="J351" s="507"/>
      <c r="K351" s="19"/>
      <c r="L351" s="507"/>
      <c r="M351" s="507"/>
      <c r="N351" s="507"/>
      <c r="O351" s="508"/>
      <c r="P351" s="217"/>
      <c r="Q351" s="217"/>
      <c r="R351" s="217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>
      <c r="A352" s="19"/>
      <c r="B352" s="19"/>
      <c r="C352" s="19"/>
      <c r="D352" s="219"/>
      <c r="E352" s="220"/>
      <c r="F352" s="221"/>
      <c r="G352" s="222"/>
      <c r="H352" s="223"/>
      <c r="I352" s="224"/>
      <c r="J352" s="507"/>
      <c r="K352" s="19"/>
      <c r="L352" s="507"/>
      <c r="M352" s="507"/>
      <c r="N352" s="507"/>
      <c r="O352" s="508"/>
      <c r="P352" s="217"/>
      <c r="Q352" s="217"/>
      <c r="R352" s="217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>
      <c r="A353" s="19"/>
      <c r="B353" s="19"/>
      <c r="C353" s="19"/>
      <c r="D353" s="219"/>
      <c r="E353" s="220"/>
      <c r="F353" s="221"/>
      <c r="G353" s="222"/>
      <c r="H353" s="223"/>
      <c r="I353" s="224"/>
      <c r="J353" s="507"/>
      <c r="K353" s="19"/>
      <c r="L353" s="507"/>
      <c r="M353" s="507"/>
      <c r="N353" s="507"/>
      <c r="O353" s="508"/>
      <c r="P353" s="217"/>
      <c r="Q353" s="217"/>
      <c r="R353" s="217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>
      <c r="A354" s="19"/>
      <c r="B354" s="19"/>
      <c r="C354" s="19"/>
      <c r="D354" s="219"/>
      <c r="E354" s="220"/>
      <c r="F354" s="221"/>
      <c r="G354" s="222"/>
      <c r="H354" s="223"/>
      <c r="I354" s="224"/>
      <c r="J354" s="507"/>
      <c r="K354" s="19"/>
      <c r="L354" s="507"/>
      <c r="M354" s="507"/>
      <c r="N354" s="507"/>
      <c r="O354" s="508"/>
      <c r="P354" s="217"/>
      <c r="Q354" s="217"/>
      <c r="R354" s="217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>
      <c r="A355" s="19"/>
      <c r="B355" s="19"/>
      <c r="C355" s="19"/>
      <c r="D355" s="219"/>
      <c r="E355" s="220"/>
      <c r="F355" s="221"/>
      <c r="G355" s="222"/>
      <c r="H355" s="223"/>
      <c r="I355" s="224"/>
      <c r="J355" s="507"/>
      <c r="K355" s="19"/>
      <c r="L355" s="507"/>
      <c r="M355" s="507"/>
      <c r="N355" s="507"/>
      <c r="O355" s="508"/>
      <c r="P355" s="217"/>
      <c r="Q355" s="217"/>
      <c r="R355" s="217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>
      <c r="A356" s="19"/>
      <c r="B356" s="19"/>
      <c r="C356" s="19"/>
      <c r="D356" s="219"/>
      <c r="E356" s="220"/>
      <c r="F356" s="221"/>
      <c r="G356" s="222"/>
      <c r="H356" s="223"/>
      <c r="I356" s="224"/>
      <c r="J356" s="507"/>
      <c r="K356" s="19"/>
      <c r="L356" s="507"/>
      <c r="M356" s="507"/>
      <c r="N356" s="507"/>
      <c r="O356" s="508"/>
      <c r="P356" s="217"/>
      <c r="Q356" s="217"/>
      <c r="R356" s="217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>
      <c r="A357" s="19"/>
      <c r="B357" s="19"/>
      <c r="C357" s="19"/>
      <c r="D357" s="219"/>
      <c r="E357" s="220"/>
      <c r="F357" s="221"/>
      <c r="G357" s="222"/>
      <c r="H357" s="223"/>
      <c r="I357" s="224"/>
      <c r="J357" s="507"/>
      <c r="K357" s="19"/>
      <c r="L357" s="507"/>
      <c r="M357" s="507"/>
      <c r="N357" s="507"/>
      <c r="O357" s="508"/>
      <c r="P357" s="217"/>
      <c r="Q357" s="217"/>
      <c r="R357" s="217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>
      <c r="A358" s="19"/>
      <c r="B358" s="19"/>
      <c r="C358" s="19"/>
      <c r="D358" s="219"/>
      <c r="E358" s="220"/>
      <c r="F358" s="221"/>
      <c r="G358" s="222"/>
      <c r="H358" s="223"/>
      <c r="I358" s="224"/>
      <c r="J358" s="507"/>
      <c r="K358" s="19"/>
      <c r="L358" s="507"/>
      <c r="M358" s="507"/>
      <c r="N358" s="507"/>
      <c r="O358" s="508"/>
      <c r="P358" s="217"/>
      <c r="Q358" s="217"/>
      <c r="R358" s="217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>
      <c r="A359" s="19"/>
      <c r="B359" s="19"/>
      <c r="C359" s="19"/>
      <c r="D359" s="219"/>
      <c r="E359" s="220"/>
      <c r="F359" s="221"/>
      <c r="G359" s="222"/>
      <c r="H359" s="223"/>
      <c r="I359" s="224"/>
      <c r="J359" s="507"/>
      <c r="K359" s="19"/>
      <c r="L359" s="507"/>
      <c r="M359" s="507"/>
      <c r="N359" s="507"/>
      <c r="O359" s="508"/>
      <c r="P359" s="217"/>
      <c r="Q359" s="217"/>
      <c r="R359" s="217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>
      <c r="A360" s="19"/>
      <c r="B360" s="19"/>
      <c r="C360" s="19"/>
      <c r="D360" s="219"/>
      <c r="E360" s="220"/>
      <c r="F360" s="221"/>
      <c r="G360" s="222"/>
      <c r="H360" s="223"/>
      <c r="I360" s="224"/>
      <c r="J360" s="507"/>
      <c r="K360" s="19"/>
      <c r="L360" s="507"/>
      <c r="M360" s="507"/>
      <c r="N360" s="507"/>
      <c r="O360" s="508"/>
      <c r="P360" s="217"/>
      <c r="Q360" s="217"/>
      <c r="R360" s="217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>
      <c r="A361" s="19"/>
      <c r="B361" s="19"/>
      <c r="C361" s="19"/>
      <c r="D361" s="219"/>
      <c r="E361" s="220"/>
      <c r="F361" s="221"/>
      <c r="G361" s="222"/>
      <c r="H361" s="223"/>
      <c r="I361" s="224"/>
      <c r="J361" s="507"/>
      <c r="K361" s="19"/>
      <c r="L361" s="507"/>
      <c r="M361" s="507"/>
      <c r="N361" s="507"/>
      <c r="O361" s="508"/>
      <c r="P361" s="217"/>
      <c r="Q361" s="217"/>
      <c r="R361" s="217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>
      <c r="A362" s="19"/>
      <c r="B362" s="19"/>
      <c r="C362" s="19"/>
      <c r="D362" s="219"/>
      <c r="E362" s="220"/>
      <c r="F362" s="221"/>
      <c r="G362" s="222"/>
      <c r="H362" s="223"/>
      <c r="I362" s="224"/>
      <c r="J362" s="507"/>
      <c r="K362" s="19"/>
      <c r="L362" s="507"/>
      <c r="M362" s="507"/>
      <c r="N362" s="507"/>
      <c r="O362" s="508"/>
      <c r="P362" s="217"/>
      <c r="Q362" s="217"/>
      <c r="R362" s="217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>
      <c r="A363" s="19"/>
      <c r="B363" s="19"/>
      <c r="C363" s="19"/>
      <c r="D363" s="219"/>
      <c r="E363" s="220"/>
      <c r="F363" s="221"/>
      <c r="G363" s="222"/>
      <c r="H363" s="223"/>
      <c r="I363" s="224"/>
      <c r="J363" s="507"/>
      <c r="K363" s="19"/>
      <c r="L363" s="507"/>
      <c r="M363" s="507"/>
      <c r="N363" s="507"/>
      <c r="O363" s="508"/>
      <c r="P363" s="217"/>
      <c r="Q363" s="217"/>
      <c r="R363" s="217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>
      <c r="A364" s="19"/>
      <c r="B364" s="19"/>
      <c r="C364" s="19"/>
      <c r="D364" s="219"/>
      <c r="E364" s="220"/>
      <c r="F364" s="221"/>
      <c r="G364" s="222"/>
      <c r="H364" s="223"/>
      <c r="I364" s="224"/>
      <c r="J364" s="507"/>
      <c r="K364" s="19"/>
      <c r="L364" s="507"/>
      <c r="M364" s="507"/>
      <c r="N364" s="507"/>
      <c r="O364" s="508"/>
      <c r="P364" s="217"/>
      <c r="Q364" s="217"/>
      <c r="R364" s="217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>
      <c r="A365" s="19"/>
      <c r="B365" s="19"/>
      <c r="C365" s="19"/>
      <c r="D365" s="219"/>
      <c r="E365" s="220"/>
      <c r="F365" s="221"/>
      <c r="G365" s="222"/>
      <c r="H365" s="223"/>
      <c r="I365" s="224"/>
      <c r="J365" s="507"/>
      <c r="K365" s="19"/>
      <c r="L365" s="507"/>
      <c r="M365" s="507"/>
      <c r="N365" s="507"/>
      <c r="O365" s="508"/>
      <c r="P365" s="217"/>
      <c r="Q365" s="217"/>
      <c r="R365" s="217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>
      <c r="A366" s="19"/>
      <c r="B366" s="19"/>
      <c r="C366" s="19"/>
      <c r="D366" s="219"/>
      <c r="E366" s="220"/>
      <c r="F366" s="221"/>
      <c r="G366" s="222"/>
      <c r="H366" s="223"/>
      <c r="I366" s="224"/>
      <c r="J366" s="507"/>
      <c r="K366" s="19"/>
      <c r="L366" s="507"/>
      <c r="M366" s="507"/>
      <c r="N366" s="507"/>
      <c r="O366" s="508"/>
      <c r="P366" s="217"/>
      <c r="Q366" s="217"/>
      <c r="R366" s="217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>
      <c r="A367" s="19"/>
      <c r="B367" s="19"/>
      <c r="C367" s="19"/>
      <c r="D367" s="219"/>
      <c r="E367" s="220"/>
      <c r="F367" s="221"/>
      <c r="G367" s="222"/>
      <c r="H367" s="223"/>
      <c r="I367" s="224"/>
      <c r="J367" s="507"/>
      <c r="K367" s="19"/>
      <c r="L367" s="507"/>
      <c r="M367" s="507"/>
      <c r="N367" s="507"/>
      <c r="O367" s="508"/>
      <c r="P367" s="217"/>
      <c r="Q367" s="217"/>
      <c r="R367" s="217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>
      <c r="A368" s="19"/>
      <c r="B368" s="19"/>
      <c r="C368" s="19"/>
      <c r="D368" s="219"/>
      <c r="E368" s="220"/>
      <c r="F368" s="221"/>
      <c r="G368" s="222"/>
      <c r="H368" s="223"/>
      <c r="I368" s="224"/>
      <c r="J368" s="507"/>
      <c r="K368" s="19"/>
      <c r="L368" s="507"/>
      <c r="M368" s="507"/>
      <c r="N368" s="507"/>
      <c r="O368" s="508"/>
      <c r="P368" s="217"/>
      <c r="Q368" s="217"/>
      <c r="R368" s="217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>
      <c r="A369" s="19"/>
      <c r="B369" s="19"/>
      <c r="C369" s="19"/>
      <c r="D369" s="219"/>
      <c r="E369" s="220"/>
      <c r="F369" s="221"/>
      <c r="G369" s="222"/>
      <c r="H369" s="223"/>
      <c r="I369" s="224"/>
      <c r="J369" s="507"/>
      <c r="K369" s="19"/>
      <c r="L369" s="507"/>
      <c r="M369" s="507"/>
      <c r="N369" s="507"/>
      <c r="O369" s="508"/>
      <c r="P369" s="217"/>
      <c r="Q369" s="217"/>
      <c r="R369" s="217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>
      <c r="A370" s="19"/>
      <c r="B370" s="19"/>
      <c r="C370" s="19"/>
      <c r="D370" s="219"/>
      <c r="E370" s="220"/>
      <c r="F370" s="221"/>
      <c r="G370" s="222"/>
      <c r="H370" s="223"/>
      <c r="I370" s="224"/>
      <c r="J370" s="507"/>
      <c r="K370" s="19"/>
      <c r="L370" s="507"/>
      <c r="M370" s="507"/>
      <c r="N370" s="507"/>
      <c r="O370" s="508"/>
      <c r="P370" s="217"/>
      <c r="Q370" s="217"/>
      <c r="R370" s="217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>
      <c r="A371" s="19"/>
      <c r="B371" s="19"/>
      <c r="C371" s="19"/>
      <c r="D371" s="219"/>
      <c r="E371" s="220"/>
      <c r="F371" s="221"/>
      <c r="G371" s="222"/>
      <c r="H371" s="223"/>
      <c r="I371" s="224"/>
      <c r="J371" s="507"/>
      <c r="K371" s="19"/>
      <c r="L371" s="507"/>
      <c r="M371" s="507"/>
      <c r="N371" s="507"/>
      <c r="O371" s="508"/>
      <c r="P371" s="217"/>
      <c r="Q371" s="217"/>
      <c r="R371" s="217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>
      <c r="A372" s="19"/>
      <c r="B372" s="19"/>
      <c r="C372" s="19"/>
      <c r="D372" s="219"/>
      <c r="E372" s="220"/>
      <c r="F372" s="221"/>
      <c r="G372" s="222"/>
      <c r="H372" s="223"/>
      <c r="I372" s="224"/>
      <c r="J372" s="507"/>
      <c r="K372" s="19"/>
      <c r="L372" s="507"/>
      <c r="M372" s="507"/>
      <c r="N372" s="507"/>
      <c r="O372" s="508"/>
      <c r="P372" s="217"/>
      <c r="Q372" s="217"/>
      <c r="R372" s="217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>
      <c r="A373" s="19"/>
      <c r="B373" s="19"/>
      <c r="C373" s="19"/>
      <c r="D373" s="219"/>
      <c r="E373" s="220"/>
      <c r="F373" s="221"/>
      <c r="G373" s="222"/>
      <c r="H373" s="223"/>
      <c r="I373" s="224"/>
      <c r="J373" s="507"/>
      <c r="K373" s="19"/>
      <c r="L373" s="507"/>
      <c r="M373" s="507"/>
      <c r="N373" s="507"/>
      <c r="O373" s="508"/>
      <c r="P373" s="217"/>
      <c r="Q373" s="217"/>
      <c r="R373" s="217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>
      <c r="A374" s="19"/>
      <c r="B374" s="19"/>
      <c r="C374" s="19"/>
      <c r="D374" s="219"/>
      <c r="E374" s="220"/>
      <c r="F374" s="221"/>
      <c r="G374" s="222"/>
      <c r="H374" s="223"/>
      <c r="I374" s="224"/>
      <c r="J374" s="507"/>
      <c r="K374" s="19"/>
      <c r="L374" s="507"/>
      <c r="M374" s="507"/>
      <c r="N374" s="507"/>
      <c r="O374" s="508"/>
      <c r="P374" s="217"/>
      <c r="Q374" s="217"/>
      <c r="R374" s="217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>
      <c r="A375" s="19"/>
      <c r="B375" s="19"/>
      <c r="C375" s="19"/>
      <c r="D375" s="219"/>
      <c r="E375" s="220"/>
      <c r="F375" s="221"/>
      <c r="G375" s="222"/>
      <c r="H375" s="223"/>
      <c r="I375" s="224"/>
      <c r="J375" s="507"/>
      <c r="K375" s="19"/>
      <c r="L375" s="507"/>
      <c r="M375" s="507"/>
      <c r="N375" s="507"/>
      <c r="O375" s="508"/>
      <c r="P375" s="217"/>
      <c r="Q375" s="217"/>
      <c r="R375" s="217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>
      <c r="A376" s="19"/>
      <c r="B376" s="19"/>
      <c r="C376" s="19"/>
      <c r="D376" s="219"/>
      <c r="E376" s="220"/>
      <c r="F376" s="221"/>
      <c r="G376" s="222"/>
      <c r="H376" s="223"/>
      <c r="I376" s="224"/>
      <c r="J376" s="507"/>
      <c r="K376" s="19"/>
      <c r="L376" s="507"/>
      <c r="M376" s="507"/>
      <c r="N376" s="507"/>
      <c r="O376" s="508"/>
      <c r="P376" s="217"/>
      <c r="Q376" s="217"/>
      <c r="R376" s="217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>
      <c r="A377" s="19"/>
      <c r="B377" s="19"/>
      <c r="C377" s="19"/>
      <c r="D377" s="219"/>
      <c r="E377" s="220"/>
      <c r="F377" s="221"/>
      <c r="G377" s="222"/>
      <c r="H377" s="223"/>
      <c r="I377" s="224"/>
      <c r="J377" s="507"/>
      <c r="K377" s="19"/>
      <c r="L377" s="507"/>
      <c r="M377" s="507"/>
      <c r="N377" s="507"/>
      <c r="O377" s="508"/>
      <c r="P377" s="217"/>
      <c r="Q377" s="217"/>
      <c r="R377" s="217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>
      <c r="A378" s="19"/>
      <c r="B378" s="19"/>
      <c r="C378" s="19"/>
      <c r="D378" s="219"/>
      <c r="E378" s="220"/>
      <c r="F378" s="221"/>
      <c r="G378" s="222"/>
      <c r="H378" s="223"/>
      <c r="I378" s="224"/>
      <c r="J378" s="507"/>
      <c r="K378" s="19"/>
      <c r="L378" s="507"/>
      <c r="M378" s="507"/>
      <c r="N378" s="507"/>
      <c r="O378" s="508"/>
      <c r="P378" s="217"/>
      <c r="Q378" s="217"/>
      <c r="R378" s="217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>
      <c r="A379" s="19"/>
      <c r="B379" s="19"/>
      <c r="C379" s="19"/>
      <c r="D379" s="219"/>
      <c r="E379" s="220"/>
      <c r="F379" s="221"/>
      <c r="G379" s="222"/>
      <c r="H379" s="223"/>
      <c r="I379" s="224"/>
      <c r="J379" s="507"/>
      <c r="K379" s="19"/>
      <c r="L379" s="507"/>
      <c r="M379" s="507"/>
      <c r="N379" s="507"/>
      <c r="O379" s="508"/>
      <c r="P379" s="217"/>
      <c r="Q379" s="217"/>
      <c r="R379" s="217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>
      <c r="A380" s="19"/>
      <c r="B380" s="19"/>
      <c r="C380" s="19"/>
      <c r="D380" s="219"/>
      <c r="E380" s="220"/>
      <c r="F380" s="221"/>
      <c r="G380" s="222"/>
      <c r="H380" s="223"/>
      <c r="I380" s="224"/>
      <c r="J380" s="507"/>
      <c r="K380" s="19"/>
      <c r="L380" s="507"/>
      <c r="M380" s="507"/>
      <c r="N380" s="507"/>
      <c r="O380" s="508"/>
      <c r="P380" s="217"/>
      <c r="Q380" s="217"/>
      <c r="R380" s="217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>
      <c r="A381" s="19"/>
      <c r="B381" s="19"/>
      <c r="C381" s="19"/>
      <c r="D381" s="219"/>
      <c r="E381" s="220"/>
      <c r="F381" s="221"/>
      <c r="G381" s="222"/>
      <c r="H381" s="223"/>
      <c r="I381" s="224"/>
      <c r="J381" s="507"/>
      <c r="K381" s="19"/>
      <c r="L381" s="507"/>
      <c r="M381" s="507"/>
      <c r="N381" s="507"/>
      <c r="O381" s="508"/>
      <c r="P381" s="217"/>
      <c r="Q381" s="217"/>
      <c r="R381" s="217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>
      <c r="A382" s="19"/>
      <c r="B382" s="19"/>
      <c r="C382" s="19"/>
      <c r="D382" s="219"/>
      <c r="E382" s="220"/>
      <c r="F382" s="221"/>
      <c r="G382" s="222"/>
      <c r="H382" s="223"/>
      <c r="I382" s="224"/>
      <c r="J382" s="507"/>
      <c r="K382" s="19"/>
      <c r="L382" s="507"/>
      <c r="M382" s="507"/>
      <c r="N382" s="507"/>
      <c r="O382" s="508"/>
      <c r="P382" s="217"/>
      <c r="Q382" s="217"/>
      <c r="R382" s="217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>
      <c r="A383" s="19"/>
      <c r="B383" s="19"/>
      <c r="C383" s="19"/>
      <c r="D383" s="219"/>
      <c r="E383" s="220"/>
      <c r="F383" s="221"/>
      <c r="G383" s="222"/>
      <c r="H383" s="223"/>
      <c r="I383" s="224"/>
      <c r="J383" s="507"/>
      <c r="K383" s="19"/>
      <c r="L383" s="507"/>
      <c r="M383" s="507"/>
      <c r="N383" s="507"/>
      <c r="O383" s="508"/>
      <c r="P383" s="217"/>
      <c r="Q383" s="217"/>
      <c r="R383" s="217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>
      <c r="A384" s="19"/>
      <c r="B384" s="19"/>
      <c r="C384" s="19"/>
      <c r="D384" s="219"/>
      <c r="E384" s="220"/>
      <c r="F384" s="221"/>
      <c r="G384" s="222"/>
      <c r="H384" s="223"/>
      <c r="I384" s="224"/>
      <c r="J384" s="507"/>
      <c r="K384" s="19"/>
      <c r="L384" s="507"/>
      <c r="M384" s="507"/>
      <c r="N384" s="507"/>
      <c r="O384" s="508"/>
      <c r="P384" s="217"/>
      <c r="Q384" s="217"/>
      <c r="R384" s="217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>
      <c r="A385" s="19"/>
      <c r="B385" s="19"/>
      <c r="C385" s="19"/>
      <c r="D385" s="219"/>
      <c r="E385" s="220"/>
      <c r="F385" s="221"/>
      <c r="G385" s="222"/>
      <c r="H385" s="223"/>
      <c r="I385" s="224"/>
      <c r="J385" s="507"/>
      <c r="K385" s="19"/>
      <c r="L385" s="507"/>
      <c r="M385" s="507"/>
      <c r="N385" s="507"/>
      <c r="O385" s="508"/>
      <c r="P385" s="217"/>
      <c r="Q385" s="217"/>
      <c r="R385" s="217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>
      <c r="A386" s="19"/>
      <c r="B386" s="19"/>
      <c r="C386" s="19"/>
      <c r="D386" s="219"/>
      <c r="E386" s="220"/>
      <c r="F386" s="221"/>
      <c r="G386" s="222"/>
      <c r="H386" s="223"/>
      <c r="I386" s="224"/>
      <c r="J386" s="507"/>
      <c r="K386" s="19"/>
      <c r="L386" s="507"/>
      <c r="M386" s="507"/>
      <c r="N386" s="507"/>
      <c r="O386" s="508"/>
      <c r="P386" s="217"/>
      <c r="Q386" s="217"/>
      <c r="R386" s="217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>
      <c r="A387" s="19"/>
      <c r="B387" s="19"/>
      <c r="C387" s="19"/>
      <c r="D387" s="219"/>
      <c r="E387" s="220"/>
      <c r="F387" s="221"/>
      <c r="G387" s="222"/>
      <c r="H387" s="223"/>
      <c r="I387" s="224"/>
      <c r="J387" s="507"/>
      <c r="K387" s="19"/>
      <c r="L387" s="507"/>
      <c r="M387" s="507"/>
      <c r="N387" s="507"/>
      <c r="O387" s="508"/>
      <c r="P387" s="217"/>
      <c r="Q387" s="217"/>
      <c r="R387" s="217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>
      <c r="A388" s="19"/>
      <c r="B388" s="19"/>
      <c r="C388" s="19"/>
      <c r="D388" s="219"/>
      <c r="E388" s="220"/>
      <c r="F388" s="221"/>
      <c r="G388" s="222"/>
      <c r="H388" s="223"/>
      <c r="I388" s="224"/>
      <c r="J388" s="507"/>
      <c r="K388" s="19"/>
      <c r="L388" s="507"/>
      <c r="M388" s="507"/>
      <c r="N388" s="507"/>
      <c r="O388" s="508"/>
      <c r="P388" s="217"/>
      <c r="Q388" s="217"/>
      <c r="R388" s="217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>
      <c r="A389" s="19"/>
      <c r="B389" s="19"/>
      <c r="C389" s="19"/>
      <c r="D389" s="219"/>
      <c r="E389" s="220"/>
      <c r="F389" s="221"/>
      <c r="G389" s="222"/>
      <c r="H389" s="223"/>
      <c r="I389" s="224"/>
      <c r="J389" s="507"/>
      <c r="K389" s="19"/>
      <c r="L389" s="507"/>
      <c r="M389" s="507"/>
      <c r="N389" s="507"/>
      <c r="O389" s="508"/>
      <c r="P389" s="217"/>
      <c r="Q389" s="217"/>
      <c r="R389" s="217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>
      <c r="A390" s="19"/>
      <c r="B390" s="19"/>
      <c r="C390" s="19"/>
      <c r="D390" s="219"/>
      <c r="E390" s="220"/>
      <c r="F390" s="221"/>
      <c r="G390" s="222"/>
      <c r="H390" s="223"/>
      <c r="I390" s="224"/>
      <c r="J390" s="507"/>
      <c r="K390" s="19"/>
      <c r="L390" s="507"/>
      <c r="M390" s="507"/>
      <c r="N390" s="507"/>
      <c r="O390" s="508"/>
      <c r="P390" s="217"/>
      <c r="Q390" s="217"/>
      <c r="R390" s="217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>
      <c r="A391" s="19"/>
      <c r="B391" s="19"/>
      <c r="C391" s="19"/>
      <c r="D391" s="219"/>
      <c r="E391" s="220"/>
      <c r="F391" s="221"/>
      <c r="G391" s="222"/>
      <c r="H391" s="223"/>
      <c r="I391" s="224"/>
      <c r="J391" s="507"/>
      <c r="K391" s="19"/>
      <c r="L391" s="507"/>
      <c r="M391" s="507"/>
      <c r="N391" s="507"/>
      <c r="O391" s="508"/>
      <c r="P391" s="217"/>
      <c r="Q391" s="217"/>
      <c r="R391" s="217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>
      <c r="A392" s="19"/>
      <c r="B392" s="19"/>
      <c r="C392" s="19"/>
      <c r="D392" s="219"/>
      <c r="E392" s="220"/>
      <c r="F392" s="221"/>
      <c r="G392" s="222"/>
      <c r="H392" s="223"/>
      <c r="I392" s="224"/>
      <c r="J392" s="507"/>
      <c r="K392" s="19"/>
      <c r="L392" s="507"/>
      <c r="M392" s="507"/>
      <c r="N392" s="507"/>
      <c r="O392" s="508"/>
      <c r="P392" s="217"/>
      <c r="Q392" s="217"/>
      <c r="R392" s="217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>
      <c r="A393" s="19"/>
      <c r="B393" s="19"/>
      <c r="C393" s="19"/>
      <c r="D393" s="219"/>
      <c r="E393" s="220"/>
      <c r="F393" s="221"/>
      <c r="G393" s="222"/>
      <c r="H393" s="223"/>
      <c r="I393" s="224"/>
      <c r="J393" s="507"/>
      <c r="K393" s="19"/>
      <c r="L393" s="507"/>
      <c r="M393" s="507"/>
      <c r="N393" s="507"/>
      <c r="O393" s="508"/>
      <c r="P393" s="217"/>
      <c r="Q393" s="217"/>
      <c r="R393" s="217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>
      <c r="A394" s="19"/>
      <c r="B394" s="19"/>
      <c r="C394" s="19"/>
      <c r="D394" s="219"/>
      <c r="E394" s="220"/>
      <c r="F394" s="221"/>
      <c r="G394" s="222"/>
      <c r="H394" s="223"/>
      <c r="I394" s="224"/>
      <c r="J394" s="507"/>
      <c r="K394" s="19"/>
      <c r="L394" s="507"/>
      <c r="M394" s="507"/>
      <c r="N394" s="507"/>
      <c r="O394" s="508"/>
      <c r="P394" s="217"/>
      <c r="Q394" s="217"/>
      <c r="R394" s="217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>
      <c r="A395" s="19"/>
      <c r="B395" s="19"/>
      <c r="C395" s="19"/>
      <c r="D395" s="219"/>
      <c r="E395" s="220"/>
      <c r="F395" s="221"/>
      <c r="G395" s="222"/>
      <c r="H395" s="223"/>
      <c r="I395" s="224"/>
      <c r="J395" s="507"/>
      <c r="K395" s="19"/>
      <c r="L395" s="507"/>
      <c r="M395" s="507"/>
      <c r="N395" s="507"/>
      <c r="O395" s="508"/>
      <c r="P395" s="217"/>
      <c r="Q395" s="217"/>
      <c r="R395" s="217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>
      <c r="A396" s="19"/>
      <c r="B396" s="19"/>
      <c r="C396" s="19"/>
      <c r="D396" s="219"/>
      <c r="E396" s="220"/>
      <c r="F396" s="221"/>
      <c r="G396" s="222"/>
      <c r="H396" s="223"/>
      <c r="I396" s="224"/>
      <c r="J396" s="507"/>
      <c r="K396" s="19"/>
      <c r="L396" s="507"/>
      <c r="M396" s="507"/>
      <c r="N396" s="507"/>
      <c r="O396" s="508"/>
      <c r="P396" s="217"/>
      <c r="Q396" s="217"/>
      <c r="R396" s="217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>
      <c r="A397" s="19"/>
      <c r="B397" s="19"/>
      <c r="C397" s="19"/>
      <c r="D397" s="219"/>
      <c r="E397" s="220"/>
      <c r="F397" s="221"/>
      <c r="G397" s="222"/>
      <c r="H397" s="223"/>
      <c r="I397" s="224"/>
      <c r="J397" s="507"/>
      <c r="K397" s="19"/>
      <c r="L397" s="507"/>
      <c r="M397" s="507"/>
      <c r="N397" s="507"/>
      <c r="O397" s="508"/>
      <c r="P397" s="217"/>
      <c r="Q397" s="217"/>
      <c r="R397" s="217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>
      <c r="A398" s="19"/>
      <c r="B398" s="19"/>
      <c r="C398" s="19"/>
      <c r="D398" s="219"/>
      <c r="E398" s="220"/>
      <c r="F398" s="221"/>
      <c r="G398" s="222"/>
      <c r="H398" s="223"/>
      <c r="I398" s="224"/>
      <c r="J398" s="507"/>
      <c r="K398" s="19"/>
      <c r="L398" s="507"/>
      <c r="M398" s="507"/>
      <c r="N398" s="507"/>
      <c r="O398" s="508"/>
      <c r="P398" s="217"/>
      <c r="Q398" s="217"/>
      <c r="R398" s="217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>
      <c r="A399" s="19"/>
      <c r="B399" s="19"/>
      <c r="C399" s="19"/>
      <c r="D399" s="219"/>
      <c r="E399" s="220"/>
      <c r="F399" s="221"/>
      <c r="G399" s="222"/>
      <c r="H399" s="223"/>
      <c r="I399" s="224"/>
      <c r="J399" s="507"/>
      <c r="K399" s="19"/>
      <c r="L399" s="507"/>
      <c r="M399" s="507"/>
      <c r="N399" s="507"/>
      <c r="O399" s="508"/>
      <c r="P399" s="217"/>
      <c r="Q399" s="217"/>
      <c r="R399" s="217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>
      <c r="A400" s="19"/>
      <c r="B400" s="19"/>
      <c r="C400" s="19"/>
      <c r="D400" s="219"/>
      <c r="E400" s="220"/>
      <c r="F400" s="221"/>
      <c r="G400" s="222"/>
      <c r="H400" s="223"/>
      <c r="I400" s="224"/>
      <c r="J400" s="507"/>
      <c r="K400" s="19"/>
      <c r="L400" s="507"/>
      <c r="M400" s="507"/>
      <c r="N400" s="507"/>
      <c r="O400" s="508"/>
      <c r="P400" s="217"/>
      <c r="Q400" s="217"/>
      <c r="R400" s="217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>
      <c r="A401" s="19"/>
      <c r="B401" s="19"/>
      <c r="C401" s="19"/>
      <c r="D401" s="219"/>
      <c r="E401" s="220"/>
      <c r="F401" s="221"/>
      <c r="G401" s="222"/>
      <c r="H401" s="223"/>
      <c r="I401" s="224"/>
      <c r="J401" s="507"/>
      <c r="K401" s="19"/>
      <c r="L401" s="507"/>
      <c r="M401" s="507"/>
      <c r="N401" s="507"/>
      <c r="O401" s="508"/>
      <c r="P401" s="217"/>
      <c r="Q401" s="217"/>
      <c r="R401" s="217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>
      <c r="A402" s="19"/>
      <c r="B402" s="19"/>
      <c r="C402" s="19"/>
      <c r="D402" s="219"/>
      <c r="E402" s="220"/>
      <c r="F402" s="221"/>
      <c r="G402" s="222"/>
      <c r="H402" s="223"/>
      <c r="I402" s="224"/>
      <c r="J402" s="507"/>
      <c r="K402" s="19"/>
      <c r="L402" s="507"/>
      <c r="M402" s="507"/>
      <c r="N402" s="507"/>
      <c r="O402" s="508"/>
      <c r="P402" s="217"/>
      <c r="Q402" s="217"/>
      <c r="R402" s="217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>
      <c r="A403" s="19"/>
      <c r="B403" s="19"/>
      <c r="C403" s="19"/>
      <c r="D403" s="219"/>
      <c r="E403" s="220"/>
      <c r="F403" s="221"/>
      <c r="G403" s="222"/>
      <c r="H403" s="223"/>
      <c r="I403" s="224"/>
      <c r="J403" s="507"/>
      <c r="K403" s="19"/>
      <c r="L403" s="507"/>
      <c r="M403" s="507"/>
      <c r="N403" s="507"/>
      <c r="O403" s="508"/>
      <c r="P403" s="217"/>
      <c r="Q403" s="217"/>
      <c r="R403" s="217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>
      <c r="A404" s="19"/>
      <c r="B404" s="19"/>
      <c r="C404" s="19"/>
      <c r="D404" s="219"/>
      <c r="E404" s="220"/>
      <c r="F404" s="221"/>
      <c r="G404" s="222"/>
      <c r="H404" s="223"/>
      <c r="I404" s="224"/>
      <c r="J404" s="507"/>
      <c r="K404" s="19"/>
      <c r="L404" s="507"/>
      <c r="M404" s="507"/>
      <c r="N404" s="507"/>
      <c r="O404" s="508"/>
      <c r="P404" s="217"/>
      <c r="Q404" s="217"/>
      <c r="R404" s="217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>
      <c r="A405" s="19"/>
      <c r="B405" s="19"/>
      <c r="C405" s="19"/>
      <c r="D405" s="219"/>
      <c r="E405" s="220"/>
      <c r="F405" s="221"/>
      <c r="G405" s="222"/>
      <c r="H405" s="223"/>
      <c r="I405" s="224"/>
      <c r="J405" s="507"/>
      <c r="K405" s="19"/>
      <c r="L405" s="507"/>
      <c r="M405" s="507"/>
      <c r="N405" s="507"/>
      <c r="O405" s="508"/>
      <c r="P405" s="217"/>
      <c r="Q405" s="217"/>
      <c r="R405" s="217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>
      <c r="A406" s="19"/>
      <c r="B406" s="19"/>
      <c r="C406" s="19"/>
      <c r="D406" s="219"/>
      <c r="E406" s="220"/>
      <c r="F406" s="221"/>
      <c r="G406" s="222"/>
      <c r="H406" s="223"/>
      <c r="I406" s="224"/>
      <c r="J406" s="507"/>
      <c r="K406" s="19"/>
      <c r="L406" s="507"/>
      <c r="M406" s="507"/>
      <c r="N406" s="507"/>
      <c r="O406" s="508"/>
      <c r="P406" s="217"/>
      <c r="Q406" s="217"/>
      <c r="R406" s="217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>
      <c r="A407" s="19"/>
      <c r="B407" s="19"/>
      <c r="C407" s="19"/>
      <c r="D407" s="219"/>
      <c r="E407" s="220"/>
      <c r="F407" s="221"/>
      <c r="G407" s="222"/>
      <c r="H407" s="223"/>
      <c r="I407" s="224"/>
      <c r="J407" s="507"/>
      <c r="K407" s="19"/>
      <c r="L407" s="507"/>
      <c r="M407" s="507"/>
      <c r="N407" s="507"/>
      <c r="O407" s="508"/>
      <c r="P407" s="217"/>
      <c r="Q407" s="217"/>
      <c r="R407" s="217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>
      <c r="A408" s="19"/>
      <c r="B408" s="19"/>
      <c r="C408" s="19"/>
      <c r="D408" s="219"/>
      <c r="E408" s="220"/>
      <c r="F408" s="221"/>
      <c r="G408" s="222"/>
      <c r="H408" s="223"/>
      <c r="I408" s="224"/>
      <c r="J408" s="507"/>
      <c r="K408" s="19"/>
      <c r="L408" s="507"/>
      <c r="M408" s="507"/>
      <c r="N408" s="507"/>
      <c r="O408" s="508"/>
      <c r="P408" s="217"/>
      <c r="Q408" s="217"/>
      <c r="R408" s="217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>
      <c r="A409" s="19"/>
      <c r="B409" s="19"/>
      <c r="C409" s="19"/>
      <c r="D409" s="219"/>
      <c r="E409" s="220"/>
      <c r="F409" s="221"/>
      <c r="G409" s="222"/>
      <c r="H409" s="223"/>
      <c r="I409" s="224"/>
      <c r="J409" s="507"/>
      <c r="K409" s="19"/>
      <c r="L409" s="507"/>
      <c r="M409" s="507"/>
      <c r="N409" s="507"/>
      <c r="O409" s="508"/>
      <c r="P409" s="217"/>
      <c r="Q409" s="217"/>
      <c r="R409" s="217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>
      <c r="A410" s="19"/>
      <c r="B410" s="19"/>
      <c r="C410" s="19"/>
      <c r="D410" s="219"/>
      <c r="E410" s="220"/>
      <c r="F410" s="221"/>
      <c r="G410" s="222"/>
      <c r="H410" s="223"/>
      <c r="I410" s="224"/>
      <c r="J410" s="507"/>
      <c r="K410" s="19"/>
      <c r="L410" s="507"/>
      <c r="M410" s="507"/>
      <c r="N410" s="507"/>
      <c r="O410" s="508"/>
      <c r="P410" s="217"/>
      <c r="Q410" s="217"/>
      <c r="R410" s="217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>
      <c r="A411" s="19"/>
      <c r="B411" s="19"/>
      <c r="C411" s="19"/>
      <c r="D411" s="219"/>
      <c r="E411" s="220"/>
      <c r="F411" s="221"/>
      <c r="G411" s="222"/>
      <c r="H411" s="223"/>
      <c r="I411" s="224"/>
      <c r="J411" s="507"/>
      <c r="K411" s="19"/>
      <c r="L411" s="507"/>
      <c r="M411" s="507"/>
      <c r="N411" s="507"/>
      <c r="O411" s="508"/>
      <c r="P411" s="217"/>
      <c r="Q411" s="217"/>
      <c r="R411" s="217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>
      <c r="A412" s="19"/>
      <c r="B412" s="19"/>
      <c r="C412" s="19"/>
      <c r="D412" s="219"/>
      <c r="E412" s="220"/>
      <c r="F412" s="221"/>
      <c r="G412" s="222"/>
      <c r="H412" s="223"/>
      <c r="I412" s="224"/>
      <c r="J412" s="507"/>
      <c r="K412" s="19"/>
      <c r="L412" s="507"/>
      <c r="M412" s="507"/>
      <c r="N412" s="507"/>
      <c r="O412" s="508"/>
      <c r="P412" s="217"/>
      <c r="Q412" s="217"/>
      <c r="R412" s="217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>
      <c r="A413" s="19"/>
      <c r="B413" s="19"/>
      <c r="C413" s="19"/>
      <c r="D413" s="219"/>
      <c r="E413" s="220"/>
      <c r="F413" s="221"/>
      <c r="G413" s="222"/>
      <c r="H413" s="223"/>
      <c r="I413" s="224"/>
      <c r="J413" s="507"/>
      <c r="K413" s="19"/>
      <c r="L413" s="507"/>
      <c r="M413" s="507"/>
      <c r="N413" s="507"/>
      <c r="O413" s="508"/>
      <c r="P413" s="217"/>
      <c r="Q413" s="217"/>
      <c r="R413" s="217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>
      <c r="A414" s="19"/>
      <c r="B414" s="19"/>
      <c r="C414" s="19"/>
      <c r="D414" s="219"/>
      <c r="E414" s="220"/>
      <c r="F414" s="221"/>
      <c r="G414" s="222"/>
      <c r="H414" s="223"/>
      <c r="I414" s="224"/>
      <c r="J414" s="507"/>
      <c r="K414" s="19"/>
      <c r="L414" s="507"/>
      <c r="M414" s="507"/>
      <c r="N414" s="507"/>
      <c r="O414" s="508"/>
      <c r="P414" s="217"/>
      <c r="Q414" s="217"/>
      <c r="R414" s="217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>
      <c r="A415" s="19"/>
      <c r="B415" s="19"/>
      <c r="C415" s="19"/>
      <c r="D415" s="219"/>
      <c r="E415" s="220"/>
      <c r="F415" s="221"/>
      <c r="G415" s="222"/>
      <c r="H415" s="223"/>
      <c r="I415" s="224"/>
      <c r="J415" s="507"/>
      <c r="K415" s="19"/>
      <c r="L415" s="507"/>
      <c r="M415" s="507"/>
      <c r="N415" s="507"/>
      <c r="O415" s="508"/>
      <c r="P415" s="217"/>
      <c r="Q415" s="217"/>
      <c r="R415" s="217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>
      <c r="A416" s="19"/>
      <c r="B416" s="19"/>
      <c r="C416" s="19"/>
      <c r="D416" s="219"/>
      <c r="E416" s="220"/>
      <c r="F416" s="221"/>
      <c r="G416" s="222"/>
      <c r="H416" s="223"/>
      <c r="I416" s="224"/>
      <c r="J416" s="507"/>
      <c r="K416" s="19"/>
      <c r="L416" s="507"/>
      <c r="M416" s="507"/>
      <c r="N416" s="507"/>
      <c r="O416" s="508"/>
      <c r="P416" s="217"/>
      <c r="Q416" s="217"/>
      <c r="R416" s="217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>
      <c r="A417" s="19"/>
      <c r="B417" s="19"/>
      <c r="C417" s="19"/>
      <c r="D417" s="219"/>
      <c r="E417" s="220"/>
      <c r="F417" s="221"/>
      <c r="G417" s="222"/>
      <c r="H417" s="223"/>
      <c r="I417" s="224"/>
      <c r="J417" s="507"/>
      <c r="K417" s="19"/>
      <c r="L417" s="507"/>
      <c r="M417" s="507"/>
      <c r="N417" s="507"/>
      <c r="O417" s="508"/>
      <c r="P417" s="217"/>
      <c r="Q417" s="217"/>
      <c r="R417" s="217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>
      <c r="A418" s="19"/>
      <c r="B418" s="19"/>
      <c r="C418" s="19"/>
      <c r="D418" s="219"/>
      <c r="E418" s="220"/>
      <c r="F418" s="221"/>
      <c r="G418" s="222"/>
      <c r="H418" s="223"/>
      <c r="I418" s="224"/>
      <c r="J418" s="507"/>
      <c r="K418" s="19"/>
      <c r="L418" s="507"/>
      <c r="M418" s="507"/>
      <c r="N418" s="507"/>
      <c r="O418" s="508"/>
      <c r="P418" s="217"/>
      <c r="Q418" s="217"/>
      <c r="R418" s="217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>
      <c r="A419" s="19"/>
      <c r="B419" s="19"/>
      <c r="C419" s="19"/>
      <c r="D419" s="219"/>
      <c r="E419" s="220"/>
      <c r="F419" s="221"/>
      <c r="G419" s="222"/>
      <c r="H419" s="223"/>
      <c r="I419" s="224"/>
      <c r="J419" s="507"/>
      <c r="K419" s="19"/>
      <c r="L419" s="507"/>
      <c r="M419" s="507"/>
      <c r="N419" s="507"/>
      <c r="O419" s="508"/>
      <c r="P419" s="217"/>
      <c r="Q419" s="217"/>
      <c r="R419" s="217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>
      <c r="A420" s="19"/>
      <c r="B420" s="19"/>
      <c r="C420" s="19"/>
      <c r="D420" s="219"/>
      <c r="E420" s="220"/>
      <c r="F420" s="221"/>
      <c r="G420" s="222"/>
      <c r="H420" s="223"/>
      <c r="I420" s="224"/>
      <c r="J420" s="507"/>
      <c r="K420" s="19"/>
      <c r="L420" s="507"/>
      <c r="M420" s="507"/>
      <c r="N420" s="507"/>
      <c r="O420" s="508"/>
      <c r="P420" s="217"/>
      <c r="Q420" s="217"/>
      <c r="R420" s="217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>
      <c r="A421" s="19"/>
      <c r="B421" s="19"/>
      <c r="C421" s="19"/>
      <c r="D421" s="219"/>
      <c r="E421" s="220"/>
      <c r="F421" s="221"/>
      <c r="G421" s="222"/>
      <c r="H421" s="223"/>
      <c r="I421" s="224"/>
      <c r="J421" s="507"/>
      <c r="K421" s="19"/>
      <c r="L421" s="507"/>
      <c r="M421" s="507"/>
      <c r="N421" s="507"/>
      <c r="O421" s="508"/>
      <c r="P421" s="217"/>
      <c r="Q421" s="217"/>
      <c r="R421" s="217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>
      <c r="A422" s="19"/>
      <c r="B422" s="19"/>
      <c r="C422" s="19"/>
      <c r="D422" s="219"/>
      <c r="E422" s="220"/>
      <c r="F422" s="221"/>
      <c r="G422" s="222"/>
      <c r="H422" s="223"/>
      <c r="I422" s="224"/>
      <c r="J422" s="507"/>
      <c r="K422" s="19"/>
      <c r="L422" s="507"/>
      <c r="M422" s="507"/>
      <c r="N422" s="507"/>
      <c r="O422" s="508"/>
      <c r="P422" s="217"/>
      <c r="Q422" s="217"/>
      <c r="R422" s="217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>
      <c r="A423" s="19"/>
      <c r="B423" s="19"/>
      <c r="C423" s="19"/>
      <c r="D423" s="219"/>
      <c r="E423" s="220"/>
      <c r="F423" s="221"/>
      <c r="G423" s="222"/>
      <c r="H423" s="223"/>
      <c r="I423" s="224"/>
      <c r="J423" s="507"/>
      <c r="K423" s="19"/>
      <c r="L423" s="507"/>
      <c r="M423" s="507"/>
      <c r="N423" s="507"/>
      <c r="O423" s="508"/>
      <c r="P423" s="217"/>
      <c r="Q423" s="217"/>
      <c r="R423" s="217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>
      <c r="A424" s="19"/>
      <c r="B424" s="19"/>
      <c r="C424" s="19"/>
      <c r="D424" s="219"/>
      <c r="E424" s="220"/>
      <c r="F424" s="221"/>
      <c r="G424" s="222"/>
      <c r="H424" s="223"/>
      <c r="I424" s="224"/>
      <c r="J424" s="507"/>
      <c r="K424" s="19"/>
      <c r="L424" s="507"/>
      <c r="M424" s="507"/>
      <c r="N424" s="507"/>
      <c r="O424" s="508"/>
      <c r="P424" s="217"/>
      <c r="Q424" s="217"/>
      <c r="R424" s="217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>
      <c r="A425" s="19"/>
      <c r="B425" s="19"/>
      <c r="C425" s="19"/>
      <c r="D425" s="219"/>
      <c r="E425" s="220"/>
      <c r="F425" s="221"/>
      <c r="G425" s="222"/>
      <c r="H425" s="223"/>
      <c r="I425" s="224"/>
      <c r="J425" s="507"/>
      <c r="K425" s="19"/>
      <c r="L425" s="507"/>
      <c r="M425" s="507"/>
      <c r="N425" s="507"/>
      <c r="O425" s="508"/>
      <c r="P425" s="217"/>
      <c r="Q425" s="217"/>
      <c r="R425" s="217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>
      <c r="A426" s="19"/>
      <c r="B426" s="19"/>
      <c r="C426" s="19"/>
      <c r="D426" s="219"/>
      <c r="E426" s="220"/>
      <c r="F426" s="221"/>
      <c r="G426" s="222"/>
      <c r="H426" s="223"/>
      <c r="I426" s="224"/>
      <c r="J426" s="507"/>
      <c r="K426" s="19"/>
      <c r="L426" s="507"/>
      <c r="M426" s="507"/>
      <c r="N426" s="507"/>
      <c r="O426" s="508"/>
      <c r="P426" s="217"/>
      <c r="Q426" s="217"/>
      <c r="R426" s="217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>
      <c r="A427" s="19"/>
      <c r="B427" s="19"/>
      <c r="C427" s="19"/>
      <c r="D427" s="219"/>
      <c r="E427" s="220"/>
      <c r="F427" s="221"/>
      <c r="G427" s="222"/>
      <c r="H427" s="223"/>
      <c r="I427" s="224"/>
      <c r="J427" s="507"/>
      <c r="K427" s="19"/>
      <c r="L427" s="507"/>
      <c r="M427" s="507"/>
      <c r="N427" s="507"/>
      <c r="O427" s="508"/>
      <c r="P427" s="217"/>
      <c r="Q427" s="217"/>
      <c r="R427" s="217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>
      <c r="A428" s="19"/>
      <c r="B428" s="19"/>
      <c r="C428" s="19"/>
      <c r="D428" s="219"/>
      <c r="E428" s="220"/>
      <c r="F428" s="221"/>
      <c r="G428" s="222"/>
      <c r="H428" s="223"/>
      <c r="I428" s="224"/>
      <c r="J428" s="507"/>
      <c r="K428" s="19"/>
      <c r="L428" s="507"/>
      <c r="M428" s="507"/>
      <c r="N428" s="507"/>
      <c r="O428" s="508"/>
      <c r="P428" s="217"/>
      <c r="Q428" s="217"/>
      <c r="R428" s="217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>
      <c r="A429" s="19"/>
      <c r="B429" s="19"/>
      <c r="C429" s="19"/>
      <c r="D429" s="219"/>
      <c r="E429" s="220"/>
      <c r="F429" s="221"/>
      <c r="G429" s="222"/>
      <c r="H429" s="223"/>
      <c r="I429" s="224"/>
      <c r="J429" s="507"/>
      <c r="K429" s="19"/>
      <c r="L429" s="507"/>
      <c r="M429" s="507"/>
      <c r="N429" s="507"/>
      <c r="O429" s="508"/>
      <c r="P429" s="217"/>
      <c r="Q429" s="217"/>
      <c r="R429" s="217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>
      <c r="A430" s="19"/>
      <c r="B430" s="19"/>
      <c r="C430" s="19"/>
      <c r="D430" s="219"/>
      <c r="E430" s="220"/>
      <c r="F430" s="221"/>
      <c r="G430" s="222"/>
      <c r="H430" s="223"/>
      <c r="I430" s="224"/>
      <c r="J430" s="507"/>
      <c r="K430" s="19"/>
      <c r="L430" s="507"/>
      <c r="M430" s="507"/>
      <c r="N430" s="507"/>
      <c r="O430" s="508"/>
      <c r="P430" s="217"/>
      <c r="Q430" s="217"/>
      <c r="R430" s="217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>
      <c r="A431" s="19"/>
      <c r="B431" s="19"/>
      <c r="C431" s="19"/>
      <c r="D431" s="219"/>
      <c r="E431" s="220"/>
      <c r="F431" s="221"/>
      <c r="G431" s="222"/>
      <c r="H431" s="223"/>
      <c r="I431" s="224"/>
      <c r="J431" s="507"/>
      <c r="K431" s="19"/>
      <c r="L431" s="507"/>
      <c r="M431" s="507"/>
      <c r="N431" s="507"/>
      <c r="O431" s="508"/>
      <c r="P431" s="217"/>
      <c r="Q431" s="217"/>
      <c r="R431" s="217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>
      <c r="A432" s="19"/>
      <c r="B432" s="19"/>
      <c r="C432" s="19"/>
      <c r="D432" s="219"/>
      <c r="E432" s="220"/>
      <c r="F432" s="221"/>
      <c r="G432" s="222"/>
      <c r="H432" s="223"/>
      <c r="I432" s="224"/>
      <c r="J432" s="507"/>
      <c r="K432" s="19"/>
      <c r="L432" s="507"/>
      <c r="M432" s="507"/>
      <c r="N432" s="507"/>
      <c r="O432" s="508"/>
      <c r="P432" s="217"/>
      <c r="Q432" s="217"/>
      <c r="R432" s="217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>
      <c r="A433" s="19"/>
      <c r="B433" s="19"/>
      <c r="C433" s="19"/>
      <c r="D433" s="219"/>
      <c r="E433" s="220"/>
      <c r="F433" s="221"/>
      <c r="G433" s="222"/>
      <c r="H433" s="223"/>
      <c r="I433" s="224"/>
      <c r="J433" s="507"/>
      <c r="K433" s="19"/>
      <c r="L433" s="507"/>
      <c r="M433" s="507"/>
      <c r="N433" s="507"/>
      <c r="O433" s="508"/>
      <c r="P433" s="217"/>
      <c r="Q433" s="217"/>
      <c r="R433" s="217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>
      <c r="A434" s="19"/>
      <c r="B434" s="19"/>
      <c r="C434" s="19"/>
      <c r="D434" s="219"/>
      <c r="E434" s="220"/>
      <c r="F434" s="221"/>
      <c r="G434" s="222"/>
      <c r="H434" s="223"/>
      <c r="I434" s="224"/>
      <c r="J434" s="507"/>
      <c r="K434" s="19"/>
      <c r="L434" s="507"/>
      <c r="M434" s="507"/>
      <c r="N434" s="507"/>
      <c r="O434" s="508"/>
      <c r="P434" s="217"/>
      <c r="Q434" s="217"/>
      <c r="R434" s="217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>
      <c r="A435" s="19"/>
      <c r="B435" s="19"/>
      <c r="C435" s="19"/>
      <c r="D435" s="219"/>
      <c r="E435" s="220"/>
      <c r="F435" s="221"/>
      <c r="G435" s="222"/>
      <c r="H435" s="223"/>
      <c r="I435" s="224"/>
      <c r="J435" s="507"/>
      <c r="K435" s="19"/>
      <c r="L435" s="507"/>
      <c r="M435" s="507"/>
      <c r="N435" s="507"/>
      <c r="O435" s="508"/>
      <c r="P435" s="217"/>
      <c r="Q435" s="217"/>
      <c r="R435" s="217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>
      <c r="A436" s="19"/>
      <c r="B436" s="19"/>
      <c r="C436" s="19"/>
      <c r="D436" s="219"/>
      <c r="E436" s="220"/>
      <c r="F436" s="221"/>
      <c r="G436" s="222"/>
      <c r="H436" s="223"/>
      <c r="I436" s="224"/>
      <c r="J436" s="507"/>
      <c r="K436" s="19"/>
      <c r="L436" s="507"/>
      <c r="M436" s="507"/>
      <c r="N436" s="507"/>
      <c r="O436" s="508"/>
      <c r="P436" s="217"/>
      <c r="Q436" s="217"/>
      <c r="R436" s="217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>
      <c r="A437" s="19"/>
      <c r="B437" s="19"/>
      <c r="C437" s="19"/>
      <c r="D437" s="219"/>
      <c r="E437" s="220"/>
      <c r="F437" s="221"/>
      <c r="G437" s="222"/>
      <c r="H437" s="223"/>
      <c r="I437" s="224"/>
      <c r="J437" s="507"/>
      <c r="K437" s="19"/>
      <c r="L437" s="507"/>
      <c r="M437" s="507"/>
      <c r="N437" s="507"/>
      <c r="O437" s="508"/>
      <c r="P437" s="217"/>
      <c r="Q437" s="217"/>
      <c r="R437" s="217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>
      <c r="A438" s="19"/>
      <c r="B438" s="19"/>
      <c r="C438" s="19"/>
      <c r="D438" s="219"/>
      <c r="E438" s="220"/>
      <c r="F438" s="221"/>
      <c r="G438" s="222"/>
      <c r="H438" s="223"/>
      <c r="I438" s="224"/>
      <c r="J438" s="507"/>
      <c r="K438" s="19"/>
      <c r="L438" s="507"/>
      <c r="M438" s="507"/>
      <c r="N438" s="507"/>
      <c r="O438" s="508"/>
      <c r="P438" s="217"/>
      <c r="Q438" s="217"/>
      <c r="R438" s="217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>
      <c r="A439" s="19"/>
      <c r="B439" s="19"/>
      <c r="C439" s="19"/>
      <c r="D439" s="219"/>
      <c r="E439" s="220"/>
      <c r="F439" s="221"/>
      <c r="G439" s="222"/>
      <c r="H439" s="223"/>
      <c r="I439" s="224"/>
      <c r="J439" s="507"/>
      <c r="K439" s="19"/>
      <c r="L439" s="507"/>
      <c r="M439" s="507"/>
      <c r="N439" s="507"/>
      <c r="O439" s="508"/>
      <c r="P439" s="217"/>
      <c r="Q439" s="217"/>
      <c r="R439" s="217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>
      <c r="A440" s="19"/>
      <c r="B440" s="19"/>
      <c r="C440" s="19"/>
      <c r="D440" s="219"/>
      <c r="E440" s="220"/>
      <c r="F440" s="221"/>
      <c r="G440" s="222"/>
      <c r="H440" s="223"/>
      <c r="I440" s="224"/>
      <c r="J440" s="507"/>
      <c r="K440" s="19"/>
      <c r="L440" s="507"/>
      <c r="M440" s="507"/>
      <c r="N440" s="507"/>
      <c r="O440" s="508"/>
      <c r="P440" s="217"/>
      <c r="Q440" s="217"/>
      <c r="R440" s="217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>
      <c r="A441" s="19"/>
      <c r="B441" s="19"/>
      <c r="C441" s="19"/>
      <c r="D441" s="219"/>
      <c r="E441" s="220"/>
      <c r="F441" s="221"/>
      <c r="G441" s="222"/>
      <c r="H441" s="223"/>
      <c r="I441" s="224"/>
      <c r="J441" s="507"/>
      <c r="K441" s="19"/>
      <c r="L441" s="507"/>
      <c r="M441" s="507"/>
      <c r="N441" s="507"/>
      <c r="O441" s="508"/>
      <c r="P441" s="217"/>
      <c r="Q441" s="217"/>
      <c r="R441" s="217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>
      <c r="A442" s="19"/>
      <c r="B442" s="19"/>
      <c r="C442" s="19"/>
      <c r="D442" s="219"/>
      <c r="E442" s="220"/>
      <c r="F442" s="221"/>
      <c r="G442" s="222"/>
      <c r="H442" s="223"/>
      <c r="I442" s="224"/>
      <c r="J442" s="507"/>
      <c r="K442" s="19"/>
      <c r="L442" s="507"/>
      <c r="M442" s="507"/>
      <c r="N442" s="507"/>
      <c r="O442" s="508"/>
      <c r="P442" s="217"/>
      <c r="Q442" s="217"/>
      <c r="R442" s="217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>
      <c r="A443" s="19"/>
      <c r="B443" s="19"/>
      <c r="C443" s="19"/>
      <c r="D443" s="219"/>
      <c r="E443" s="220"/>
      <c r="F443" s="221"/>
      <c r="G443" s="222"/>
      <c r="H443" s="223"/>
      <c r="I443" s="224"/>
      <c r="J443" s="507"/>
      <c r="K443" s="19"/>
      <c r="L443" s="507"/>
      <c r="M443" s="507"/>
      <c r="N443" s="507"/>
      <c r="O443" s="508"/>
      <c r="P443" s="217"/>
      <c r="Q443" s="217"/>
      <c r="R443" s="217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>
      <c r="A444" s="19"/>
      <c r="B444" s="19"/>
      <c r="C444" s="19"/>
      <c r="D444" s="219"/>
      <c r="E444" s="220"/>
      <c r="F444" s="221"/>
      <c r="G444" s="222"/>
      <c r="H444" s="223"/>
      <c r="I444" s="224"/>
      <c r="J444" s="507"/>
      <c r="K444" s="19"/>
      <c r="L444" s="507"/>
      <c r="M444" s="507"/>
      <c r="N444" s="507"/>
      <c r="O444" s="508"/>
      <c r="P444" s="217"/>
      <c r="Q444" s="217"/>
      <c r="R444" s="217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>
      <c r="A445" s="19"/>
      <c r="B445" s="19"/>
      <c r="C445" s="19"/>
      <c r="D445" s="219"/>
      <c r="E445" s="220"/>
      <c r="F445" s="221"/>
      <c r="G445" s="222"/>
      <c r="H445" s="223"/>
      <c r="I445" s="224"/>
      <c r="J445" s="507"/>
      <c r="K445" s="19"/>
      <c r="L445" s="507"/>
      <c r="M445" s="507"/>
      <c r="N445" s="507"/>
      <c r="O445" s="508"/>
      <c r="P445" s="217"/>
      <c r="Q445" s="217"/>
      <c r="R445" s="217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>
      <c r="A446" s="19"/>
      <c r="B446" s="19"/>
      <c r="C446" s="19"/>
      <c r="D446" s="219"/>
      <c r="E446" s="220"/>
      <c r="F446" s="221"/>
      <c r="G446" s="222"/>
      <c r="H446" s="223"/>
      <c r="I446" s="224"/>
      <c r="J446" s="507"/>
      <c r="K446" s="19"/>
      <c r="L446" s="507"/>
      <c r="M446" s="507"/>
      <c r="N446" s="507"/>
      <c r="O446" s="508"/>
      <c r="P446" s="217"/>
      <c r="Q446" s="217"/>
      <c r="R446" s="217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>
      <c r="A447" s="19"/>
      <c r="B447" s="19"/>
      <c r="C447" s="19"/>
      <c r="D447" s="219"/>
      <c r="E447" s="220"/>
      <c r="F447" s="221"/>
      <c r="G447" s="222"/>
      <c r="H447" s="223"/>
      <c r="I447" s="224"/>
      <c r="J447" s="507"/>
      <c r="K447" s="19"/>
      <c r="L447" s="507"/>
      <c r="M447" s="507"/>
      <c r="N447" s="507"/>
      <c r="O447" s="508"/>
      <c r="P447" s="217"/>
      <c r="Q447" s="217"/>
      <c r="R447" s="217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>
      <c r="A448" s="19"/>
      <c r="B448" s="19"/>
      <c r="C448" s="19"/>
      <c r="D448" s="219"/>
      <c r="E448" s="220"/>
      <c r="F448" s="221"/>
      <c r="G448" s="222"/>
      <c r="H448" s="223"/>
      <c r="I448" s="224"/>
      <c r="J448" s="507"/>
      <c r="K448" s="19"/>
      <c r="L448" s="507"/>
      <c r="M448" s="507"/>
      <c r="N448" s="507"/>
      <c r="O448" s="508"/>
      <c r="P448" s="217"/>
      <c r="Q448" s="217"/>
      <c r="R448" s="217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>
      <c r="A449" s="19"/>
      <c r="B449" s="19"/>
      <c r="C449" s="19"/>
      <c r="D449" s="219"/>
      <c r="E449" s="220"/>
      <c r="F449" s="221"/>
      <c r="G449" s="222"/>
      <c r="H449" s="223"/>
      <c r="I449" s="224"/>
      <c r="J449" s="507"/>
      <c r="K449" s="19"/>
      <c r="L449" s="507"/>
      <c r="M449" s="507"/>
      <c r="N449" s="507"/>
      <c r="O449" s="508"/>
      <c r="P449" s="217"/>
      <c r="Q449" s="217"/>
      <c r="R449" s="217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>
      <c r="A450" s="19"/>
      <c r="B450" s="19"/>
      <c r="C450" s="19"/>
      <c r="D450" s="219"/>
      <c r="E450" s="220"/>
      <c r="F450" s="221"/>
      <c r="G450" s="222"/>
      <c r="H450" s="223"/>
      <c r="I450" s="224"/>
      <c r="J450" s="507"/>
      <c r="K450" s="19"/>
      <c r="L450" s="507"/>
      <c r="M450" s="507"/>
      <c r="N450" s="507"/>
      <c r="O450" s="508"/>
      <c r="P450" s="217"/>
      <c r="Q450" s="217"/>
      <c r="R450" s="217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>
      <c r="A451" s="19"/>
      <c r="B451" s="19"/>
      <c r="C451" s="19"/>
      <c r="D451" s="219"/>
      <c r="E451" s="220"/>
      <c r="F451" s="221"/>
      <c r="G451" s="222"/>
      <c r="H451" s="223"/>
      <c r="I451" s="224"/>
      <c r="J451" s="507"/>
      <c r="K451" s="19"/>
      <c r="L451" s="507"/>
      <c r="M451" s="507"/>
      <c r="N451" s="507"/>
      <c r="O451" s="508"/>
      <c r="P451" s="217"/>
      <c r="Q451" s="217"/>
      <c r="R451" s="217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>
      <c r="A452" s="19"/>
      <c r="B452" s="19"/>
      <c r="C452" s="19"/>
      <c r="D452" s="219"/>
      <c r="E452" s="220"/>
      <c r="F452" s="221"/>
      <c r="G452" s="222"/>
      <c r="H452" s="223"/>
      <c r="I452" s="224"/>
      <c r="J452" s="507"/>
      <c r="K452" s="19"/>
      <c r="L452" s="507"/>
      <c r="M452" s="507"/>
      <c r="N452" s="507"/>
      <c r="O452" s="508"/>
      <c r="P452" s="217"/>
      <c r="Q452" s="217"/>
      <c r="R452" s="217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>
      <c r="A453" s="19"/>
      <c r="B453" s="19"/>
      <c r="C453" s="19"/>
      <c r="D453" s="219"/>
      <c r="E453" s="220"/>
      <c r="F453" s="221"/>
      <c r="G453" s="222"/>
      <c r="H453" s="223"/>
      <c r="I453" s="224"/>
      <c r="J453" s="507"/>
      <c r="K453" s="19"/>
      <c r="L453" s="507"/>
      <c r="M453" s="507"/>
      <c r="N453" s="507"/>
      <c r="O453" s="508"/>
      <c r="P453" s="217"/>
      <c r="Q453" s="217"/>
      <c r="R453" s="217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>
      <c r="A454" s="19"/>
      <c r="B454" s="19"/>
      <c r="C454" s="19"/>
      <c r="D454" s="219"/>
      <c r="E454" s="220"/>
      <c r="F454" s="221"/>
      <c r="G454" s="222"/>
      <c r="H454" s="223"/>
      <c r="I454" s="224"/>
      <c r="J454" s="507"/>
      <c r="K454" s="19"/>
      <c r="L454" s="507"/>
      <c r="M454" s="507"/>
      <c r="N454" s="507"/>
      <c r="O454" s="508"/>
      <c r="P454" s="217"/>
      <c r="Q454" s="217"/>
      <c r="R454" s="217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>
      <c r="A455" s="19"/>
      <c r="B455" s="19"/>
      <c r="C455" s="19"/>
      <c r="D455" s="219"/>
      <c r="E455" s="220"/>
      <c r="F455" s="221"/>
      <c r="G455" s="222"/>
      <c r="H455" s="223"/>
      <c r="I455" s="224"/>
      <c r="J455" s="507"/>
      <c r="K455" s="19"/>
      <c r="L455" s="507"/>
      <c r="M455" s="507"/>
      <c r="N455" s="507"/>
      <c r="O455" s="508"/>
      <c r="P455" s="217"/>
      <c r="Q455" s="217"/>
      <c r="R455" s="217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>
      <c r="A456" s="19"/>
      <c r="B456" s="19"/>
      <c r="C456" s="19"/>
      <c r="D456" s="219"/>
      <c r="E456" s="220"/>
      <c r="F456" s="221"/>
      <c r="G456" s="222"/>
      <c r="H456" s="223"/>
      <c r="I456" s="224"/>
      <c r="J456" s="507"/>
      <c r="K456" s="19"/>
      <c r="L456" s="507"/>
      <c r="M456" s="507"/>
      <c r="N456" s="507"/>
      <c r="O456" s="508"/>
      <c r="P456" s="217"/>
      <c r="Q456" s="217"/>
      <c r="R456" s="217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>
      <c r="A457" s="19"/>
      <c r="B457" s="19"/>
      <c r="C457" s="19"/>
      <c r="D457" s="219"/>
      <c r="E457" s="220"/>
      <c r="F457" s="221"/>
      <c r="G457" s="222"/>
      <c r="H457" s="223"/>
      <c r="I457" s="224"/>
      <c r="J457" s="507"/>
      <c r="K457" s="19"/>
      <c r="L457" s="507"/>
      <c r="M457" s="507"/>
      <c r="N457" s="507"/>
      <c r="O457" s="508"/>
      <c r="P457" s="217"/>
      <c r="Q457" s="217"/>
      <c r="R457" s="217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>
      <c r="A458" s="19"/>
      <c r="B458" s="19"/>
      <c r="C458" s="19"/>
      <c r="D458" s="219"/>
      <c r="E458" s="220"/>
      <c r="F458" s="221"/>
      <c r="G458" s="222"/>
      <c r="H458" s="223"/>
      <c r="I458" s="224"/>
      <c r="J458" s="507"/>
      <c r="K458" s="19"/>
      <c r="L458" s="507"/>
      <c r="M458" s="507"/>
      <c r="N458" s="507"/>
      <c r="O458" s="508"/>
      <c r="P458" s="217"/>
      <c r="Q458" s="217"/>
      <c r="R458" s="217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>
      <c r="A459" s="19"/>
      <c r="B459" s="19"/>
      <c r="C459" s="19"/>
      <c r="D459" s="219"/>
      <c r="E459" s="220"/>
      <c r="F459" s="221"/>
      <c r="G459" s="222"/>
      <c r="H459" s="223"/>
      <c r="I459" s="224"/>
      <c r="J459" s="507"/>
      <c r="K459" s="19"/>
      <c r="L459" s="507"/>
      <c r="M459" s="507"/>
      <c r="N459" s="507"/>
      <c r="O459" s="508"/>
      <c r="P459" s="217"/>
      <c r="Q459" s="217"/>
      <c r="R459" s="217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>
      <c r="A460" s="19"/>
      <c r="B460" s="19"/>
      <c r="C460" s="19"/>
      <c r="D460" s="219"/>
      <c r="E460" s="220"/>
      <c r="F460" s="221"/>
      <c r="G460" s="222"/>
      <c r="H460" s="223"/>
      <c r="I460" s="224"/>
      <c r="J460" s="507"/>
      <c r="K460" s="19"/>
      <c r="L460" s="507"/>
      <c r="M460" s="507"/>
      <c r="N460" s="507"/>
      <c r="O460" s="508"/>
      <c r="P460" s="217"/>
      <c r="Q460" s="217"/>
      <c r="R460" s="217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>
      <c r="A461" s="19"/>
      <c r="B461" s="19"/>
      <c r="C461" s="19"/>
      <c r="D461" s="219"/>
      <c r="E461" s="220"/>
      <c r="F461" s="221"/>
      <c r="G461" s="222"/>
      <c r="H461" s="223"/>
      <c r="I461" s="224"/>
      <c r="J461" s="507"/>
      <c r="K461" s="19"/>
      <c r="L461" s="507"/>
      <c r="M461" s="507"/>
      <c r="N461" s="507"/>
      <c r="O461" s="508"/>
      <c r="P461" s="217"/>
      <c r="Q461" s="217"/>
      <c r="R461" s="217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>
      <c r="A462" s="19"/>
      <c r="B462" s="19"/>
      <c r="C462" s="19"/>
      <c r="D462" s="219"/>
      <c r="E462" s="220"/>
      <c r="F462" s="221"/>
      <c r="G462" s="222"/>
      <c r="H462" s="223"/>
      <c r="I462" s="224"/>
      <c r="J462" s="507"/>
      <c r="K462" s="19"/>
      <c r="L462" s="507"/>
      <c r="M462" s="507"/>
      <c r="N462" s="507"/>
      <c r="O462" s="508"/>
      <c r="P462" s="217"/>
      <c r="Q462" s="217"/>
      <c r="R462" s="217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>
      <c r="A463" s="19"/>
      <c r="B463" s="19"/>
      <c r="C463" s="19"/>
      <c r="D463" s="219"/>
      <c r="E463" s="220"/>
      <c r="F463" s="221"/>
      <c r="G463" s="222"/>
      <c r="H463" s="223"/>
      <c r="I463" s="224"/>
      <c r="J463" s="507"/>
      <c r="K463" s="19"/>
      <c r="L463" s="507"/>
      <c r="M463" s="507"/>
      <c r="N463" s="507"/>
      <c r="O463" s="508"/>
      <c r="P463" s="217"/>
      <c r="Q463" s="217"/>
      <c r="R463" s="217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>
      <c r="A464" s="19"/>
      <c r="B464" s="19"/>
      <c r="C464" s="19"/>
      <c r="D464" s="219"/>
      <c r="E464" s="220"/>
      <c r="F464" s="221"/>
      <c r="G464" s="222"/>
      <c r="H464" s="223"/>
      <c r="I464" s="224"/>
      <c r="J464" s="507"/>
      <c r="K464" s="19"/>
      <c r="L464" s="507"/>
      <c r="M464" s="507"/>
      <c r="N464" s="507"/>
      <c r="O464" s="508"/>
      <c r="P464" s="217"/>
      <c r="Q464" s="217"/>
      <c r="R464" s="217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>
      <c r="A465" s="19"/>
      <c r="B465" s="19"/>
      <c r="C465" s="19"/>
      <c r="D465" s="219"/>
      <c r="E465" s="220"/>
      <c r="F465" s="221"/>
      <c r="G465" s="222"/>
      <c r="H465" s="223"/>
      <c r="I465" s="224"/>
      <c r="J465" s="507"/>
      <c r="K465" s="19"/>
      <c r="L465" s="507"/>
      <c r="M465" s="507"/>
      <c r="N465" s="507"/>
      <c r="O465" s="508"/>
      <c r="P465" s="217"/>
      <c r="Q465" s="217"/>
      <c r="R465" s="217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>
      <c r="A466" s="19"/>
      <c r="B466" s="19"/>
      <c r="C466" s="19"/>
      <c r="D466" s="219"/>
      <c r="E466" s="220"/>
      <c r="F466" s="221"/>
      <c r="G466" s="222"/>
      <c r="H466" s="223"/>
      <c r="I466" s="224"/>
      <c r="J466" s="507"/>
      <c r="K466" s="19"/>
      <c r="L466" s="507"/>
      <c r="M466" s="507"/>
      <c r="N466" s="507"/>
      <c r="O466" s="508"/>
      <c r="P466" s="217"/>
      <c r="Q466" s="217"/>
      <c r="R466" s="217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>
      <c r="A467" s="19"/>
      <c r="B467" s="19"/>
      <c r="C467" s="19"/>
      <c r="D467" s="219"/>
      <c r="E467" s="220"/>
      <c r="F467" s="221"/>
      <c r="G467" s="222"/>
      <c r="H467" s="223"/>
      <c r="I467" s="224"/>
      <c r="J467" s="507"/>
      <c r="K467" s="19"/>
      <c r="L467" s="507"/>
      <c r="M467" s="507"/>
      <c r="N467" s="507"/>
      <c r="O467" s="508"/>
      <c r="P467" s="217"/>
      <c r="Q467" s="217"/>
      <c r="R467" s="217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>
      <c r="A468" s="19"/>
      <c r="B468" s="19"/>
      <c r="C468" s="19"/>
      <c r="D468" s="219"/>
      <c r="E468" s="220"/>
      <c r="F468" s="221"/>
      <c r="G468" s="222"/>
      <c r="H468" s="223"/>
      <c r="I468" s="224"/>
      <c r="J468" s="507"/>
      <c r="K468" s="19"/>
      <c r="L468" s="507"/>
      <c r="M468" s="507"/>
      <c r="N468" s="507"/>
      <c r="O468" s="508"/>
      <c r="P468" s="217"/>
      <c r="Q468" s="217"/>
      <c r="R468" s="217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>
      <c r="A469" s="19"/>
      <c r="B469" s="19"/>
      <c r="C469" s="19"/>
      <c r="D469" s="219"/>
      <c r="E469" s="220"/>
      <c r="F469" s="221"/>
      <c r="G469" s="222"/>
      <c r="H469" s="223"/>
      <c r="I469" s="224"/>
      <c r="J469" s="507"/>
      <c r="K469" s="19"/>
      <c r="L469" s="507"/>
      <c r="M469" s="507"/>
      <c r="N469" s="507"/>
      <c r="O469" s="508"/>
      <c r="P469" s="217"/>
      <c r="Q469" s="217"/>
      <c r="R469" s="217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>
      <c r="A470" s="19"/>
      <c r="B470" s="19"/>
      <c r="C470" s="19"/>
      <c r="D470" s="219"/>
      <c r="E470" s="220"/>
      <c r="F470" s="221"/>
      <c r="G470" s="222"/>
      <c r="H470" s="223"/>
      <c r="I470" s="224"/>
      <c r="J470" s="507"/>
      <c r="K470" s="19"/>
      <c r="L470" s="507"/>
      <c r="M470" s="507"/>
      <c r="N470" s="507"/>
      <c r="O470" s="508"/>
      <c r="P470" s="217"/>
      <c r="Q470" s="217"/>
      <c r="R470" s="217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>
      <c r="A471" s="19"/>
      <c r="B471" s="19"/>
      <c r="C471" s="19"/>
      <c r="D471" s="219"/>
      <c r="E471" s="220"/>
      <c r="F471" s="221"/>
      <c r="G471" s="222"/>
      <c r="H471" s="223"/>
      <c r="I471" s="224"/>
      <c r="J471" s="507"/>
      <c r="K471" s="19"/>
      <c r="L471" s="507"/>
      <c r="M471" s="507"/>
      <c r="N471" s="507"/>
      <c r="O471" s="508"/>
      <c r="P471" s="217"/>
      <c r="Q471" s="217"/>
      <c r="R471" s="217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>
      <c r="A472" s="19"/>
      <c r="B472" s="19"/>
      <c r="C472" s="19"/>
      <c r="D472" s="219"/>
      <c r="E472" s="220"/>
      <c r="F472" s="221"/>
      <c r="G472" s="222"/>
      <c r="H472" s="223"/>
      <c r="I472" s="224"/>
      <c r="J472" s="507"/>
      <c r="K472" s="19"/>
      <c r="L472" s="507"/>
      <c r="M472" s="507"/>
      <c r="N472" s="507"/>
      <c r="O472" s="508"/>
      <c r="P472" s="217"/>
      <c r="Q472" s="217"/>
      <c r="R472" s="217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>
      <c r="A473" s="19"/>
      <c r="B473" s="19"/>
      <c r="C473" s="19"/>
      <c r="D473" s="219"/>
      <c r="E473" s="220"/>
      <c r="F473" s="221"/>
      <c r="G473" s="222"/>
      <c r="H473" s="223"/>
      <c r="I473" s="224"/>
      <c r="J473" s="507"/>
      <c r="K473" s="19"/>
      <c r="L473" s="507"/>
      <c r="M473" s="507"/>
      <c r="N473" s="507"/>
      <c r="O473" s="508"/>
      <c r="P473" s="217"/>
      <c r="Q473" s="217"/>
      <c r="R473" s="217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>
      <c r="A474" s="19"/>
      <c r="B474" s="19"/>
      <c r="C474" s="19"/>
      <c r="D474" s="219"/>
      <c r="E474" s="220"/>
      <c r="F474" s="221"/>
      <c r="G474" s="222"/>
      <c r="H474" s="223"/>
      <c r="I474" s="224"/>
      <c r="J474" s="507"/>
      <c r="K474" s="19"/>
      <c r="L474" s="507"/>
      <c r="M474" s="507"/>
      <c r="N474" s="507"/>
      <c r="O474" s="508"/>
      <c r="P474" s="217"/>
      <c r="Q474" s="217"/>
      <c r="R474" s="217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>
      <c r="A475" s="19"/>
      <c r="B475" s="19"/>
      <c r="C475" s="19"/>
      <c r="D475" s="219"/>
      <c r="E475" s="220"/>
      <c r="F475" s="221"/>
      <c r="G475" s="222"/>
      <c r="H475" s="223"/>
      <c r="I475" s="224"/>
      <c r="J475" s="507"/>
      <c r="K475" s="19"/>
      <c r="L475" s="507"/>
      <c r="M475" s="507"/>
      <c r="N475" s="507"/>
      <c r="O475" s="508"/>
      <c r="P475" s="217"/>
      <c r="Q475" s="217"/>
      <c r="R475" s="217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>
      <c r="A476" s="19"/>
      <c r="B476" s="19"/>
      <c r="C476" s="19"/>
      <c r="D476" s="219"/>
      <c r="E476" s="220"/>
      <c r="F476" s="221"/>
      <c r="G476" s="222"/>
      <c r="H476" s="223"/>
      <c r="I476" s="224"/>
      <c r="J476" s="507"/>
      <c r="K476" s="19"/>
      <c r="L476" s="507"/>
      <c r="M476" s="507"/>
      <c r="N476" s="507"/>
      <c r="O476" s="508"/>
      <c r="P476" s="217"/>
      <c r="Q476" s="217"/>
      <c r="R476" s="217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>
      <c r="A477" s="19"/>
      <c r="B477" s="19"/>
      <c r="C477" s="19"/>
      <c r="D477" s="219"/>
      <c r="E477" s="220"/>
      <c r="F477" s="221"/>
      <c r="G477" s="222"/>
      <c r="H477" s="223"/>
      <c r="I477" s="224"/>
      <c r="J477" s="507"/>
      <c r="K477" s="19"/>
      <c r="L477" s="507"/>
      <c r="M477" s="507"/>
      <c r="N477" s="507"/>
      <c r="O477" s="508"/>
      <c r="P477" s="217"/>
      <c r="Q477" s="217"/>
      <c r="R477" s="217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>
      <c r="A478" s="19"/>
      <c r="B478" s="19"/>
      <c r="C478" s="19"/>
      <c r="D478" s="219"/>
      <c r="E478" s="220"/>
      <c r="F478" s="221"/>
      <c r="G478" s="222"/>
      <c r="H478" s="223"/>
      <c r="I478" s="224"/>
      <c r="J478" s="507"/>
      <c r="K478" s="19"/>
      <c r="L478" s="507"/>
      <c r="M478" s="507"/>
      <c r="N478" s="507"/>
      <c r="O478" s="508"/>
      <c r="P478" s="217"/>
      <c r="Q478" s="217"/>
      <c r="R478" s="217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>
      <c r="A479" s="19"/>
      <c r="B479" s="19"/>
      <c r="C479" s="19"/>
      <c r="D479" s="219"/>
      <c r="E479" s="220"/>
      <c r="F479" s="221"/>
      <c r="G479" s="222"/>
      <c r="H479" s="223"/>
      <c r="I479" s="224"/>
      <c r="J479" s="507"/>
      <c r="K479" s="19"/>
      <c r="L479" s="507"/>
      <c r="M479" s="507"/>
      <c r="N479" s="507"/>
      <c r="O479" s="508"/>
      <c r="P479" s="217"/>
      <c r="Q479" s="217"/>
      <c r="R479" s="217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>
      <c r="A480" s="19"/>
      <c r="B480" s="19"/>
      <c r="C480" s="19"/>
      <c r="D480" s="219"/>
      <c r="E480" s="220"/>
      <c r="F480" s="221"/>
      <c r="G480" s="222"/>
      <c r="H480" s="223"/>
      <c r="I480" s="224"/>
      <c r="J480" s="507"/>
      <c r="K480" s="19"/>
      <c r="L480" s="507"/>
      <c r="M480" s="507"/>
      <c r="N480" s="507"/>
      <c r="O480" s="508"/>
      <c r="P480" s="217"/>
      <c r="Q480" s="217"/>
      <c r="R480" s="217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>
      <c r="A481" s="19"/>
      <c r="B481" s="19"/>
      <c r="C481" s="19"/>
      <c r="D481" s="219"/>
      <c r="E481" s="220"/>
      <c r="F481" s="221"/>
      <c r="G481" s="222"/>
      <c r="H481" s="223"/>
      <c r="I481" s="224"/>
      <c r="J481" s="507"/>
      <c r="K481" s="19"/>
      <c r="L481" s="507"/>
      <c r="M481" s="507"/>
      <c r="N481" s="507"/>
      <c r="O481" s="508"/>
      <c r="P481" s="217"/>
      <c r="Q481" s="217"/>
      <c r="R481" s="217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>
      <c r="A482" s="19"/>
      <c r="B482" s="19"/>
      <c r="C482" s="19"/>
      <c r="D482" s="219"/>
      <c r="E482" s="220"/>
      <c r="F482" s="221"/>
      <c r="G482" s="222"/>
      <c r="H482" s="223"/>
      <c r="I482" s="224"/>
      <c r="J482" s="507"/>
      <c r="K482" s="19"/>
      <c r="L482" s="507"/>
      <c r="M482" s="507"/>
      <c r="N482" s="507"/>
      <c r="O482" s="508"/>
      <c r="P482" s="217"/>
      <c r="Q482" s="217"/>
      <c r="R482" s="217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>
      <c r="A483" s="19"/>
      <c r="B483" s="19"/>
      <c r="C483" s="19"/>
      <c r="D483" s="219"/>
      <c r="E483" s="220"/>
      <c r="F483" s="221"/>
      <c r="G483" s="222"/>
      <c r="H483" s="223"/>
      <c r="I483" s="224"/>
      <c r="J483" s="507"/>
      <c r="K483" s="19"/>
      <c r="L483" s="507"/>
      <c r="M483" s="507"/>
      <c r="N483" s="507"/>
      <c r="O483" s="508"/>
      <c r="P483" s="217"/>
      <c r="Q483" s="217"/>
      <c r="R483" s="217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>
      <c r="A484" s="19"/>
      <c r="B484" s="19"/>
      <c r="C484" s="19"/>
      <c r="D484" s="219"/>
      <c r="E484" s="220"/>
      <c r="F484" s="221"/>
      <c r="G484" s="222"/>
      <c r="H484" s="223"/>
      <c r="I484" s="224"/>
      <c r="J484" s="507"/>
      <c r="K484" s="19"/>
      <c r="L484" s="507"/>
      <c r="M484" s="507"/>
      <c r="N484" s="507"/>
      <c r="O484" s="508"/>
      <c r="P484" s="217"/>
      <c r="Q484" s="217"/>
      <c r="R484" s="217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>
      <c r="A485" s="19"/>
      <c r="B485" s="19"/>
      <c r="C485" s="19"/>
      <c r="D485" s="219"/>
      <c r="E485" s="220"/>
      <c r="F485" s="221"/>
      <c r="G485" s="222"/>
      <c r="H485" s="223"/>
      <c r="I485" s="224"/>
      <c r="J485" s="507"/>
      <c r="K485" s="19"/>
      <c r="L485" s="507"/>
      <c r="M485" s="507"/>
      <c r="N485" s="507"/>
      <c r="O485" s="508"/>
      <c r="P485" s="217"/>
      <c r="Q485" s="217"/>
      <c r="R485" s="217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>
      <c r="A486" s="19"/>
      <c r="B486" s="19"/>
      <c r="C486" s="19"/>
      <c r="D486" s="219"/>
      <c r="E486" s="220"/>
      <c r="F486" s="221"/>
      <c r="G486" s="222"/>
      <c r="H486" s="223"/>
      <c r="I486" s="224"/>
      <c r="J486" s="507"/>
      <c r="K486" s="19"/>
      <c r="L486" s="507"/>
      <c r="M486" s="507"/>
      <c r="N486" s="507"/>
      <c r="O486" s="508"/>
      <c r="P486" s="217"/>
      <c r="Q486" s="217"/>
      <c r="R486" s="217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>
      <c r="A487" s="19"/>
      <c r="B487" s="19"/>
      <c r="C487" s="19"/>
      <c r="D487" s="219"/>
      <c r="E487" s="220"/>
      <c r="F487" s="221"/>
      <c r="G487" s="222"/>
      <c r="H487" s="223"/>
      <c r="I487" s="224"/>
      <c r="J487" s="507"/>
      <c r="K487" s="19"/>
      <c r="L487" s="507"/>
      <c r="M487" s="507"/>
      <c r="N487" s="507"/>
      <c r="O487" s="508"/>
      <c r="P487" s="217"/>
      <c r="Q487" s="217"/>
      <c r="R487" s="217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>
      <c r="A488" s="19"/>
      <c r="B488" s="19"/>
      <c r="C488" s="19"/>
      <c r="D488" s="219"/>
      <c r="E488" s="220"/>
      <c r="F488" s="221"/>
      <c r="G488" s="222"/>
      <c r="H488" s="223"/>
      <c r="I488" s="224"/>
      <c r="J488" s="507"/>
      <c r="K488" s="19"/>
      <c r="L488" s="507"/>
      <c r="M488" s="507"/>
      <c r="N488" s="507"/>
      <c r="O488" s="508"/>
      <c r="P488" s="217"/>
      <c r="Q488" s="217"/>
      <c r="R488" s="217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>
      <c r="A489" s="19"/>
      <c r="B489" s="19"/>
      <c r="C489" s="19"/>
      <c r="D489" s="219"/>
      <c r="E489" s="220"/>
      <c r="F489" s="221"/>
      <c r="G489" s="222"/>
      <c r="H489" s="223"/>
      <c r="I489" s="224"/>
      <c r="J489" s="507"/>
      <c r="K489" s="19"/>
      <c r="L489" s="507"/>
      <c r="M489" s="507"/>
      <c r="N489" s="507"/>
      <c r="O489" s="508"/>
      <c r="P489" s="217"/>
      <c r="Q489" s="217"/>
      <c r="R489" s="217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>
      <c r="A490" s="19"/>
      <c r="B490" s="19"/>
      <c r="C490" s="19"/>
      <c r="D490" s="219"/>
      <c r="E490" s="220"/>
      <c r="F490" s="221"/>
      <c r="G490" s="222"/>
      <c r="H490" s="223"/>
      <c r="I490" s="224"/>
      <c r="J490" s="507"/>
      <c r="K490" s="19"/>
      <c r="L490" s="507"/>
      <c r="M490" s="507"/>
      <c r="N490" s="507"/>
      <c r="O490" s="508"/>
      <c r="P490" s="217"/>
      <c r="Q490" s="217"/>
      <c r="R490" s="217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>
      <c r="A491" s="19"/>
      <c r="B491" s="19"/>
      <c r="C491" s="19"/>
      <c r="D491" s="219"/>
      <c r="E491" s="220"/>
      <c r="F491" s="221"/>
      <c r="G491" s="222"/>
      <c r="H491" s="223"/>
      <c r="I491" s="224"/>
      <c r="J491" s="507"/>
      <c r="K491" s="19"/>
      <c r="L491" s="507"/>
      <c r="M491" s="507"/>
      <c r="N491" s="507"/>
      <c r="O491" s="508"/>
      <c r="P491" s="217"/>
      <c r="Q491" s="217"/>
      <c r="R491" s="217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>
      <c r="A492" s="19"/>
      <c r="B492" s="19"/>
      <c r="C492" s="19"/>
      <c r="D492" s="219"/>
      <c r="E492" s="220"/>
      <c r="F492" s="221"/>
      <c r="G492" s="222"/>
      <c r="H492" s="223"/>
      <c r="I492" s="224"/>
      <c r="J492" s="507"/>
      <c r="K492" s="19"/>
      <c r="L492" s="507"/>
      <c r="M492" s="507"/>
      <c r="N492" s="507"/>
      <c r="O492" s="508"/>
      <c r="P492" s="217"/>
      <c r="Q492" s="217"/>
      <c r="R492" s="217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>
      <c r="A493" s="19"/>
      <c r="B493" s="19"/>
      <c r="C493" s="19"/>
      <c r="D493" s="219"/>
      <c r="E493" s="220"/>
      <c r="F493" s="221"/>
      <c r="G493" s="222"/>
      <c r="H493" s="223"/>
      <c r="I493" s="224"/>
      <c r="J493" s="507"/>
      <c r="K493" s="19"/>
      <c r="L493" s="507"/>
      <c r="M493" s="507"/>
      <c r="N493" s="507"/>
      <c r="O493" s="508"/>
      <c r="P493" s="217"/>
      <c r="Q493" s="217"/>
      <c r="R493" s="217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>
      <c r="A494" s="19"/>
      <c r="B494" s="19"/>
      <c r="C494" s="19"/>
      <c r="D494" s="219"/>
      <c r="E494" s="220"/>
      <c r="F494" s="221"/>
      <c r="G494" s="222"/>
      <c r="H494" s="223"/>
      <c r="I494" s="224"/>
      <c r="J494" s="507"/>
      <c r="K494" s="19"/>
      <c r="L494" s="507"/>
      <c r="M494" s="507"/>
      <c r="N494" s="507"/>
      <c r="O494" s="508"/>
      <c r="P494" s="217"/>
      <c r="Q494" s="217"/>
      <c r="R494" s="217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>
      <c r="A495" s="19"/>
      <c r="B495" s="19"/>
      <c r="C495" s="19"/>
      <c r="D495" s="219"/>
      <c r="E495" s="220"/>
      <c r="F495" s="221"/>
      <c r="G495" s="222"/>
      <c r="H495" s="223"/>
      <c r="I495" s="224"/>
      <c r="J495" s="507"/>
      <c r="K495" s="19"/>
      <c r="L495" s="507"/>
      <c r="M495" s="507"/>
      <c r="N495" s="507"/>
      <c r="O495" s="508"/>
      <c r="P495" s="217"/>
      <c r="Q495" s="217"/>
      <c r="R495" s="217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>
      <c r="A496" s="19"/>
      <c r="B496" s="19"/>
      <c r="C496" s="19"/>
      <c r="D496" s="219"/>
      <c r="E496" s="220"/>
      <c r="F496" s="221"/>
      <c r="G496" s="222"/>
      <c r="H496" s="223"/>
      <c r="I496" s="224"/>
      <c r="J496" s="507"/>
      <c r="K496" s="19"/>
      <c r="L496" s="507"/>
      <c r="M496" s="507"/>
      <c r="N496" s="507"/>
      <c r="O496" s="508"/>
      <c r="P496" s="217"/>
      <c r="Q496" s="217"/>
      <c r="R496" s="217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>
      <c r="A497" s="19"/>
      <c r="B497" s="19"/>
      <c r="C497" s="19"/>
      <c r="D497" s="219"/>
      <c r="E497" s="220"/>
      <c r="F497" s="221"/>
      <c r="G497" s="222"/>
      <c r="H497" s="223"/>
      <c r="I497" s="224"/>
      <c r="J497" s="507"/>
      <c r="K497" s="19"/>
      <c r="L497" s="507"/>
      <c r="M497" s="507"/>
      <c r="N497" s="507"/>
      <c r="O497" s="508"/>
      <c r="P497" s="217"/>
      <c r="Q497" s="217"/>
      <c r="R497" s="217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>
      <c r="A498" s="19"/>
      <c r="B498" s="19"/>
      <c r="C498" s="19"/>
      <c r="D498" s="219"/>
      <c r="E498" s="220"/>
      <c r="F498" s="221"/>
      <c r="G498" s="222"/>
      <c r="H498" s="223"/>
      <c r="I498" s="224"/>
      <c r="J498" s="507"/>
      <c r="K498" s="19"/>
      <c r="L498" s="507"/>
      <c r="M498" s="507"/>
      <c r="N498" s="507"/>
      <c r="O498" s="508"/>
      <c r="P498" s="217"/>
      <c r="Q498" s="217"/>
      <c r="R498" s="217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>
      <c r="A499" s="19"/>
      <c r="B499" s="19"/>
      <c r="C499" s="19"/>
      <c r="D499" s="219"/>
      <c r="E499" s="220"/>
      <c r="F499" s="221"/>
      <c r="G499" s="222"/>
      <c r="H499" s="223"/>
      <c r="I499" s="224"/>
      <c r="J499" s="507"/>
      <c r="K499" s="19"/>
      <c r="L499" s="507"/>
      <c r="M499" s="507"/>
      <c r="N499" s="507"/>
      <c r="O499" s="508"/>
      <c r="P499" s="217"/>
      <c r="Q499" s="217"/>
      <c r="R499" s="217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>
      <c r="A500" s="19"/>
      <c r="B500" s="19"/>
      <c r="C500" s="19"/>
      <c r="D500" s="219"/>
      <c r="E500" s="220"/>
      <c r="F500" s="221"/>
      <c r="G500" s="222"/>
      <c r="H500" s="223"/>
      <c r="I500" s="224"/>
      <c r="J500" s="507"/>
      <c r="K500" s="19"/>
      <c r="L500" s="507"/>
      <c r="M500" s="507"/>
      <c r="N500" s="507"/>
      <c r="O500" s="508"/>
      <c r="P500" s="217"/>
      <c r="Q500" s="217"/>
      <c r="R500" s="217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>
      <c r="A501" s="19"/>
      <c r="B501" s="19"/>
      <c r="C501" s="19"/>
      <c r="D501" s="219"/>
      <c r="E501" s="220"/>
      <c r="F501" s="221"/>
      <c r="G501" s="222"/>
      <c r="H501" s="223"/>
      <c r="I501" s="224"/>
      <c r="J501" s="507"/>
      <c r="K501" s="19"/>
      <c r="L501" s="507"/>
      <c r="M501" s="507"/>
      <c r="N501" s="507"/>
      <c r="O501" s="508"/>
      <c r="P501" s="217"/>
      <c r="Q501" s="217"/>
      <c r="R501" s="217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>
      <c r="A502" s="19"/>
      <c r="B502" s="19"/>
      <c r="C502" s="19"/>
      <c r="D502" s="219"/>
      <c r="E502" s="220"/>
      <c r="F502" s="221"/>
      <c r="G502" s="222"/>
      <c r="H502" s="223"/>
      <c r="I502" s="224"/>
      <c r="J502" s="507"/>
      <c r="K502" s="19"/>
      <c r="L502" s="507"/>
      <c r="M502" s="507"/>
      <c r="N502" s="507"/>
      <c r="O502" s="508"/>
      <c r="P502" s="217"/>
      <c r="Q502" s="217"/>
      <c r="R502" s="217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>
      <c r="A503" s="19"/>
      <c r="B503" s="19"/>
      <c r="C503" s="19"/>
      <c r="D503" s="219"/>
      <c r="E503" s="220"/>
      <c r="F503" s="221"/>
      <c r="G503" s="222"/>
      <c r="H503" s="223"/>
      <c r="I503" s="224"/>
      <c r="J503" s="507"/>
      <c r="K503" s="19"/>
      <c r="L503" s="507"/>
      <c r="M503" s="507"/>
      <c r="N503" s="507"/>
      <c r="O503" s="508"/>
      <c r="P503" s="217"/>
      <c r="Q503" s="217"/>
      <c r="R503" s="217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>
      <c r="A504" s="19"/>
      <c r="B504" s="19"/>
      <c r="C504" s="19"/>
      <c r="D504" s="219"/>
      <c r="E504" s="220"/>
      <c r="F504" s="221"/>
      <c r="G504" s="222"/>
      <c r="H504" s="223"/>
      <c r="I504" s="224"/>
      <c r="J504" s="507"/>
      <c r="K504" s="19"/>
      <c r="L504" s="507"/>
      <c r="M504" s="507"/>
      <c r="N504" s="507"/>
      <c r="O504" s="508"/>
      <c r="P504" s="217"/>
      <c r="Q504" s="217"/>
      <c r="R504" s="217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>
      <c r="A505" s="19"/>
      <c r="B505" s="19"/>
      <c r="C505" s="19"/>
      <c r="D505" s="219"/>
      <c r="E505" s="220"/>
      <c r="F505" s="221"/>
      <c r="G505" s="222"/>
      <c r="H505" s="223"/>
      <c r="I505" s="224"/>
      <c r="J505" s="507"/>
      <c r="K505" s="19"/>
      <c r="L505" s="507"/>
      <c r="M505" s="507"/>
      <c r="N505" s="507"/>
      <c r="O505" s="508"/>
      <c r="P505" s="217"/>
      <c r="Q505" s="217"/>
      <c r="R505" s="217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>
      <c r="A506" s="19"/>
      <c r="B506" s="19"/>
      <c r="C506" s="19"/>
      <c r="D506" s="219"/>
      <c r="E506" s="220"/>
      <c r="F506" s="221"/>
      <c r="G506" s="222"/>
      <c r="H506" s="223"/>
      <c r="I506" s="224"/>
      <c r="J506" s="507"/>
      <c r="K506" s="19"/>
      <c r="L506" s="507"/>
      <c r="M506" s="507"/>
      <c r="N506" s="507"/>
      <c r="O506" s="508"/>
      <c r="P506" s="217"/>
      <c r="Q506" s="217"/>
      <c r="R506" s="217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>
      <c r="A507" s="19"/>
      <c r="B507" s="19"/>
      <c r="C507" s="19"/>
      <c r="D507" s="219"/>
      <c r="E507" s="220"/>
      <c r="F507" s="221"/>
      <c r="G507" s="222"/>
      <c r="H507" s="223"/>
      <c r="I507" s="224"/>
      <c r="J507" s="507"/>
      <c r="K507" s="19"/>
      <c r="L507" s="507"/>
      <c r="M507" s="507"/>
      <c r="N507" s="507"/>
      <c r="O507" s="508"/>
      <c r="P507" s="217"/>
      <c r="Q507" s="217"/>
      <c r="R507" s="217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>
      <c r="A508" s="19"/>
      <c r="B508" s="19"/>
      <c r="C508" s="19"/>
      <c r="D508" s="219"/>
      <c r="E508" s="220"/>
      <c r="F508" s="221"/>
      <c r="G508" s="222"/>
      <c r="H508" s="223"/>
      <c r="I508" s="224"/>
      <c r="J508" s="507"/>
      <c r="K508" s="19"/>
      <c r="L508" s="507"/>
      <c r="M508" s="507"/>
      <c r="N508" s="507"/>
      <c r="O508" s="508"/>
      <c r="P508" s="217"/>
      <c r="Q508" s="217"/>
      <c r="R508" s="217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>
      <c r="A509" s="19"/>
      <c r="B509" s="19"/>
      <c r="C509" s="19"/>
      <c r="D509" s="219"/>
      <c r="E509" s="220"/>
      <c r="F509" s="221"/>
      <c r="G509" s="222"/>
      <c r="H509" s="223"/>
      <c r="I509" s="224"/>
      <c r="J509" s="507"/>
      <c r="K509" s="19"/>
      <c r="L509" s="507"/>
      <c r="M509" s="507"/>
      <c r="N509" s="507"/>
      <c r="O509" s="508"/>
      <c r="P509" s="217"/>
      <c r="Q509" s="217"/>
      <c r="R509" s="217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>
      <c r="A510" s="19"/>
      <c r="B510" s="19"/>
      <c r="C510" s="19"/>
      <c r="D510" s="219"/>
      <c r="E510" s="220"/>
      <c r="F510" s="221"/>
      <c r="G510" s="222"/>
      <c r="H510" s="223"/>
      <c r="I510" s="224"/>
      <c r="J510" s="507"/>
      <c r="K510" s="19"/>
      <c r="L510" s="507"/>
      <c r="M510" s="507"/>
      <c r="N510" s="507"/>
      <c r="O510" s="508"/>
      <c r="P510" s="217"/>
      <c r="Q510" s="217"/>
      <c r="R510" s="217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>
      <c r="A511" s="19"/>
      <c r="B511" s="19"/>
      <c r="C511" s="19"/>
      <c r="D511" s="219"/>
      <c r="E511" s="220"/>
      <c r="F511" s="221"/>
      <c r="G511" s="222"/>
      <c r="H511" s="223"/>
      <c r="I511" s="224"/>
      <c r="J511" s="507"/>
      <c r="K511" s="19"/>
      <c r="L511" s="507"/>
      <c r="M511" s="507"/>
      <c r="N511" s="507"/>
      <c r="O511" s="508"/>
      <c r="P511" s="217"/>
      <c r="Q511" s="217"/>
      <c r="R511" s="217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>
      <c r="A512" s="19"/>
      <c r="B512" s="19"/>
      <c r="C512" s="19"/>
      <c r="D512" s="219"/>
      <c r="E512" s="220"/>
      <c r="F512" s="221"/>
      <c r="G512" s="222"/>
      <c r="H512" s="223"/>
      <c r="I512" s="224"/>
      <c r="J512" s="507"/>
      <c r="K512" s="19"/>
      <c r="L512" s="507"/>
      <c r="M512" s="507"/>
      <c r="N512" s="507"/>
      <c r="O512" s="508"/>
      <c r="P512" s="217"/>
      <c r="Q512" s="217"/>
      <c r="R512" s="217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>
      <c r="A513" s="19"/>
      <c r="B513" s="19"/>
      <c r="C513" s="19"/>
      <c r="D513" s="219"/>
      <c r="E513" s="220"/>
      <c r="F513" s="221"/>
      <c r="G513" s="222"/>
      <c r="H513" s="223"/>
      <c r="I513" s="224"/>
      <c r="J513" s="507"/>
      <c r="K513" s="19"/>
      <c r="L513" s="507"/>
      <c r="M513" s="507"/>
      <c r="N513" s="507"/>
      <c r="O513" s="508"/>
      <c r="P513" s="217"/>
      <c r="Q513" s="217"/>
      <c r="R513" s="217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>
      <c r="A514" s="19"/>
      <c r="B514" s="19"/>
      <c r="C514" s="19"/>
      <c r="D514" s="219"/>
      <c r="E514" s="220"/>
      <c r="F514" s="221"/>
      <c r="G514" s="222"/>
      <c r="H514" s="223"/>
      <c r="I514" s="224"/>
      <c r="J514" s="507"/>
      <c r="K514" s="19"/>
      <c r="L514" s="507"/>
      <c r="M514" s="507"/>
      <c r="N514" s="507"/>
      <c r="O514" s="508"/>
      <c r="P514" s="217"/>
      <c r="Q514" s="217"/>
      <c r="R514" s="217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>
      <c r="A515" s="19"/>
      <c r="B515" s="19"/>
      <c r="C515" s="19"/>
      <c r="D515" s="219"/>
      <c r="E515" s="220"/>
      <c r="F515" s="221"/>
      <c r="G515" s="222"/>
      <c r="H515" s="223"/>
      <c r="I515" s="224"/>
      <c r="J515" s="507"/>
      <c r="K515" s="19"/>
      <c r="L515" s="507"/>
      <c r="M515" s="507"/>
      <c r="N515" s="507"/>
      <c r="O515" s="508"/>
      <c r="P515" s="217"/>
      <c r="Q515" s="217"/>
      <c r="R515" s="217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>
      <c r="A516" s="19"/>
      <c r="B516" s="19"/>
      <c r="C516" s="19"/>
      <c r="D516" s="219"/>
      <c r="E516" s="220"/>
      <c r="F516" s="221"/>
      <c r="G516" s="222"/>
      <c r="H516" s="223"/>
      <c r="I516" s="224"/>
      <c r="J516" s="507"/>
      <c r="K516" s="19"/>
      <c r="L516" s="507"/>
      <c r="M516" s="507"/>
      <c r="N516" s="507"/>
      <c r="O516" s="508"/>
      <c r="P516" s="217"/>
      <c r="Q516" s="217"/>
      <c r="R516" s="217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>
      <c r="A517" s="19"/>
      <c r="B517" s="19"/>
      <c r="C517" s="19"/>
      <c r="D517" s="219"/>
      <c r="E517" s="220"/>
      <c r="F517" s="221"/>
      <c r="G517" s="222"/>
      <c r="H517" s="223"/>
      <c r="I517" s="224"/>
      <c r="J517" s="507"/>
      <c r="K517" s="19"/>
      <c r="L517" s="507"/>
      <c r="M517" s="507"/>
      <c r="N517" s="507"/>
      <c r="O517" s="508"/>
      <c r="P517" s="217"/>
      <c r="Q517" s="217"/>
      <c r="R517" s="217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>
      <c r="A518" s="19"/>
      <c r="B518" s="19"/>
      <c r="C518" s="19"/>
      <c r="D518" s="219"/>
      <c r="E518" s="220"/>
      <c r="F518" s="221"/>
      <c r="G518" s="222"/>
      <c r="H518" s="223"/>
      <c r="I518" s="224"/>
      <c r="J518" s="507"/>
      <c r="K518" s="19"/>
      <c r="L518" s="507"/>
      <c r="M518" s="507"/>
      <c r="N518" s="507"/>
      <c r="O518" s="508"/>
      <c r="P518" s="217"/>
      <c r="Q518" s="217"/>
      <c r="R518" s="217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>
      <c r="A519" s="19"/>
      <c r="B519" s="19"/>
      <c r="C519" s="19"/>
      <c r="D519" s="219"/>
      <c r="E519" s="220"/>
      <c r="F519" s="221"/>
      <c r="G519" s="222"/>
      <c r="H519" s="223"/>
      <c r="I519" s="224"/>
      <c r="J519" s="507"/>
      <c r="K519" s="19"/>
      <c r="L519" s="507"/>
      <c r="M519" s="507"/>
      <c r="N519" s="507"/>
      <c r="O519" s="508"/>
      <c r="P519" s="217"/>
      <c r="Q519" s="217"/>
      <c r="R519" s="217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>
      <c r="A520" s="19"/>
      <c r="B520" s="19"/>
      <c r="C520" s="19"/>
      <c r="D520" s="219"/>
      <c r="E520" s="220"/>
      <c r="F520" s="221"/>
      <c r="G520" s="222"/>
      <c r="H520" s="223"/>
      <c r="I520" s="224"/>
      <c r="J520" s="507"/>
      <c r="K520" s="19"/>
      <c r="L520" s="507"/>
      <c r="M520" s="507"/>
      <c r="N520" s="507"/>
      <c r="O520" s="508"/>
      <c r="P520" s="217"/>
      <c r="Q520" s="217"/>
      <c r="R520" s="217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>
      <c r="A521" s="19"/>
      <c r="B521" s="19"/>
      <c r="C521" s="19"/>
      <c r="D521" s="219"/>
      <c r="E521" s="220"/>
      <c r="F521" s="221"/>
      <c r="G521" s="222"/>
      <c r="H521" s="223"/>
      <c r="I521" s="224"/>
      <c r="J521" s="507"/>
      <c r="K521" s="19"/>
      <c r="L521" s="507"/>
      <c r="M521" s="507"/>
      <c r="N521" s="507"/>
      <c r="O521" s="508"/>
      <c r="P521" s="217"/>
      <c r="Q521" s="217"/>
      <c r="R521" s="217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>
      <c r="A522" s="19"/>
      <c r="B522" s="19"/>
      <c r="C522" s="19"/>
      <c r="D522" s="219"/>
      <c r="E522" s="220"/>
      <c r="F522" s="221"/>
      <c r="G522" s="222"/>
      <c r="H522" s="223"/>
      <c r="I522" s="224"/>
      <c r="J522" s="507"/>
      <c r="K522" s="19"/>
      <c r="L522" s="507"/>
      <c r="M522" s="507"/>
      <c r="N522" s="507"/>
      <c r="O522" s="508"/>
      <c r="P522" s="217"/>
      <c r="Q522" s="217"/>
      <c r="R522" s="217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>
      <c r="A523" s="19"/>
      <c r="B523" s="19"/>
      <c r="C523" s="19"/>
      <c r="D523" s="219"/>
      <c r="E523" s="220"/>
      <c r="F523" s="221"/>
      <c r="G523" s="222"/>
      <c r="H523" s="223"/>
      <c r="I523" s="224"/>
      <c r="J523" s="507"/>
      <c r="K523" s="19"/>
      <c r="L523" s="507"/>
      <c r="M523" s="507"/>
      <c r="N523" s="507"/>
      <c r="O523" s="508"/>
      <c r="P523" s="217"/>
      <c r="Q523" s="217"/>
      <c r="R523" s="217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>
      <c r="A524" s="19"/>
      <c r="B524" s="19"/>
      <c r="C524" s="19"/>
      <c r="D524" s="219"/>
      <c r="E524" s="220"/>
      <c r="F524" s="221"/>
      <c r="G524" s="222"/>
      <c r="H524" s="223"/>
      <c r="I524" s="224"/>
      <c r="J524" s="507"/>
      <c r="K524" s="19"/>
      <c r="L524" s="507"/>
      <c r="M524" s="507"/>
      <c r="N524" s="507"/>
      <c r="O524" s="508"/>
      <c r="P524" s="217"/>
      <c r="Q524" s="217"/>
      <c r="R524" s="217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>
      <c r="A525" s="19"/>
      <c r="B525" s="19"/>
      <c r="C525" s="19"/>
      <c r="D525" s="219"/>
      <c r="E525" s="220"/>
      <c r="F525" s="221"/>
      <c r="G525" s="222"/>
      <c r="H525" s="223"/>
      <c r="I525" s="224"/>
      <c r="J525" s="507"/>
      <c r="K525" s="19"/>
      <c r="L525" s="507"/>
      <c r="M525" s="507"/>
      <c r="N525" s="507"/>
      <c r="O525" s="508"/>
      <c r="P525" s="217"/>
      <c r="Q525" s="217"/>
      <c r="R525" s="217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>
      <c r="A526" s="19"/>
      <c r="B526" s="19"/>
      <c r="C526" s="19"/>
      <c r="D526" s="219"/>
      <c r="E526" s="220"/>
      <c r="F526" s="221"/>
      <c r="G526" s="222"/>
      <c r="H526" s="223"/>
      <c r="I526" s="224"/>
      <c r="J526" s="507"/>
      <c r="K526" s="19"/>
      <c r="L526" s="507"/>
      <c r="M526" s="507"/>
      <c r="N526" s="507"/>
      <c r="O526" s="508"/>
      <c r="P526" s="217"/>
      <c r="Q526" s="217"/>
      <c r="R526" s="217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>
      <c r="A527" s="19"/>
      <c r="B527" s="19"/>
      <c r="C527" s="19"/>
      <c r="D527" s="219"/>
      <c r="E527" s="220"/>
      <c r="F527" s="221"/>
      <c r="G527" s="222"/>
      <c r="H527" s="223"/>
      <c r="I527" s="224"/>
      <c r="J527" s="507"/>
      <c r="K527" s="19"/>
      <c r="L527" s="507"/>
      <c r="M527" s="507"/>
      <c r="N527" s="507"/>
      <c r="O527" s="508"/>
      <c r="P527" s="217"/>
      <c r="Q527" s="217"/>
      <c r="R527" s="217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>
      <c r="A528" s="19"/>
      <c r="B528" s="19"/>
      <c r="C528" s="19"/>
      <c r="D528" s="219"/>
      <c r="E528" s="220"/>
      <c r="F528" s="221"/>
      <c r="G528" s="222"/>
      <c r="H528" s="223"/>
      <c r="I528" s="224"/>
      <c r="J528" s="507"/>
      <c r="K528" s="19"/>
      <c r="L528" s="507"/>
      <c r="M528" s="507"/>
      <c r="N528" s="507"/>
      <c r="O528" s="508"/>
      <c r="P528" s="217"/>
      <c r="Q528" s="217"/>
      <c r="R528" s="217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>
      <c r="A529" s="19"/>
      <c r="B529" s="19"/>
      <c r="C529" s="19"/>
      <c r="D529" s="219"/>
      <c r="E529" s="220"/>
      <c r="F529" s="221"/>
      <c r="G529" s="222"/>
      <c r="H529" s="223"/>
      <c r="I529" s="224"/>
      <c r="J529" s="507"/>
      <c r="K529" s="19"/>
      <c r="L529" s="507"/>
      <c r="M529" s="507"/>
      <c r="N529" s="507"/>
      <c r="O529" s="508"/>
      <c r="P529" s="217"/>
      <c r="Q529" s="217"/>
      <c r="R529" s="217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>
      <c r="A530" s="19"/>
      <c r="B530" s="19"/>
      <c r="C530" s="19"/>
      <c r="D530" s="219"/>
      <c r="E530" s="220"/>
      <c r="F530" s="221"/>
      <c r="G530" s="222"/>
      <c r="H530" s="223"/>
      <c r="I530" s="224"/>
      <c r="J530" s="507"/>
      <c r="K530" s="19"/>
      <c r="L530" s="507"/>
      <c r="M530" s="507"/>
      <c r="N530" s="507"/>
      <c r="O530" s="508"/>
      <c r="P530" s="217"/>
      <c r="Q530" s="217"/>
      <c r="R530" s="217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>
      <c r="A531" s="19"/>
      <c r="B531" s="19"/>
      <c r="C531" s="19"/>
      <c r="D531" s="219"/>
      <c r="E531" s="220"/>
      <c r="F531" s="221"/>
      <c r="G531" s="222"/>
      <c r="H531" s="223"/>
      <c r="I531" s="224"/>
      <c r="J531" s="507"/>
      <c r="K531" s="19"/>
      <c r="L531" s="507"/>
      <c r="M531" s="507"/>
      <c r="N531" s="507"/>
      <c r="O531" s="508"/>
      <c r="P531" s="217"/>
      <c r="Q531" s="217"/>
      <c r="R531" s="217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>
      <c r="A532" s="19"/>
      <c r="B532" s="19"/>
      <c r="C532" s="19"/>
      <c r="D532" s="219"/>
      <c r="E532" s="220"/>
      <c r="F532" s="221"/>
      <c r="G532" s="222"/>
      <c r="H532" s="223"/>
      <c r="I532" s="224"/>
      <c r="J532" s="507"/>
      <c r="K532" s="19"/>
      <c r="L532" s="507"/>
      <c r="M532" s="507"/>
      <c r="N532" s="507"/>
      <c r="O532" s="508"/>
      <c r="P532" s="217"/>
      <c r="Q532" s="217"/>
      <c r="R532" s="217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>
      <c r="A533" s="19"/>
      <c r="B533" s="19"/>
      <c r="C533" s="19"/>
      <c r="D533" s="219"/>
      <c r="E533" s="220"/>
      <c r="F533" s="221"/>
      <c r="G533" s="222"/>
      <c r="H533" s="223"/>
      <c r="I533" s="224"/>
      <c r="J533" s="507"/>
      <c r="K533" s="19"/>
      <c r="L533" s="507"/>
      <c r="M533" s="507"/>
      <c r="N533" s="507"/>
      <c r="O533" s="508"/>
      <c r="P533" s="217"/>
      <c r="Q533" s="217"/>
      <c r="R533" s="217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>
      <c r="A534" s="19"/>
      <c r="B534" s="19"/>
      <c r="C534" s="19"/>
      <c r="D534" s="219"/>
      <c r="E534" s="220"/>
      <c r="F534" s="221"/>
      <c r="G534" s="222"/>
      <c r="H534" s="223"/>
      <c r="I534" s="224"/>
      <c r="J534" s="507"/>
      <c r="K534" s="19"/>
      <c r="L534" s="507"/>
      <c r="M534" s="507"/>
      <c r="N534" s="507"/>
      <c r="O534" s="508"/>
      <c r="P534" s="217"/>
      <c r="Q534" s="217"/>
      <c r="R534" s="217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>
      <c r="A535" s="19"/>
      <c r="B535" s="19"/>
      <c r="C535" s="19"/>
      <c r="D535" s="219"/>
      <c r="E535" s="220"/>
      <c r="F535" s="221"/>
      <c r="G535" s="222"/>
      <c r="H535" s="223"/>
      <c r="I535" s="224"/>
      <c r="J535" s="507"/>
      <c r="K535" s="19"/>
      <c r="L535" s="507"/>
      <c r="M535" s="507"/>
      <c r="N535" s="507"/>
      <c r="O535" s="508"/>
      <c r="P535" s="217"/>
      <c r="Q535" s="217"/>
      <c r="R535" s="217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>
      <c r="A536" s="19"/>
      <c r="B536" s="19"/>
      <c r="C536" s="19"/>
      <c r="D536" s="219"/>
      <c r="E536" s="220"/>
      <c r="F536" s="221"/>
      <c r="G536" s="222"/>
      <c r="H536" s="223"/>
      <c r="I536" s="224"/>
      <c r="J536" s="507"/>
      <c r="K536" s="19"/>
      <c r="L536" s="507"/>
      <c r="M536" s="507"/>
      <c r="N536" s="507"/>
      <c r="O536" s="508"/>
      <c r="P536" s="217"/>
      <c r="Q536" s="217"/>
      <c r="R536" s="217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>
      <c r="A537" s="19"/>
      <c r="B537" s="19"/>
      <c r="C537" s="19"/>
      <c r="D537" s="219"/>
      <c r="E537" s="220"/>
      <c r="F537" s="221"/>
      <c r="G537" s="222"/>
      <c r="H537" s="223"/>
      <c r="I537" s="224"/>
      <c r="J537" s="507"/>
      <c r="K537" s="19"/>
      <c r="L537" s="507"/>
      <c r="M537" s="507"/>
      <c r="N537" s="507"/>
      <c r="O537" s="508"/>
      <c r="P537" s="217"/>
      <c r="Q537" s="217"/>
      <c r="R537" s="217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>
      <c r="A538" s="19"/>
      <c r="B538" s="19"/>
      <c r="C538" s="19"/>
      <c r="D538" s="219"/>
      <c r="E538" s="220"/>
      <c r="F538" s="221"/>
      <c r="G538" s="222"/>
      <c r="H538" s="223"/>
      <c r="I538" s="224"/>
      <c r="J538" s="507"/>
      <c r="K538" s="19"/>
      <c r="L538" s="507"/>
      <c r="M538" s="507"/>
      <c r="N538" s="507"/>
      <c r="O538" s="508"/>
      <c r="P538" s="217"/>
      <c r="Q538" s="217"/>
      <c r="R538" s="217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>
      <c r="A539" s="19"/>
      <c r="B539" s="19"/>
      <c r="C539" s="19"/>
      <c r="D539" s="219"/>
      <c r="E539" s="220"/>
      <c r="F539" s="221"/>
      <c r="G539" s="222"/>
      <c r="H539" s="223"/>
      <c r="I539" s="224"/>
      <c r="J539" s="507"/>
      <c r="K539" s="19"/>
      <c r="L539" s="507"/>
      <c r="M539" s="507"/>
      <c r="N539" s="507"/>
      <c r="O539" s="508"/>
      <c r="P539" s="217"/>
      <c r="Q539" s="217"/>
      <c r="R539" s="217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>
      <c r="A540" s="19"/>
      <c r="B540" s="19"/>
      <c r="C540" s="19"/>
      <c r="D540" s="219"/>
      <c r="E540" s="220"/>
      <c r="F540" s="221"/>
      <c r="G540" s="222"/>
      <c r="H540" s="223"/>
      <c r="I540" s="224"/>
      <c r="J540" s="507"/>
      <c r="K540" s="19"/>
      <c r="L540" s="507"/>
      <c r="M540" s="507"/>
      <c r="N540" s="507"/>
      <c r="O540" s="508"/>
      <c r="P540" s="217"/>
      <c r="Q540" s="217"/>
      <c r="R540" s="217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>
      <c r="A541" s="19"/>
      <c r="B541" s="19"/>
      <c r="C541" s="19"/>
      <c r="D541" s="219"/>
      <c r="E541" s="220"/>
      <c r="F541" s="221"/>
      <c r="G541" s="222"/>
      <c r="H541" s="223"/>
      <c r="I541" s="224"/>
      <c r="J541" s="507"/>
      <c r="K541" s="19"/>
      <c r="L541" s="507"/>
      <c r="M541" s="507"/>
      <c r="N541" s="507"/>
      <c r="O541" s="508"/>
      <c r="P541" s="217"/>
      <c r="Q541" s="217"/>
      <c r="R541" s="217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>
      <c r="A542" s="19"/>
      <c r="B542" s="19"/>
      <c r="C542" s="19"/>
      <c r="D542" s="219"/>
      <c r="E542" s="220"/>
      <c r="F542" s="221"/>
      <c r="G542" s="222"/>
      <c r="H542" s="223"/>
      <c r="I542" s="224"/>
      <c r="J542" s="507"/>
      <c r="K542" s="19"/>
      <c r="L542" s="507"/>
      <c r="M542" s="507"/>
      <c r="N542" s="507"/>
      <c r="O542" s="508"/>
      <c r="P542" s="217"/>
      <c r="Q542" s="217"/>
      <c r="R542" s="217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>
      <c r="A543" s="19"/>
      <c r="B543" s="19"/>
      <c r="C543" s="19"/>
      <c r="D543" s="219"/>
      <c r="E543" s="220"/>
      <c r="F543" s="221"/>
      <c r="G543" s="222"/>
      <c r="H543" s="223"/>
      <c r="I543" s="224"/>
      <c r="J543" s="507"/>
      <c r="K543" s="19"/>
      <c r="L543" s="507"/>
      <c r="M543" s="507"/>
      <c r="N543" s="507"/>
      <c r="O543" s="508"/>
      <c r="P543" s="217"/>
      <c r="Q543" s="217"/>
      <c r="R543" s="217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>
      <c r="A544" s="19"/>
      <c r="B544" s="19"/>
      <c r="C544" s="19"/>
      <c r="D544" s="219"/>
      <c r="E544" s="220"/>
      <c r="F544" s="221"/>
      <c r="G544" s="222"/>
      <c r="H544" s="223"/>
      <c r="I544" s="224"/>
      <c r="J544" s="507"/>
      <c r="K544" s="19"/>
      <c r="L544" s="507"/>
      <c r="M544" s="507"/>
      <c r="N544" s="507"/>
      <c r="O544" s="508"/>
      <c r="P544" s="217"/>
      <c r="Q544" s="217"/>
      <c r="R544" s="217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>
      <c r="A545" s="19"/>
      <c r="B545" s="19"/>
      <c r="C545" s="19"/>
      <c r="D545" s="219"/>
      <c r="E545" s="220"/>
      <c r="F545" s="221"/>
      <c r="G545" s="222"/>
      <c r="H545" s="223"/>
      <c r="I545" s="224"/>
      <c r="J545" s="507"/>
      <c r="K545" s="19"/>
      <c r="L545" s="507"/>
      <c r="M545" s="507"/>
      <c r="N545" s="507"/>
      <c r="O545" s="508"/>
      <c r="P545" s="217"/>
      <c r="Q545" s="217"/>
      <c r="R545" s="217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>
      <c r="A546" s="19"/>
      <c r="B546" s="19"/>
      <c r="C546" s="19"/>
      <c r="D546" s="219"/>
      <c r="E546" s="220"/>
      <c r="F546" s="221"/>
      <c r="G546" s="222"/>
      <c r="H546" s="223"/>
      <c r="I546" s="224"/>
      <c r="J546" s="507"/>
      <c r="K546" s="19"/>
      <c r="L546" s="507"/>
      <c r="M546" s="507"/>
      <c r="N546" s="507"/>
      <c r="O546" s="508"/>
      <c r="P546" s="217"/>
      <c r="Q546" s="217"/>
      <c r="R546" s="217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>
      <c r="A547" s="19"/>
      <c r="B547" s="19"/>
      <c r="C547" s="19"/>
      <c r="D547" s="219"/>
      <c r="E547" s="220"/>
      <c r="F547" s="221"/>
      <c r="G547" s="222"/>
      <c r="H547" s="223"/>
      <c r="I547" s="224"/>
      <c r="J547" s="507"/>
      <c r="K547" s="19"/>
      <c r="L547" s="507"/>
      <c r="M547" s="507"/>
      <c r="N547" s="507"/>
      <c r="O547" s="508"/>
      <c r="P547" s="217"/>
      <c r="Q547" s="217"/>
      <c r="R547" s="217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>
      <c r="A548" s="19"/>
      <c r="B548" s="19"/>
      <c r="C548" s="19"/>
      <c r="D548" s="219"/>
      <c r="E548" s="220"/>
      <c r="F548" s="221"/>
      <c r="G548" s="222"/>
      <c r="H548" s="223"/>
      <c r="I548" s="224"/>
      <c r="J548" s="507"/>
      <c r="K548" s="19"/>
      <c r="L548" s="507"/>
      <c r="M548" s="507"/>
      <c r="N548" s="507"/>
      <c r="O548" s="508"/>
      <c r="P548" s="217"/>
      <c r="Q548" s="217"/>
      <c r="R548" s="217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>
      <c r="A549" s="19"/>
      <c r="B549" s="19"/>
      <c r="C549" s="19"/>
      <c r="D549" s="219"/>
      <c r="E549" s="220"/>
      <c r="F549" s="221"/>
      <c r="G549" s="222"/>
      <c r="H549" s="223"/>
      <c r="I549" s="224"/>
      <c r="J549" s="507"/>
      <c r="K549" s="19"/>
      <c r="L549" s="507"/>
      <c r="M549" s="507"/>
      <c r="N549" s="507"/>
      <c r="O549" s="508"/>
      <c r="P549" s="217"/>
      <c r="Q549" s="217"/>
      <c r="R549" s="217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>
      <c r="A550" s="19"/>
      <c r="B550" s="19"/>
      <c r="C550" s="19"/>
      <c r="D550" s="219"/>
      <c r="E550" s="220"/>
      <c r="F550" s="221"/>
      <c r="G550" s="222"/>
      <c r="H550" s="223"/>
      <c r="I550" s="224"/>
      <c r="J550" s="507"/>
      <c r="K550" s="19"/>
      <c r="L550" s="507"/>
      <c r="M550" s="507"/>
      <c r="N550" s="507"/>
      <c r="O550" s="508"/>
      <c r="P550" s="217"/>
      <c r="Q550" s="217"/>
      <c r="R550" s="217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>
      <c r="A551" s="19"/>
      <c r="B551" s="19"/>
      <c r="C551" s="19"/>
      <c r="D551" s="219"/>
      <c r="E551" s="220"/>
      <c r="F551" s="221"/>
      <c r="G551" s="222"/>
      <c r="H551" s="223"/>
      <c r="I551" s="224"/>
      <c r="J551" s="507"/>
      <c r="K551" s="19"/>
      <c r="L551" s="507"/>
      <c r="M551" s="507"/>
      <c r="N551" s="507"/>
      <c r="O551" s="508"/>
      <c r="P551" s="217"/>
      <c r="Q551" s="217"/>
      <c r="R551" s="217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>
      <c r="A552" s="19"/>
      <c r="B552" s="19"/>
      <c r="C552" s="19"/>
      <c r="D552" s="219"/>
      <c r="E552" s="220"/>
      <c r="F552" s="221"/>
      <c r="G552" s="222"/>
      <c r="H552" s="223"/>
      <c r="I552" s="224"/>
      <c r="J552" s="507"/>
      <c r="K552" s="19"/>
      <c r="L552" s="507"/>
      <c r="M552" s="507"/>
      <c r="N552" s="507"/>
      <c r="O552" s="508"/>
      <c r="P552" s="217"/>
      <c r="Q552" s="217"/>
      <c r="R552" s="217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>
      <c r="A553" s="19"/>
      <c r="B553" s="19"/>
      <c r="C553" s="19"/>
      <c r="D553" s="219"/>
      <c r="E553" s="220"/>
      <c r="F553" s="221"/>
      <c r="G553" s="222"/>
      <c r="H553" s="223"/>
      <c r="I553" s="224"/>
      <c r="J553" s="507"/>
      <c r="K553" s="19"/>
      <c r="L553" s="507"/>
      <c r="M553" s="507"/>
      <c r="N553" s="507"/>
      <c r="O553" s="508"/>
      <c r="P553" s="217"/>
      <c r="Q553" s="217"/>
      <c r="R553" s="217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>
      <c r="A554" s="19"/>
      <c r="B554" s="19"/>
      <c r="C554" s="19"/>
      <c r="D554" s="219"/>
      <c r="E554" s="220"/>
      <c r="F554" s="221"/>
      <c r="G554" s="222"/>
      <c r="H554" s="223"/>
      <c r="I554" s="224"/>
      <c r="J554" s="507"/>
      <c r="K554" s="19"/>
      <c r="L554" s="507"/>
      <c r="M554" s="507"/>
      <c r="N554" s="507"/>
      <c r="O554" s="508"/>
      <c r="P554" s="217"/>
      <c r="Q554" s="217"/>
      <c r="R554" s="217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>
      <c r="A555" s="19"/>
      <c r="B555" s="19"/>
      <c r="C555" s="19"/>
      <c r="D555" s="219"/>
      <c r="E555" s="220"/>
      <c r="F555" s="221"/>
      <c r="G555" s="222"/>
      <c r="H555" s="223"/>
      <c r="I555" s="224"/>
      <c r="J555" s="507"/>
      <c r="K555" s="19"/>
      <c r="L555" s="507"/>
      <c r="M555" s="507"/>
      <c r="N555" s="507"/>
      <c r="O555" s="508"/>
      <c r="P555" s="217"/>
      <c r="Q555" s="217"/>
      <c r="R555" s="217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>
      <c r="A556" s="19"/>
      <c r="B556" s="19"/>
      <c r="C556" s="19"/>
      <c r="D556" s="219"/>
      <c r="E556" s="220"/>
      <c r="F556" s="221"/>
      <c r="G556" s="222"/>
      <c r="H556" s="223"/>
      <c r="I556" s="224"/>
      <c r="J556" s="507"/>
      <c r="K556" s="19"/>
      <c r="L556" s="507"/>
      <c r="M556" s="507"/>
      <c r="N556" s="507"/>
      <c r="O556" s="508"/>
      <c r="P556" s="217"/>
      <c r="Q556" s="217"/>
      <c r="R556" s="217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>
      <c r="A557" s="19"/>
      <c r="B557" s="19"/>
      <c r="C557" s="19"/>
      <c r="D557" s="219"/>
      <c r="E557" s="220"/>
      <c r="F557" s="221"/>
      <c r="G557" s="222"/>
      <c r="H557" s="223"/>
      <c r="I557" s="224"/>
      <c r="J557" s="507"/>
      <c r="K557" s="19"/>
      <c r="L557" s="507"/>
      <c r="M557" s="507"/>
      <c r="N557" s="507"/>
      <c r="O557" s="508"/>
      <c r="P557" s="217"/>
      <c r="Q557" s="217"/>
      <c r="R557" s="217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>
      <c r="A558" s="19"/>
      <c r="B558" s="19"/>
      <c r="C558" s="19"/>
      <c r="D558" s="219"/>
      <c r="E558" s="220"/>
      <c r="F558" s="221"/>
      <c r="G558" s="222"/>
      <c r="H558" s="223"/>
      <c r="I558" s="224"/>
      <c r="J558" s="507"/>
      <c r="K558" s="19"/>
      <c r="L558" s="507"/>
      <c r="M558" s="507"/>
      <c r="N558" s="507"/>
      <c r="O558" s="508"/>
      <c r="P558" s="217"/>
      <c r="Q558" s="217"/>
      <c r="R558" s="217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>
      <c r="A559" s="19"/>
      <c r="B559" s="19"/>
      <c r="C559" s="19"/>
      <c r="D559" s="219"/>
      <c r="E559" s="220"/>
      <c r="F559" s="221"/>
      <c r="G559" s="222"/>
      <c r="H559" s="223"/>
      <c r="I559" s="224"/>
      <c r="J559" s="507"/>
      <c r="K559" s="19"/>
      <c r="L559" s="507"/>
      <c r="M559" s="507"/>
      <c r="N559" s="507"/>
      <c r="O559" s="508"/>
      <c r="P559" s="217"/>
      <c r="Q559" s="217"/>
      <c r="R559" s="217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>
      <c r="A560" s="19"/>
      <c r="B560" s="19"/>
      <c r="C560" s="19"/>
      <c r="D560" s="219"/>
      <c r="E560" s="220"/>
      <c r="F560" s="221"/>
      <c r="G560" s="222"/>
      <c r="H560" s="223"/>
      <c r="I560" s="224"/>
      <c r="J560" s="507"/>
      <c r="K560" s="19"/>
      <c r="L560" s="507"/>
      <c r="M560" s="507"/>
      <c r="N560" s="507"/>
      <c r="O560" s="508"/>
      <c r="P560" s="217"/>
      <c r="Q560" s="217"/>
      <c r="R560" s="217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>
      <c r="A561" s="19"/>
      <c r="B561" s="19"/>
      <c r="C561" s="19"/>
      <c r="D561" s="219"/>
      <c r="E561" s="220"/>
      <c r="F561" s="221"/>
      <c r="G561" s="222"/>
      <c r="H561" s="223"/>
      <c r="I561" s="224"/>
      <c r="J561" s="507"/>
      <c r="K561" s="19"/>
      <c r="L561" s="507"/>
      <c r="M561" s="507"/>
      <c r="N561" s="507"/>
      <c r="O561" s="508"/>
      <c r="P561" s="217"/>
      <c r="Q561" s="217"/>
      <c r="R561" s="217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>
      <c r="A562" s="19"/>
      <c r="B562" s="19"/>
      <c r="C562" s="19"/>
      <c r="D562" s="219"/>
      <c r="E562" s="220"/>
      <c r="F562" s="221"/>
      <c r="G562" s="222"/>
      <c r="H562" s="223"/>
      <c r="I562" s="224"/>
      <c r="J562" s="507"/>
      <c r="K562" s="19"/>
      <c r="L562" s="507"/>
      <c r="M562" s="507"/>
      <c r="N562" s="507"/>
      <c r="O562" s="508"/>
      <c r="P562" s="217"/>
      <c r="Q562" s="217"/>
      <c r="R562" s="217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>
      <c r="A563" s="19"/>
      <c r="B563" s="19"/>
      <c r="C563" s="19"/>
      <c r="D563" s="219"/>
      <c r="E563" s="220"/>
      <c r="F563" s="221"/>
      <c r="G563" s="222"/>
      <c r="H563" s="223"/>
      <c r="I563" s="224"/>
      <c r="J563" s="507"/>
      <c r="K563" s="19"/>
      <c r="L563" s="507"/>
      <c r="M563" s="507"/>
      <c r="N563" s="507"/>
      <c r="O563" s="508"/>
      <c r="P563" s="217"/>
      <c r="Q563" s="217"/>
      <c r="R563" s="217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>
      <c r="A564" s="19"/>
      <c r="B564" s="19"/>
      <c r="C564" s="19"/>
      <c r="D564" s="219"/>
      <c r="E564" s="220"/>
      <c r="F564" s="221"/>
      <c r="G564" s="222"/>
      <c r="H564" s="223"/>
      <c r="I564" s="224"/>
      <c r="J564" s="507"/>
      <c r="K564" s="19"/>
      <c r="L564" s="507"/>
      <c r="M564" s="507"/>
      <c r="N564" s="507"/>
      <c r="O564" s="508"/>
      <c r="P564" s="217"/>
      <c r="Q564" s="217"/>
      <c r="R564" s="217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>
      <c r="A565" s="19"/>
      <c r="B565" s="19"/>
      <c r="C565" s="19"/>
      <c r="D565" s="219"/>
      <c r="E565" s="220"/>
      <c r="F565" s="221"/>
      <c r="G565" s="222"/>
      <c r="H565" s="223"/>
      <c r="I565" s="224"/>
      <c r="J565" s="507"/>
      <c r="K565" s="19"/>
      <c r="L565" s="507"/>
      <c r="M565" s="507"/>
      <c r="N565" s="507"/>
      <c r="O565" s="508"/>
      <c r="P565" s="217"/>
      <c r="Q565" s="217"/>
      <c r="R565" s="217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>
      <c r="A566" s="19"/>
      <c r="B566" s="19"/>
      <c r="C566" s="19"/>
      <c r="D566" s="219"/>
      <c r="E566" s="220"/>
      <c r="F566" s="221"/>
      <c r="G566" s="222"/>
      <c r="H566" s="223"/>
      <c r="I566" s="224"/>
      <c r="J566" s="507"/>
      <c r="K566" s="19"/>
      <c r="L566" s="507"/>
      <c r="M566" s="507"/>
      <c r="N566" s="507"/>
      <c r="O566" s="508"/>
      <c r="P566" s="217"/>
      <c r="Q566" s="217"/>
      <c r="R566" s="217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>
      <c r="A567" s="19"/>
      <c r="B567" s="19"/>
      <c r="C567" s="19"/>
      <c r="D567" s="219"/>
      <c r="E567" s="220"/>
      <c r="F567" s="221"/>
      <c r="G567" s="222"/>
      <c r="H567" s="223"/>
      <c r="I567" s="224"/>
      <c r="J567" s="507"/>
      <c r="K567" s="19"/>
      <c r="L567" s="507"/>
      <c r="M567" s="507"/>
      <c r="N567" s="507"/>
      <c r="O567" s="508"/>
      <c r="P567" s="217"/>
      <c r="Q567" s="217"/>
      <c r="R567" s="217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>
      <c r="A568" s="19"/>
      <c r="B568" s="19"/>
      <c r="C568" s="19"/>
      <c r="D568" s="219"/>
      <c r="E568" s="220"/>
      <c r="F568" s="221"/>
      <c r="G568" s="222"/>
      <c r="H568" s="223"/>
      <c r="I568" s="224"/>
      <c r="J568" s="507"/>
      <c r="K568" s="19"/>
      <c r="L568" s="507"/>
      <c r="M568" s="507"/>
      <c r="N568" s="507"/>
      <c r="O568" s="508"/>
      <c r="P568" s="217"/>
      <c r="Q568" s="217"/>
      <c r="R568" s="217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>
      <c r="A569" s="19"/>
      <c r="B569" s="19"/>
      <c r="C569" s="19"/>
      <c r="D569" s="219"/>
      <c r="E569" s="220"/>
      <c r="F569" s="221"/>
      <c r="G569" s="222"/>
      <c r="H569" s="223"/>
      <c r="I569" s="224"/>
      <c r="J569" s="507"/>
      <c r="K569" s="19"/>
      <c r="L569" s="507"/>
      <c r="M569" s="507"/>
      <c r="N569" s="507"/>
      <c r="O569" s="508"/>
      <c r="P569" s="217"/>
      <c r="Q569" s="217"/>
      <c r="R569" s="217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>
      <c r="A570" s="19"/>
      <c r="B570" s="19"/>
      <c r="C570" s="19"/>
      <c r="D570" s="219"/>
      <c r="E570" s="220"/>
      <c r="F570" s="221"/>
      <c r="G570" s="222"/>
      <c r="H570" s="223"/>
      <c r="I570" s="224"/>
      <c r="J570" s="507"/>
      <c r="K570" s="19"/>
      <c r="L570" s="507"/>
      <c r="M570" s="507"/>
      <c r="N570" s="507"/>
      <c r="O570" s="508"/>
      <c r="P570" s="217"/>
      <c r="Q570" s="217"/>
      <c r="R570" s="217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>
      <c r="A571" s="19"/>
      <c r="B571" s="19"/>
      <c r="C571" s="19"/>
      <c r="D571" s="219"/>
      <c r="E571" s="220"/>
      <c r="F571" s="221"/>
      <c r="G571" s="222"/>
      <c r="H571" s="223"/>
      <c r="I571" s="224"/>
      <c r="J571" s="507"/>
      <c r="K571" s="19"/>
      <c r="L571" s="507"/>
      <c r="M571" s="507"/>
      <c r="N571" s="507"/>
      <c r="O571" s="508"/>
      <c r="P571" s="217"/>
      <c r="Q571" s="217"/>
      <c r="R571" s="217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>
      <c r="A572" s="19"/>
      <c r="B572" s="19"/>
      <c r="C572" s="19"/>
      <c r="D572" s="219"/>
      <c r="E572" s="220"/>
      <c r="F572" s="221"/>
      <c r="G572" s="222"/>
      <c r="H572" s="223"/>
      <c r="I572" s="224"/>
      <c r="J572" s="507"/>
      <c r="K572" s="19"/>
      <c r="L572" s="507"/>
      <c r="M572" s="507"/>
      <c r="N572" s="507"/>
      <c r="O572" s="508"/>
      <c r="P572" s="217"/>
      <c r="Q572" s="217"/>
      <c r="R572" s="217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>
      <c r="A573" s="19"/>
      <c r="B573" s="19"/>
      <c r="C573" s="19"/>
      <c r="D573" s="219"/>
      <c r="E573" s="220"/>
      <c r="F573" s="221"/>
      <c r="G573" s="222"/>
      <c r="H573" s="223"/>
      <c r="I573" s="224"/>
      <c r="J573" s="507"/>
      <c r="K573" s="19"/>
      <c r="L573" s="507"/>
      <c r="M573" s="507"/>
      <c r="N573" s="507"/>
      <c r="O573" s="508"/>
      <c r="P573" s="217"/>
      <c r="Q573" s="217"/>
      <c r="R573" s="217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>
      <c r="A574" s="19"/>
      <c r="B574" s="19"/>
      <c r="C574" s="19"/>
      <c r="D574" s="219"/>
      <c r="E574" s="220"/>
      <c r="F574" s="221"/>
      <c r="G574" s="222"/>
      <c r="H574" s="223"/>
      <c r="I574" s="224"/>
      <c r="J574" s="507"/>
      <c r="K574" s="19"/>
      <c r="L574" s="507"/>
      <c r="M574" s="507"/>
      <c r="N574" s="507"/>
      <c r="O574" s="508"/>
      <c r="P574" s="217"/>
      <c r="Q574" s="217"/>
      <c r="R574" s="217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>
      <c r="A575" s="19"/>
      <c r="B575" s="19"/>
      <c r="C575" s="19"/>
      <c r="D575" s="219"/>
      <c r="E575" s="220"/>
      <c r="F575" s="221"/>
      <c r="G575" s="222"/>
      <c r="H575" s="223"/>
      <c r="I575" s="224"/>
      <c r="J575" s="507"/>
      <c r="K575" s="19"/>
      <c r="L575" s="507"/>
      <c r="M575" s="507"/>
      <c r="N575" s="507"/>
      <c r="O575" s="508"/>
      <c r="P575" s="217"/>
      <c r="Q575" s="217"/>
      <c r="R575" s="217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>
      <c r="A576" s="19"/>
      <c r="B576" s="19"/>
      <c r="C576" s="19"/>
      <c r="D576" s="219"/>
      <c r="E576" s="220"/>
      <c r="F576" s="221"/>
      <c r="G576" s="222"/>
      <c r="H576" s="223"/>
      <c r="I576" s="224"/>
      <c r="J576" s="507"/>
      <c r="K576" s="19"/>
      <c r="L576" s="507"/>
      <c r="M576" s="507"/>
      <c r="N576" s="507"/>
      <c r="O576" s="508"/>
      <c r="P576" s="217"/>
      <c r="Q576" s="217"/>
      <c r="R576" s="217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>
      <c r="A577" s="19"/>
      <c r="B577" s="19"/>
      <c r="C577" s="19"/>
      <c r="D577" s="219"/>
      <c r="E577" s="220"/>
      <c r="F577" s="221"/>
      <c r="G577" s="222"/>
      <c r="H577" s="223"/>
      <c r="I577" s="224"/>
      <c r="J577" s="507"/>
      <c r="K577" s="19"/>
      <c r="L577" s="507"/>
      <c r="M577" s="507"/>
      <c r="N577" s="507"/>
      <c r="O577" s="508"/>
      <c r="P577" s="217"/>
      <c r="Q577" s="217"/>
      <c r="R577" s="217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>
      <c r="A578" s="19"/>
      <c r="B578" s="19"/>
      <c r="C578" s="19"/>
      <c r="D578" s="219"/>
      <c r="E578" s="220"/>
      <c r="F578" s="221"/>
      <c r="G578" s="222"/>
      <c r="H578" s="223"/>
      <c r="I578" s="224"/>
      <c r="J578" s="507"/>
      <c r="K578" s="19"/>
      <c r="L578" s="507"/>
      <c r="M578" s="507"/>
      <c r="N578" s="507"/>
      <c r="O578" s="508"/>
      <c r="P578" s="217"/>
      <c r="Q578" s="217"/>
      <c r="R578" s="217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>
      <c r="A579" s="19"/>
      <c r="B579" s="19"/>
      <c r="C579" s="19"/>
      <c r="D579" s="219"/>
      <c r="E579" s="220"/>
      <c r="F579" s="221"/>
      <c r="G579" s="222"/>
      <c r="H579" s="223"/>
      <c r="I579" s="224"/>
      <c r="J579" s="507"/>
      <c r="K579" s="19"/>
      <c r="L579" s="507"/>
      <c r="M579" s="507"/>
      <c r="N579" s="507"/>
      <c r="O579" s="508"/>
      <c r="P579" s="217"/>
      <c r="Q579" s="217"/>
      <c r="R579" s="217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>
      <c r="A580" s="19"/>
      <c r="B580" s="19"/>
      <c r="C580" s="19"/>
      <c r="D580" s="219"/>
      <c r="E580" s="220"/>
      <c r="F580" s="221"/>
      <c r="G580" s="222"/>
      <c r="H580" s="223"/>
      <c r="I580" s="224"/>
      <c r="J580" s="507"/>
      <c r="K580" s="19"/>
      <c r="L580" s="507"/>
      <c r="M580" s="507"/>
      <c r="N580" s="507"/>
      <c r="O580" s="508"/>
      <c r="P580" s="217"/>
      <c r="Q580" s="217"/>
      <c r="R580" s="217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>
      <c r="A581" s="19"/>
      <c r="B581" s="19"/>
      <c r="C581" s="19"/>
      <c r="D581" s="219"/>
      <c r="E581" s="220"/>
      <c r="F581" s="221"/>
      <c r="G581" s="222"/>
      <c r="H581" s="223"/>
      <c r="I581" s="224"/>
      <c r="J581" s="507"/>
      <c r="K581" s="19"/>
      <c r="L581" s="507"/>
      <c r="M581" s="507"/>
      <c r="N581" s="507"/>
      <c r="O581" s="508"/>
      <c r="P581" s="217"/>
      <c r="Q581" s="217"/>
      <c r="R581" s="217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>
      <c r="A582" s="19"/>
      <c r="B582" s="19"/>
      <c r="C582" s="19"/>
      <c r="D582" s="219"/>
      <c r="E582" s="220"/>
      <c r="F582" s="221"/>
      <c r="G582" s="222"/>
      <c r="H582" s="223"/>
      <c r="I582" s="224"/>
      <c r="J582" s="507"/>
      <c r="K582" s="19"/>
      <c r="L582" s="507"/>
      <c r="M582" s="507"/>
      <c r="N582" s="507"/>
      <c r="O582" s="508"/>
      <c r="P582" s="217"/>
      <c r="Q582" s="217"/>
      <c r="R582" s="217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>
      <c r="A583" s="19"/>
      <c r="B583" s="19"/>
      <c r="C583" s="19"/>
      <c r="D583" s="219"/>
      <c r="E583" s="220"/>
      <c r="F583" s="221"/>
      <c r="G583" s="222"/>
      <c r="H583" s="223"/>
      <c r="I583" s="224"/>
      <c r="J583" s="507"/>
      <c r="K583" s="19"/>
      <c r="L583" s="507"/>
      <c r="M583" s="507"/>
      <c r="N583" s="507"/>
      <c r="O583" s="508"/>
      <c r="P583" s="217"/>
      <c r="Q583" s="217"/>
      <c r="R583" s="217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>
      <c r="A584" s="19"/>
      <c r="B584" s="19"/>
      <c r="C584" s="19"/>
      <c r="D584" s="219"/>
      <c r="E584" s="220"/>
      <c r="F584" s="221"/>
      <c r="G584" s="222"/>
      <c r="H584" s="223"/>
      <c r="I584" s="224"/>
      <c r="J584" s="507"/>
      <c r="K584" s="19"/>
      <c r="L584" s="507"/>
      <c r="M584" s="507"/>
      <c r="N584" s="507"/>
      <c r="O584" s="508"/>
      <c r="P584" s="217"/>
      <c r="Q584" s="217"/>
      <c r="R584" s="217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>
      <c r="A585" s="19"/>
      <c r="B585" s="19"/>
      <c r="C585" s="19"/>
      <c r="D585" s="219"/>
      <c r="E585" s="220"/>
      <c r="F585" s="221"/>
      <c r="G585" s="222"/>
      <c r="H585" s="223"/>
      <c r="I585" s="224"/>
      <c r="J585" s="507"/>
      <c r="K585" s="19"/>
      <c r="L585" s="507"/>
      <c r="M585" s="507"/>
      <c r="N585" s="507"/>
      <c r="O585" s="508"/>
      <c r="P585" s="217"/>
      <c r="Q585" s="217"/>
      <c r="R585" s="217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>
      <c r="A586" s="19"/>
      <c r="B586" s="19"/>
      <c r="C586" s="19"/>
      <c r="D586" s="219"/>
      <c r="E586" s="220"/>
      <c r="F586" s="221"/>
      <c r="G586" s="222"/>
      <c r="H586" s="223"/>
      <c r="I586" s="224"/>
      <c r="J586" s="507"/>
      <c r="K586" s="19"/>
      <c r="L586" s="507"/>
      <c r="M586" s="507"/>
      <c r="N586" s="507"/>
      <c r="O586" s="508"/>
      <c r="P586" s="217"/>
      <c r="Q586" s="217"/>
      <c r="R586" s="217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>
      <c r="A587" s="19"/>
      <c r="B587" s="19"/>
      <c r="C587" s="19"/>
      <c r="D587" s="219"/>
      <c r="E587" s="220"/>
      <c r="F587" s="221"/>
      <c r="G587" s="222"/>
      <c r="H587" s="223"/>
      <c r="I587" s="224"/>
      <c r="J587" s="507"/>
      <c r="K587" s="19"/>
      <c r="L587" s="507"/>
      <c r="M587" s="507"/>
      <c r="N587" s="507"/>
      <c r="O587" s="508"/>
      <c r="P587" s="217"/>
      <c r="Q587" s="217"/>
      <c r="R587" s="217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>
      <c r="A588" s="19"/>
      <c r="B588" s="19"/>
      <c r="C588" s="19"/>
      <c r="D588" s="219"/>
      <c r="E588" s="220"/>
      <c r="F588" s="221"/>
      <c r="G588" s="222"/>
      <c r="H588" s="223"/>
      <c r="I588" s="224"/>
      <c r="J588" s="507"/>
      <c r="K588" s="19"/>
      <c r="L588" s="507"/>
      <c r="M588" s="507"/>
      <c r="N588" s="507"/>
      <c r="O588" s="508"/>
      <c r="P588" s="217"/>
      <c r="Q588" s="217"/>
      <c r="R588" s="217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>
      <c r="A589" s="19"/>
      <c r="B589" s="19"/>
      <c r="C589" s="19"/>
      <c r="D589" s="219"/>
      <c r="E589" s="220"/>
      <c r="F589" s="221"/>
      <c r="G589" s="222"/>
      <c r="H589" s="223"/>
      <c r="I589" s="224"/>
      <c r="J589" s="507"/>
      <c r="K589" s="19"/>
      <c r="L589" s="507"/>
      <c r="M589" s="507"/>
      <c r="N589" s="507"/>
      <c r="O589" s="508"/>
      <c r="P589" s="217"/>
      <c r="Q589" s="217"/>
      <c r="R589" s="217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>
      <c r="A590" s="19"/>
      <c r="B590" s="19"/>
      <c r="C590" s="19"/>
      <c r="D590" s="219"/>
      <c r="E590" s="220"/>
      <c r="F590" s="221"/>
      <c r="G590" s="222"/>
      <c r="H590" s="223"/>
      <c r="I590" s="224"/>
      <c r="J590" s="507"/>
      <c r="K590" s="19"/>
      <c r="L590" s="507"/>
      <c r="M590" s="507"/>
      <c r="N590" s="507"/>
      <c r="O590" s="508"/>
      <c r="P590" s="217"/>
      <c r="Q590" s="217"/>
      <c r="R590" s="217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>
      <c r="A591" s="19"/>
      <c r="B591" s="19"/>
      <c r="C591" s="19"/>
      <c r="D591" s="219"/>
      <c r="E591" s="220"/>
      <c r="F591" s="221"/>
      <c r="G591" s="222"/>
      <c r="H591" s="223"/>
      <c r="I591" s="224"/>
      <c r="J591" s="507"/>
      <c r="K591" s="19"/>
      <c r="L591" s="507"/>
      <c r="M591" s="507"/>
      <c r="N591" s="507"/>
      <c r="O591" s="508"/>
      <c r="P591" s="217"/>
      <c r="Q591" s="217"/>
      <c r="R591" s="217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>
      <c r="A592" s="19"/>
      <c r="B592" s="19"/>
      <c r="C592" s="19"/>
      <c r="D592" s="219"/>
      <c r="E592" s="220"/>
      <c r="F592" s="221"/>
      <c r="G592" s="222"/>
      <c r="H592" s="223"/>
      <c r="I592" s="224"/>
      <c r="J592" s="507"/>
      <c r="K592" s="19"/>
      <c r="L592" s="507"/>
      <c r="M592" s="507"/>
      <c r="N592" s="507"/>
      <c r="O592" s="508"/>
      <c r="P592" s="217"/>
      <c r="Q592" s="217"/>
      <c r="R592" s="217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>
      <c r="A593" s="19"/>
      <c r="B593" s="19"/>
      <c r="C593" s="19"/>
      <c r="D593" s="219"/>
      <c r="E593" s="220"/>
      <c r="F593" s="221"/>
      <c r="G593" s="222"/>
      <c r="H593" s="223"/>
      <c r="I593" s="224"/>
      <c r="J593" s="507"/>
      <c r="K593" s="19"/>
      <c r="L593" s="507"/>
      <c r="M593" s="507"/>
      <c r="N593" s="507"/>
      <c r="O593" s="508"/>
      <c r="P593" s="217"/>
      <c r="Q593" s="217"/>
      <c r="R593" s="217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>
      <c r="A594" s="19"/>
      <c r="B594" s="19"/>
      <c r="C594" s="19"/>
      <c r="D594" s="219"/>
      <c r="E594" s="220"/>
      <c r="F594" s="221"/>
      <c r="G594" s="222"/>
      <c r="H594" s="223"/>
      <c r="I594" s="224"/>
      <c r="J594" s="507"/>
      <c r="K594" s="19"/>
      <c r="L594" s="507"/>
      <c r="M594" s="507"/>
      <c r="N594" s="507"/>
      <c r="O594" s="508"/>
      <c r="P594" s="217"/>
      <c r="Q594" s="217"/>
      <c r="R594" s="217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>
      <c r="A595" s="19"/>
      <c r="B595" s="19"/>
      <c r="C595" s="19"/>
      <c r="D595" s="219"/>
      <c r="E595" s="220"/>
      <c r="F595" s="221"/>
      <c r="G595" s="222"/>
      <c r="H595" s="223"/>
      <c r="I595" s="224"/>
      <c r="J595" s="507"/>
      <c r="K595" s="19"/>
      <c r="L595" s="507"/>
      <c r="M595" s="507"/>
      <c r="N595" s="507"/>
      <c r="O595" s="508"/>
      <c r="P595" s="217"/>
      <c r="Q595" s="217"/>
      <c r="R595" s="217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>
      <c r="A596" s="19"/>
      <c r="B596" s="19"/>
      <c r="C596" s="19"/>
      <c r="D596" s="219"/>
      <c r="E596" s="220"/>
      <c r="F596" s="221"/>
      <c r="G596" s="222"/>
      <c r="H596" s="223"/>
      <c r="I596" s="224"/>
      <c r="J596" s="507"/>
      <c r="K596" s="19"/>
      <c r="L596" s="507"/>
      <c r="M596" s="507"/>
      <c r="N596" s="507"/>
      <c r="O596" s="508"/>
      <c r="P596" s="217"/>
      <c r="Q596" s="217"/>
      <c r="R596" s="217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>
      <c r="A597" s="19"/>
      <c r="B597" s="19"/>
      <c r="C597" s="19"/>
      <c r="D597" s="219"/>
      <c r="E597" s="220"/>
      <c r="F597" s="221"/>
      <c r="G597" s="222"/>
      <c r="H597" s="223"/>
      <c r="I597" s="224"/>
      <c r="J597" s="507"/>
      <c r="K597" s="19"/>
      <c r="L597" s="507"/>
      <c r="M597" s="507"/>
      <c r="N597" s="507"/>
      <c r="O597" s="508"/>
      <c r="P597" s="217"/>
      <c r="Q597" s="217"/>
      <c r="R597" s="217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>
      <c r="A598" s="19"/>
      <c r="B598" s="19"/>
      <c r="C598" s="19"/>
      <c r="D598" s="219"/>
      <c r="E598" s="220"/>
      <c r="F598" s="221"/>
      <c r="G598" s="222"/>
      <c r="H598" s="223"/>
      <c r="I598" s="224"/>
      <c r="J598" s="507"/>
      <c r="K598" s="19"/>
      <c r="L598" s="507"/>
      <c r="M598" s="507"/>
      <c r="N598" s="507"/>
      <c r="O598" s="508"/>
      <c r="P598" s="217"/>
      <c r="Q598" s="217"/>
      <c r="R598" s="217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>
      <c r="A599" s="19"/>
      <c r="B599" s="19"/>
      <c r="C599" s="19"/>
      <c r="D599" s="219"/>
      <c r="E599" s="220"/>
      <c r="F599" s="221"/>
      <c r="G599" s="222"/>
      <c r="H599" s="223"/>
      <c r="I599" s="224"/>
      <c r="J599" s="507"/>
      <c r="K599" s="19"/>
      <c r="L599" s="507"/>
      <c r="M599" s="507"/>
      <c r="N599" s="507"/>
      <c r="O599" s="508"/>
      <c r="P599" s="217"/>
      <c r="Q599" s="217"/>
      <c r="R599" s="217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>
      <c r="A600" s="19"/>
      <c r="B600" s="19"/>
      <c r="C600" s="19"/>
      <c r="D600" s="219"/>
      <c r="E600" s="220"/>
      <c r="F600" s="221"/>
      <c r="G600" s="222"/>
      <c r="H600" s="223"/>
      <c r="I600" s="224"/>
      <c r="J600" s="507"/>
      <c r="K600" s="19"/>
      <c r="L600" s="507"/>
      <c r="M600" s="507"/>
      <c r="N600" s="507"/>
      <c r="O600" s="508"/>
      <c r="P600" s="217"/>
      <c r="Q600" s="217"/>
      <c r="R600" s="217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>
      <c r="A601" s="19"/>
      <c r="B601" s="19"/>
      <c r="C601" s="19"/>
      <c r="D601" s="219"/>
      <c r="E601" s="220"/>
      <c r="F601" s="221"/>
      <c r="G601" s="222"/>
      <c r="H601" s="223"/>
      <c r="I601" s="224"/>
      <c r="J601" s="507"/>
      <c r="K601" s="19"/>
      <c r="L601" s="507"/>
      <c r="M601" s="507"/>
      <c r="N601" s="507"/>
      <c r="O601" s="508"/>
      <c r="P601" s="217"/>
      <c r="Q601" s="217"/>
      <c r="R601" s="217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>
      <c r="A602" s="19"/>
      <c r="B602" s="19"/>
      <c r="C602" s="19"/>
      <c r="D602" s="219"/>
      <c r="E602" s="220"/>
      <c r="F602" s="221"/>
      <c r="G602" s="222"/>
      <c r="H602" s="223"/>
      <c r="I602" s="224"/>
      <c r="J602" s="507"/>
      <c r="K602" s="19"/>
      <c r="L602" s="507"/>
      <c r="M602" s="507"/>
      <c r="N602" s="507"/>
      <c r="O602" s="508"/>
      <c r="P602" s="217"/>
      <c r="Q602" s="217"/>
      <c r="R602" s="217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>
      <c r="A603" s="19"/>
      <c r="B603" s="19"/>
      <c r="C603" s="19"/>
      <c r="D603" s="219"/>
      <c r="E603" s="220"/>
      <c r="F603" s="221"/>
      <c r="G603" s="222"/>
      <c r="H603" s="223"/>
      <c r="I603" s="224"/>
      <c r="J603" s="507"/>
      <c r="K603" s="19"/>
      <c r="L603" s="507"/>
      <c r="M603" s="507"/>
      <c r="N603" s="507"/>
      <c r="O603" s="508"/>
      <c r="P603" s="217"/>
      <c r="Q603" s="217"/>
      <c r="R603" s="217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>
      <c r="A604" s="19"/>
      <c r="B604" s="19"/>
      <c r="C604" s="19"/>
      <c r="D604" s="219"/>
      <c r="E604" s="220"/>
      <c r="F604" s="221"/>
      <c r="G604" s="222"/>
      <c r="H604" s="223"/>
      <c r="I604" s="224"/>
      <c r="J604" s="507"/>
      <c r="K604" s="19"/>
      <c r="L604" s="507"/>
      <c r="M604" s="507"/>
      <c r="N604" s="507"/>
      <c r="O604" s="508"/>
      <c r="P604" s="217"/>
      <c r="Q604" s="217"/>
      <c r="R604" s="217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>
      <c r="A605" s="19"/>
      <c r="B605" s="19"/>
      <c r="C605" s="19"/>
      <c r="D605" s="219"/>
      <c r="E605" s="220"/>
      <c r="F605" s="221"/>
      <c r="G605" s="222"/>
      <c r="H605" s="223"/>
      <c r="I605" s="224"/>
      <c r="J605" s="507"/>
      <c r="K605" s="19"/>
      <c r="L605" s="507"/>
      <c r="M605" s="507"/>
      <c r="N605" s="507"/>
      <c r="O605" s="508"/>
      <c r="P605" s="217"/>
      <c r="Q605" s="217"/>
      <c r="R605" s="217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>
      <c r="A606" s="19"/>
      <c r="B606" s="19"/>
      <c r="C606" s="19"/>
      <c r="D606" s="219"/>
      <c r="E606" s="220"/>
      <c r="F606" s="221"/>
      <c r="G606" s="222"/>
      <c r="H606" s="223"/>
      <c r="I606" s="224"/>
      <c r="J606" s="507"/>
      <c r="K606" s="19"/>
      <c r="L606" s="507"/>
      <c r="M606" s="507"/>
      <c r="N606" s="507"/>
      <c r="O606" s="508"/>
      <c r="P606" s="217"/>
      <c r="Q606" s="217"/>
      <c r="R606" s="217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>
      <c r="A607" s="19"/>
      <c r="B607" s="19"/>
      <c r="C607" s="19"/>
      <c r="D607" s="219"/>
      <c r="E607" s="220"/>
      <c r="F607" s="221"/>
      <c r="G607" s="222"/>
      <c r="H607" s="223"/>
      <c r="I607" s="224"/>
      <c r="J607" s="507"/>
      <c r="K607" s="19"/>
      <c r="L607" s="507"/>
      <c r="M607" s="507"/>
      <c r="N607" s="507"/>
      <c r="O607" s="508"/>
      <c r="P607" s="217"/>
      <c r="Q607" s="217"/>
      <c r="R607" s="217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>
      <c r="A608" s="19"/>
      <c r="B608" s="19"/>
      <c r="C608" s="19"/>
      <c r="D608" s="219"/>
      <c r="E608" s="220"/>
      <c r="F608" s="221"/>
      <c r="G608" s="222"/>
      <c r="H608" s="223"/>
      <c r="I608" s="224"/>
      <c r="J608" s="507"/>
      <c r="K608" s="19"/>
      <c r="L608" s="507"/>
      <c r="M608" s="507"/>
      <c r="N608" s="507"/>
      <c r="O608" s="508"/>
      <c r="P608" s="217"/>
      <c r="Q608" s="217"/>
      <c r="R608" s="217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>
      <c r="A609" s="19"/>
      <c r="B609" s="19"/>
      <c r="C609" s="19"/>
      <c r="D609" s="219"/>
      <c r="E609" s="220"/>
      <c r="F609" s="221"/>
      <c r="G609" s="222"/>
      <c r="H609" s="223"/>
      <c r="I609" s="224"/>
      <c r="J609" s="507"/>
      <c r="K609" s="19"/>
      <c r="L609" s="507"/>
      <c r="M609" s="507"/>
      <c r="N609" s="507"/>
      <c r="O609" s="508"/>
      <c r="P609" s="217"/>
      <c r="Q609" s="217"/>
      <c r="R609" s="217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>
      <c r="A610" s="19"/>
      <c r="B610" s="19"/>
      <c r="C610" s="19"/>
      <c r="D610" s="219"/>
      <c r="E610" s="220"/>
      <c r="F610" s="221"/>
      <c r="G610" s="222"/>
      <c r="H610" s="223"/>
      <c r="I610" s="224"/>
      <c r="J610" s="507"/>
      <c r="K610" s="19"/>
      <c r="L610" s="507"/>
      <c r="M610" s="507"/>
      <c r="N610" s="507"/>
      <c r="O610" s="508"/>
      <c r="P610" s="217"/>
      <c r="Q610" s="217"/>
      <c r="R610" s="217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>
      <c r="A611" s="19"/>
      <c r="B611" s="19"/>
      <c r="C611" s="19"/>
      <c r="D611" s="219"/>
      <c r="E611" s="220"/>
      <c r="F611" s="221"/>
      <c r="G611" s="222"/>
      <c r="H611" s="223"/>
      <c r="I611" s="224"/>
      <c r="J611" s="507"/>
      <c r="K611" s="19"/>
      <c r="L611" s="507"/>
      <c r="M611" s="507"/>
      <c r="N611" s="507"/>
      <c r="O611" s="508"/>
      <c r="P611" s="217"/>
      <c r="Q611" s="217"/>
      <c r="R611" s="217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>
      <c r="A612" s="19"/>
      <c r="B612" s="19"/>
      <c r="C612" s="19"/>
      <c r="D612" s="219"/>
      <c r="E612" s="220"/>
      <c r="F612" s="221"/>
      <c r="G612" s="222"/>
      <c r="H612" s="223"/>
      <c r="I612" s="224"/>
      <c r="J612" s="507"/>
      <c r="K612" s="19"/>
      <c r="L612" s="507"/>
      <c r="M612" s="507"/>
      <c r="N612" s="507"/>
      <c r="O612" s="508"/>
      <c r="P612" s="217"/>
      <c r="Q612" s="217"/>
      <c r="R612" s="217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>
      <c r="A613" s="19"/>
      <c r="B613" s="19"/>
      <c r="C613" s="19"/>
      <c r="D613" s="219"/>
      <c r="E613" s="220"/>
      <c r="F613" s="221"/>
      <c r="G613" s="222"/>
      <c r="H613" s="223"/>
      <c r="I613" s="224"/>
      <c r="J613" s="507"/>
      <c r="K613" s="19"/>
      <c r="L613" s="507"/>
      <c r="M613" s="507"/>
      <c r="N613" s="507"/>
      <c r="O613" s="508"/>
      <c r="P613" s="217"/>
      <c r="Q613" s="217"/>
      <c r="R613" s="217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>
      <c r="A614" s="19"/>
      <c r="B614" s="19"/>
      <c r="C614" s="19"/>
      <c r="D614" s="219"/>
      <c r="E614" s="220"/>
      <c r="F614" s="221"/>
      <c r="G614" s="222"/>
      <c r="H614" s="223"/>
      <c r="I614" s="224"/>
      <c r="J614" s="507"/>
      <c r="K614" s="19"/>
      <c r="L614" s="507"/>
      <c r="M614" s="507"/>
      <c r="N614" s="507"/>
      <c r="O614" s="508"/>
      <c r="P614" s="217"/>
      <c r="Q614" s="217"/>
      <c r="R614" s="217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>
      <c r="A615" s="19"/>
      <c r="B615" s="19"/>
      <c r="C615" s="19"/>
      <c r="D615" s="219"/>
      <c r="E615" s="220"/>
      <c r="F615" s="221"/>
      <c r="G615" s="222"/>
      <c r="H615" s="223"/>
      <c r="I615" s="224"/>
      <c r="J615" s="507"/>
      <c r="K615" s="19"/>
      <c r="L615" s="507"/>
      <c r="M615" s="507"/>
      <c r="N615" s="507"/>
      <c r="O615" s="508"/>
      <c r="P615" s="217"/>
      <c r="Q615" s="217"/>
      <c r="R615" s="217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>
      <c r="A616" s="19"/>
      <c r="B616" s="19"/>
      <c r="C616" s="19"/>
      <c r="D616" s="219"/>
      <c r="E616" s="220"/>
      <c r="F616" s="221"/>
      <c r="G616" s="222"/>
      <c r="H616" s="223"/>
      <c r="I616" s="224"/>
      <c r="J616" s="507"/>
      <c r="K616" s="19"/>
      <c r="L616" s="507"/>
      <c r="M616" s="507"/>
      <c r="N616" s="507"/>
      <c r="O616" s="508"/>
      <c r="P616" s="217"/>
      <c r="Q616" s="217"/>
      <c r="R616" s="217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>
      <c r="A617" s="19"/>
      <c r="B617" s="19"/>
      <c r="C617" s="19"/>
      <c r="D617" s="219"/>
      <c r="E617" s="220"/>
      <c r="F617" s="221"/>
      <c r="G617" s="222"/>
      <c r="H617" s="223"/>
      <c r="I617" s="224"/>
      <c r="J617" s="507"/>
      <c r="K617" s="19"/>
      <c r="L617" s="507"/>
      <c r="M617" s="507"/>
      <c r="N617" s="507"/>
      <c r="O617" s="508"/>
      <c r="P617" s="217"/>
      <c r="Q617" s="217"/>
      <c r="R617" s="217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>
      <c r="A618" s="19"/>
      <c r="B618" s="19"/>
      <c r="C618" s="19"/>
      <c r="D618" s="219"/>
      <c r="E618" s="220"/>
      <c r="F618" s="221"/>
      <c r="G618" s="222"/>
      <c r="H618" s="223"/>
      <c r="I618" s="224"/>
      <c r="J618" s="507"/>
      <c r="K618" s="19"/>
      <c r="L618" s="507"/>
      <c r="M618" s="507"/>
      <c r="N618" s="507"/>
      <c r="O618" s="508"/>
      <c r="P618" s="217"/>
      <c r="Q618" s="217"/>
      <c r="R618" s="217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>
      <c r="A619" s="19"/>
      <c r="B619" s="19"/>
      <c r="C619" s="19"/>
      <c r="D619" s="219"/>
      <c r="E619" s="220"/>
      <c r="F619" s="221"/>
      <c r="G619" s="222"/>
      <c r="H619" s="223"/>
      <c r="I619" s="224"/>
      <c r="J619" s="507"/>
      <c r="K619" s="19"/>
      <c r="L619" s="507"/>
      <c r="M619" s="507"/>
      <c r="N619" s="507"/>
      <c r="O619" s="508"/>
      <c r="P619" s="217"/>
      <c r="Q619" s="217"/>
      <c r="R619" s="217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>
      <c r="A620" s="19"/>
      <c r="B620" s="19"/>
      <c r="C620" s="19"/>
      <c r="D620" s="219"/>
      <c r="E620" s="220"/>
      <c r="F620" s="221"/>
      <c r="G620" s="222"/>
      <c r="H620" s="223"/>
      <c r="I620" s="224"/>
      <c r="J620" s="507"/>
      <c r="K620" s="19"/>
      <c r="L620" s="507"/>
      <c r="M620" s="507"/>
      <c r="N620" s="507"/>
      <c r="O620" s="508"/>
      <c r="P620" s="217"/>
      <c r="Q620" s="217"/>
      <c r="R620" s="217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>
      <c r="A621" s="19"/>
      <c r="B621" s="19"/>
      <c r="C621" s="19"/>
      <c r="D621" s="219"/>
      <c r="E621" s="220"/>
      <c r="F621" s="221"/>
      <c r="G621" s="222"/>
      <c r="H621" s="223"/>
      <c r="I621" s="224"/>
      <c r="J621" s="507"/>
      <c r="K621" s="19"/>
      <c r="L621" s="507"/>
      <c r="M621" s="507"/>
      <c r="N621" s="507"/>
      <c r="O621" s="508"/>
      <c r="P621" s="217"/>
      <c r="Q621" s="217"/>
      <c r="R621" s="217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>
      <c r="A622" s="19"/>
      <c r="B622" s="19"/>
      <c r="C622" s="19"/>
      <c r="D622" s="219"/>
      <c r="E622" s="220"/>
      <c r="F622" s="221"/>
      <c r="G622" s="222"/>
      <c r="H622" s="223"/>
      <c r="I622" s="224"/>
      <c r="J622" s="507"/>
      <c r="K622" s="19"/>
      <c r="L622" s="507"/>
      <c r="M622" s="507"/>
      <c r="N622" s="507"/>
      <c r="O622" s="508"/>
      <c r="P622" s="217"/>
      <c r="Q622" s="217"/>
      <c r="R622" s="217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>
      <c r="A623" s="19"/>
      <c r="B623" s="19"/>
      <c r="C623" s="19"/>
      <c r="D623" s="219"/>
      <c r="E623" s="220"/>
      <c r="F623" s="221"/>
      <c r="G623" s="222"/>
      <c r="H623" s="223"/>
      <c r="I623" s="224"/>
      <c r="J623" s="507"/>
      <c r="K623" s="19"/>
      <c r="L623" s="507"/>
      <c r="M623" s="507"/>
      <c r="N623" s="507"/>
      <c r="O623" s="508"/>
      <c r="P623" s="217"/>
      <c r="Q623" s="217"/>
      <c r="R623" s="217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>
      <c r="A624" s="19"/>
      <c r="B624" s="19"/>
      <c r="C624" s="19"/>
      <c r="D624" s="219"/>
      <c r="E624" s="220"/>
      <c r="F624" s="221"/>
      <c r="G624" s="222"/>
      <c r="H624" s="223"/>
      <c r="I624" s="224"/>
      <c r="J624" s="507"/>
      <c r="K624" s="19"/>
      <c r="L624" s="507"/>
      <c r="M624" s="507"/>
      <c r="N624" s="507"/>
      <c r="O624" s="508"/>
      <c r="P624" s="217"/>
      <c r="Q624" s="217"/>
      <c r="R624" s="217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>
      <c r="A625" s="19"/>
      <c r="B625" s="19"/>
      <c r="C625" s="19"/>
      <c r="D625" s="219"/>
      <c r="E625" s="220"/>
      <c r="F625" s="221"/>
      <c r="G625" s="222"/>
      <c r="H625" s="223"/>
      <c r="I625" s="224"/>
      <c r="J625" s="507"/>
      <c r="K625" s="19"/>
      <c r="L625" s="507"/>
      <c r="M625" s="507"/>
      <c r="N625" s="507"/>
      <c r="O625" s="508"/>
      <c r="P625" s="217"/>
      <c r="Q625" s="217"/>
      <c r="R625" s="217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>
      <c r="A626" s="19"/>
      <c r="B626" s="19"/>
      <c r="C626" s="19"/>
      <c r="D626" s="219"/>
      <c r="E626" s="220"/>
      <c r="F626" s="221"/>
      <c r="G626" s="222"/>
      <c r="H626" s="223"/>
      <c r="I626" s="224"/>
      <c r="J626" s="507"/>
      <c r="K626" s="19"/>
      <c r="L626" s="507"/>
      <c r="M626" s="507"/>
      <c r="N626" s="507"/>
      <c r="O626" s="508"/>
      <c r="P626" s="217"/>
      <c r="Q626" s="217"/>
      <c r="R626" s="217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>
      <c r="A627" s="19"/>
      <c r="B627" s="19"/>
      <c r="C627" s="19"/>
      <c r="D627" s="219"/>
      <c r="E627" s="220"/>
      <c r="F627" s="221"/>
      <c r="G627" s="222"/>
      <c r="H627" s="223"/>
      <c r="I627" s="224"/>
      <c r="J627" s="507"/>
      <c r="K627" s="19"/>
      <c r="L627" s="507"/>
      <c r="M627" s="507"/>
      <c r="N627" s="507"/>
      <c r="O627" s="508"/>
      <c r="P627" s="217"/>
      <c r="Q627" s="217"/>
      <c r="R627" s="217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>
      <c r="A628" s="19"/>
      <c r="B628" s="19"/>
      <c r="C628" s="19"/>
      <c r="D628" s="219"/>
      <c r="E628" s="220"/>
      <c r="F628" s="221"/>
      <c r="G628" s="222"/>
      <c r="H628" s="223"/>
      <c r="I628" s="224"/>
      <c r="J628" s="507"/>
      <c r="K628" s="19"/>
      <c r="L628" s="507"/>
      <c r="M628" s="507"/>
      <c r="N628" s="507"/>
      <c r="O628" s="508"/>
      <c r="P628" s="217"/>
      <c r="Q628" s="217"/>
      <c r="R628" s="217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>
      <c r="A629" s="19"/>
      <c r="B629" s="19"/>
      <c r="C629" s="19"/>
      <c r="D629" s="219"/>
      <c r="E629" s="220"/>
      <c r="F629" s="221"/>
      <c r="G629" s="222"/>
      <c r="H629" s="223"/>
      <c r="I629" s="224"/>
      <c r="J629" s="507"/>
      <c r="K629" s="19"/>
      <c r="L629" s="507"/>
      <c r="M629" s="507"/>
      <c r="N629" s="507"/>
      <c r="O629" s="508"/>
      <c r="P629" s="217"/>
      <c r="Q629" s="217"/>
      <c r="R629" s="217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>
      <c r="A630" s="19"/>
      <c r="B630" s="19"/>
      <c r="C630" s="19"/>
      <c r="D630" s="219"/>
      <c r="E630" s="220"/>
      <c r="F630" s="221"/>
      <c r="G630" s="222"/>
      <c r="H630" s="223"/>
      <c r="I630" s="224"/>
      <c r="J630" s="507"/>
      <c r="K630" s="19"/>
      <c r="L630" s="507"/>
      <c r="M630" s="507"/>
      <c r="N630" s="507"/>
      <c r="O630" s="508"/>
      <c r="P630" s="217"/>
      <c r="Q630" s="217"/>
      <c r="R630" s="217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>
      <c r="A631" s="19"/>
      <c r="B631" s="19"/>
      <c r="C631" s="19"/>
      <c r="D631" s="219"/>
      <c r="E631" s="220"/>
      <c r="F631" s="221"/>
      <c r="G631" s="222"/>
      <c r="H631" s="223"/>
      <c r="I631" s="224"/>
      <c r="J631" s="507"/>
      <c r="K631" s="19"/>
      <c r="L631" s="507"/>
      <c r="M631" s="507"/>
      <c r="N631" s="507"/>
      <c r="O631" s="508"/>
      <c r="P631" s="217"/>
      <c r="Q631" s="217"/>
      <c r="R631" s="217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>
      <c r="A632" s="19"/>
      <c r="B632" s="19"/>
      <c r="C632" s="19"/>
      <c r="D632" s="219"/>
      <c r="E632" s="220"/>
      <c r="F632" s="221"/>
      <c r="G632" s="222"/>
      <c r="H632" s="223"/>
      <c r="I632" s="224"/>
      <c r="J632" s="507"/>
      <c r="K632" s="19"/>
      <c r="L632" s="507"/>
      <c r="M632" s="507"/>
      <c r="N632" s="507"/>
      <c r="O632" s="508"/>
      <c r="P632" s="217"/>
      <c r="Q632" s="217"/>
      <c r="R632" s="217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>
      <c r="A633" s="19"/>
      <c r="B633" s="19"/>
      <c r="C633" s="19"/>
      <c r="D633" s="219"/>
      <c r="E633" s="220"/>
      <c r="F633" s="221"/>
      <c r="G633" s="222"/>
      <c r="H633" s="223"/>
      <c r="I633" s="224"/>
      <c r="J633" s="507"/>
      <c r="K633" s="19"/>
      <c r="L633" s="507"/>
      <c r="M633" s="507"/>
      <c r="N633" s="507"/>
      <c r="O633" s="508"/>
      <c r="P633" s="217"/>
      <c r="Q633" s="217"/>
      <c r="R633" s="217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>
      <c r="A634" s="19"/>
      <c r="B634" s="19"/>
      <c r="C634" s="19"/>
      <c r="D634" s="219"/>
      <c r="E634" s="220"/>
      <c r="F634" s="221"/>
      <c r="G634" s="222"/>
      <c r="H634" s="223"/>
      <c r="I634" s="224"/>
      <c r="J634" s="507"/>
      <c r="K634" s="19"/>
      <c r="L634" s="507"/>
      <c r="M634" s="507"/>
      <c r="N634" s="507"/>
      <c r="O634" s="508"/>
      <c r="P634" s="217"/>
      <c r="Q634" s="217"/>
      <c r="R634" s="217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>
      <c r="A635" s="19"/>
      <c r="B635" s="19"/>
      <c r="C635" s="19"/>
      <c r="D635" s="219"/>
      <c r="E635" s="220"/>
      <c r="F635" s="221"/>
      <c r="G635" s="222"/>
      <c r="H635" s="223"/>
      <c r="I635" s="224"/>
      <c r="J635" s="507"/>
      <c r="K635" s="19"/>
      <c r="L635" s="507"/>
      <c r="M635" s="507"/>
      <c r="N635" s="507"/>
      <c r="O635" s="508"/>
      <c r="P635" s="217"/>
      <c r="Q635" s="217"/>
      <c r="R635" s="217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>
      <c r="A636" s="19"/>
      <c r="B636" s="19"/>
      <c r="C636" s="19"/>
      <c r="D636" s="219"/>
      <c r="E636" s="220"/>
      <c r="F636" s="221"/>
      <c r="G636" s="222"/>
      <c r="H636" s="223"/>
      <c r="I636" s="224"/>
      <c r="J636" s="507"/>
      <c r="K636" s="19"/>
      <c r="L636" s="507"/>
      <c r="M636" s="507"/>
      <c r="N636" s="507"/>
      <c r="O636" s="508"/>
      <c r="P636" s="217"/>
      <c r="Q636" s="217"/>
      <c r="R636" s="217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>
      <c r="A637" s="19"/>
      <c r="B637" s="19"/>
      <c r="C637" s="19"/>
      <c r="D637" s="219"/>
      <c r="E637" s="220"/>
      <c r="F637" s="221"/>
      <c r="G637" s="222"/>
      <c r="H637" s="223"/>
      <c r="I637" s="224"/>
      <c r="J637" s="507"/>
      <c r="K637" s="19"/>
      <c r="L637" s="507"/>
      <c r="M637" s="507"/>
      <c r="N637" s="507"/>
      <c r="O637" s="508"/>
      <c r="P637" s="217"/>
      <c r="Q637" s="217"/>
      <c r="R637" s="217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>
      <c r="A638" s="19"/>
      <c r="B638" s="19"/>
      <c r="C638" s="19"/>
      <c r="D638" s="219"/>
      <c r="E638" s="220"/>
      <c r="F638" s="221"/>
      <c r="G638" s="222"/>
      <c r="H638" s="223"/>
      <c r="I638" s="224"/>
      <c r="J638" s="507"/>
      <c r="K638" s="19"/>
      <c r="L638" s="507"/>
      <c r="M638" s="507"/>
      <c r="N638" s="507"/>
      <c r="O638" s="508"/>
      <c r="P638" s="217"/>
      <c r="Q638" s="217"/>
      <c r="R638" s="217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>
      <c r="A639" s="19"/>
      <c r="B639" s="19"/>
      <c r="C639" s="19"/>
      <c r="D639" s="219"/>
      <c r="E639" s="220"/>
      <c r="F639" s="221"/>
      <c r="G639" s="222"/>
      <c r="H639" s="223"/>
      <c r="I639" s="224"/>
      <c r="J639" s="507"/>
      <c r="K639" s="19"/>
      <c r="L639" s="507"/>
      <c r="M639" s="507"/>
      <c r="N639" s="507"/>
      <c r="O639" s="508"/>
      <c r="P639" s="217"/>
      <c r="Q639" s="217"/>
      <c r="R639" s="217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>
      <c r="A640" s="19"/>
      <c r="B640" s="19"/>
      <c r="C640" s="19"/>
      <c r="D640" s="219"/>
      <c r="E640" s="220"/>
      <c r="F640" s="221"/>
      <c r="G640" s="222"/>
      <c r="H640" s="223"/>
      <c r="I640" s="224"/>
      <c r="J640" s="507"/>
      <c r="K640" s="19"/>
      <c r="L640" s="507"/>
      <c r="M640" s="507"/>
      <c r="N640" s="507"/>
      <c r="O640" s="508"/>
      <c r="P640" s="217"/>
      <c r="Q640" s="217"/>
      <c r="R640" s="217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>
      <c r="A641" s="19"/>
      <c r="B641" s="19"/>
      <c r="C641" s="19"/>
      <c r="D641" s="219"/>
      <c r="E641" s="220"/>
      <c r="F641" s="221"/>
      <c r="G641" s="222"/>
      <c r="H641" s="223"/>
      <c r="I641" s="224"/>
      <c r="J641" s="507"/>
      <c r="K641" s="19"/>
      <c r="L641" s="507"/>
      <c r="M641" s="507"/>
      <c r="N641" s="507"/>
      <c r="O641" s="508"/>
      <c r="P641" s="217"/>
      <c r="Q641" s="217"/>
      <c r="R641" s="217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>
      <c r="A642" s="19"/>
      <c r="B642" s="19"/>
      <c r="C642" s="19"/>
      <c r="D642" s="219"/>
      <c r="E642" s="220"/>
      <c r="F642" s="221"/>
      <c r="G642" s="222"/>
      <c r="H642" s="223"/>
      <c r="I642" s="224"/>
      <c r="J642" s="507"/>
      <c r="K642" s="19"/>
      <c r="L642" s="507"/>
      <c r="M642" s="507"/>
      <c r="N642" s="507"/>
      <c r="O642" s="508"/>
      <c r="P642" s="217"/>
      <c r="Q642" s="217"/>
      <c r="R642" s="217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>
      <c r="A643" s="19"/>
      <c r="B643" s="19"/>
      <c r="C643" s="19"/>
      <c r="D643" s="219"/>
      <c r="E643" s="220"/>
      <c r="F643" s="221"/>
      <c r="G643" s="222"/>
      <c r="H643" s="223"/>
      <c r="I643" s="224"/>
      <c r="J643" s="507"/>
      <c r="K643" s="19"/>
      <c r="L643" s="507"/>
      <c r="M643" s="507"/>
      <c r="N643" s="507"/>
      <c r="O643" s="508"/>
      <c r="P643" s="217"/>
      <c r="Q643" s="217"/>
      <c r="R643" s="217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>
      <c r="A644" s="19"/>
      <c r="B644" s="19"/>
      <c r="C644" s="19"/>
      <c r="D644" s="219"/>
      <c r="E644" s="220"/>
      <c r="F644" s="221"/>
      <c r="G644" s="222"/>
      <c r="H644" s="223"/>
      <c r="I644" s="224"/>
      <c r="J644" s="507"/>
      <c r="K644" s="19"/>
      <c r="L644" s="507"/>
      <c r="M644" s="507"/>
      <c r="N644" s="507"/>
      <c r="O644" s="508"/>
      <c r="P644" s="217"/>
      <c r="Q644" s="217"/>
      <c r="R644" s="217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>
      <c r="A645" s="19"/>
      <c r="B645" s="19"/>
      <c r="C645" s="19"/>
      <c r="D645" s="219"/>
      <c r="E645" s="220"/>
      <c r="F645" s="221"/>
      <c r="G645" s="222"/>
      <c r="H645" s="223"/>
      <c r="I645" s="224"/>
      <c r="J645" s="507"/>
      <c r="K645" s="19"/>
      <c r="L645" s="507"/>
      <c r="M645" s="507"/>
      <c r="N645" s="507"/>
      <c r="O645" s="508"/>
      <c r="P645" s="217"/>
      <c r="Q645" s="217"/>
      <c r="R645" s="217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>
      <c r="A646" s="19"/>
      <c r="B646" s="19"/>
      <c r="C646" s="19"/>
      <c r="D646" s="219"/>
      <c r="E646" s="220"/>
      <c r="F646" s="221"/>
      <c r="G646" s="222"/>
      <c r="H646" s="223"/>
      <c r="I646" s="224"/>
      <c r="J646" s="507"/>
      <c r="K646" s="19"/>
      <c r="L646" s="507"/>
      <c r="M646" s="507"/>
      <c r="N646" s="507"/>
      <c r="O646" s="508"/>
      <c r="P646" s="217"/>
      <c r="Q646" s="217"/>
      <c r="R646" s="217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>
      <c r="A647" s="19"/>
      <c r="B647" s="19"/>
      <c r="C647" s="19"/>
      <c r="D647" s="219"/>
      <c r="E647" s="220"/>
      <c r="F647" s="221"/>
      <c r="G647" s="222"/>
      <c r="H647" s="223"/>
      <c r="I647" s="224"/>
      <c r="J647" s="507"/>
      <c r="K647" s="19"/>
      <c r="L647" s="507"/>
      <c r="M647" s="507"/>
      <c r="N647" s="507"/>
      <c r="O647" s="508"/>
      <c r="P647" s="217"/>
      <c r="Q647" s="217"/>
      <c r="R647" s="217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>
      <c r="A648" s="19"/>
      <c r="B648" s="19"/>
      <c r="C648" s="19"/>
      <c r="D648" s="219"/>
      <c r="E648" s="220"/>
      <c r="F648" s="221"/>
      <c r="G648" s="222"/>
      <c r="H648" s="223"/>
      <c r="I648" s="224"/>
      <c r="J648" s="507"/>
      <c r="K648" s="19"/>
      <c r="L648" s="507"/>
      <c r="M648" s="507"/>
      <c r="N648" s="507"/>
      <c r="O648" s="508"/>
      <c r="P648" s="217"/>
      <c r="Q648" s="217"/>
      <c r="R648" s="217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>
      <c r="A649" s="19"/>
      <c r="B649" s="19"/>
      <c r="C649" s="19"/>
      <c r="D649" s="219"/>
      <c r="E649" s="220"/>
      <c r="F649" s="221"/>
      <c r="G649" s="222"/>
      <c r="H649" s="223"/>
      <c r="I649" s="224"/>
      <c r="J649" s="507"/>
      <c r="K649" s="19"/>
      <c r="L649" s="507"/>
      <c r="M649" s="507"/>
      <c r="N649" s="507"/>
      <c r="O649" s="508"/>
      <c r="P649" s="217"/>
      <c r="Q649" s="217"/>
      <c r="R649" s="217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>
      <c r="A650" s="19"/>
      <c r="B650" s="19"/>
      <c r="C650" s="19"/>
      <c r="D650" s="219"/>
      <c r="E650" s="220"/>
      <c r="F650" s="221"/>
      <c r="G650" s="222"/>
      <c r="H650" s="223"/>
      <c r="I650" s="224"/>
      <c r="J650" s="507"/>
      <c r="K650" s="19"/>
      <c r="L650" s="507"/>
      <c r="M650" s="507"/>
      <c r="N650" s="507"/>
      <c r="O650" s="508"/>
      <c r="P650" s="217"/>
      <c r="Q650" s="217"/>
      <c r="R650" s="217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>
      <c r="A651" s="19"/>
      <c r="B651" s="19"/>
      <c r="C651" s="19"/>
      <c r="D651" s="219"/>
      <c r="E651" s="220"/>
      <c r="F651" s="221"/>
      <c r="G651" s="222"/>
      <c r="H651" s="223"/>
      <c r="I651" s="224"/>
      <c r="J651" s="507"/>
      <c r="K651" s="19"/>
      <c r="L651" s="507"/>
      <c r="M651" s="507"/>
      <c r="N651" s="507"/>
      <c r="O651" s="508"/>
      <c r="P651" s="217"/>
      <c r="Q651" s="217"/>
      <c r="R651" s="217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>
      <c r="A652" s="19"/>
      <c r="B652" s="19"/>
      <c r="C652" s="19"/>
      <c r="D652" s="219"/>
      <c r="E652" s="220"/>
      <c r="F652" s="221"/>
      <c r="G652" s="222"/>
      <c r="H652" s="223"/>
      <c r="I652" s="224"/>
      <c r="J652" s="507"/>
      <c r="K652" s="19"/>
      <c r="L652" s="507"/>
      <c r="M652" s="507"/>
      <c r="N652" s="507"/>
      <c r="O652" s="508"/>
      <c r="P652" s="217"/>
      <c r="Q652" s="217"/>
      <c r="R652" s="217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>
      <c r="A653" s="19"/>
      <c r="B653" s="19"/>
      <c r="C653" s="19"/>
      <c r="D653" s="219"/>
      <c r="E653" s="220"/>
      <c r="F653" s="221"/>
      <c r="G653" s="222"/>
      <c r="H653" s="223"/>
      <c r="I653" s="224"/>
      <c r="J653" s="507"/>
      <c r="K653" s="19"/>
      <c r="L653" s="507"/>
      <c r="M653" s="507"/>
      <c r="N653" s="507"/>
      <c r="O653" s="508"/>
      <c r="P653" s="217"/>
      <c r="Q653" s="217"/>
      <c r="R653" s="217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>
      <c r="A654" s="19"/>
      <c r="B654" s="19"/>
      <c r="C654" s="19"/>
      <c r="D654" s="219"/>
      <c r="E654" s="220"/>
      <c r="F654" s="221"/>
      <c r="G654" s="222"/>
      <c r="H654" s="223"/>
      <c r="I654" s="224"/>
      <c r="J654" s="507"/>
      <c r="K654" s="19"/>
      <c r="L654" s="507"/>
      <c r="M654" s="507"/>
      <c r="N654" s="507"/>
      <c r="O654" s="508"/>
      <c r="P654" s="217"/>
      <c r="Q654" s="217"/>
      <c r="R654" s="217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>
      <c r="A655" s="19"/>
      <c r="B655" s="19"/>
      <c r="C655" s="19"/>
      <c r="D655" s="219"/>
      <c r="E655" s="220"/>
      <c r="F655" s="221"/>
      <c r="G655" s="222"/>
      <c r="H655" s="223"/>
      <c r="I655" s="224"/>
      <c r="J655" s="507"/>
      <c r="K655" s="19"/>
      <c r="L655" s="507"/>
      <c r="M655" s="507"/>
      <c r="N655" s="507"/>
      <c r="O655" s="508"/>
      <c r="P655" s="217"/>
      <c r="Q655" s="217"/>
      <c r="R655" s="217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>
      <c r="A656" s="19"/>
      <c r="B656" s="19"/>
      <c r="C656" s="19"/>
      <c r="D656" s="219"/>
      <c r="E656" s="220"/>
      <c r="F656" s="221"/>
      <c r="G656" s="222"/>
      <c r="H656" s="223"/>
      <c r="I656" s="224"/>
      <c r="J656" s="507"/>
      <c r="K656" s="19"/>
      <c r="L656" s="507"/>
      <c r="M656" s="507"/>
      <c r="N656" s="507"/>
      <c r="O656" s="508"/>
      <c r="P656" s="217"/>
      <c r="Q656" s="217"/>
      <c r="R656" s="217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>
      <c r="A657" s="19"/>
      <c r="B657" s="19"/>
      <c r="C657" s="19"/>
      <c r="D657" s="219"/>
      <c r="E657" s="220"/>
      <c r="F657" s="221"/>
      <c r="G657" s="222"/>
      <c r="H657" s="223"/>
      <c r="I657" s="224"/>
      <c r="J657" s="507"/>
      <c r="K657" s="19"/>
      <c r="L657" s="507"/>
      <c r="M657" s="507"/>
      <c r="N657" s="507"/>
      <c r="O657" s="508"/>
      <c r="P657" s="217"/>
      <c r="Q657" s="217"/>
      <c r="R657" s="217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>
      <c r="A658" s="19"/>
      <c r="B658" s="19"/>
      <c r="C658" s="19"/>
      <c r="D658" s="219"/>
      <c r="E658" s="220"/>
      <c r="F658" s="221"/>
      <c r="G658" s="222"/>
      <c r="H658" s="223"/>
      <c r="I658" s="224"/>
      <c r="J658" s="507"/>
      <c r="K658" s="19"/>
      <c r="L658" s="507"/>
      <c r="M658" s="507"/>
      <c r="N658" s="507"/>
      <c r="O658" s="508"/>
      <c r="P658" s="217"/>
      <c r="Q658" s="217"/>
      <c r="R658" s="217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>
      <c r="A659" s="19"/>
      <c r="B659" s="19"/>
      <c r="C659" s="19"/>
      <c r="D659" s="219"/>
      <c r="E659" s="220"/>
      <c r="F659" s="221"/>
      <c r="G659" s="222"/>
      <c r="H659" s="223"/>
      <c r="I659" s="224"/>
      <c r="J659" s="507"/>
      <c r="K659" s="19"/>
      <c r="L659" s="507"/>
      <c r="M659" s="507"/>
      <c r="N659" s="507"/>
      <c r="O659" s="508"/>
      <c r="P659" s="217"/>
      <c r="Q659" s="217"/>
      <c r="R659" s="217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>
      <c r="A660" s="19"/>
      <c r="B660" s="19"/>
      <c r="C660" s="19"/>
      <c r="D660" s="219"/>
      <c r="E660" s="220"/>
      <c r="F660" s="221"/>
      <c r="G660" s="222"/>
      <c r="H660" s="223"/>
      <c r="I660" s="224"/>
      <c r="J660" s="507"/>
      <c r="K660" s="19"/>
      <c r="L660" s="507"/>
      <c r="M660" s="507"/>
      <c r="N660" s="507"/>
      <c r="O660" s="508"/>
      <c r="P660" s="217"/>
      <c r="Q660" s="217"/>
      <c r="R660" s="217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>
      <c r="A661" s="19"/>
      <c r="B661" s="19"/>
      <c r="C661" s="19"/>
      <c r="D661" s="219"/>
      <c r="E661" s="220"/>
      <c r="F661" s="221"/>
      <c r="G661" s="222"/>
      <c r="H661" s="223"/>
      <c r="I661" s="224"/>
      <c r="J661" s="507"/>
      <c r="K661" s="19"/>
      <c r="L661" s="507"/>
      <c r="M661" s="507"/>
      <c r="N661" s="507"/>
      <c r="O661" s="508"/>
      <c r="P661" s="217"/>
      <c r="Q661" s="217"/>
      <c r="R661" s="217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>
      <c r="A662" s="19"/>
      <c r="B662" s="19"/>
      <c r="C662" s="19"/>
      <c r="D662" s="219"/>
      <c r="E662" s="220"/>
      <c r="F662" s="221"/>
      <c r="G662" s="222"/>
      <c r="H662" s="223"/>
      <c r="I662" s="224"/>
      <c r="J662" s="507"/>
      <c r="K662" s="19"/>
      <c r="L662" s="507"/>
      <c r="M662" s="507"/>
      <c r="N662" s="507"/>
      <c r="O662" s="508"/>
      <c r="P662" s="217"/>
      <c r="Q662" s="217"/>
      <c r="R662" s="217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>
      <c r="A663" s="19"/>
      <c r="B663" s="19"/>
      <c r="C663" s="19"/>
      <c r="D663" s="219"/>
      <c r="E663" s="220"/>
      <c r="F663" s="221"/>
      <c r="G663" s="222"/>
      <c r="H663" s="223"/>
      <c r="I663" s="224"/>
      <c r="J663" s="507"/>
      <c r="K663" s="19"/>
      <c r="L663" s="507"/>
      <c r="M663" s="507"/>
      <c r="N663" s="507"/>
      <c r="O663" s="508"/>
      <c r="P663" s="217"/>
      <c r="Q663" s="217"/>
      <c r="R663" s="217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>
      <c r="A664" s="19"/>
      <c r="B664" s="19"/>
      <c r="C664" s="19"/>
      <c r="D664" s="219"/>
      <c r="E664" s="220"/>
      <c r="F664" s="221"/>
      <c r="G664" s="222"/>
      <c r="H664" s="223"/>
      <c r="I664" s="224"/>
      <c r="J664" s="507"/>
      <c r="K664" s="19"/>
      <c r="L664" s="507"/>
      <c r="M664" s="507"/>
      <c r="N664" s="507"/>
      <c r="O664" s="508"/>
      <c r="P664" s="217"/>
      <c r="Q664" s="217"/>
      <c r="R664" s="217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>
      <c r="A665" s="19"/>
      <c r="B665" s="19"/>
      <c r="C665" s="19"/>
      <c r="D665" s="219"/>
      <c r="E665" s="220"/>
      <c r="F665" s="221"/>
      <c r="G665" s="222"/>
      <c r="H665" s="223"/>
      <c r="I665" s="224"/>
      <c r="J665" s="507"/>
      <c r="K665" s="19"/>
      <c r="L665" s="507"/>
      <c r="M665" s="507"/>
      <c r="N665" s="507"/>
      <c r="O665" s="508"/>
      <c r="P665" s="217"/>
      <c r="Q665" s="217"/>
      <c r="R665" s="217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>
      <c r="A666" s="19"/>
      <c r="B666" s="19"/>
      <c r="C666" s="19"/>
      <c r="D666" s="219"/>
      <c r="E666" s="220"/>
      <c r="F666" s="221"/>
      <c r="G666" s="222"/>
      <c r="H666" s="223"/>
      <c r="I666" s="224"/>
      <c r="J666" s="507"/>
      <c r="K666" s="19"/>
      <c r="L666" s="507"/>
      <c r="M666" s="507"/>
      <c r="N666" s="507"/>
      <c r="O666" s="508"/>
      <c r="P666" s="217"/>
      <c r="Q666" s="217"/>
      <c r="R666" s="217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>
      <c r="A667" s="19"/>
      <c r="B667" s="19"/>
      <c r="C667" s="19"/>
      <c r="D667" s="219"/>
      <c r="E667" s="220"/>
      <c r="F667" s="221"/>
      <c r="G667" s="222"/>
      <c r="H667" s="223"/>
      <c r="I667" s="224"/>
      <c r="J667" s="507"/>
      <c r="K667" s="19"/>
      <c r="L667" s="507"/>
      <c r="M667" s="507"/>
      <c r="N667" s="507"/>
      <c r="O667" s="508"/>
      <c r="P667" s="217"/>
      <c r="Q667" s="217"/>
      <c r="R667" s="217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>
      <c r="A668" s="19"/>
      <c r="B668" s="19"/>
      <c r="C668" s="19"/>
      <c r="D668" s="219"/>
      <c r="E668" s="220"/>
      <c r="F668" s="221"/>
      <c r="G668" s="222"/>
      <c r="H668" s="223"/>
      <c r="I668" s="224"/>
      <c r="J668" s="507"/>
      <c r="K668" s="19"/>
      <c r="L668" s="507"/>
      <c r="M668" s="507"/>
      <c r="N668" s="507"/>
      <c r="O668" s="508"/>
      <c r="P668" s="217"/>
      <c r="Q668" s="217"/>
      <c r="R668" s="217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>
      <c r="A669" s="19"/>
      <c r="B669" s="19"/>
      <c r="C669" s="19"/>
      <c r="D669" s="219"/>
      <c r="E669" s="220"/>
      <c r="F669" s="221"/>
      <c r="G669" s="222"/>
      <c r="H669" s="223"/>
      <c r="I669" s="224"/>
      <c r="J669" s="507"/>
      <c r="K669" s="19"/>
      <c r="L669" s="507"/>
      <c r="M669" s="507"/>
      <c r="N669" s="507"/>
      <c r="O669" s="508"/>
      <c r="P669" s="217"/>
      <c r="Q669" s="217"/>
      <c r="R669" s="217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>
      <c r="A670" s="19"/>
      <c r="B670" s="19"/>
      <c r="C670" s="19"/>
      <c r="D670" s="219"/>
      <c r="E670" s="220"/>
      <c r="F670" s="221"/>
      <c r="G670" s="222"/>
      <c r="H670" s="223"/>
      <c r="I670" s="224"/>
      <c r="J670" s="507"/>
      <c r="K670" s="19"/>
      <c r="L670" s="507"/>
      <c r="M670" s="507"/>
      <c r="N670" s="507"/>
      <c r="O670" s="508"/>
      <c r="P670" s="217"/>
      <c r="Q670" s="217"/>
      <c r="R670" s="217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>
      <c r="A671" s="19"/>
      <c r="B671" s="19"/>
      <c r="C671" s="19"/>
      <c r="D671" s="219"/>
      <c r="E671" s="220"/>
      <c r="F671" s="221"/>
      <c r="G671" s="222"/>
      <c r="H671" s="223"/>
      <c r="I671" s="224"/>
      <c r="J671" s="507"/>
      <c r="K671" s="19"/>
      <c r="L671" s="507"/>
      <c r="M671" s="507"/>
      <c r="N671" s="507"/>
      <c r="O671" s="508"/>
      <c r="P671" s="217"/>
      <c r="Q671" s="217"/>
      <c r="R671" s="217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>
      <c r="A672" s="19"/>
      <c r="B672" s="19"/>
      <c r="C672" s="19"/>
      <c r="D672" s="219"/>
      <c r="E672" s="220"/>
      <c r="F672" s="221"/>
      <c r="G672" s="222"/>
      <c r="H672" s="223"/>
      <c r="I672" s="224"/>
      <c r="J672" s="507"/>
      <c r="K672" s="19"/>
      <c r="L672" s="507"/>
      <c r="M672" s="507"/>
      <c r="N672" s="507"/>
      <c r="O672" s="508"/>
      <c r="P672" s="217"/>
      <c r="Q672" s="217"/>
      <c r="R672" s="217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>
      <c r="A673" s="19"/>
      <c r="B673" s="19"/>
      <c r="C673" s="19"/>
      <c r="D673" s="219"/>
      <c r="E673" s="220"/>
      <c r="F673" s="221"/>
      <c r="G673" s="222"/>
      <c r="H673" s="223"/>
      <c r="I673" s="224"/>
      <c r="J673" s="507"/>
      <c r="K673" s="19"/>
      <c r="L673" s="507"/>
      <c r="M673" s="507"/>
      <c r="N673" s="507"/>
      <c r="O673" s="508"/>
      <c r="P673" s="217"/>
      <c r="Q673" s="217"/>
      <c r="R673" s="217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>
      <c r="A674" s="19"/>
      <c r="B674" s="19"/>
      <c r="C674" s="19"/>
      <c r="D674" s="219"/>
      <c r="E674" s="220"/>
      <c r="F674" s="221"/>
      <c r="G674" s="222"/>
      <c r="H674" s="223"/>
      <c r="I674" s="224"/>
      <c r="J674" s="507"/>
      <c r="K674" s="19"/>
      <c r="L674" s="507"/>
      <c r="M674" s="507"/>
      <c r="N674" s="507"/>
      <c r="O674" s="508"/>
      <c r="P674" s="217"/>
      <c r="Q674" s="217"/>
      <c r="R674" s="217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>
      <c r="A675" s="19"/>
      <c r="B675" s="19"/>
      <c r="C675" s="19"/>
      <c r="D675" s="219"/>
      <c r="E675" s="220"/>
      <c r="F675" s="221"/>
      <c r="G675" s="222"/>
      <c r="H675" s="223"/>
      <c r="I675" s="224"/>
      <c r="J675" s="507"/>
      <c r="K675" s="19"/>
      <c r="L675" s="507"/>
      <c r="M675" s="507"/>
      <c r="N675" s="507"/>
      <c r="O675" s="508"/>
      <c r="P675" s="217"/>
      <c r="Q675" s="217"/>
      <c r="R675" s="217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>
      <c r="A676" s="19"/>
      <c r="B676" s="19"/>
      <c r="C676" s="19"/>
      <c r="D676" s="219"/>
      <c r="E676" s="220"/>
      <c r="F676" s="221"/>
      <c r="G676" s="222"/>
      <c r="H676" s="223"/>
      <c r="I676" s="224"/>
      <c r="J676" s="507"/>
      <c r="K676" s="19"/>
      <c r="L676" s="507"/>
      <c r="M676" s="507"/>
      <c r="N676" s="507"/>
      <c r="O676" s="508"/>
      <c r="P676" s="217"/>
      <c r="Q676" s="217"/>
      <c r="R676" s="217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>
      <c r="A677" s="19"/>
      <c r="B677" s="19"/>
      <c r="C677" s="19"/>
      <c r="D677" s="219"/>
      <c r="E677" s="220"/>
      <c r="F677" s="221"/>
      <c r="G677" s="222"/>
      <c r="H677" s="223"/>
      <c r="I677" s="224"/>
      <c r="J677" s="507"/>
      <c r="K677" s="19"/>
      <c r="L677" s="507"/>
      <c r="M677" s="507"/>
      <c r="N677" s="507"/>
      <c r="O677" s="508"/>
      <c r="P677" s="217"/>
      <c r="Q677" s="217"/>
      <c r="R677" s="217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>
      <c r="A678" s="19"/>
      <c r="B678" s="19"/>
      <c r="C678" s="19"/>
      <c r="D678" s="219"/>
      <c r="E678" s="220"/>
      <c r="F678" s="221"/>
      <c r="G678" s="222"/>
      <c r="H678" s="223"/>
      <c r="I678" s="224"/>
      <c r="J678" s="507"/>
      <c r="K678" s="19"/>
      <c r="L678" s="507"/>
      <c r="M678" s="507"/>
      <c r="N678" s="507"/>
      <c r="O678" s="508"/>
      <c r="P678" s="217"/>
      <c r="Q678" s="217"/>
      <c r="R678" s="217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>
      <c r="A679" s="19"/>
      <c r="B679" s="19"/>
      <c r="C679" s="19"/>
      <c r="D679" s="219"/>
      <c r="E679" s="220"/>
      <c r="F679" s="221"/>
      <c r="G679" s="222"/>
      <c r="H679" s="223"/>
      <c r="I679" s="224"/>
      <c r="J679" s="507"/>
      <c r="K679" s="19"/>
      <c r="L679" s="507"/>
      <c r="M679" s="507"/>
      <c r="N679" s="507"/>
      <c r="O679" s="508"/>
      <c r="P679" s="217"/>
      <c r="Q679" s="217"/>
      <c r="R679" s="217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>
      <c r="A680" s="19"/>
      <c r="B680" s="19"/>
      <c r="C680" s="19"/>
      <c r="D680" s="219"/>
      <c r="E680" s="220"/>
      <c r="F680" s="221"/>
      <c r="G680" s="222"/>
      <c r="H680" s="223"/>
      <c r="I680" s="224"/>
      <c r="J680" s="507"/>
      <c r="K680" s="19"/>
      <c r="L680" s="507"/>
      <c r="M680" s="507"/>
      <c r="N680" s="507"/>
      <c r="O680" s="508"/>
      <c r="P680" s="217"/>
      <c r="Q680" s="217"/>
      <c r="R680" s="217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>
      <c r="A681" s="19"/>
      <c r="B681" s="19"/>
      <c r="C681" s="19"/>
      <c r="D681" s="219"/>
      <c r="E681" s="220"/>
      <c r="F681" s="221"/>
      <c r="G681" s="222"/>
      <c r="H681" s="223"/>
      <c r="I681" s="224"/>
      <c r="J681" s="507"/>
      <c r="K681" s="19"/>
      <c r="L681" s="507"/>
      <c r="M681" s="507"/>
      <c r="N681" s="507"/>
      <c r="O681" s="508"/>
      <c r="P681" s="217"/>
      <c r="Q681" s="217"/>
      <c r="R681" s="217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>
      <c r="A682" s="19"/>
      <c r="B682" s="19"/>
      <c r="C682" s="19"/>
      <c r="D682" s="219"/>
      <c r="E682" s="220"/>
      <c r="F682" s="221"/>
      <c r="G682" s="222"/>
      <c r="H682" s="223"/>
      <c r="I682" s="224"/>
      <c r="J682" s="507"/>
      <c r="K682" s="19"/>
      <c r="L682" s="507"/>
      <c r="M682" s="507"/>
      <c r="N682" s="507"/>
      <c r="O682" s="508"/>
      <c r="P682" s="217"/>
      <c r="Q682" s="217"/>
      <c r="R682" s="217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>
      <c r="A683" s="19"/>
      <c r="B683" s="19"/>
      <c r="C683" s="19"/>
      <c r="D683" s="219"/>
      <c r="E683" s="220"/>
      <c r="F683" s="221"/>
      <c r="G683" s="222"/>
      <c r="H683" s="223"/>
      <c r="I683" s="224"/>
      <c r="J683" s="507"/>
      <c r="K683" s="19"/>
      <c r="L683" s="507"/>
      <c r="M683" s="507"/>
      <c r="N683" s="507"/>
      <c r="O683" s="508"/>
      <c r="P683" s="217"/>
      <c r="Q683" s="217"/>
      <c r="R683" s="217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>
      <c r="A684" s="19"/>
      <c r="B684" s="19"/>
      <c r="C684" s="19"/>
      <c r="D684" s="219"/>
      <c r="E684" s="220"/>
      <c r="F684" s="221"/>
      <c r="G684" s="222"/>
      <c r="H684" s="223"/>
      <c r="I684" s="224"/>
      <c r="J684" s="507"/>
      <c r="K684" s="19"/>
      <c r="L684" s="507"/>
      <c r="M684" s="507"/>
      <c r="N684" s="507"/>
      <c r="O684" s="508"/>
      <c r="P684" s="217"/>
      <c r="Q684" s="217"/>
      <c r="R684" s="217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>
      <c r="A685" s="19"/>
      <c r="B685" s="19"/>
      <c r="C685" s="19"/>
      <c r="D685" s="219"/>
      <c r="E685" s="220"/>
      <c r="F685" s="221"/>
      <c r="G685" s="222"/>
      <c r="H685" s="223"/>
      <c r="I685" s="224"/>
      <c r="J685" s="507"/>
      <c r="K685" s="19"/>
      <c r="L685" s="507"/>
      <c r="M685" s="507"/>
      <c r="N685" s="507"/>
      <c r="O685" s="508"/>
      <c r="P685" s="217"/>
      <c r="Q685" s="217"/>
      <c r="R685" s="217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>
      <c r="A686" s="19"/>
      <c r="B686" s="19"/>
      <c r="C686" s="19"/>
      <c r="D686" s="219"/>
      <c r="E686" s="220"/>
      <c r="F686" s="221"/>
      <c r="G686" s="222"/>
      <c r="H686" s="223"/>
      <c r="I686" s="224"/>
      <c r="J686" s="507"/>
      <c r="K686" s="19"/>
      <c r="L686" s="507"/>
      <c r="M686" s="507"/>
      <c r="N686" s="507"/>
      <c r="O686" s="508"/>
      <c r="P686" s="217"/>
      <c r="Q686" s="217"/>
      <c r="R686" s="217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>
      <c r="A687" s="19"/>
      <c r="B687" s="19"/>
      <c r="C687" s="19"/>
      <c r="D687" s="219"/>
      <c r="E687" s="220"/>
      <c r="F687" s="221"/>
      <c r="G687" s="222"/>
      <c r="H687" s="223"/>
      <c r="I687" s="224"/>
      <c r="J687" s="507"/>
      <c r="K687" s="19"/>
      <c r="L687" s="507"/>
      <c r="M687" s="507"/>
      <c r="N687" s="507"/>
      <c r="O687" s="508"/>
      <c r="P687" s="217"/>
      <c r="Q687" s="217"/>
      <c r="R687" s="217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>
      <c r="A688" s="19"/>
      <c r="B688" s="19"/>
      <c r="C688" s="19"/>
      <c r="D688" s="219"/>
      <c r="E688" s="220"/>
      <c r="F688" s="221"/>
      <c r="G688" s="222"/>
      <c r="H688" s="223"/>
      <c r="I688" s="224"/>
      <c r="J688" s="507"/>
      <c r="K688" s="19"/>
      <c r="L688" s="507"/>
      <c r="M688" s="507"/>
      <c r="N688" s="507"/>
      <c r="O688" s="508"/>
      <c r="P688" s="217"/>
      <c r="Q688" s="217"/>
      <c r="R688" s="217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>
      <c r="A689" s="19"/>
      <c r="B689" s="19"/>
      <c r="C689" s="19"/>
      <c r="D689" s="219"/>
      <c r="E689" s="220"/>
      <c r="F689" s="221"/>
      <c r="G689" s="222"/>
      <c r="H689" s="223"/>
      <c r="I689" s="224"/>
      <c r="J689" s="507"/>
      <c r="K689" s="19"/>
      <c r="L689" s="507"/>
      <c r="M689" s="507"/>
      <c r="N689" s="507"/>
      <c r="O689" s="508"/>
      <c r="P689" s="217"/>
      <c r="Q689" s="217"/>
      <c r="R689" s="217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>
      <c r="A690" s="19"/>
      <c r="B690" s="19"/>
      <c r="C690" s="19"/>
      <c r="D690" s="219"/>
      <c r="E690" s="220"/>
      <c r="F690" s="221"/>
      <c r="G690" s="222"/>
      <c r="H690" s="223"/>
      <c r="I690" s="224"/>
      <c r="J690" s="507"/>
      <c r="K690" s="19"/>
      <c r="L690" s="507"/>
      <c r="M690" s="507"/>
      <c r="N690" s="507"/>
      <c r="O690" s="508"/>
      <c r="P690" s="217"/>
      <c r="Q690" s="217"/>
      <c r="R690" s="217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>
      <c r="A691" s="19"/>
      <c r="B691" s="19"/>
      <c r="C691" s="19"/>
      <c r="D691" s="219"/>
      <c r="E691" s="220"/>
      <c r="F691" s="221"/>
      <c r="G691" s="222"/>
      <c r="H691" s="223"/>
      <c r="I691" s="224"/>
      <c r="J691" s="507"/>
      <c r="K691" s="19"/>
      <c r="L691" s="507"/>
      <c r="M691" s="507"/>
      <c r="N691" s="507"/>
      <c r="O691" s="508"/>
      <c r="P691" s="217"/>
      <c r="Q691" s="217"/>
      <c r="R691" s="217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>
      <c r="A692" s="19"/>
      <c r="B692" s="19"/>
      <c r="C692" s="19"/>
      <c r="D692" s="219"/>
      <c r="E692" s="220"/>
      <c r="F692" s="221"/>
      <c r="G692" s="222"/>
      <c r="H692" s="223"/>
      <c r="I692" s="224"/>
      <c r="J692" s="507"/>
      <c r="K692" s="19"/>
      <c r="L692" s="507"/>
      <c r="M692" s="507"/>
      <c r="N692" s="507"/>
      <c r="O692" s="508"/>
      <c r="P692" s="217"/>
      <c r="Q692" s="217"/>
      <c r="R692" s="217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>
      <c r="A693" s="19"/>
      <c r="B693" s="19"/>
      <c r="C693" s="19"/>
      <c r="D693" s="219"/>
      <c r="E693" s="220"/>
      <c r="F693" s="221"/>
      <c r="G693" s="222"/>
      <c r="H693" s="223"/>
      <c r="I693" s="224"/>
      <c r="J693" s="507"/>
      <c r="K693" s="19"/>
      <c r="L693" s="507"/>
      <c r="M693" s="507"/>
      <c r="N693" s="507"/>
      <c r="O693" s="508"/>
      <c r="P693" s="217"/>
      <c r="Q693" s="217"/>
      <c r="R693" s="217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>
      <c r="A694" s="19"/>
      <c r="B694" s="19"/>
      <c r="C694" s="19"/>
      <c r="D694" s="219"/>
      <c r="E694" s="220"/>
      <c r="F694" s="221"/>
      <c r="G694" s="222"/>
      <c r="H694" s="223"/>
      <c r="I694" s="224"/>
      <c r="J694" s="507"/>
      <c r="K694" s="19"/>
      <c r="L694" s="507"/>
      <c r="M694" s="507"/>
      <c r="N694" s="507"/>
      <c r="O694" s="508"/>
      <c r="P694" s="217"/>
      <c r="Q694" s="217"/>
      <c r="R694" s="217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>
      <c r="A695" s="19"/>
      <c r="B695" s="19"/>
      <c r="C695" s="19"/>
      <c r="D695" s="219"/>
      <c r="E695" s="220"/>
      <c r="F695" s="221"/>
      <c r="G695" s="222"/>
      <c r="H695" s="223"/>
      <c r="I695" s="224"/>
      <c r="J695" s="507"/>
      <c r="K695" s="19"/>
      <c r="L695" s="507"/>
      <c r="M695" s="507"/>
      <c r="N695" s="507"/>
      <c r="O695" s="508"/>
      <c r="P695" s="217"/>
      <c r="Q695" s="217"/>
      <c r="R695" s="217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>
      <c r="A696" s="19"/>
      <c r="B696" s="19"/>
      <c r="C696" s="19"/>
      <c r="D696" s="219"/>
      <c r="E696" s="220"/>
      <c r="F696" s="221"/>
      <c r="G696" s="222"/>
      <c r="H696" s="223"/>
      <c r="I696" s="224"/>
      <c r="J696" s="507"/>
      <c r="K696" s="19"/>
      <c r="L696" s="507"/>
      <c r="M696" s="507"/>
      <c r="N696" s="507"/>
      <c r="O696" s="508"/>
      <c r="P696" s="217"/>
      <c r="Q696" s="217"/>
      <c r="R696" s="217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>
      <c r="A697" s="19"/>
      <c r="B697" s="19"/>
      <c r="C697" s="19"/>
      <c r="D697" s="219"/>
      <c r="E697" s="220"/>
      <c r="F697" s="221"/>
      <c r="G697" s="222"/>
      <c r="H697" s="223"/>
      <c r="I697" s="224"/>
      <c r="J697" s="507"/>
      <c r="K697" s="19"/>
      <c r="L697" s="507"/>
      <c r="M697" s="507"/>
      <c r="N697" s="507"/>
      <c r="O697" s="508"/>
      <c r="P697" s="217"/>
      <c r="Q697" s="217"/>
      <c r="R697" s="217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>
      <c r="A698" s="19"/>
      <c r="B698" s="19"/>
      <c r="C698" s="19"/>
      <c r="D698" s="219"/>
      <c r="E698" s="220"/>
      <c r="F698" s="221"/>
      <c r="G698" s="222"/>
      <c r="H698" s="223"/>
      <c r="I698" s="224"/>
      <c r="J698" s="507"/>
      <c r="K698" s="19"/>
      <c r="L698" s="507"/>
      <c r="M698" s="507"/>
      <c r="N698" s="507"/>
      <c r="O698" s="508"/>
      <c r="P698" s="217"/>
      <c r="Q698" s="217"/>
      <c r="R698" s="217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>
      <c r="A699" s="19"/>
      <c r="B699" s="19"/>
      <c r="C699" s="19"/>
      <c r="D699" s="219"/>
      <c r="E699" s="220"/>
      <c r="F699" s="221"/>
      <c r="G699" s="222"/>
      <c r="H699" s="223"/>
      <c r="I699" s="224"/>
      <c r="J699" s="507"/>
      <c r="K699" s="19"/>
      <c r="L699" s="507"/>
      <c r="M699" s="507"/>
      <c r="N699" s="507"/>
      <c r="O699" s="508"/>
      <c r="P699" s="217"/>
      <c r="Q699" s="217"/>
      <c r="R699" s="217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>
      <c r="A700" s="19"/>
      <c r="B700" s="19"/>
      <c r="C700" s="19"/>
      <c r="D700" s="219"/>
      <c r="E700" s="220"/>
      <c r="F700" s="221"/>
      <c r="G700" s="222"/>
      <c r="H700" s="223"/>
      <c r="I700" s="224"/>
      <c r="J700" s="507"/>
      <c r="K700" s="19"/>
      <c r="L700" s="507"/>
      <c r="M700" s="507"/>
      <c r="N700" s="507"/>
      <c r="O700" s="508"/>
      <c r="P700" s="217"/>
      <c r="Q700" s="217"/>
      <c r="R700" s="217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>
      <c r="A701" s="19"/>
      <c r="B701" s="19"/>
      <c r="C701" s="19"/>
      <c r="D701" s="219"/>
      <c r="E701" s="220"/>
      <c r="F701" s="221"/>
      <c r="G701" s="222"/>
      <c r="H701" s="223"/>
      <c r="I701" s="224"/>
      <c r="J701" s="507"/>
      <c r="K701" s="19"/>
      <c r="L701" s="507"/>
      <c r="M701" s="507"/>
      <c r="N701" s="507"/>
      <c r="O701" s="508"/>
      <c r="P701" s="217"/>
      <c r="Q701" s="217"/>
      <c r="R701" s="217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>
      <c r="A702" s="19"/>
      <c r="B702" s="19"/>
      <c r="C702" s="19"/>
      <c r="D702" s="219"/>
      <c r="E702" s="220"/>
      <c r="F702" s="221"/>
      <c r="G702" s="222"/>
      <c r="H702" s="223"/>
      <c r="I702" s="224"/>
      <c r="J702" s="507"/>
      <c r="K702" s="19"/>
      <c r="L702" s="507"/>
      <c r="M702" s="507"/>
      <c r="N702" s="507"/>
      <c r="O702" s="508"/>
      <c r="P702" s="217"/>
      <c r="Q702" s="217"/>
      <c r="R702" s="217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>
      <c r="A703" s="19"/>
      <c r="B703" s="19"/>
      <c r="C703" s="19"/>
      <c r="D703" s="219"/>
      <c r="E703" s="220"/>
      <c r="F703" s="221"/>
      <c r="G703" s="222"/>
      <c r="H703" s="223"/>
      <c r="I703" s="224"/>
      <c r="J703" s="507"/>
      <c r="K703" s="19"/>
      <c r="L703" s="507"/>
      <c r="M703" s="507"/>
      <c r="N703" s="507"/>
      <c r="O703" s="508"/>
      <c r="P703" s="217"/>
      <c r="Q703" s="217"/>
      <c r="R703" s="217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>
      <c r="A704" s="19"/>
      <c r="B704" s="19"/>
      <c r="C704" s="19"/>
      <c r="D704" s="219"/>
      <c r="E704" s="220"/>
      <c r="F704" s="221"/>
      <c r="G704" s="222"/>
      <c r="H704" s="223"/>
      <c r="I704" s="224"/>
      <c r="J704" s="507"/>
      <c r="K704" s="19"/>
      <c r="L704" s="507"/>
      <c r="M704" s="507"/>
      <c r="N704" s="507"/>
      <c r="O704" s="508"/>
      <c r="P704" s="217"/>
      <c r="Q704" s="217"/>
      <c r="R704" s="217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>
      <c r="A705" s="19"/>
      <c r="B705" s="19"/>
      <c r="C705" s="19"/>
      <c r="D705" s="219"/>
      <c r="E705" s="220"/>
      <c r="F705" s="221"/>
      <c r="G705" s="222"/>
      <c r="H705" s="223"/>
      <c r="I705" s="224"/>
      <c r="J705" s="507"/>
      <c r="K705" s="19"/>
      <c r="L705" s="507"/>
      <c r="M705" s="507"/>
      <c r="N705" s="507"/>
      <c r="O705" s="508"/>
      <c r="P705" s="217"/>
      <c r="Q705" s="217"/>
      <c r="R705" s="217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>
      <c r="A706" s="19"/>
      <c r="B706" s="19"/>
      <c r="C706" s="19"/>
      <c r="D706" s="219"/>
      <c r="E706" s="220"/>
      <c r="F706" s="221"/>
      <c r="G706" s="222"/>
      <c r="H706" s="223"/>
      <c r="I706" s="224"/>
      <c r="J706" s="507"/>
      <c r="K706" s="19"/>
      <c r="L706" s="507"/>
      <c r="M706" s="507"/>
      <c r="N706" s="507"/>
      <c r="O706" s="508"/>
      <c r="P706" s="217"/>
      <c r="Q706" s="217"/>
      <c r="R706" s="217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>
      <c r="A707" s="19"/>
      <c r="B707" s="19"/>
      <c r="C707" s="19"/>
      <c r="D707" s="219"/>
      <c r="E707" s="220"/>
      <c r="F707" s="221"/>
      <c r="G707" s="222"/>
      <c r="H707" s="223"/>
      <c r="I707" s="224"/>
      <c r="J707" s="507"/>
      <c r="K707" s="19"/>
      <c r="L707" s="507"/>
      <c r="M707" s="507"/>
      <c r="N707" s="507"/>
      <c r="O707" s="508"/>
      <c r="P707" s="217"/>
      <c r="Q707" s="217"/>
      <c r="R707" s="217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>
      <c r="A708" s="19"/>
      <c r="B708" s="19"/>
      <c r="C708" s="19"/>
      <c r="D708" s="219"/>
      <c r="E708" s="220"/>
      <c r="F708" s="221"/>
      <c r="G708" s="222"/>
      <c r="H708" s="223"/>
      <c r="I708" s="224"/>
      <c r="J708" s="507"/>
      <c r="K708" s="19"/>
      <c r="L708" s="507"/>
      <c r="M708" s="507"/>
      <c r="N708" s="507"/>
      <c r="O708" s="508"/>
      <c r="P708" s="217"/>
      <c r="Q708" s="217"/>
      <c r="R708" s="217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>
      <c r="A709" s="19"/>
      <c r="B709" s="19"/>
      <c r="C709" s="19"/>
      <c r="D709" s="219"/>
      <c r="E709" s="220"/>
      <c r="F709" s="221"/>
      <c r="G709" s="222"/>
      <c r="H709" s="223"/>
      <c r="I709" s="224"/>
      <c r="J709" s="507"/>
      <c r="K709" s="19"/>
      <c r="L709" s="507"/>
      <c r="M709" s="507"/>
      <c r="N709" s="507"/>
      <c r="O709" s="508"/>
      <c r="P709" s="217"/>
      <c r="Q709" s="217"/>
      <c r="R709" s="217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>
      <c r="A710" s="19"/>
      <c r="B710" s="19"/>
      <c r="C710" s="19"/>
      <c r="D710" s="219"/>
      <c r="E710" s="220"/>
      <c r="F710" s="221"/>
      <c r="G710" s="222"/>
      <c r="H710" s="223"/>
      <c r="I710" s="224"/>
      <c r="J710" s="507"/>
      <c r="K710" s="19"/>
      <c r="L710" s="507"/>
      <c r="M710" s="507"/>
      <c r="N710" s="507"/>
      <c r="O710" s="508"/>
      <c r="P710" s="217"/>
      <c r="Q710" s="217"/>
      <c r="R710" s="217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>
      <c r="A711" s="19"/>
      <c r="B711" s="19"/>
      <c r="C711" s="19"/>
      <c r="D711" s="219"/>
      <c r="E711" s="220"/>
      <c r="F711" s="221"/>
      <c r="G711" s="222"/>
      <c r="H711" s="223"/>
      <c r="I711" s="224"/>
      <c r="J711" s="507"/>
      <c r="K711" s="19"/>
      <c r="L711" s="507"/>
      <c r="M711" s="507"/>
      <c r="N711" s="507"/>
      <c r="O711" s="508"/>
      <c r="P711" s="217"/>
      <c r="Q711" s="217"/>
      <c r="R711" s="217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>
      <c r="A712" s="19"/>
      <c r="B712" s="19"/>
      <c r="C712" s="19"/>
      <c r="D712" s="219"/>
      <c r="E712" s="220"/>
      <c r="F712" s="221"/>
      <c r="G712" s="222"/>
      <c r="H712" s="223"/>
      <c r="I712" s="224"/>
      <c r="J712" s="507"/>
      <c r="K712" s="19"/>
      <c r="L712" s="507"/>
      <c r="M712" s="507"/>
      <c r="N712" s="507"/>
      <c r="O712" s="508"/>
      <c r="P712" s="217"/>
      <c r="Q712" s="217"/>
      <c r="R712" s="217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>
      <c r="A713" s="19"/>
      <c r="B713" s="19"/>
      <c r="C713" s="19"/>
      <c r="D713" s="219"/>
      <c r="E713" s="220"/>
      <c r="F713" s="221"/>
      <c r="G713" s="222"/>
      <c r="H713" s="223"/>
      <c r="I713" s="224"/>
      <c r="J713" s="507"/>
      <c r="K713" s="19"/>
      <c r="L713" s="507"/>
      <c r="M713" s="507"/>
      <c r="N713" s="507"/>
      <c r="O713" s="508"/>
      <c r="P713" s="217"/>
      <c r="Q713" s="217"/>
      <c r="R713" s="217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>
      <c r="A714" s="19"/>
      <c r="B714" s="19"/>
      <c r="C714" s="19"/>
      <c r="D714" s="219"/>
      <c r="E714" s="220"/>
      <c r="F714" s="221"/>
      <c r="G714" s="222"/>
      <c r="H714" s="223"/>
      <c r="I714" s="224"/>
      <c r="J714" s="507"/>
      <c r="K714" s="19"/>
      <c r="L714" s="507"/>
      <c r="M714" s="507"/>
      <c r="N714" s="507"/>
      <c r="O714" s="508"/>
      <c r="P714" s="217"/>
      <c r="Q714" s="217"/>
      <c r="R714" s="217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>
      <c r="A715" s="19"/>
      <c r="B715" s="19"/>
      <c r="C715" s="19"/>
      <c r="D715" s="219"/>
      <c r="E715" s="220"/>
      <c r="F715" s="221"/>
      <c r="G715" s="222"/>
      <c r="H715" s="223"/>
      <c r="I715" s="224"/>
      <c r="J715" s="507"/>
      <c r="K715" s="19"/>
      <c r="L715" s="507"/>
      <c r="M715" s="507"/>
      <c r="N715" s="507"/>
      <c r="O715" s="508"/>
      <c r="P715" s="217"/>
      <c r="Q715" s="217"/>
      <c r="R715" s="217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>
      <c r="A716" s="19"/>
      <c r="B716" s="19"/>
      <c r="C716" s="19"/>
      <c r="D716" s="219"/>
      <c r="E716" s="220"/>
      <c r="F716" s="221"/>
      <c r="G716" s="222"/>
      <c r="H716" s="223"/>
      <c r="I716" s="224"/>
      <c r="J716" s="507"/>
      <c r="K716" s="19"/>
      <c r="L716" s="507"/>
      <c r="M716" s="507"/>
      <c r="N716" s="507"/>
      <c r="O716" s="508"/>
      <c r="P716" s="217"/>
      <c r="Q716" s="217"/>
      <c r="R716" s="217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>
      <c r="A717" s="19"/>
      <c r="B717" s="19"/>
      <c r="C717" s="19"/>
      <c r="D717" s="219"/>
      <c r="E717" s="220"/>
      <c r="F717" s="221"/>
      <c r="G717" s="222"/>
      <c r="H717" s="223"/>
      <c r="I717" s="224"/>
      <c r="J717" s="507"/>
      <c r="K717" s="19"/>
      <c r="L717" s="507"/>
      <c r="M717" s="507"/>
      <c r="N717" s="507"/>
      <c r="O717" s="508"/>
      <c r="P717" s="217"/>
      <c r="Q717" s="217"/>
      <c r="R717" s="217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>
      <c r="A718" s="19"/>
      <c r="B718" s="19"/>
      <c r="C718" s="19"/>
      <c r="D718" s="219"/>
      <c r="E718" s="220"/>
      <c r="F718" s="221"/>
      <c r="G718" s="222"/>
      <c r="H718" s="223"/>
      <c r="I718" s="224"/>
      <c r="J718" s="507"/>
      <c r="K718" s="19"/>
      <c r="L718" s="507"/>
      <c r="M718" s="507"/>
      <c r="N718" s="507"/>
      <c r="O718" s="508"/>
      <c r="P718" s="217"/>
      <c r="Q718" s="217"/>
      <c r="R718" s="217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>
      <c r="A719" s="19"/>
      <c r="B719" s="19"/>
      <c r="C719" s="19"/>
      <c r="D719" s="219"/>
      <c r="E719" s="220"/>
      <c r="F719" s="221"/>
      <c r="G719" s="222"/>
      <c r="H719" s="223"/>
      <c r="I719" s="224"/>
      <c r="J719" s="507"/>
      <c r="K719" s="19"/>
      <c r="L719" s="507"/>
      <c r="M719" s="507"/>
      <c r="N719" s="507"/>
      <c r="O719" s="508"/>
      <c r="P719" s="217"/>
      <c r="Q719" s="217"/>
      <c r="R719" s="217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>
      <c r="A720" s="19"/>
      <c r="B720" s="19"/>
      <c r="C720" s="19"/>
      <c r="D720" s="219"/>
      <c r="E720" s="220"/>
      <c r="F720" s="221"/>
      <c r="G720" s="222"/>
      <c r="H720" s="223"/>
      <c r="I720" s="224"/>
      <c r="J720" s="507"/>
      <c r="K720" s="19"/>
      <c r="L720" s="507"/>
      <c r="M720" s="507"/>
      <c r="N720" s="507"/>
      <c r="O720" s="508"/>
      <c r="P720" s="217"/>
      <c r="Q720" s="217"/>
      <c r="R720" s="217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>
      <c r="A721" s="19"/>
      <c r="B721" s="19"/>
      <c r="C721" s="19"/>
      <c r="D721" s="219"/>
      <c r="E721" s="220"/>
      <c r="F721" s="221"/>
      <c r="G721" s="222"/>
      <c r="H721" s="223"/>
      <c r="I721" s="224"/>
      <c r="J721" s="507"/>
      <c r="K721" s="19"/>
      <c r="L721" s="507"/>
      <c r="M721" s="507"/>
      <c r="N721" s="507"/>
      <c r="O721" s="508"/>
      <c r="P721" s="217"/>
      <c r="Q721" s="217"/>
      <c r="R721" s="217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>
      <c r="A722" s="19"/>
      <c r="B722" s="19"/>
      <c r="C722" s="19"/>
      <c r="D722" s="219"/>
      <c r="E722" s="220"/>
      <c r="F722" s="221"/>
      <c r="G722" s="222"/>
      <c r="H722" s="223"/>
      <c r="I722" s="224"/>
      <c r="J722" s="507"/>
      <c r="K722" s="19"/>
      <c r="L722" s="507"/>
      <c r="M722" s="507"/>
      <c r="N722" s="507"/>
      <c r="O722" s="508"/>
      <c r="P722" s="217"/>
      <c r="Q722" s="217"/>
      <c r="R722" s="217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>
      <c r="A723" s="19"/>
      <c r="B723" s="19"/>
      <c r="C723" s="19"/>
      <c r="D723" s="219"/>
      <c r="E723" s="220"/>
      <c r="F723" s="221"/>
      <c r="G723" s="222"/>
      <c r="H723" s="223"/>
      <c r="I723" s="224"/>
      <c r="J723" s="507"/>
      <c r="K723" s="19"/>
      <c r="L723" s="507"/>
      <c r="M723" s="507"/>
      <c r="N723" s="507"/>
      <c r="O723" s="508"/>
      <c r="P723" s="217"/>
      <c r="Q723" s="217"/>
      <c r="R723" s="217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>
      <c r="A724" s="19"/>
      <c r="B724" s="19"/>
      <c r="C724" s="19"/>
      <c r="D724" s="219"/>
      <c r="E724" s="220"/>
      <c r="F724" s="221"/>
      <c r="G724" s="222"/>
      <c r="H724" s="223"/>
      <c r="I724" s="224"/>
      <c r="J724" s="507"/>
      <c r="K724" s="19"/>
      <c r="L724" s="507"/>
      <c r="M724" s="507"/>
      <c r="N724" s="507"/>
      <c r="O724" s="508"/>
      <c r="P724" s="217"/>
      <c r="Q724" s="217"/>
      <c r="R724" s="217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>
      <c r="A725" s="19"/>
      <c r="B725" s="19"/>
      <c r="C725" s="19"/>
      <c r="D725" s="219"/>
      <c r="E725" s="220"/>
      <c r="F725" s="221"/>
      <c r="G725" s="222"/>
      <c r="H725" s="223"/>
      <c r="I725" s="224"/>
      <c r="J725" s="507"/>
      <c r="K725" s="19"/>
      <c r="L725" s="507"/>
      <c r="M725" s="507"/>
      <c r="N725" s="507"/>
      <c r="O725" s="508"/>
      <c r="P725" s="217"/>
      <c r="Q725" s="217"/>
      <c r="R725" s="217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>
      <c r="A726" s="19"/>
      <c r="B726" s="19"/>
      <c r="C726" s="19"/>
      <c r="D726" s="219"/>
      <c r="E726" s="220"/>
      <c r="F726" s="221"/>
      <c r="G726" s="222"/>
      <c r="H726" s="223"/>
      <c r="I726" s="224"/>
      <c r="J726" s="507"/>
      <c r="K726" s="19"/>
      <c r="L726" s="507"/>
      <c r="M726" s="507"/>
      <c r="N726" s="507"/>
      <c r="O726" s="508"/>
      <c r="P726" s="217"/>
      <c r="Q726" s="217"/>
      <c r="R726" s="217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>
      <c r="A727" s="19"/>
      <c r="B727" s="19"/>
      <c r="C727" s="19"/>
      <c r="D727" s="219"/>
      <c r="E727" s="220"/>
      <c r="F727" s="221"/>
      <c r="G727" s="222"/>
      <c r="H727" s="223"/>
      <c r="I727" s="224"/>
      <c r="J727" s="507"/>
      <c r="K727" s="19"/>
      <c r="L727" s="507"/>
      <c r="M727" s="507"/>
      <c r="N727" s="507"/>
      <c r="O727" s="508"/>
      <c r="P727" s="217"/>
      <c r="Q727" s="217"/>
      <c r="R727" s="217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>
      <c r="A728" s="19"/>
      <c r="B728" s="19"/>
      <c r="C728" s="19"/>
      <c r="D728" s="219"/>
      <c r="E728" s="220"/>
      <c r="F728" s="221"/>
      <c r="G728" s="222"/>
      <c r="H728" s="223"/>
      <c r="I728" s="224"/>
      <c r="J728" s="507"/>
      <c r="K728" s="19"/>
      <c r="L728" s="507"/>
      <c r="M728" s="507"/>
      <c r="N728" s="507"/>
      <c r="O728" s="508"/>
      <c r="P728" s="217"/>
      <c r="Q728" s="217"/>
      <c r="R728" s="217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>
      <c r="A729" s="19"/>
      <c r="B729" s="19"/>
      <c r="C729" s="19"/>
      <c r="D729" s="219"/>
      <c r="E729" s="220"/>
      <c r="F729" s="221"/>
      <c r="G729" s="222"/>
      <c r="H729" s="223"/>
      <c r="I729" s="224"/>
      <c r="J729" s="507"/>
      <c r="K729" s="19"/>
      <c r="L729" s="507"/>
      <c r="M729" s="507"/>
      <c r="N729" s="507"/>
      <c r="O729" s="508"/>
      <c r="P729" s="217"/>
      <c r="Q729" s="217"/>
      <c r="R729" s="217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>
      <c r="A730" s="19"/>
      <c r="B730" s="19"/>
      <c r="C730" s="19"/>
      <c r="D730" s="219"/>
      <c r="E730" s="220"/>
      <c r="F730" s="221"/>
      <c r="G730" s="222"/>
      <c r="H730" s="223"/>
      <c r="I730" s="224"/>
      <c r="J730" s="507"/>
      <c r="K730" s="19"/>
      <c r="L730" s="507"/>
      <c r="M730" s="507"/>
      <c r="N730" s="507"/>
      <c r="O730" s="508"/>
      <c r="P730" s="217"/>
      <c r="Q730" s="217"/>
      <c r="R730" s="217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>
      <c r="A731" s="19"/>
      <c r="B731" s="19"/>
      <c r="C731" s="19"/>
      <c r="D731" s="219"/>
      <c r="E731" s="220"/>
      <c r="F731" s="221"/>
      <c r="G731" s="222"/>
      <c r="H731" s="223"/>
      <c r="I731" s="224"/>
      <c r="J731" s="507"/>
      <c r="K731" s="19"/>
      <c r="L731" s="507"/>
      <c r="M731" s="507"/>
      <c r="N731" s="507"/>
      <c r="O731" s="508"/>
      <c r="P731" s="217"/>
      <c r="Q731" s="217"/>
      <c r="R731" s="217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>
      <c r="A732" s="19"/>
      <c r="B732" s="19"/>
      <c r="C732" s="19"/>
      <c r="D732" s="219"/>
      <c r="E732" s="220"/>
      <c r="F732" s="221"/>
      <c r="G732" s="222"/>
      <c r="H732" s="223"/>
      <c r="I732" s="224"/>
      <c r="J732" s="507"/>
      <c r="K732" s="19"/>
      <c r="L732" s="507"/>
      <c r="M732" s="507"/>
      <c r="N732" s="507"/>
      <c r="O732" s="508"/>
      <c r="P732" s="217"/>
      <c r="Q732" s="217"/>
      <c r="R732" s="217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>
      <c r="A733" s="19"/>
      <c r="B733" s="19"/>
      <c r="C733" s="19"/>
      <c r="D733" s="219"/>
      <c r="E733" s="220"/>
      <c r="F733" s="221"/>
      <c r="G733" s="222"/>
      <c r="H733" s="223"/>
      <c r="I733" s="224"/>
      <c r="J733" s="507"/>
      <c r="K733" s="19"/>
      <c r="L733" s="507"/>
      <c r="M733" s="507"/>
      <c r="N733" s="507"/>
      <c r="O733" s="508"/>
      <c r="P733" s="217"/>
      <c r="Q733" s="217"/>
      <c r="R733" s="217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>
      <c r="A734" s="19"/>
      <c r="B734" s="19"/>
      <c r="C734" s="19"/>
      <c r="D734" s="219"/>
      <c r="E734" s="220"/>
      <c r="F734" s="221"/>
      <c r="G734" s="222"/>
      <c r="H734" s="223"/>
      <c r="I734" s="224"/>
      <c r="J734" s="507"/>
      <c r="K734" s="19"/>
      <c r="L734" s="507"/>
      <c r="M734" s="507"/>
      <c r="N734" s="507"/>
      <c r="O734" s="508"/>
      <c r="P734" s="217"/>
      <c r="Q734" s="217"/>
      <c r="R734" s="217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>
      <c r="A735" s="19"/>
      <c r="B735" s="19"/>
      <c r="C735" s="19"/>
      <c r="D735" s="219"/>
      <c r="E735" s="220"/>
      <c r="F735" s="221"/>
      <c r="G735" s="222"/>
      <c r="H735" s="223"/>
      <c r="I735" s="224"/>
      <c r="J735" s="507"/>
      <c r="K735" s="19"/>
      <c r="L735" s="507"/>
      <c r="M735" s="507"/>
      <c r="N735" s="507"/>
      <c r="O735" s="508"/>
      <c r="P735" s="217"/>
      <c r="Q735" s="217"/>
      <c r="R735" s="217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>
      <c r="A736" s="19"/>
      <c r="B736" s="19"/>
      <c r="C736" s="19"/>
      <c r="D736" s="219"/>
      <c r="E736" s="220"/>
      <c r="F736" s="221"/>
      <c r="G736" s="222"/>
      <c r="H736" s="223"/>
      <c r="I736" s="224"/>
      <c r="J736" s="507"/>
      <c r="K736" s="19"/>
      <c r="L736" s="507"/>
      <c r="M736" s="507"/>
      <c r="N736" s="507"/>
      <c r="O736" s="508"/>
      <c r="P736" s="217"/>
      <c r="Q736" s="217"/>
      <c r="R736" s="217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>
      <c r="A737" s="19"/>
      <c r="B737" s="19"/>
      <c r="C737" s="19"/>
      <c r="D737" s="219"/>
      <c r="E737" s="220"/>
      <c r="F737" s="221"/>
      <c r="G737" s="222"/>
      <c r="H737" s="223"/>
      <c r="I737" s="224"/>
      <c r="J737" s="507"/>
      <c r="K737" s="19"/>
      <c r="L737" s="507"/>
      <c r="M737" s="507"/>
      <c r="N737" s="507"/>
      <c r="O737" s="508"/>
      <c r="P737" s="217"/>
      <c r="Q737" s="217"/>
      <c r="R737" s="217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>
      <c r="A738" s="19"/>
      <c r="B738" s="19"/>
      <c r="C738" s="19"/>
      <c r="D738" s="219"/>
      <c r="E738" s="220"/>
      <c r="F738" s="221"/>
      <c r="G738" s="222"/>
      <c r="H738" s="223"/>
      <c r="I738" s="224"/>
      <c r="J738" s="507"/>
      <c r="K738" s="19"/>
      <c r="L738" s="507"/>
      <c r="M738" s="507"/>
      <c r="N738" s="507"/>
      <c r="O738" s="508"/>
      <c r="P738" s="217"/>
      <c r="Q738" s="217"/>
      <c r="R738" s="217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>
      <c r="A739" s="19"/>
      <c r="B739" s="19"/>
      <c r="C739" s="19"/>
      <c r="D739" s="219"/>
      <c r="E739" s="220"/>
      <c r="F739" s="221"/>
      <c r="G739" s="222"/>
      <c r="H739" s="223"/>
      <c r="I739" s="224"/>
      <c r="J739" s="507"/>
      <c r="K739" s="19"/>
      <c r="L739" s="507"/>
      <c r="M739" s="507"/>
      <c r="N739" s="507"/>
      <c r="O739" s="508"/>
      <c r="P739" s="217"/>
      <c r="Q739" s="217"/>
      <c r="R739" s="217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>
      <c r="A740" s="19"/>
      <c r="B740" s="19"/>
      <c r="C740" s="19"/>
      <c r="D740" s="219"/>
      <c r="E740" s="220"/>
      <c r="F740" s="221"/>
      <c r="G740" s="222"/>
      <c r="H740" s="223"/>
      <c r="I740" s="224"/>
      <c r="J740" s="507"/>
      <c r="K740" s="19"/>
      <c r="L740" s="507"/>
      <c r="M740" s="507"/>
      <c r="N740" s="507"/>
      <c r="O740" s="508"/>
      <c r="P740" s="217"/>
      <c r="Q740" s="217"/>
      <c r="R740" s="217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>
      <c r="A741" s="19"/>
      <c r="B741" s="19"/>
      <c r="C741" s="19"/>
      <c r="D741" s="219"/>
      <c r="E741" s="220"/>
      <c r="F741" s="221"/>
      <c r="G741" s="222"/>
      <c r="H741" s="223"/>
      <c r="I741" s="224"/>
      <c r="J741" s="507"/>
      <c r="K741" s="19"/>
      <c r="L741" s="507"/>
      <c r="M741" s="507"/>
      <c r="N741" s="507"/>
      <c r="O741" s="508"/>
      <c r="P741" s="217"/>
      <c r="Q741" s="217"/>
      <c r="R741" s="217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>
      <c r="A742" s="19"/>
      <c r="B742" s="19"/>
      <c r="C742" s="19"/>
      <c r="D742" s="219"/>
      <c r="E742" s="220"/>
      <c r="F742" s="221"/>
      <c r="G742" s="222"/>
      <c r="H742" s="223"/>
      <c r="I742" s="224"/>
      <c r="J742" s="507"/>
      <c r="K742" s="19"/>
      <c r="L742" s="507"/>
      <c r="M742" s="507"/>
      <c r="N742" s="507"/>
      <c r="O742" s="508"/>
      <c r="P742" s="217"/>
      <c r="Q742" s="217"/>
      <c r="R742" s="217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>
      <c r="A743" s="19"/>
      <c r="B743" s="19"/>
      <c r="C743" s="19"/>
      <c r="D743" s="219"/>
      <c r="E743" s="220"/>
      <c r="F743" s="221"/>
      <c r="G743" s="222"/>
      <c r="H743" s="223"/>
      <c r="I743" s="224"/>
      <c r="J743" s="507"/>
      <c r="K743" s="19"/>
      <c r="L743" s="507"/>
      <c r="M743" s="507"/>
      <c r="N743" s="507"/>
      <c r="O743" s="508"/>
      <c r="P743" s="217"/>
      <c r="Q743" s="217"/>
      <c r="R743" s="217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>
      <c r="A744" s="19"/>
      <c r="B744" s="19"/>
      <c r="C744" s="19"/>
      <c r="D744" s="219"/>
      <c r="E744" s="220"/>
      <c r="F744" s="221"/>
      <c r="G744" s="222"/>
      <c r="H744" s="223"/>
      <c r="I744" s="224"/>
      <c r="J744" s="507"/>
      <c r="K744" s="19"/>
      <c r="L744" s="507"/>
      <c r="M744" s="507"/>
      <c r="N744" s="507"/>
      <c r="O744" s="508"/>
      <c r="P744" s="217"/>
      <c r="Q744" s="217"/>
      <c r="R744" s="217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>
      <c r="A745" s="19"/>
      <c r="B745" s="19"/>
      <c r="C745" s="19"/>
      <c r="D745" s="219"/>
      <c r="E745" s="220"/>
      <c r="F745" s="221"/>
      <c r="G745" s="222"/>
      <c r="H745" s="223"/>
      <c r="I745" s="224"/>
      <c r="J745" s="507"/>
      <c r="K745" s="19"/>
      <c r="L745" s="507"/>
      <c r="M745" s="507"/>
      <c r="N745" s="507"/>
      <c r="O745" s="508"/>
      <c r="P745" s="217"/>
      <c r="Q745" s="217"/>
      <c r="R745" s="217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>
      <c r="A746" s="19"/>
      <c r="B746" s="19"/>
      <c r="C746" s="19"/>
      <c r="D746" s="219"/>
      <c r="E746" s="220"/>
      <c r="F746" s="221"/>
      <c r="G746" s="222"/>
      <c r="H746" s="223"/>
      <c r="I746" s="224"/>
      <c r="J746" s="507"/>
      <c r="K746" s="19"/>
      <c r="L746" s="507"/>
      <c r="M746" s="507"/>
      <c r="N746" s="507"/>
      <c r="O746" s="508"/>
      <c r="P746" s="217"/>
      <c r="Q746" s="217"/>
      <c r="R746" s="217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>
      <c r="A747" s="19"/>
      <c r="B747" s="19"/>
      <c r="C747" s="19"/>
      <c r="D747" s="219"/>
      <c r="E747" s="220"/>
      <c r="F747" s="221"/>
      <c r="G747" s="222"/>
      <c r="H747" s="223"/>
      <c r="I747" s="224"/>
      <c r="J747" s="507"/>
      <c r="K747" s="19"/>
      <c r="L747" s="507"/>
      <c r="M747" s="507"/>
      <c r="N747" s="507"/>
      <c r="O747" s="508"/>
      <c r="P747" s="217"/>
      <c r="Q747" s="217"/>
      <c r="R747" s="217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>
      <c r="A748" s="19"/>
      <c r="B748" s="19"/>
      <c r="C748" s="19"/>
      <c r="D748" s="219"/>
      <c r="E748" s="220"/>
      <c r="F748" s="221"/>
      <c r="G748" s="222"/>
      <c r="H748" s="223"/>
      <c r="I748" s="224"/>
      <c r="J748" s="507"/>
      <c r="K748" s="19"/>
      <c r="L748" s="507"/>
      <c r="M748" s="507"/>
      <c r="N748" s="507"/>
      <c r="O748" s="508"/>
      <c r="P748" s="217"/>
      <c r="Q748" s="217"/>
      <c r="R748" s="217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>
      <c r="A749" s="19"/>
      <c r="B749" s="19"/>
      <c r="C749" s="19"/>
      <c r="D749" s="219"/>
      <c r="E749" s="220"/>
      <c r="F749" s="221"/>
      <c r="G749" s="222"/>
      <c r="H749" s="223"/>
      <c r="I749" s="224"/>
      <c r="J749" s="507"/>
      <c r="K749" s="19"/>
      <c r="L749" s="507"/>
      <c r="M749" s="507"/>
      <c r="N749" s="507"/>
      <c r="O749" s="508"/>
      <c r="P749" s="217"/>
      <c r="Q749" s="217"/>
      <c r="R749" s="217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>
      <c r="A750" s="19"/>
      <c r="B750" s="19"/>
      <c r="C750" s="19"/>
      <c r="D750" s="219"/>
      <c r="E750" s="220"/>
      <c r="F750" s="221"/>
      <c r="G750" s="222"/>
      <c r="H750" s="223"/>
      <c r="I750" s="224"/>
      <c r="J750" s="507"/>
      <c r="K750" s="19"/>
      <c r="L750" s="507"/>
      <c r="M750" s="507"/>
      <c r="N750" s="507"/>
      <c r="O750" s="508"/>
      <c r="P750" s="217"/>
      <c r="Q750" s="217"/>
      <c r="R750" s="217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>
      <c r="A751" s="19"/>
      <c r="B751" s="19"/>
      <c r="C751" s="19"/>
      <c r="D751" s="219"/>
      <c r="E751" s="220"/>
      <c r="F751" s="221"/>
      <c r="G751" s="222"/>
      <c r="H751" s="223"/>
      <c r="I751" s="224"/>
      <c r="J751" s="507"/>
      <c r="K751" s="19"/>
      <c r="L751" s="507"/>
      <c r="M751" s="507"/>
      <c r="N751" s="507"/>
      <c r="O751" s="508"/>
      <c r="P751" s="217"/>
      <c r="Q751" s="217"/>
      <c r="R751" s="217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>
      <c r="A752" s="19"/>
      <c r="B752" s="19"/>
      <c r="C752" s="19"/>
      <c r="D752" s="219"/>
      <c r="E752" s="220"/>
      <c r="F752" s="221"/>
      <c r="G752" s="222"/>
      <c r="H752" s="223"/>
      <c r="I752" s="224"/>
      <c r="J752" s="507"/>
      <c r="K752" s="19"/>
      <c r="L752" s="507"/>
      <c r="M752" s="507"/>
      <c r="N752" s="507"/>
      <c r="O752" s="508"/>
      <c r="P752" s="217"/>
      <c r="Q752" s="217"/>
      <c r="R752" s="217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>
      <c r="A753" s="19"/>
      <c r="B753" s="19"/>
      <c r="C753" s="19"/>
      <c r="D753" s="219"/>
      <c r="E753" s="220"/>
      <c r="F753" s="221"/>
      <c r="G753" s="222"/>
      <c r="H753" s="223"/>
      <c r="I753" s="224"/>
      <c r="J753" s="507"/>
      <c r="K753" s="19"/>
      <c r="L753" s="507"/>
      <c r="M753" s="507"/>
      <c r="N753" s="507"/>
      <c r="O753" s="508"/>
      <c r="P753" s="217"/>
      <c r="Q753" s="217"/>
      <c r="R753" s="217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>
      <c r="A754" s="19"/>
      <c r="B754" s="19"/>
      <c r="C754" s="19"/>
      <c r="D754" s="219"/>
      <c r="E754" s="220"/>
      <c r="F754" s="221"/>
      <c r="G754" s="222"/>
      <c r="H754" s="223"/>
      <c r="I754" s="224"/>
      <c r="J754" s="507"/>
      <c r="K754" s="19"/>
      <c r="L754" s="507"/>
      <c r="M754" s="507"/>
      <c r="N754" s="507"/>
      <c r="O754" s="508"/>
      <c r="P754" s="217"/>
      <c r="Q754" s="217"/>
      <c r="R754" s="217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>
      <c r="A755" s="19"/>
      <c r="B755" s="19"/>
      <c r="C755" s="19"/>
      <c r="D755" s="219"/>
      <c r="E755" s="220"/>
      <c r="F755" s="221"/>
      <c r="G755" s="222"/>
      <c r="H755" s="223"/>
      <c r="I755" s="224"/>
      <c r="J755" s="507"/>
      <c r="K755" s="19"/>
      <c r="L755" s="507"/>
      <c r="M755" s="507"/>
      <c r="N755" s="507"/>
      <c r="O755" s="508"/>
      <c r="P755" s="217"/>
      <c r="Q755" s="217"/>
      <c r="R755" s="217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>
      <c r="A756" s="19"/>
      <c r="B756" s="19"/>
      <c r="C756" s="19"/>
      <c r="D756" s="219"/>
      <c r="E756" s="220"/>
      <c r="F756" s="221"/>
      <c r="G756" s="222"/>
      <c r="H756" s="223"/>
      <c r="I756" s="224"/>
      <c r="J756" s="507"/>
      <c r="K756" s="19"/>
      <c r="L756" s="507"/>
      <c r="M756" s="507"/>
      <c r="N756" s="507"/>
      <c r="O756" s="508"/>
      <c r="P756" s="217"/>
      <c r="Q756" s="217"/>
      <c r="R756" s="217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>
      <c r="A757" s="19"/>
      <c r="B757" s="19"/>
      <c r="C757" s="19"/>
      <c r="D757" s="219"/>
      <c r="E757" s="220"/>
      <c r="F757" s="221"/>
      <c r="G757" s="222"/>
      <c r="H757" s="223"/>
      <c r="I757" s="224"/>
      <c r="J757" s="507"/>
      <c r="K757" s="19"/>
      <c r="L757" s="507"/>
      <c r="M757" s="507"/>
      <c r="N757" s="507"/>
      <c r="O757" s="508"/>
      <c r="P757" s="217"/>
      <c r="Q757" s="217"/>
      <c r="R757" s="217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>
      <c r="A758" s="19"/>
      <c r="B758" s="19"/>
      <c r="C758" s="19"/>
      <c r="D758" s="219"/>
      <c r="E758" s="220"/>
      <c r="F758" s="221"/>
      <c r="G758" s="222"/>
      <c r="H758" s="223"/>
      <c r="I758" s="224"/>
      <c r="J758" s="507"/>
      <c r="K758" s="19"/>
      <c r="L758" s="507"/>
      <c r="M758" s="507"/>
      <c r="N758" s="507"/>
      <c r="O758" s="508"/>
      <c r="P758" s="217"/>
      <c r="Q758" s="217"/>
      <c r="R758" s="217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>
      <c r="A759" s="19"/>
      <c r="B759" s="19"/>
      <c r="C759" s="19"/>
      <c r="D759" s="219"/>
      <c r="E759" s="220"/>
      <c r="F759" s="221"/>
      <c r="G759" s="222"/>
      <c r="H759" s="223"/>
      <c r="I759" s="224"/>
      <c r="J759" s="507"/>
      <c r="K759" s="19"/>
      <c r="L759" s="507"/>
      <c r="M759" s="507"/>
      <c r="N759" s="507"/>
      <c r="O759" s="508"/>
      <c r="P759" s="217"/>
      <c r="Q759" s="217"/>
      <c r="R759" s="217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>
      <c r="A760" s="19"/>
      <c r="B760" s="19"/>
      <c r="C760" s="19"/>
      <c r="D760" s="219"/>
      <c r="E760" s="220"/>
      <c r="F760" s="221"/>
      <c r="G760" s="222"/>
      <c r="H760" s="223"/>
      <c r="I760" s="224"/>
      <c r="J760" s="507"/>
      <c r="K760" s="19"/>
      <c r="L760" s="507"/>
      <c r="M760" s="507"/>
      <c r="N760" s="507"/>
      <c r="O760" s="508"/>
      <c r="P760" s="217"/>
      <c r="Q760" s="217"/>
      <c r="R760" s="217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>
      <c r="A761" s="19"/>
      <c r="B761" s="19"/>
      <c r="C761" s="19"/>
      <c r="D761" s="219"/>
      <c r="E761" s="220"/>
      <c r="F761" s="221"/>
      <c r="G761" s="222"/>
      <c r="H761" s="223"/>
      <c r="I761" s="224"/>
      <c r="J761" s="507"/>
      <c r="K761" s="19"/>
      <c r="L761" s="507"/>
      <c r="M761" s="507"/>
      <c r="N761" s="507"/>
      <c r="O761" s="508"/>
      <c r="P761" s="217"/>
      <c r="Q761" s="217"/>
      <c r="R761" s="217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>
      <c r="A762" s="19"/>
      <c r="B762" s="19"/>
      <c r="C762" s="19"/>
      <c r="D762" s="219"/>
      <c r="E762" s="220"/>
      <c r="F762" s="221"/>
      <c r="G762" s="222"/>
      <c r="H762" s="223"/>
      <c r="I762" s="224"/>
      <c r="J762" s="507"/>
      <c r="K762" s="19"/>
      <c r="L762" s="507"/>
      <c r="M762" s="507"/>
      <c r="N762" s="507"/>
      <c r="O762" s="508"/>
      <c r="P762" s="217"/>
      <c r="Q762" s="217"/>
      <c r="R762" s="217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>
      <c r="A763" s="19"/>
      <c r="B763" s="19"/>
      <c r="C763" s="19"/>
      <c r="D763" s="219"/>
      <c r="E763" s="220"/>
      <c r="F763" s="221"/>
      <c r="G763" s="222"/>
      <c r="H763" s="223"/>
      <c r="I763" s="224"/>
      <c r="J763" s="507"/>
      <c r="K763" s="19"/>
      <c r="L763" s="507"/>
      <c r="M763" s="507"/>
      <c r="N763" s="507"/>
      <c r="O763" s="508"/>
      <c r="P763" s="217"/>
      <c r="Q763" s="217"/>
      <c r="R763" s="217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>
      <c r="A764" s="19"/>
      <c r="B764" s="19"/>
      <c r="C764" s="19"/>
      <c r="D764" s="219"/>
      <c r="E764" s="220"/>
      <c r="F764" s="221"/>
      <c r="G764" s="222"/>
      <c r="H764" s="223"/>
      <c r="I764" s="224"/>
      <c r="J764" s="507"/>
      <c r="K764" s="19"/>
      <c r="L764" s="507"/>
      <c r="M764" s="507"/>
      <c r="N764" s="507"/>
      <c r="O764" s="508"/>
      <c r="P764" s="217"/>
      <c r="Q764" s="217"/>
      <c r="R764" s="217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>
      <c r="A765" s="19"/>
      <c r="B765" s="19"/>
      <c r="C765" s="19"/>
      <c r="D765" s="219"/>
      <c r="E765" s="220"/>
      <c r="F765" s="221"/>
      <c r="G765" s="222"/>
      <c r="H765" s="223"/>
      <c r="I765" s="224"/>
      <c r="J765" s="507"/>
      <c r="K765" s="19"/>
      <c r="L765" s="507"/>
      <c r="M765" s="507"/>
      <c r="N765" s="507"/>
      <c r="O765" s="508"/>
      <c r="P765" s="217"/>
      <c r="Q765" s="217"/>
      <c r="R765" s="217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>
      <c r="A766" s="19"/>
      <c r="B766" s="19"/>
      <c r="C766" s="19"/>
      <c r="D766" s="219"/>
      <c r="E766" s="220"/>
      <c r="F766" s="221"/>
      <c r="G766" s="222"/>
      <c r="H766" s="223"/>
      <c r="I766" s="224"/>
      <c r="J766" s="507"/>
      <c r="K766" s="19"/>
      <c r="L766" s="507"/>
      <c r="M766" s="507"/>
      <c r="N766" s="507"/>
      <c r="O766" s="508"/>
      <c r="P766" s="217"/>
      <c r="Q766" s="217"/>
      <c r="R766" s="217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>
      <c r="A767" s="19"/>
      <c r="B767" s="19"/>
      <c r="C767" s="19"/>
      <c r="D767" s="219"/>
      <c r="E767" s="220"/>
      <c r="F767" s="221"/>
      <c r="G767" s="222"/>
      <c r="H767" s="223"/>
      <c r="I767" s="224"/>
      <c r="J767" s="507"/>
      <c r="K767" s="19"/>
      <c r="L767" s="507"/>
      <c r="M767" s="507"/>
      <c r="N767" s="507"/>
      <c r="O767" s="508"/>
      <c r="P767" s="217"/>
      <c r="Q767" s="217"/>
      <c r="R767" s="217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>
      <c r="A768" s="19"/>
      <c r="B768" s="19"/>
      <c r="C768" s="19"/>
      <c r="D768" s="219"/>
      <c r="E768" s="220"/>
      <c r="F768" s="221"/>
      <c r="G768" s="222"/>
      <c r="H768" s="223"/>
      <c r="I768" s="224"/>
      <c r="J768" s="507"/>
      <c r="K768" s="19"/>
      <c r="L768" s="507"/>
      <c r="M768" s="507"/>
      <c r="N768" s="507"/>
      <c r="O768" s="508"/>
      <c r="P768" s="217"/>
      <c r="Q768" s="217"/>
      <c r="R768" s="217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>
      <c r="A769" s="19"/>
      <c r="B769" s="19"/>
      <c r="C769" s="19"/>
      <c r="D769" s="219"/>
      <c r="E769" s="220"/>
      <c r="F769" s="221"/>
      <c r="G769" s="222"/>
      <c r="H769" s="223"/>
      <c r="I769" s="224"/>
      <c r="J769" s="507"/>
      <c r="K769" s="19"/>
      <c r="L769" s="507"/>
      <c r="M769" s="507"/>
      <c r="N769" s="507"/>
      <c r="O769" s="508"/>
      <c r="P769" s="217"/>
      <c r="Q769" s="217"/>
      <c r="R769" s="217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>
      <c r="A770" s="19"/>
      <c r="B770" s="19"/>
      <c r="C770" s="19"/>
      <c r="D770" s="219"/>
      <c r="E770" s="220"/>
      <c r="F770" s="221"/>
      <c r="G770" s="222"/>
      <c r="H770" s="223"/>
      <c r="I770" s="224"/>
      <c r="J770" s="507"/>
      <c r="K770" s="19"/>
      <c r="L770" s="507"/>
      <c r="M770" s="507"/>
      <c r="N770" s="507"/>
      <c r="O770" s="508"/>
      <c r="P770" s="217"/>
      <c r="Q770" s="217"/>
      <c r="R770" s="217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>
      <c r="A771" s="19"/>
      <c r="B771" s="19"/>
      <c r="C771" s="19"/>
      <c r="D771" s="219"/>
      <c r="E771" s="220"/>
      <c r="F771" s="221"/>
      <c r="G771" s="222"/>
      <c r="H771" s="223"/>
      <c r="I771" s="224"/>
      <c r="J771" s="507"/>
      <c r="K771" s="19"/>
      <c r="L771" s="507"/>
      <c r="M771" s="507"/>
      <c r="N771" s="507"/>
      <c r="O771" s="508"/>
      <c r="P771" s="217"/>
      <c r="Q771" s="217"/>
      <c r="R771" s="217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>
      <c r="A772" s="19"/>
      <c r="B772" s="19"/>
      <c r="C772" s="19"/>
      <c r="D772" s="219"/>
      <c r="E772" s="220"/>
      <c r="F772" s="221"/>
      <c r="G772" s="222"/>
      <c r="H772" s="223"/>
      <c r="I772" s="224"/>
      <c r="J772" s="507"/>
      <c r="K772" s="19"/>
      <c r="L772" s="507"/>
      <c r="M772" s="507"/>
      <c r="N772" s="507"/>
      <c r="O772" s="508"/>
      <c r="P772" s="217"/>
      <c r="Q772" s="217"/>
      <c r="R772" s="217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>
      <c r="A773" s="19"/>
      <c r="B773" s="19"/>
      <c r="C773" s="19"/>
      <c r="D773" s="219"/>
      <c r="E773" s="220"/>
      <c r="F773" s="221"/>
      <c r="G773" s="222"/>
      <c r="H773" s="223"/>
      <c r="I773" s="224"/>
      <c r="J773" s="507"/>
      <c r="K773" s="19"/>
      <c r="L773" s="507"/>
      <c r="M773" s="507"/>
      <c r="N773" s="507"/>
      <c r="O773" s="508"/>
      <c r="P773" s="217"/>
      <c r="Q773" s="217"/>
      <c r="R773" s="217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>
      <c r="A774" s="19"/>
      <c r="B774" s="19"/>
      <c r="C774" s="19"/>
      <c r="D774" s="219"/>
      <c r="E774" s="220"/>
      <c r="F774" s="221"/>
      <c r="G774" s="222"/>
      <c r="H774" s="223"/>
      <c r="I774" s="224"/>
      <c r="J774" s="507"/>
      <c r="K774" s="19"/>
      <c r="L774" s="507"/>
      <c r="M774" s="507"/>
      <c r="N774" s="507"/>
      <c r="O774" s="508"/>
      <c r="P774" s="217"/>
      <c r="Q774" s="217"/>
      <c r="R774" s="217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>
      <c r="A775" s="19"/>
      <c r="B775" s="19"/>
      <c r="C775" s="19"/>
      <c r="D775" s="219"/>
      <c r="E775" s="220"/>
      <c r="F775" s="221"/>
      <c r="G775" s="222"/>
      <c r="H775" s="223"/>
      <c r="I775" s="224"/>
      <c r="J775" s="507"/>
      <c r="K775" s="19"/>
      <c r="L775" s="507"/>
      <c r="M775" s="507"/>
      <c r="N775" s="507"/>
      <c r="O775" s="508"/>
      <c r="P775" s="217"/>
      <c r="Q775" s="217"/>
      <c r="R775" s="217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>
      <c r="A776" s="19"/>
      <c r="B776" s="19"/>
      <c r="C776" s="19"/>
      <c r="D776" s="219"/>
      <c r="E776" s="220"/>
      <c r="F776" s="221"/>
      <c r="G776" s="222"/>
      <c r="H776" s="223"/>
      <c r="I776" s="224"/>
      <c r="J776" s="507"/>
      <c r="K776" s="19"/>
      <c r="L776" s="507"/>
      <c r="M776" s="507"/>
      <c r="N776" s="507"/>
      <c r="O776" s="508"/>
      <c r="P776" s="217"/>
      <c r="Q776" s="217"/>
      <c r="R776" s="217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>
      <c r="A777" s="19"/>
      <c r="B777" s="19"/>
      <c r="C777" s="19"/>
      <c r="D777" s="219"/>
      <c r="E777" s="220"/>
      <c r="F777" s="221"/>
      <c r="G777" s="222"/>
      <c r="H777" s="223"/>
      <c r="I777" s="224"/>
      <c r="J777" s="507"/>
      <c r="K777" s="19"/>
      <c r="L777" s="507"/>
      <c r="M777" s="507"/>
      <c r="N777" s="507"/>
      <c r="O777" s="508"/>
      <c r="P777" s="217"/>
      <c r="Q777" s="217"/>
      <c r="R777" s="217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>
      <c r="A778" s="19"/>
      <c r="B778" s="19"/>
      <c r="C778" s="19"/>
      <c r="D778" s="219"/>
      <c r="E778" s="220"/>
      <c r="F778" s="221"/>
      <c r="G778" s="222"/>
      <c r="H778" s="223"/>
      <c r="I778" s="224"/>
      <c r="J778" s="507"/>
      <c r="K778" s="19"/>
      <c r="L778" s="507"/>
      <c r="M778" s="507"/>
      <c r="N778" s="507"/>
      <c r="O778" s="508"/>
      <c r="P778" s="217"/>
      <c r="Q778" s="217"/>
      <c r="R778" s="217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>
      <c r="A779" s="19"/>
      <c r="B779" s="19"/>
      <c r="C779" s="19"/>
      <c r="D779" s="219"/>
      <c r="E779" s="220"/>
      <c r="F779" s="221"/>
      <c r="G779" s="222"/>
      <c r="H779" s="223"/>
      <c r="I779" s="224"/>
      <c r="J779" s="507"/>
      <c r="K779" s="19"/>
      <c r="L779" s="507"/>
      <c r="M779" s="507"/>
      <c r="N779" s="507"/>
      <c r="O779" s="508"/>
      <c r="P779" s="217"/>
      <c r="Q779" s="217"/>
      <c r="R779" s="217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  <row r="780">
      <c r="A780" s="19"/>
      <c r="B780" s="19"/>
      <c r="C780" s="19"/>
      <c r="D780" s="219"/>
      <c r="E780" s="220"/>
      <c r="F780" s="221"/>
      <c r="G780" s="222"/>
      <c r="H780" s="223"/>
      <c r="I780" s="224"/>
      <c r="J780" s="507"/>
      <c r="K780" s="19"/>
      <c r="L780" s="507"/>
      <c r="M780" s="507"/>
      <c r="N780" s="507"/>
      <c r="O780" s="508"/>
      <c r="P780" s="217"/>
      <c r="Q780" s="217"/>
      <c r="R780" s="217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</row>
    <row r="781">
      <c r="A781" s="19"/>
      <c r="B781" s="19"/>
      <c r="C781" s="19"/>
      <c r="D781" s="219"/>
      <c r="E781" s="220"/>
      <c r="F781" s="221"/>
      <c r="G781" s="222"/>
      <c r="H781" s="223"/>
      <c r="I781" s="224"/>
      <c r="J781" s="507"/>
      <c r="K781" s="19"/>
      <c r="L781" s="507"/>
      <c r="M781" s="507"/>
      <c r="N781" s="507"/>
      <c r="O781" s="508"/>
      <c r="P781" s="217"/>
      <c r="Q781" s="217"/>
      <c r="R781" s="217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</row>
    <row r="782">
      <c r="A782" s="19"/>
      <c r="B782" s="19"/>
      <c r="C782" s="19"/>
      <c r="D782" s="219"/>
      <c r="E782" s="220"/>
      <c r="F782" s="221"/>
      <c r="G782" s="222"/>
      <c r="H782" s="223"/>
      <c r="I782" s="224"/>
      <c r="J782" s="507"/>
      <c r="K782" s="19"/>
      <c r="L782" s="507"/>
      <c r="M782" s="507"/>
      <c r="N782" s="507"/>
      <c r="O782" s="508"/>
      <c r="P782" s="217"/>
      <c r="Q782" s="217"/>
      <c r="R782" s="217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</row>
    <row r="783">
      <c r="A783" s="19"/>
      <c r="B783" s="19"/>
      <c r="C783" s="19"/>
      <c r="D783" s="219"/>
      <c r="E783" s="220"/>
      <c r="F783" s="221"/>
      <c r="G783" s="222"/>
      <c r="H783" s="223"/>
      <c r="I783" s="224"/>
      <c r="J783" s="507"/>
      <c r="K783" s="19"/>
      <c r="L783" s="507"/>
      <c r="M783" s="507"/>
      <c r="N783" s="507"/>
      <c r="O783" s="508"/>
      <c r="P783" s="217"/>
      <c r="Q783" s="217"/>
      <c r="R783" s="217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</row>
    <row r="784">
      <c r="A784" s="19"/>
      <c r="B784" s="19"/>
      <c r="C784" s="19"/>
      <c r="D784" s="219"/>
      <c r="E784" s="220"/>
      <c r="F784" s="221"/>
      <c r="G784" s="222"/>
      <c r="H784" s="223"/>
      <c r="I784" s="224"/>
      <c r="J784" s="507"/>
      <c r="K784" s="19"/>
      <c r="L784" s="507"/>
      <c r="M784" s="507"/>
      <c r="N784" s="507"/>
      <c r="O784" s="508"/>
      <c r="P784" s="217"/>
      <c r="Q784" s="217"/>
      <c r="R784" s="217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</row>
    <row r="785">
      <c r="A785" s="19"/>
      <c r="B785" s="19"/>
      <c r="C785" s="19"/>
      <c r="D785" s="219"/>
      <c r="E785" s="220"/>
      <c r="F785" s="221"/>
      <c r="G785" s="222"/>
      <c r="H785" s="223"/>
      <c r="I785" s="224"/>
      <c r="J785" s="507"/>
      <c r="K785" s="19"/>
      <c r="L785" s="507"/>
      <c r="M785" s="507"/>
      <c r="N785" s="507"/>
      <c r="O785" s="508"/>
      <c r="P785" s="217"/>
      <c r="Q785" s="217"/>
      <c r="R785" s="217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</row>
    <row r="786">
      <c r="A786" s="19"/>
      <c r="B786" s="19"/>
      <c r="C786" s="19"/>
      <c r="D786" s="219"/>
      <c r="E786" s="220"/>
      <c r="F786" s="221"/>
      <c r="G786" s="222"/>
      <c r="H786" s="223"/>
      <c r="I786" s="224"/>
      <c r="J786" s="507"/>
      <c r="K786" s="19"/>
      <c r="L786" s="507"/>
      <c r="M786" s="507"/>
      <c r="N786" s="507"/>
      <c r="O786" s="508"/>
      <c r="P786" s="217"/>
      <c r="Q786" s="217"/>
      <c r="R786" s="217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</row>
    <row r="787">
      <c r="A787" s="19"/>
      <c r="B787" s="19"/>
      <c r="C787" s="19"/>
      <c r="D787" s="219"/>
      <c r="E787" s="220"/>
      <c r="F787" s="221"/>
      <c r="G787" s="222"/>
      <c r="H787" s="223"/>
      <c r="I787" s="224"/>
      <c r="J787" s="507"/>
      <c r="K787" s="19"/>
      <c r="L787" s="507"/>
      <c r="M787" s="507"/>
      <c r="N787" s="507"/>
      <c r="O787" s="508"/>
      <c r="P787" s="217"/>
      <c r="Q787" s="217"/>
      <c r="R787" s="217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</row>
    <row r="788">
      <c r="A788" s="19"/>
      <c r="B788" s="19"/>
      <c r="C788" s="19"/>
      <c r="D788" s="219"/>
      <c r="E788" s="220"/>
      <c r="F788" s="221"/>
      <c r="G788" s="222"/>
      <c r="H788" s="223"/>
      <c r="I788" s="224"/>
      <c r="J788" s="507"/>
      <c r="K788" s="19"/>
      <c r="L788" s="507"/>
      <c r="M788" s="507"/>
      <c r="N788" s="507"/>
      <c r="O788" s="508"/>
      <c r="P788" s="217"/>
      <c r="Q788" s="217"/>
      <c r="R788" s="217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</row>
    <row r="789">
      <c r="A789" s="19"/>
      <c r="B789" s="19"/>
      <c r="C789" s="19"/>
      <c r="D789" s="219"/>
      <c r="E789" s="220"/>
      <c r="F789" s="221"/>
      <c r="G789" s="222"/>
      <c r="H789" s="223"/>
      <c r="I789" s="224"/>
      <c r="J789" s="507"/>
      <c r="K789" s="19"/>
      <c r="L789" s="507"/>
      <c r="M789" s="507"/>
      <c r="N789" s="507"/>
      <c r="O789" s="508"/>
      <c r="P789" s="217"/>
      <c r="Q789" s="217"/>
      <c r="R789" s="217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</row>
    <row r="790">
      <c r="A790" s="19"/>
      <c r="B790" s="19"/>
      <c r="C790" s="19"/>
      <c r="D790" s="219"/>
      <c r="E790" s="220"/>
      <c r="F790" s="221"/>
      <c r="G790" s="222"/>
      <c r="H790" s="223"/>
      <c r="I790" s="224"/>
      <c r="J790" s="507"/>
      <c r="K790" s="19"/>
      <c r="L790" s="507"/>
      <c r="M790" s="507"/>
      <c r="N790" s="507"/>
      <c r="O790" s="508"/>
      <c r="P790" s="217"/>
      <c r="Q790" s="217"/>
      <c r="R790" s="217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</row>
    <row r="791">
      <c r="A791" s="19"/>
      <c r="B791" s="19"/>
      <c r="C791" s="19"/>
      <c r="D791" s="219"/>
      <c r="E791" s="220"/>
      <c r="F791" s="221"/>
      <c r="G791" s="222"/>
      <c r="H791" s="223"/>
      <c r="I791" s="224"/>
      <c r="J791" s="507"/>
      <c r="K791" s="19"/>
      <c r="L791" s="507"/>
      <c r="M791" s="507"/>
      <c r="N791" s="507"/>
      <c r="O791" s="508"/>
      <c r="P791" s="217"/>
      <c r="Q791" s="217"/>
      <c r="R791" s="217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</row>
    <row r="792">
      <c r="A792" s="19"/>
      <c r="B792" s="19"/>
      <c r="C792" s="19"/>
      <c r="D792" s="219"/>
      <c r="E792" s="220"/>
      <c r="F792" s="221"/>
      <c r="G792" s="222"/>
      <c r="H792" s="223"/>
      <c r="I792" s="224"/>
      <c r="J792" s="507"/>
      <c r="K792" s="19"/>
      <c r="L792" s="507"/>
      <c r="M792" s="507"/>
      <c r="N792" s="507"/>
      <c r="O792" s="508"/>
      <c r="P792" s="217"/>
      <c r="Q792" s="217"/>
      <c r="R792" s="217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</row>
    <row r="793">
      <c r="A793" s="19"/>
      <c r="B793" s="19"/>
      <c r="C793" s="19"/>
      <c r="D793" s="219"/>
      <c r="E793" s="220"/>
      <c r="F793" s="221"/>
      <c r="G793" s="222"/>
      <c r="H793" s="223"/>
      <c r="I793" s="224"/>
      <c r="J793" s="507"/>
      <c r="K793" s="19"/>
      <c r="L793" s="507"/>
      <c r="M793" s="507"/>
      <c r="N793" s="507"/>
      <c r="O793" s="508"/>
      <c r="P793" s="217"/>
      <c r="Q793" s="217"/>
      <c r="R793" s="217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</row>
    <row r="794">
      <c r="A794" s="19"/>
      <c r="B794" s="19"/>
      <c r="C794" s="19"/>
      <c r="D794" s="219"/>
      <c r="E794" s="220"/>
      <c r="F794" s="221"/>
      <c r="G794" s="222"/>
      <c r="H794" s="223"/>
      <c r="I794" s="224"/>
      <c r="J794" s="507"/>
      <c r="K794" s="19"/>
      <c r="L794" s="507"/>
      <c r="M794" s="507"/>
      <c r="N794" s="507"/>
      <c r="O794" s="508"/>
      <c r="P794" s="217"/>
      <c r="Q794" s="217"/>
      <c r="R794" s="217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</row>
    <row r="795">
      <c r="A795" s="19"/>
      <c r="B795" s="19"/>
      <c r="C795" s="19"/>
      <c r="D795" s="219"/>
      <c r="E795" s="220"/>
      <c r="F795" s="221"/>
      <c r="G795" s="222"/>
      <c r="H795" s="223"/>
      <c r="I795" s="224"/>
      <c r="J795" s="507"/>
      <c r="K795" s="19"/>
      <c r="L795" s="507"/>
      <c r="M795" s="507"/>
      <c r="N795" s="507"/>
      <c r="O795" s="508"/>
      <c r="P795" s="217"/>
      <c r="Q795" s="217"/>
      <c r="R795" s="217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</row>
    <row r="796">
      <c r="A796" s="19"/>
      <c r="B796" s="19"/>
      <c r="C796" s="19"/>
      <c r="D796" s="219"/>
      <c r="E796" s="220"/>
      <c r="F796" s="221"/>
      <c r="G796" s="222"/>
      <c r="H796" s="223"/>
      <c r="I796" s="224"/>
      <c r="J796" s="507"/>
      <c r="K796" s="19"/>
      <c r="L796" s="507"/>
      <c r="M796" s="507"/>
      <c r="N796" s="507"/>
      <c r="O796" s="508"/>
      <c r="P796" s="217"/>
      <c r="Q796" s="217"/>
      <c r="R796" s="217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</row>
    <row r="797">
      <c r="A797" s="19"/>
      <c r="B797" s="19"/>
      <c r="C797" s="19"/>
      <c r="D797" s="219"/>
      <c r="E797" s="220"/>
      <c r="F797" s="221"/>
      <c r="G797" s="222"/>
      <c r="H797" s="223"/>
      <c r="I797" s="224"/>
      <c r="J797" s="507"/>
      <c r="K797" s="19"/>
      <c r="L797" s="507"/>
      <c r="M797" s="507"/>
      <c r="N797" s="507"/>
      <c r="O797" s="508"/>
      <c r="P797" s="217"/>
      <c r="Q797" s="217"/>
      <c r="R797" s="217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</row>
    <row r="798">
      <c r="A798" s="19"/>
      <c r="B798" s="19"/>
      <c r="C798" s="19"/>
      <c r="D798" s="219"/>
      <c r="E798" s="220"/>
      <c r="F798" s="221"/>
      <c r="G798" s="222"/>
      <c r="H798" s="223"/>
      <c r="I798" s="224"/>
      <c r="J798" s="507"/>
      <c r="K798" s="19"/>
      <c r="L798" s="507"/>
      <c r="M798" s="507"/>
      <c r="N798" s="507"/>
      <c r="O798" s="508"/>
      <c r="P798" s="217"/>
      <c r="Q798" s="217"/>
      <c r="R798" s="217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</row>
    <row r="799">
      <c r="A799" s="19"/>
      <c r="B799" s="19"/>
      <c r="C799" s="19"/>
      <c r="D799" s="219"/>
      <c r="E799" s="220"/>
      <c r="F799" s="221"/>
      <c r="G799" s="222"/>
      <c r="H799" s="223"/>
      <c r="I799" s="224"/>
      <c r="J799" s="507"/>
      <c r="K799" s="19"/>
      <c r="L799" s="507"/>
      <c r="M799" s="507"/>
      <c r="N799" s="507"/>
      <c r="O799" s="508"/>
      <c r="P799" s="217"/>
      <c r="Q799" s="217"/>
      <c r="R799" s="217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</row>
    <row r="800">
      <c r="A800" s="19"/>
      <c r="B800" s="19"/>
      <c r="C800" s="19"/>
      <c r="D800" s="219"/>
      <c r="E800" s="220"/>
      <c r="F800" s="221"/>
      <c r="G800" s="222"/>
      <c r="H800" s="223"/>
      <c r="I800" s="224"/>
      <c r="J800" s="507"/>
      <c r="K800" s="19"/>
      <c r="L800" s="507"/>
      <c r="M800" s="507"/>
      <c r="N800" s="507"/>
      <c r="O800" s="508"/>
      <c r="P800" s="217"/>
      <c r="Q800" s="217"/>
      <c r="R800" s="217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</row>
    <row r="801">
      <c r="A801" s="19"/>
      <c r="B801" s="19"/>
      <c r="C801" s="19"/>
      <c r="D801" s="219"/>
      <c r="E801" s="220"/>
      <c r="F801" s="221"/>
      <c r="G801" s="222"/>
      <c r="H801" s="223"/>
      <c r="I801" s="224"/>
      <c r="J801" s="507"/>
      <c r="K801" s="19"/>
      <c r="L801" s="507"/>
      <c r="M801" s="507"/>
      <c r="N801" s="507"/>
      <c r="O801" s="508"/>
      <c r="P801" s="217"/>
      <c r="Q801" s="217"/>
      <c r="R801" s="217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</row>
    <row r="802">
      <c r="A802" s="19"/>
      <c r="B802" s="19"/>
      <c r="C802" s="19"/>
      <c r="D802" s="219"/>
      <c r="E802" s="220"/>
      <c r="F802" s="221"/>
      <c r="G802" s="222"/>
      <c r="H802" s="223"/>
      <c r="I802" s="224"/>
      <c r="J802" s="507"/>
      <c r="K802" s="19"/>
      <c r="L802" s="507"/>
      <c r="M802" s="507"/>
      <c r="N802" s="507"/>
      <c r="O802" s="508"/>
      <c r="P802" s="217"/>
      <c r="Q802" s="217"/>
      <c r="R802" s="217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</row>
    <row r="803">
      <c r="A803" s="19"/>
      <c r="B803" s="19"/>
      <c r="C803" s="19"/>
      <c r="D803" s="219"/>
      <c r="E803" s="220"/>
      <c r="F803" s="221"/>
      <c r="G803" s="222"/>
      <c r="H803" s="223"/>
      <c r="I803" s="224"/>
      <c r="J803" s="507"/>
      <c r="K803" s="19"/>
      <c r="L803" s="507"/>
      <c r="M803" s="507"/>
      <c r="N803" s="507"/>
      <c r="O803" s="508"/>
      <c r="P803" s="217"/>
      <c r="Q803" s="217"/>
      <c r="R803" s="217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</row>
    <row r="804">
      <c r="A804" s="19"/>
      <c r="B804" s="19"/>
      <c r="C804" s="19"/>
      <c r="D804" s="219"/>
      <c r="E804" s="220"/>
      <c r="F804" s="221"/>
      <c r="G804" s="222"/>
      <c r="H804" s="223"/>
      <c r="I804" s="224"/>
      <c r="J804" s="507"/>
      <c r="K804" s="19"/>
      <c r="L804" s="507"/>
      <c r="M804" s="507"/>
      <c r="N804" s="507"/>
      <c r="O804" s="508"/>
      <c r="P804" s="217"/>
      <c r="Q804" s="217"/>
      <c r="R804" s="217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</row>
    <row r="805">
      <c r="A805" s="19"/>
      <c r="B805" s="19"/>
      <c r="C805" s="19"/>
      <c r="D805" s="219"/>
      <c r="E805" s="220"/>
      <c r="F805" s="221"/>
      <c r="G805" s="222"/>
      <c r="H805" s="223"/>
      <c r="I805" s="224"/>
      <c r="J805" s="507"/>
      <c r="K805" s="19"/>
      <c r="L805" s="507"/>
      <c r="M805" s="507"/>
      <c r="N805" s="507"/>
      <c r="O805" s="508"/>
      <c r="P805" s="217"/>
      <c r="Q805" s="217"/>
      <c r="R805" s="217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</row>
    <row r="806">
      <c r="A806" s="19"/>
      <c r="B806" s="19"/>
      <c r="C806" s="19"/>
      <c r="D806" s="219"/>
      <c r="E806" s="220"/>
      <c r="F806" s="221"/>
      <c r="G806" s="222"/>
      <c r="H806" s="223"/>
      <c r="I806" s="224"/>
      <c r="J806" s="507"/>
      <c r="K806" s="19"/>
      <c r="L806" s="507"/>
      <c r="M806" s="507"/>
      <c r="N806" s="507"/>
      <c r="O806" s="508"/>
      <c r="P806" s="217"/>
      <c r="Q806" s="217"/>
      <c r="R806" s="217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</row>
    <row r="807">
      <c r="A807" s="19"/>
      <c r="B807" s="19"/>
      <c r="C807" s="19"/>
      <c r="D807" s="219"/>
      <c r="E807" s="220"/>
      <c r="F807" s="221"/>
      <c r="G807" s="222"/>
      <c r="H807" s="223"/>
      <c r="I807" s="224"/>
      <c r="J807" s="507"/>
      <c r="K807" s="19"/>
      <c r="L807" s="507"/>
      <c r="M807" s="507"/>
      <c r="N807" s="507"/>
      <c r="O807" s="508"/>
      <c r="P807" s="217"/>
      <c r="Q807" s="217"/>
      <c r="R807" s="217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</row>
    <row r="808">
      <c r="A808" s="19"/>
      <c r="B808" s="19"/>
      <c r="C808" s="19"/>
      <c r="D808" s="219"/>
      <c r="E808" s="220"/>
      <c r="F808" s="221"/>
      <c r="G808" s="222"/>
      <c r="H808" s="223"/>
      <c r="I808" s="224"/>
      <c r="J808" s="507"/>
      <c r="K808" s="19"/>
      <c r="L808" s="507"/>
      <c r="M808" s="507"/>
      <c r="N808" s="507"/>
      <c r="O808" s="508"/>
      <c r="P808" s="217"/>
      <c r="Q808" s="217"/>
      <c r="R808" s="217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</row>
    <row r="809">
      <c r="A809" s="19"/>
      <c r="B809" s="19"/>
      <c r="C809" s="19"/>
      <c r="D809" s="219"/>
      <c r="E809" s="220"/>
      <c r="F809" s="221"/>
      <c r="G809" s="222"/>
      <c r="H809" s="223"/>
      <c r="I809" s="224"/>
      <c r="J809" s="507"/>
      <c r="K809" s="19"/>
      <c r="L809" s="507"/>
      <c r="M809" s="507"/>
      <c r="N809" s="507"/>
      <c r="O809" s="508"/>
      <c r="P809" s="217"/>
      <c r="Q809" s="217"/>
      <c r="R809" s="217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</row>
    <row r="810">
      <c r="A810" s="19"/>
      <c r="B810" s="19"/>
      <c r="C810" s="19"/>
      <c r="D810" s="219"/>
      <c r="E810" s="220"/>
      <c r="F810" s="221"/>
      <c r="G810" s="222"/>
      <c r="H810" s="223"/>
      <c r="I810" s="224"/>
      <c r="J810" s="507"/>
      <c r="K810" s="19"/>
      <c r="L810" s="507"/>
      <c r="M810" s="507"/>
      <c r="N810" s="507"/>
      <c r="O810" s="508"/>
      <c r="P810" s="217"/>
      <c r="Q810" s="217"/>
      <c r="R810" s="217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</row>
    <row r="811">
      <c r="A811" s="19"/>
      <c r="B811" s="19"/>
      <c r="C811" s="19"/>
      <c r="D811" s="219"/>
      <c r="E811" s="220"/>
      <c r="F811" s="221"/>
      <c r="G811" s="222"/>
      <c r="H811" s="223"/>
      <c r="I811" s="224"/>
      <c r="J811" s="507"/>
      <c r="K811" s="19"/>
      <c r="L811" s="507"/>
      <c r="M811" s="507"/>
      <c r="N811" s="507"/>
      <c r="O811" s="508"/>
      <c r="P811" s="217"/>
      <c r="Q811" s="217"/>
      <c r="R811" s="217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</row>
    <row r="812">
      <c r="A812" s="19"/>
      <c r="B812" s="19"/>
      <c r="C812" s="19"/>
      <c r="D812" s="219"/>
      <c r="E812" s="220"/>
      <c r="F812" s="221"/>
      <c r="G812" s="222"/>
      <c r="H812" s="223"/>
      <c r="I812" s="224"/>
      <c r="J812" s="507"/>
      <c r="K812" s="19"/>
      <c r="L812" s="507"/>
      <c r="M812" s="507"/>
      <c r="N812" s="507"/>
      <c r="O812" s="508"/>
      <c r="P812" s="217"/>
      <c r="Q812" s="217"/>
      <c r="R812" s="217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</row>
    <row r="813">
      <c r="A813" s="19"/>
      <c r="B813" s="19"/>
      <c r="C813" s="19"/>
      <c r="D813" s="219"/>
      <c r="E813" s="220"/>
      <c r="F813" s="221"/>
      <c r="G813" s="222"/>
      <c r="H813" s="223"/>
      <c r="I813" s="224"/>
      <c r="J813" s="507"/>
      <c r="K813" s="19"/>
      <c r="L813" s="507"/>
      <c r="M813" s="507"/>
      <c r="N813" s="507"/>
      <c r="O813" s="508"/>
      <c r="P813" s="217"/>
      <c r="Q813" s="217"/>
      <c r="R813" s="217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</row>
    <row r="814">
      <c r="A814" s="19"/>
      <c r="B814" s="19"/>
      <c r="C814" s="19"/>
      <c r="D814" s="219"/>
      <c r="E814" s="220"/>
      <c r="F814" s="221"/>
      <c r="G814" s="222"/>
      <c r="H814" s="223"/>
      <c r="I814" s="224"/>
      <c r="J814" s="507"/>
      <c r="K814" s="19"/>
      <c r="L814" s="507"/>
      <c r="M814" s="507"/>
      <c r="N814" s="507"/>
      <c r="O814" s="508"/>
      <c r="P814" s="217"/>
      <c r="Q814" s="217"/>
      <c r="R814" s="217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</row>
    <row r="815">
      <c r="A815" s="19"/>
      <c r="B815" s="19"/>
      <c r="C815" s="19"/>
      <c r="D815" s="219"/>
      <c r="E815" s="220"/>
      <c r="F815" s="221"/>
      <c r="G815" s="222"/>
      <c r="H815" s="223"/>
      <c r="I815" s="224"/>
      <c r="J815" s="507"/>
      <c r="K815" s="19"/>
      <c r="L815" s="507"/>
      <c r="M815" s="507"/>
      <c r="N815" s="507"/>
      <c r="O815" s="508"/>
      <c r="P815" s="217"/>
      <c r="Q815" s="217"/>
      <c r="R815" s="217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</row>
    <row r="816">
      <c r="A816" s="19"/>
      <c r="B816" s="19"/>
      <c r="C816" s="19"/>
      <c r="D816" s="219"/>
      <c r="E816" s="220"/>
      <c r="F816" s="221"/>
      <c r="G816" s="222"/>
      <c r="H816" s="223"/>
      <c r="I816" s="224"/>
      <c r="J816" s="507"/>
      <c r="K816" s="19"/>
      <c r="L816" s="507"/>
      <c r="M816" s="507"/>
      <c r="N816" s="507"/>
      <c r="O816" s="508"/>
      <c r="P816" s="217"/>
      <c r="Q816" s="217"/>
      <c r="R816" s="217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</row>
    <row r="817">
      <c r="A817" s="19"/>
      <c r="B817" s="19"/>
      <c r="C817" s="19"/>
      <c r="D817" s="219"/>
      <c r="E817" s="220"/>
      <c r="F817" s="221"/>
      <c r="G817" s="222"/>
      <c r="H817" s="223"/>
      <c r="I817" s="224"/>
      <c r="J817" s="507"/>
      <c r="K817" s="19"/>
      <c r="L817" s="507"/>
      <c r="M817" s="507"/>
      <c r="N817" s="507"/>
      <c r="O817" s="508"/>
      <c r="P817" s="217"/>
      <c r="Q817" s="217"/>
      <c r="R817" s="217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</row>
    <row r="818">
      <c r="A818" s="19"/>
      <c r="B818" s="19"/>
      <c r="C818" s="19"/>
      <c r="D818" s="219"/>
      <c r="E818" s="220"/>
      <c r="F818" s="221"/>
      <c r="G818" s="222"/>
      <c r="H818" s="223"/>
      <c r="I818" s="224"/>
      <c r="J818" s="507"/>
      <c r="K818" s="19"/>
      <c r="L818" s="507"/>
      <c r="M818" s="507"/>
      <c r="N818" s="507"/>
      <c r="O818" s="508"/>
      <c r="P818" s="217"/>
      <c r="Q818" s="217"/>
      <c r="R818" s="217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</row>
    <row r="819">
      <c r="A819" s="19"/>
      <c r="B819" s="19"/>
      <c r="C819" s="19"/>
      <c r="D819" s="219"/>
      <c r="E819" s="220"/>
      <c r="F819" s="221"/>
      <c r="G819" s="222"/>
      <c r="H819" s="223"/>
      <c r="I819" s="224"/>
      <c r="J819" s="507"/>
      <c r="K819" s="19"/>
      <c r="L819" s="507"/>
      <c r="M819" s="507"/>
      <c r="N819" s="507"/>
      <c r="O819" s="508"/>
      <c r="P819" s="217"/>
      <c r="Q819" s="217"/>
      <c r="R819" s="217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</row>
    <row r="820">
      <c r="A820" s="19"/>
      <c r="B820" s="19"/>
      <c r="C820" s="19"/>
      <c r="D820" s="219"/>
      <c r="E820" s="220"/>
      <c r="F820" s="221"/>
      <c r="G820" s="222"/>
      <c r="H820" s="223"/>
      <c r="I820" s="224"/>
      <c r="J820" s="507"/>
      <c r="K820" s="19"/>
      <c r="L820" s="507"/>
      <c r="M820" s="507"/>
      <c r="N820" s="507"/>
      <c r="O820" s="508"/>
      <c r="P820" s="217"/>
      <c r="Q820" s="217"/>
      <c r="R820" s="217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</row>
    <row r="821">
      <c r="A821" s="19"/>
      <c r="B821" s="19"/>
      <c r="C821" s="19"/>
      <c r="D821" s="219"/>
      <c r="E821" s="220"/>
      <c r="F821" s="221"/>
      <c r="G821" s="222"/>
      <c r="H821" s="223"/>
      <c r="I821" s="224"/>
      <c r="J821" s="507"/>
      <c r="K821" s="19"/>
      <c r="L821" s="507"/>
      <c r="M821" s="507"/>
      <c r="N821" s="507"/>
      <c r="O821" s="508"/>
      <c r="P821" s="217"/>
      <c r="Q821" s="217"/>
      <c r="R821" s="217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</row>
    <row r="822">
      <c r="A822" s="19"/>
      <c r="B822" s="19"/>
      <c r="C822" s="19"/>
      <c r="D822" s="219"/>
      <c r="E822" s="220"/>
      <c r="F822" s="221"/>
      <c r="G822" s="222"/>
      <c r="H822" s="223"/>
      <c r="I822" s="224"/>
      <c r="J822" s="507"/>
      <c r="K822" s="19"/>
      <c r="L822" s="507"/>
      <c r="M822" s="507"/>
      <c r="N822" s="507"/>
      <c r="O822" s="508"/>
      <c r="P822" s="217"/>
      <c r="Q822" s="217"/>
      <c r="R822" s="217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</row>
    <row r="823">
      <c r="A823" s="19"/>
      <c r="B823" s="19"/>
      <c r="C823" s="19"/>
      <c r="D823" s="219"/>
      <c r="E823" s="220"/>
      <c r="F823" s="221"/>
      <c r="G823" s="222"/>
      <c r="H823" s="223"/>
      <c r="I823" s="224"/>
      <c r="J823" s="507"/>
      <c r="K823" s="19"/>
      <c r="L823" s="507"/>
      <c r="M823" s="507"/>
      <c r="N823" s="507"/>
      <c r="O823" s="508"/>
      <c r="P823" s="217"/>
      <c r="Q823" s="217"/>
      <c r="R823" s="217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</row>
    <row r="824">
      <c r="A824" s="19"/>
      <c r="B824" s="19"/>
      <c r="C824" s="19"/>
      <c r="D824" s="219"/>
      <c r="E824" s="220"/>
      <c r="F824" s="221"/>
      <c r="G824" s="222"/>
      <c r="H824" s="223"/>
      <c r="I824" s="224"/>
      <c r="J824" s="507"/>
      <c r="K824" s="19"/>
      <c r="L824" s="507"/>
      <c r="M824" s="507"/>
      <c r="N824" s="507"/>
      <c r="O824" s="508"/>
      <c r="P824" s="217"/>
      <c r="Q824" s="217"/>
      <c r="R824" s="217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</row>
    <row r="825">
      <c r="A825" s="19"/>
      <c r="B825" s="19"/>
      <c r="C825" s="19"/>
      <c r="D825" s="219"/>
      <c r="E825" s="220"/>
      <c r="F825" s="221"/>
      <c r="G825" s="222"/>
      <c r="H825" s="223"/>
      <c r="I825" s="224"/>
      <c r="J825" s="507"/>
      <c r="K825" s="19"/>
      <c r="L825" s="507"/>
      <c r="M825" s="507"/>
      <c r="N825" s="507"/>
      <c r="O825" s="508"/>
      <c r="P825" s="217"/>
      <c r="Q825" s="217"/>
      <c r="R825" s="217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</row>
    <row r="826">
      <c r="A826" s="19"/>
      <c r="B826" s="19"/>
      <c r="C826" s="19"/>
      <c r="D826" s="219"/>
      <c r="E826" s="220"/>
      <c r="F826" s="221"/>
      <c r="G826" s="222"/>
      <c r="H826" s="223"/>
      <c r="I826" s="224"/>
      <c r="J826" s="507"/>
      <c r="K826" s="19"/>
      <c r="L826" s="507"/>
      <c r="M826" s="507"/>
      <c r="N826" s="507"/>
      <c r="O826" s="508"/>
      <c r="P826" s="217"/>
      <c r="Q826" s="217"/>
      <c r="R826" s="217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</row>
    <row r="827">
      <c r="A827" s="19"/>
      <c r="B827" s="19"/>
      <c r="C827" s="19"/>
      <c r="D827" s="219"/>
      <c r="E827" s="220"/>
      <c r="F827" s="221"/>
      <c r="G827" s="222"/>
      <c r="H827" s="223"/>
      <c r="I827" s="224"/>
      <c r="J827" s="507"/>
      <c r="K827" s="19"/>
      <c r="L827" s="507"/>
      <c r="M827" s="507"/>
      <c r="N827" s="507"/>
      <c r="O827" s="508"/>
      <c r="P827" s="217"/>
      <c r="Q827" s="217"/>
      <c r="R827" s="217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</row>
    <row r="828">
      <c r="A828" s="19"/>
      <c r="B828" s="19"/>
      <c r="C828" s="19"/>
      <c r="D828" s="219"/>
      <c r="E828" s="220"/>
      <c r="F828" s="221"/>
      <c r="G828" s="222"/>
      <c r="H828" s="223"/>
      <c r="I828" s="224"/>
      <c r="J828" s="507"/>
      <c r="K828" s="19"/>
      <c r="L828" s="507"/>
      <c r="M828" s="507"/>
      <c r="N828" s="507"/>
      <c r="O828" s="508"/>
      <c r="P828" s="217"/>
      <c r="Q828" s="217"/>
      <c r="R828" s="217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</row>
    <row r="829">
      <c r="A829" s="19"/>
      <c r="B829" s="19"/>
      <c r="C829" s="19"/>
      <c r="D829" s="219"/>
      <c r="E829" s="220"/>
      <c r="F829" s="221"/>
      <c r="G829" s="222"/>
      <c r="H829" s="223"/>
      <c r="I829" s="224"/>
      <c r="J829" s="507"/>
      <c r="K829" s="19"/>
      <c r="L829" s="507"/>
      <c r="M829" s="507"/>
      <c r="N829" s="507"/>
      <c r="O829" s="508"/>
      <c r="P829" s="217"/>
      <c r="Q829" s="217"/>
      <c r="R829" s="217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</row>
    <row r="830">
      <c r="A830" s="19"/>
      <c r="B830" s="19"/>
      <c r="C830" s="19"/>
      <c r="D830" s="219"/>
      <c r="E830" s="220"/>
      <c r="F830" s="221"/>
      <c r="G830" s="222"/>
      <c r="H830" s="223"/>
      <c r="I830" s="224"/>
      <c r="J830" s="507"/>
      <c r="K830" s="19"/>
      <c r="L830" s="507"/>
      <c r="M830" s="507"/>
      <c r="N830" s="507"/>
      <c r="O830" s="508"/>
      <c r="P830" s="217"/>
      <c r="Q830" s="217"/>
      <c r="R830" s="217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</row>
    <row r="831">
      <c r="A831" s="19"/>
      <c r="B831" s="19"/>
      <c r="C831" s="19"/>
      <c r="D831" s="219"/>
      <c r="E831" s="220"/>
      <c r="F831" s="221"/>
      <c r="G831" s="222"/>
      <c r="H831" s="223"/>
      <c r="I831" s="224"/>
      <c r="J831" s="507"/>
      <c r="K831" s="19"/>
      <c r="L831" s="507"/>
      <c r="M831" s="507"/>
      <c r="N831" s="507"/>
      <c r="O831" s="508"/>
      <c r="P831" s="217"/>
      <c r="Q831" s="217"/>
      <c r="R831" s="217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</row>
    <row r="832">
      <c r="A832" s="19"/>
      <c r="B832" s="19"/>
      <c r="C832" s="19"/>
      <c r="D832" s="219"/>
      <c r="E832" s="220"/>
      <c r="F832" s="221"/>
      <c r="G832" s="222"/>
      <c r="H832" s="223"/>
      <c r="I832" s="224"/>
      <c r="J832" s="507"/>
      <c r="K832" s="19"/>
      <c r="L832" s="507"/>
      <c r="M832" s="507"/>
      <c r="N832" s="507"/>
      <c r="O832" s="508"/>
      <c r="P832" s="217"/>
      <c r="Q832" s="217"/>
      <c r="R832" s="217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</row>
    <row r="833">
      <c r="A833" s="19"/>
      <c r="B833" s="19"/>
      <c r="C833" s="19"/>
      <c r="D833" s="219"/>
      <c r="E833" s="220"/>
      <c r="F833" s="221"/>
      <c r="G833" s="222"/>
      <c r="H833" s="223"/>
      <c r="I833" s="224"/>
      <c r="J833" s="507"/>
      <c r="K833" s="19"/>
      <c r="L833" s="507"/>
      <c r="M833" s="507"/>
      <c r="N833" s="507"/>
      <c r="O833" s="508"/>
      <c r="P833" s="217"/>
      <c r="Q833" s="217"/>
      <c r="R833" s="217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</row>
    <row r="834">
      <c r="A834" s="19"/>
      <c r="B834" s="19"/>
      <c r="C834" s="19"/>
      <c r="D834" s="219"/>
      <c r="E834" s="220"/>
      <c r="F834" s="221"/>
      <c r="G834" s="222"/>
      <c r="H834" s="223"/>
      <c r="I834" s="224"/>
      <c r="J834" s="507"/>
      <c r="K834" s="19"/>
      <c r="L834" s="507"/>
      <c r="M834" s="507"/>
      <c r="N834" s="507"/>
      <c r="O834" s="508"/>
      <c r="P834" s="217"/>
      <c r="Q834" s="217"/>
      <c r="R834" s="217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</row>
    <row r="835">
      <c r="A835" s="19"/>
      <c r="B835" s="19"/>
      <c r="C835" s="19"/>
      <c r="D835" s="219"/>
      <c r="E835" s="220"/>
      <c r="F835" s="221"/>
      <c r="G835" s="222"/>
      <c r="H835" s="223"/>
      <c r="I835" s="224"/>
      <c r="J835" s="507"/>
      <c r="K835" s="19"/>
      <c r="L835" s="507"/>
      <c r="M835" s="507"/>
      <c r="N835" s="507"/>
      <c r="O835" s="508"/>
      <c r="P835" s="217"/>
      <c r="Q835" s="217"/>
      <c r="R835" s="217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</row>
    <row r="836">
      <c r="A836" s="19"/>
      <c r="B836" s="19"/>
      <c r="C836" s="19"/>
      <c r="D836" s="219"/>
      <c r="E836" s="220"/>
      <c r="F836" s="221"/>
      <c r="G836" s="222"/>
      <c r="H836" s="223"/>
      <c r="I836" s="224"/>
      <c r="J836" s="507"/>
      <c r="K836" s="19"/>
      <c r="L836" s="507"/>
      <c r="M836" s="507"/>
      <c r="N836" s="507"/>
      <c r="O836" s="508"/>
      <c r="P836" s="217"/>
      <c r="Q836" s="217"/>
      <c r="R836" s="217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</row>
    <row r="837">
      <c r="A837" s="19"/>
      <c r="B837" s="19"/>
      <c r="C837" s="19"/>
      <c r="D837" s="219"/>
      <c r="E837" s="220"/>
      <c r="F837" s="221"/>
      <c r="G837" s="222"/>
      <c r="H837" s="223"/>
      <c r="I837" s="224"/>
      <c r="J837" s="507"/>
      <c r="K837" s="19"/>
      <c r="L837" s="507"/>
      <c r="M837" s="507"/>
      <c r="N837" s="507"/>
      <c r="O837" s="508"/>
      <c r="P837" s="217"/>
      <c r="Q837" s="217"/>
      <c r="R837" s="217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</row>
    <row r="838">
      <c r="A838" s="19"/>
      <c r="B838" s="19"/>
      <c r="C838" s="19"/>
      <c r="D838" s="219"/>
      <c r="E838" s="220"/>
      <c r="F838" s="221"/>
      <c r="G838" s="222"/>
      <c r="H838" s="223"/>
      <c r="I838" s="224"/>
      <c r="J838" s="507"/>
      <c r="K838" s="19"/>
      <c r="L838" s="507"/>
      <c r="M838" s="507"/>
      <c r="N838" s="507"/>
      <c r="O838" s="508"/>
      <c r="P838" s="217"/>
      <c r="Q838" s="217"/>
      <c r="R838" s="217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</row>
    <row r="839">
      <c r="A839" s="19"/>
      <c r="B839" s="19"/>
      <c r="C839" s="19"/>
      <c r="D839" s="219"/>
      <c r="E839" s="220"/>
      <c r="F839" s="221"/>
      <c r="G839" s="222"/>
      <c r="H839" s="223"/>
      <c r="I839" s="224"/>
      <c r="J839" s="507"/>
      <c r="K839" s="19"/>
      <c r="L839" s="507"/>
      <c r="M839" s="507"/>
      <c r="N839" s="507"/>
      <c r="O839" s="508"/>
      <c r="P839" s="217"/>
      <c r="Q839" s="217"/>
      <c r="R839" s="217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</row>
    <row r="840">
      <c r="A840" s="19"/>
      <c r="B840" s="19"/>
      <c r="C840" s="19"/>
      <c r="D840" s="219"/>
      <c r="E840" s="220"/>
      <c r="F840" s="221"/>
      <c r="G840" s="222"/>
      <c r="H840" s="223"/>
      <c r="I840" s="224"/>
      <c r="J840" s="507"/>
      <c r="K840" s="19"/>
      <c r="L840" s="507"/>
      <c r="M840" s="507"/>
      <c r="N840" s="507"/>
      <c r="O840" s="508"/>
      <c r="P840" s="217"/>
      <c r="Q840" s="217"/>
      <c r="R840" s="217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</row>
    <row r="841">
      <c r="A841" s="19"/>
      <c r="B841" s="19"/>
      <c r="C841" s="19"/>
      <c r="D841" s="219"/>
      <c r="E841" s="220"/>
      <c r="F841" s="221"/>
      <c r="G841" s="222"/>
      <c r="H841" s="223"/>
      <c r="I841" s="224"/>
      <c r="J841" s="507"/>
      <c r="K841" s="19"/>
      <c r="L841" s="507"/>
      <c r="M841" s="507"/>
      <c r="N841" s="507"/>
      <c r="O841" s="508"/>
      <c r="P841" s="217"/>
      <c r="Q841" s="217"/>
      <c r="R841" s="217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</row>
    <row r="842">
      <c r="A842" s="19"/>
      <c r="B842" s="19"/>
      <c r="C842" s="19"/>
      <c r="D842" s="219"/>
      <c r="E842" s="220"/>
      <c r="F842" s="221"/>
      <c r="G842" s="222"/>
      <c r="H842" s="223"/>
      <c r="I842" s="224"/>
      <c r="J842" s="507"/>
      <c r="K842" s="19"/>
      <c r="L842" s="507"/>
      <c r="M842" s="507"/>
      <c r="N842" s="507"/>
      <c r="O842" s="508"/>
      <c r="P842" s="217"/>
      <c r="Q842" s="217"/>
      <c r="R842" s="217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</row>
    <row r="843">
      <c r="A843" s="19"/>
      <c r="B843" s="19"/>
      <c r="C843" s="19"/>
      <c r="D843" s="219"/>
      <c r="E843" s="220"/>
      <c r="F843" s="221"/>
      <c r="G843" s="222"/>
      <c r="H843" s="223"/>
      <c r="I843" s="224"/>
      <c r="J843" s="507"/>
      <c r="K843" s="19"/>
      <c r="L843" s="507"/>
      <c r="M843" s="507"/>
      <c r="N843" s="507"/>
      <c r="O843" s="508"/>
      <c r="P843" s="217"/>
      <c r="Q843" s="217"/>
      <c r="R843" s="217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</row>
    <row r="844">
      <c r="A844" s="19"/>
      <c r="B844" s="19"/>
      <c r="C844" s="19"/>
      <c r="D844" s="219"/>
      <c r="E844" s="220"/>
      <c r="F844" s="221"/>
      <c r="G844" s="222"/>
      <c r="H844" s="223"/>
      <c r="I844" s="224"/>
      <c r="J844" s="507"/>
      <c r="K844" s="19"/>
      <c r="L844" s="507"/>
      <c r="M844" s="507"/>
      <c r="N844" s="507"/>
      <c r="O844" s="508"/>
      <c r="P844" s="217"/>
      <c r="Q844" s="217"/>
      <c r="R844" s="217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</row>
    <row r="845">
      <c r="A845" s="19"/>
      <c r="B845" s="19"/>
      <c r="C845" s="19"/>
      <c r="D845" s="219"/>
      <c r="E845" s="220"/>
      <c r="F845" s="221"/>
      <c r="G845" s="222"/>
      <c r="H845" s="223"/>
      <c r="I845" s="224"/>
      <c r="J845" s="507"/>
      <c r="K845" s="19"/>
      <c r="L845" s="507"/>
      <c r="M845" s="507"/>
      <c r="N845" s="507"/>
      <c r="O845" s="508"/>
      <c r="P845" s="217"/>
      <c r="Q845" s="217"/>
      <c r="R845" s="217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</row>
    <row r="846">
      <c r="A846" s="19"/>
      <c r="B846" s="19"/>
      <c r="C846" s="19"/>
      <c r="D846" s="219"/>
      <c r="E846" s="220"/>
      <c r="F846" s="221"/>
      <c r="G846" s="222"/>
      <c r="H846" s="223"/>
      <c r="I846" s="224"/>
      <c r="J846" s="507"/>
      <c r="K846" s="19"/>
      <c r="L846" s="507"/>
      <c r="M846" s="507"/>
      <c r="N846" s="507"/>
      <c r="O846" s="508"/>
      <c r="P846" s="217"/>
      <c r="Q846" s="217"/>
      <c r="R846" s="217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</row>
    <row r="847">
      <c r="A847" s="19"/>
      <c r="B847" s="19"/>
      <c r="C847" s="19"/>
      <c r="D847" s="219"/>
      <c r="E847" s="220"/>
      <c r="F847" s="221"/>
      <c r="G847" s="222"/>
      <c r="H847" s="223"/>
      <c r="I847" s="224"/>
      <c r="J847" s="507"/>
      <c r="K847" s="19"/>
      <c r="L847" s="507"/>
      <c r="M847" s="507"/>
      <c r="N847" s="507"/>
      <c r="O847" s="508"/>
      <c r="P847" s="217"/>
      <c r="Q847" s="217"/>
      <c r="R847" s="217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</row>
    <row r="848">
      <c r="A848" s="19"/>
      <c r="B848" s="19"/>
      <c r="C848" s="19"/>
      <c r="D848" s="219"/>
      <c r="E848" s="220"/>
      <c r="F848" s="221"/>
      <c r="G848" s="222"/>
      <c r="H848" s="223"/>
      <c r="I848" s="224"/>
      <c r="J848" s="507"/>
      <c r="K848" s="19"/>
      <c r="L848" s="507"/>
      <c r="M848" s="507"/>
      <c r="N848" s="507"/>
      <c r="O848" s="508"/>
      <c r="P848" s="217"/>
      <c r="Q848" s="217"/>
      <c r="R848" s="217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</row>
    <row r="849">
      <c r="A849" s="19"/>
      <c r="B849" s="19"/>
      <c r="C849" s="19"/>
      <c r="D849" s="219"/>
      <c r="E849" s="220"/>
      <c r="F849" s="221"/>
      <c r="G849" s="222"/>
      <c r="H849" s="223"/>
      <c r="I849" s="224"/>
      <c r="J849" s="507"/>
      <c r="K849" s="19"/>
      <c r="L849" s="507"/>
      <c r="M849" s="507"/>
      <c r="N849" s="507"/>
      <c r="O849" s="508"/>
      <c r="P849" s="217"/>
      <c r="Q849" s="217"/>
      <c r="R849" s="217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</row>
    <row r="850">
      <c r="A850" s="19"/>
      <c r="B850" s="19"/>
      <c r="C850" s="19"/>
      <c r="D850" s="219"/>
      <c r="E850" s="220"/>
      <c r="F850" s="221"/>
      <c r="G850" s="222"/>
      <c r="H850" s="223"/>
      <c r="I850" s="224"/>
      <c r="J850" s="507"/>
      <c r="K850" s="19"/>
      <c r="L850" s="507"/>
      <c r="M850" s="507"/>
      <c r="N850" s="507"/>
      <c r="O850" s="508"/>
      <c r="P850" s="217"/>
      <c r="Q850" s="217"/>
      <c r="R850" s="217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</row>
    <row r="851">
      <c r="A851" s="19"/>
      <c r="B851" s="19"/>
      <c r="C851" s="19"/>
      <c r="D851" s="219"/>
      <c r="E851" s="220"/>
      <c r="F851" s="221"/>
      <c r="G851" s="222"/>
      <c r="H851" s="223"/>
      <c r="I851" s="224"/>
      <c r="J851" s="507"/>
      <c r="K851" s="19"/>
      <c r="L851" s="507"/>
      <c r="M851" s="507"/>
      <c r="N851" s="507"/>
      <c r="O851" s="508"/>
      <c r="P851" s="217"/>
      <c r="Q851" s="217"/>
      <c r="R851" s="217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</row>
    <row r="852">
      <c r="A852" s="19"/>
      <c r="B852" s="19"/>
      <c r="C852" s="19"/>
      <c r="D852" s="219"/>
      <c r="E852" s="220"/>
      <c r="F852" s="221"/>
      <c r="G852" s="222"/>
      <c r="H852" s="223"/>
      <c r="I852" s="224"/>
      <c r="J852" s="507"/>
      <c r="K852" s="19"/>
      <c r="L852" s="507"/>
      <c r="M852" s="507"/>
      <c r="N852" s="507"/>
      <c r="O852" s="508"/>
      <c r="P852" s="217"/>
      <c r="Q852" s="217"/>
      <c r="R852" s="217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</row>
    <row r="853">
      <c r="A853" s="19"/>
      <c r="B853" s="19"/>
      <c r="C853" s="19"/>
      <c r="D853" s="219"/>
      <c r="E853" s="220"/>
      <c r="F853" s="221"/>
      <c r="G853" s="222"/>
      <c r="H853" s="223"/>
      <c r="I853" s="224"/>
      <c r="J853" s="507"/>
      <c r="K853" s="19"/>
      <c r="L853" s="507"/>
      <c r="M853" s="507"/>
      <c r="N853" s="507"/>
      <c r="O853" s="508"/>
      <c r="P853" s="217"/>
      <c r="Q853" s="217"/>
      <c r="R853" s="217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</row>
    <row r="854">
      <c r="A854" s="19"/>
      <c r="B854" s="19"/>
      <c r="C854" s="19"/>
      <c r="D854" s="219"/>
      <c r="E854" s="220"/>
      <c r="F854" s="221"/>
      <c r="G854" s="222"/>
      <c r="H854" s="223"/>
      <c r="I854" s="224"/>
      <c r="J854" s="507"/>
      <c r="K854" s="19"/>
      <c r="L854" s="507"/>
      <c r="M854" s="507"/>
      <c r="N854" s="507"/>
      <c r="O854" s="508"/>
      <c r="P854" s="217"/>
      <c r="Q854" s="217"/>
      <c r="R854" s="217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</row>
    <row r="855">
      <c r="A855" s="19"/>
      <c r="B855" s="19"/>
      <c r="C855" s="19"/>
      <c r="D855" s="219"/>
      <c r="E855" s="220"/>
      <c r="F855" s="221"/>
      <c r="G855" s="222"/>
      <c r="H855" s="223"/>
      <c r="I855" s="224"/>
      <c r="J855" s="507"/>
      <c r="K855" s="19"/>
      <c r="L855" s="507"/>
      <c r="M855" s="507"/>
      <c r="N855" s="507"/>
      <c r="O855" s="508"/>
      <c r="P855" s="217"/>
      <c r="Q855" s="217"/>
      <c r="R855" s="217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</row>
    <row r="856">
      <c r="A856" s="19"/>
      <c r="B856" s="19"/>
      <c r="C856" s="19"/>
      <c r="D856" s="219"/>
      <c r="E856" s="220"/>
      <c r="F856" s="221"/>
      <c r="G856" s="222"/>
      <c r="H856" s="223"/>
      <c r="I856" s="224"/>
      <c r="J856" s="507"/>
      <c r="K856" s="19"/>
      <c r="L856" s="507"/>
      <c r="M856" s="507"/>
      <c r="N856" s="507"/>
      <c r="O856" s="508"/>
      <c r="P856" s="217"/>
      <c r="Q856" s="217"/>
      <c r="R856" s="217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</row>
    <row r="857">
      <c r="A857" s="19"/>
      <c r="B857" s="19"/>
      <c r="C857" s="19"/>
      <c r="D857" s="219"/>
      <c r="E857" s="220"/>
      <c r="F857" s="221"/>
      <c r="G857" s="222"/>
      <c r="H857" s="223"/>
      <c r="I857" s="224"/>
      <c r="J857" s="507"/>
      <c r="K857" s="19"/>
      <c r="L857" s="507"/>
      <c r="M857" s="507"/>
      <c r="N857" s="507"/>
      <c r="O857" s="508"/>
      <c r="P857" s="217"/>
      <c r="Q857" s="217"/>
      <c r="R857" s="217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</row>
    <row r="858">
      <c r="A858" s="19"/>
      <c r="B858" s="19"/>
      <c r="C858" s="19"/>
      <c r="D858" s="219"/>
      <c r="E858" s="220"/>
      <c r="F858" s="221"/>
      <c r="G858" s="222"/>
      <c r="H858" s="223"/>
      <c r="I858" s="224"/>
      <c r="J858" s="507"/>
      <c r="K858" s="19"/>
      <c r="L858" s="507"/>
      <c r="M858" s="507"/>
      <c r="N858" s="507"/>
      <c r="O858" s="508"/>
      <c r="P858" s="217"/>
      <c r="Q858" s="217"/>
      <c r="R858" s="217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</row>
    <row r="859">
      <c r="A859" s="19"/>
      <c r="B859" s="19"/>
      <c r="C859" s="19"/>
      <c r="D859" s="219"/>
      <c r="E859" s="220"/>
      <c r="F859" s="221"/>
      <c r="G859" s="222"/>
      <c r="H859" s="223"/>
      <c r="I859" s="224"/>
      <c r="J859" s="507"/>
      <c r="K859" s="19"/>
      <c r="L859" s="507"/>
      <c r="M859" s="507"/>
      <c r="N859" s="507"/>
      <c r="O859" s="508"/>
      <c r="P859" s="217"/>
      <c r="Q859" s="217"/>
      <c r="R859" s="217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</row>
    <row r="860">
      <c r="A860" s="19"/>
      <c r="B860" s="19"/>
      <c r="C860" s="19"/>
      <c r="D860" s="219"/>
      <c r="E860" s="220"/>
      <c r="F860" s="221"/>
      <c r="G860" s="222"/>
      <c r="H860" s="223"/>
      <c r="I860" s="224"/>
      <c r="J860" s="507"/>
      <c r="K860" s="19"/>
      <c r="L860" s="507"/>
      <c r="M860" s="507"/>
      <c r="N860" s="507"/>
      <c r="O860" s="508"/>
      <c r="P860" s="217"/>
      <c r="Q860" s="217"/>
      <c r="R860" s="217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</row>
    <row r="861">
      <c r="A861" s="19"/>
      <c r="B861" s="19"/>
      <c r="C861" s="19"/>
      <c r="D861" s="219"/>
      <c r="E861" s="220"/>
      <c r="F861" s="221"/>
      <c r="G861" s="222"/>
      <c r="H861" s="223"/>
      <c r="I861" s="224"/>
      <c r="J861" s="507"/>
      <c r="K861" s="19"/>
      <c r="L861" s="507"/>
      <c r="M861" s="507"/>
      <c r="N861" s="507"/>
      <c r="O861" s="508"/>
      <c r="P861" s="217"/>
      <c r="Q861" s="217"/>
      <c r="R861" s="217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</row>
    <row r="862">
      <c r="A862" s="19"/>
      <c r="B862" s="19"/>
      <c r="C862" s="19"/>
      <c r="D862" s="219"/>
      <c r="E862" s="220"/>
      <c r="F862" s="221"/>
      <c r="G862" s="222"/>
      <c r="H862" s="223"/>
      <c r="I862" s="224"/>
      <c r="J862" s="507"/>
      <c r="K862" s="19"/>
      <c r="L862" s="507"/>
      <c r="M862" s="507"/>
      <c r="N862" s="507"/>
      <c r="O862" s="508"/>
      <c r="P862" s="217"/>
      <c r="Q862" s="217"/>
      <c r="R862" s="217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</row>
    <row r="863">
      <c r="A863" s="19"/>
      <c r="B863" s="19"/>
      <c r="C863" s="19"/>
      <c r="D863" s="219"/>
      <c r="E863" s="220"/>
      <c r="F863" s="221"/>
      <c r="G863" s="222"/>
      <c r="H863" s="223"/>
      <c r="I863" s="224"/>
      <c r="J863" s="507"/>
      <c r="K863" s="19"/>
      <c r="L863" s="507"/>
      <c r="M863" s="507"/>
      <c r="N863" s="507"/>
      <c r="O863" s="508"/>
      <c r="P863" s="217"/>
      <c r="Q863" s="217"/>
      <c r="R863" s="217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</row>
    <row r="864">
      <c r="A864" s="19"/>
      <c r="B864" s="19"/>
      <c r="C864" s="19"/>
      <c r="D864" s="219"/>
      <c r="E864" s="220"/>
      <c r="F864" s="221"/>
      <c r="G864" s="222"/>
      <c r="H864" s="223"/>
      <c r="I864" s="224"/>
      <c r="J864" s="507"/>
      <c r="K864" s="19"/>
      <c r="L864" s="507"/>
      <c r="M864" s="507"/>
      <c r="N864" s="507"/>
      <c r="O864" s="508"/>
      <c r="P864" s="217"/>
      <c r="Q864" s="217"/>
      <c r="R864" s="217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</row>
    <row r="865">
      <c r="A865" s="19"/>
      <c r="B865" s="19"/>
      <c r="C865" s="19"/>
      <c r="D865" s="219"/>
      <c r="E865" s="220"/>
      <c r="F865" s="221"/>
      <c r="G865" s="222"/>
      <c r="H865" s="223"/>
      <c r="I865" s="224"/>
      <c r="J865" s="507"/>
      <c r="K865" s="19"/>
      <c r="L865" s="507"/>
      <c r="M865" s="507"/>
      <c r="N865" s="507"/>
      <c r="O865" s="508"/>
      <c r="P865" s="217"/>
      <c r="Q865" s="217"/>
      <c r="R865" s="217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</row>
    <row r="866">
      <c r="A866" s="19"/>
      <c r="B866" s="19"/>
      <c r="C866" s="19"/>
      <c r="D866" s="219"/>
      <c r="E866" s="220"/>
      <c r="F866" s="221"/>
      <c r="G866" s="222"/>
      <c r="H866" s="223"/>
      <c r="I866" s="224"/>
      <c r="J866" s="507"/>
      <c r="K866" s="19"/>
      <c r="L866" s="507"/>
      <c r="M866" s="507"/>
      <c r="N866" s="507"/>
      <c r="O866" s="508"/>
      <c r="P866" s="217"/>
      <c r="Q866" s="217"/>
      <c r="R866" s="217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</row>
    <row r="867">
      <c r="A867" s="19"/>
      <c r="B867" s="19"/>
      <c r="C867" s="19"/>
      <c r="D867" s="219"/>
      <c r="E867" s="220"/>
      <c r="F867" s="221"/>
      <c r="G867" s="222"/>
      <c r="H867" s="223"/>
      <c r="I867" s="224"/>
      <c r="J867" s="507"/>
      <c r="K867" s="19"/>
      <c r="L867" s="507"/>
      <c r="M867" s="507"/>
      <c r="N867" s="507"/>
      <c r="O867" s="508"/>
      <c r="P867" s="217"/>
      <c r="Q867" s="217"/>
      <c r="R867" s="217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</row>
    <row r="868">
      <c r="A868" s="19"/>
      <c r="B868" s="19"/>
      <c r="C868" s="19"/>
      <c r="D868" s="219"/>
      <c r="E868" s="220"/>
      <c r="F868" s="221"/>
      <c r="G868" s="222"/>
      <c r="H868" s="223"/>
      <c r="I868" s="224"/>
      <c r="J868" s="507"/>
      <c r="K868" s="19"/>
      <c r="L868" s="507"/>
      <c r="M868" s="507"/>
      <c r="N868" s="507"/>
      <c r="O868" s="508"/>
      <c r="P868" s="217"/>
      <c r="Q868" s="217"/>
      <c r="R868" s="217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</row>
    <row r="869">
      <c r="A869" s="19"/>
      <c r="B869" s="19"/>
      <c r="C869" s="19"/>
      <c r="D869" s="219"/>
      <c r="E869" s="220"/>
      <c r="F869" s="221"/>
      <c r="G869" s="222"/>
      <c r="H869" s="223"/>
      <c r="I869" s="224"/>
      <c r="J869" s="507"/>
      <c r="K869" s="19"/>
      <c r="L869" s="507"/>
      <c r="M869" s="507"/>
      <c r="N869" s="507"/>
      <c r="O869" s="508"/>
      <c r="P869" s="217"/>
      <c r="Q869" s="217"/>
      <c r="R869" s="217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</row>
    <row r="870">
      <c r="A870" s="19"/>
      <c r="B870" s="19"/>
      <c r="C870" s="19"/>
      <c r="D870" s="219"/>
      <c r="E870" s="220"/>
      <c r="F870" s="221"/>
      <c r="G870" s="222"/>
      <c r="H870" s="223"/>
      <c r="I870" s="224"/>
      <c r="J870" s="507"/>
      <c r="K870" s="19"/>
      <c r="L870" s="507"/>
      <c r="M870" s="507"/>
      <c r="N870" s="507"/>
      <c r="O870" s="508"/>
      <c r="P870" s="217"/>
      <c r="Q870" s="217"/>
      <c r="R870" s="217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</row>
    <row r="871">
      <c r="A871" s="19"/>
      <c r="B871" s="19"/>
      <c r="C871" s="19"/>
      <c r="D871" s="219"/>
      <c r="E871" s="220"/>
      <c r="F871" s="221"/>
      <c r="G871" s="222"/>
      <c r="H871" s="223"/>
      <c r="I871" s="224"/>
      <c r="J871" s="507"/>
      <c r="K871" s="19"/>
      <c r="L871" s="507"/>
      <c r="M871" s="507"/>
      <c r="N871" s="507"/>
      <c r="O871" s="508"/>
      <c r="P871" s="217"/>
      <c r="Q871" s="217"/>
      <c r="R871" s="217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</row>
    <row r="872">
      <c r="A872" s="19"/>
      <c r="B872" s="19"/>
      <c r="C872" s="19"/>
      <c r="D872" s="219"/>
      <c r="E872" s="220"/>
      <c r="F872" s="221"/>
      <c r="G872" s="222"/>
      <c r="H872" s="223"/>
      <c r="I872" s="224"/>
      <c r="J872" s="507"/>
      <c r="K872" s="19"/>
      <c r="L872" s="507"/>
      <c r="M872" s="507"/>
      <c r="N872" s="507"/>
      <c r="O872" s="508"/>
      <c r="P872" s="217"/>
      <c r="Q872" s="217"/>
      <c r="R872" s="217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</row>
    <row r="873">
      <c r="A873" s="19"/>
      <c r="B873" s="19"/>
      <c r="C873" s="19"/>
      <c r="D873" s="219"/>
      <c r="E873" s="220"/>
      <c r="F873" s="221"/>
      <c r="G873" s="222"/>
      <c r="H873" s="223"/>
      <c r="I873" s="224"/>
      <c r="J873" s="507"/>
      <c r="K873" s="19"/>
      <c r="L873" s="507"/>
      <c r="M873" s="507"/>
      <c r="N873" s="507"/>
      <c r="O873" s="508"/>
      <c r="P873" s="217"/>
      <c r="Q873" s="217"/>
      <c r="R873" s="217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</row>
    <row r="874">
      <c r="A874" s="19"/>
      <c r="B874" s="19"/>
      <c r="C874" s="19"/>
      <c r="D874" s="219"/>
      <c r="E874" s="220"/>
      <c r="F874" s="221"/>
      <c r="G874" s="222"/>
      <c r="H874" s="223"/>
      <c r="I874" s="224"/>
      <c r="J874" s="507"/>
      <c r="K874" s="19"/>
      <c r="L874" s="507"/>
      <c r="M874" s="507"/>
      <c r="N874" s="507"/>
      <c r="O874" s="508"/>
      <c r="P874" s="217"/>
      <c r="Q874" s="217"/>
      <c r="R874" s="217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</row>
    <row r="875">
      <c r="A875" s="19"/>
      <c r="B875" s="19"/>
      <c r="C875" s="19"/>
      <c r="D875" s="219"/>
      <c r="E875" s="220"/>
      <c r="F875" s="221"/>
      <c r="G875" s="222"/>
      <c r="H875" s="223"/>
      <c r="I875" s="224"/>
      <c r="J875" s="507"/>
      <c r="K875" s="19"/>
      <c r="L875" s="507"/>
      <c r="M875" s="507"/>
      <c r="N875" s="507"/>
      <c r="O875" s="508"/>
      <c r="P875" s="217"/>
      <c r="Q875" s="217"/>
      <c r="R875" s="217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</row>
    <row r="876">
      <c r="A876" s="19"/>
      <c r="B876" s="19"/>
      <c r="C876" s="19"/>
      <c r="D876" s="219"/>
      <c r="E876" s="220"/>
      <c r="F876" s="221"/>
      <c r="G876" s="222"/>
      <c r="H876" s="223"/>
      <c r="I876" s="224"/>
      <c r="J876" s="507"/>
      <c r="K876" s="19"/>
      <c r="L876" s="507"/>
      <c r="M876" s="507"/>
      <c r="N876" s="507"/>
      <c r="O876" s="508"/>
      <c r="P876" s="217"/>
      <c r="Q876" s="217"/>
      <c r="R876" s="217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</row>
    <row r="877">
      <c r="A877" s="19"/>
      <c r="B877" s="19"/>
      <c r="C877" s="19"/>
      <c r="D877" s="219"/>
      <c r="E877" s="220"/>
      <c r="F877" s="221"/>
      <c r="G877" s="222"/>
      <c r="H877" s="223"/>
      <c r="I877" s="224"/>
      <c r="J877" s="507"/>
      <c r="K877" s="19"/>
      <c r="L877" s="507"/>
      <c r="M877" s="507"/>
      <c r="N877" s="507"/>
      <c r="O877" s="508"/>
      <c r="P877" s="217"/>
      <c r="Q877" s="217"/>
      <c r="R877" s="217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</row>
    <row r="878">
      <c r="A878" s="19"/>
      <c r="B878" s="19"/>
      <c r="C878" s="19"/>
      <c r="D878" s="219"/>
      <c r="E878" s="220"/>
      <c r="F878" s="221"/>
      <c r="G878" s="222"/>
      <c r="H878" s="223"/>
      <c r="I878" s="224"/>
      <c r="J878" s="507"/>
      <c r="K878" s="19"/>
      <c r="L878" s="507"/>
      <c r="M878" s="507"/>
      <c r="N878" s="507"/>
      <c r="O878" s="508"/>
      <c r="P878" s="217"/>
      <c r="Q878" s="217"/>
      <c r="R878" s="217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</row>
    <row r="879">
      <c r="A879" s="19"/>
      <c r="B879" s="19"/>
      <c r="C879" s="19"/>
      <c r="D879" s="219"/>
      <c r="E879" s="220"/>
      <c r="F879" s="221"/>
      <c r="G879" s="222"/>
      <c r="H879" s="223"/>
      <c r="I879" s="224"/>
      <c r="J879" s="507"/>
      <c r="K879" s="19"/>
      <c r="L879" s="507"/>
      <c r="M879" s="507"/>
      <c r="N879" s="507"/>
      <c r="O879" s="508"/>
      <c r="P879" s="217"/>
      <c r="Q879" s="217"/>
      <c r="R879" s="217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</row>
    <row r="880">
      <c r="A880" s="19"/>
      <c r="B880" s="19"/>
      <c r="C880" s="19"/>
      <c r="D880" s="219"/>
      <c r="E880" s="220"/>
      <c r="F880" s="221"/>
      <c r="G880" s="222"/>
      <c r="H880" s="223"/>
      <c r="I880" s="224"/>
      <c r="J880" s="507"/>
      <c r="K880" s="19"/>
      <c r="L880" s="507"/>
      <c r="M880" s="507"/>
      <c r="N880" s="507"/>
      <c r="O880" s="508"/>
      <c r="P880" s="217"/>
      <c r="Q880" s="217"/>
      <c r="R880" s="217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</row>
    <row r="881">
      <c r="A881" s="19"/>
      <c r="B881" s="19"/>
      <c r="C881" s="19"/>
      <c r="D881" s="219"/>
      <c r="E881" s="220"/>
      <c r="F881" s="221"/>
      <c r="G881" s="222"/>
      <c r="H881" s="223"/>
      <c r="I881" s="224"/>
      <c r="J881" s="507"/>
      <c r="K881" s="19"/>
      <c r="L881" s="507"/>
      <c r="M881" s="507"/>
      <c r="N881" s="507"/>
      <c r="O881" s="508"/>
      <c r="P881" s="217"/>
      <c r="Q881" s="217"/>
      <c r="R881" s="217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</row>
    <row r="882">
      <c r="A882" s="19"/>
      <c r="B882" s="19"/>
      <c r="C882" s="19"/>
      <c r="D882" s="219"/>
      <c r="E882" s="220"/>
      <c r="F882" s="221"/>
      <c r="G882" s="222"/>
      <c r="H882" s="223"/>
      <c r="I882" s="224"/>
      <c r="J882" s="507"/>
      <c r="K882" s="19"/>
      <c r="L882" s="507"/>
      <c r="M882" s="507"/>
      <c r="N882" s="507"/>
      <c r="O882" s="508"/>
      <c r="P882" s="217"/>
      <c r="Q882" s="217"/>
      <c r="R882" s="217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</row>
    <row r="883">
      <c r="A883" s="19"/>
      <c r="B883" s="19"/>
      <c r="C883" s="19"/>
      <c r="D883" s="219"/>
      <c r="E883" s="220"/>
      <c r="F883" s="221"/>
      <c r="G883" s="222"/>
      <c r="H883" s="223"/>
      <c r="I883" s="224"/>
      <c r="J883" s="507"/>
      <c r="K883" s="19"/>
      <c r="L883" s="507"/>
      <c r="M883" s="507"/>
      <c r="N883" s="507"/>
      <c r="O883" s="508"/>
      <c r="P883" s="217"/>
      <c r="Q883" s="217"/>
      <c r="R883" s="217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</row>
    <row r="884">
      <c r="A884" s="19"/>
      <c r="B884" s="19"/>
      <c r="C884" s="19"/>
      <c r="D884" s="219"/>
      <c r="E884" s="220"/>
      <c r="F884" s="221"/>
      <c r="G884" s="222"/>
      <c r="H884" s="223"/>
      <c r="I884" s="224"/>
      <c r="J884" s="507"/>
      <c r="K884" s="19"/>
      <c r="L884" s="507"/>
      <c r="M884" s="507"/>
      <c r="N884" s="507"/>
      <c r="O884" s="508"/>
      <c r="P884" s="217"/>
      <c r="Q884" s="217"/>
      <c r="R884" s="217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</row>
    <row r="885">
      <c r="A885" s="19"/>
      <c r="B885" s="19"/>
      <c r="C885" s="19"/>
      <c r="D885" s="219"/>
      <c r="E885" s="220"/>
      <c r="F885" s="221"/>
      <c r="G885" s="222"/>
      <c r="H885" s="223"/>
      <c r="I885" s="224"/>
      <c r="J885" s="507"/>
      <c r="K885" s="19"/>
      <c r="L885" s="507"/>
      <c r="M885" s="507"/>
      <c r="N885" s="507"/>
      <c r="O885" s="508"/>
      <c r="P885" s="217"/>
      <c r="Q885" s="217"/>
      <c r="R885" s="217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</row>
    <row r="886">
      <c r="A886" s="19"/>
      <c r="B886" s="19"/>
      <c r="C886" s="19"/>
      <c r="D886" s="219"/>
      <c r="E886" s="220"/>
      <c r="F886" s="221"/>
      <c r="G886" s="222"/>
      <c r="H886" s="223"/>
      <c r="I886" s="224"/>
      <c r="J886" s="507"/>
      <c r="K886" s="19"/>
      <c r="L886" s="507"/>
      <c r="M886" s="507"/>
      <c r="N886" s="507"/>
      <c r="O886" s="508"/>
      <c r="P886" s="217"/>
      <c r="Q886" s="217"/>
      <c r="R886" s="217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</row>
    <row r="887">
      <c r="A887" s="19"/>
      <c r="B887" s="19"/>
      <c r="C887" s="19"/>
      <c r="D887" s="219"/>
      <c r="E887" s="220"/>
      <c r="F887" s="221"/>
      <c r="G887" s="222"/>
      <c r="H887" s="223"/>
      <c r="I887" s="224"/>
      <c r="J887" s="507"/>
      <c r="K887" s="19"/>
      <c r="L887" s="507"/>
      <c r="M887" s="507"/>
      <c r="N887" s="507"/>
      <c r="O887" s="508"/>
      <c r="P887" s="217"/>
      <c r="Q887" s="217"/>
      <c r="R887" s="217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</row>
    <row r="888">
      <c r="A888" s="19"/>
      <c r="B888" s="19"/>
      <c r="C888" s="19"/>
      <c r="D888" s="219"/>
      <c r="E888" s="220"/>
      <c r="F888" s="221"/>
      <c r="G888" s="222"/>
      <c r="H888" s="223"/>
      <c r="I888" s="224"/>
      <c r="J888" s="507"/>
      <c r="K888" s="19"/>
      <c r="L888" s="507"/>
      <c r="M888" s="507"/>
      <c r="N888" s="507"/>
      <c r="O888" s="508"/>
      <c r="P888" s="217"/>
      <c r="Q888" s="217"/>
      <c r="R888" s="217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</row>
    <row r="889">
      <c r="A889" s="19"/>
      <c r="B889" s="19"/>
      <c r="C889" s="19"/>
      <c r="D889" s="219"/>
      <c r="E889" s="220"/>
      <c r="F889" s="221"/>
      <c r="G889" s="222"/>
      <c r="H889" s="223"/>
      <c r="I889" s="224"/>
      <c r="J889" s="507"/>
      <c r="K889" s="19"/>
      <c r="L889" s="507"/>
      <c r="M889" s="507"/>
      <c r="N889" s="507"/>
      <c r="O889" s="508"/>
      <c r="P889" s="217"/>
      <c r="Q889" s="217"/>
      <c r="R889" s="217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</row>
    <row r="890">
      <c r="A890" s="19"/>
      <c r="B890" s="19"/>
      <c r="C890" s="19"/>
      <c r="D890" s="219"/>
      <c r="E890" s="220"/>
      <c r="F890" s="221"/>
      <c r="G890" s="222"/>
      <c r="H890" s="223"/>
      <c r="I890" s="224"/>
      <c r="J890" s="507"/>
      <c r="K890" s="19"/>
      <c r="L890" s="507"/>
      <c r="M890" s="507"/>
      <c r="N890" s="507"/>
      <c r="O890" s="508"/>
      <c r="P890" s="217"/>
      <c r="Q890" s="217"/>
      <c r="R890" s="217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</row>
    <row r="891">
      <c r="A891" s="19"/>
      <c r="B891" s="19"/>
      <c r="C891" s="19"/>
      <c r="D891" s="219"/>
      <c r="E891" s="220"/>
      <c r="F891" s="221"/>
      <c r="G891" s="222"/>
      <c r="H891" s="223"/>
      <c r="I891" s="224"/>
      <c r="J891" s="507"/>
      <c r="K891" s="19"/>
      <c r="L891" s="507"/>
      <c r="M891" s="507"/>
      <c r="N891" s="507"/>
      <c r="O891" s="508"/>
      <c r="P891" s="217"/>
      <c r="Q891" s="217"/>
      <c r="R891" s="217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</row>
    <row r="892">
      <c r="A892" s="19"/>
      <c r="B892" s="19"/>
      <c r="C892" s="19"/>
      <c r="D892" s="219"/>
      <c r="E892" s="220"/>
      <c r="F892" s="221"/>
      <c r="G892" s="222"/>
      <c r="H892" s="223"/>
      <c r="I892" s="224"/>
      <c r="J892" s="507"/>
      <c r="K892" s="19"/>
      <c r="L892" s="507"/>
      <c r="M892" s="507"/>
      <c r="N892" s="507"/>
      <c r="O892" s="508"/>
      <c r="P892" s="217"/>
      <c r="Q892" s="217"/>
      <c r="R892" s="217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</row>
    <row r="893">
      <c r="A893" s="19"/>
      <c r="B893" s="19"/>
      <c r="C893" s="19"/>
      <c r="D893" s="219"/>
      <c r="E893" s="220"/>
      <c r="F893" s="221"/>
      <c r="G893" s="222"/>
      <c r="H893" s="223"/>
      <c r="I893" s="224"/>
      <c r="J893" s="507"/>
      <c r="K893" s="19"/>
      <c r="L893" s="507"/>
      <c r="M893" s="507"/>
      <c r="N893" s="507"/>
      <c r="O893" s="508"/>
      <c r="P893" s="217"/>
      <c r="Q893" s="217"/>
      <c r="R893" s="217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</row>
    <row r="894">
      <c r="A894" s="19"/>
      <c r="B894" s="19"/>
      <c r="C894" s="19"/>
      <c r="D894" s="219"/>
      <c r="E894" s="220"/>
      <c r="F894" s="221"/>
      <c r="G894" s="222"/>
      <c r="H894" s="223"/>
      <c r="I894" s="224"/>
      <c r="J894" s="507"/>
      <c r="K894" s="19"/>
      <c r="L894" s="507"/>
      <c r="M894" s="507"/>
      <c r="N894" s="507"/>
      <c r="O894" s="508"/>
      <c r="P894" s="217"/>
      <c r="Q894" s="217"/>
      <c r="R894" s="217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</row>
    <row r="895">
      <c r="A895" s="19"/>
      <c r="B895" s="19"/>
      <c r="C895" s="19"/>
      <c r="D895" s="219"/>
      <c r="E895" s="220"/>
      <c r="F895" s="221"/>
      <c r="G895" s="222"/>
      <c r="H895" s="223"/>
      <c r="I895" s="224"/>
      <c r="J895" s="507"/>
      <c r="K895" s="19"/>
      <c r="L895" s="507"/>
      <c r="M895" s="507"/>
      <c r="N895" s="507"/>
      <c r="O895" s="508"/>
      <c r="P895" s="217"/>
      <c r="Q895" s="217"/>
      <c r="R895" s="217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</row>
    <row r="896">
      <c r="A896" s="19"/>
      <c r="B896" s="19"/>
      <c r="C896" s="19"/>
      <c r="D896" s="219"/>
      <c r="E896" s="220"/>
      <c r="F896" s="221"/>
      <c r="G896" s="222"/>
      <c r="H896" s="223"/>
      <c r="I896" s="224"/>
      <c r="J896" s="507"/>
      <c r="K896" s="19"/>
      <c r="L896" s="507"/>
      <c r="M896" s="507"/>
      <c r="N896" s="507"/>
      <c r="O896" s="508"/>
      <c r="P896" s="217"/>
      <c r="Q896" s="217"/>
      <c r="R896" s="217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</row>
    <row r="897">
      <c r="A897" s="19"/>
      <c r="B897" s="19"/>
      <c r="C897" s="19"/>
      <c r="D897" s="219"/>
      <c r="E897" s="220"/>
      <c r="F897" s="221"/>
      <c r="G897" s="222"/>
      <c r="H897" s="223"/>
      <c r="I897" s="224"/>
      <c r="J897" s="507"/>
      <c r="K897" s="19"/>
      <c r="L897" s="507"/>
      <c r="M897" s="507"/>
      <c r="N897" s="507"/>
      <c r="O897" s="508"/>
      <c r="P897" s="217"/>
      <c r="Q897" s="217"/>
      <c r="R897" s="217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</row>
    <row r="898">
      <c r="A898" s="19"/>
      <c r="B898" s="19"/>
      <c r="C898" s="19"/>
      <c r="D898" s="219"/>
      <c r="E898" s="220"/>
      <c r="F898" s="221"/>
      <c r="G898" s="222"/>
      <c r="H898" s="223"/>
      <c r="I898" s="224"/>
      <c r="J898" s="507"/>
      <c r="K898" s="19"/>
      <c r="L898" s="507"/>
      <c r="M898" s="507"/>
      <c r="N898" s="507"/>
      <c r="O898" s="508"/>
      <c r="P898" s="217"/>
      <c r="Q898" s="217"/>
      <c r="R898" s="217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</row>
    <row r="899">
      <c r="A899" s="19"/>
      <c r="B899" s="19"/>
      <c r="C899" s="19"/>
      <c r="D899" s="219"/>
      <c r="E899" s="220"/>
      <c r="F899" s="221"/>
      <c r="G899" s="222"/>
      <c r="H899" s="223"/>
      <c r="I899" s="224"/>
      <c r="J899" s="507"/>
      <c r="K899" s="19"/>
      <c r="L899" s="507"/>
      <c r="M899" s="507"/>
      <c r="N899" s="507"/>
      <c r="O899" s="508"/>
      <c r="P899" s="217"/>
      <c r="Q899" s="217"/>
      <c r="R899" s="217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</row>
    <row r="900">
      <c r="A900" s="19"/>
      <c r="B900" s="19"/>
      <c r="C900" s="19"/>
      <c r="D900" s="219"/>
      <c r="E900" s="220"/>
      <c r="F900" s="221"/>
      <c r="G900" s="222"/>
      <c r="H900" s="223"/>
      <c r="I900" s="224"/>
      <c r="J900" s="507"/>
      <c r="K900" s="19"/>
      <c r="L900" s="507"/>
      <c r="M900" s="507"/>
      <c r="N900" s="507"/>
      <c r="O900" s="508"/>
      <c r="P900" s="217"/>
      <c r="Q900" s="217"/>
      <c r="R900" s="217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</row>
    <row r="901">
      <c r="A901" s="19"/>
      <c r="B901" s="19"/>
      <c r="C901" s="19"/>
      <c r="D901" s="219"/>
      <c r="E901" s="220"/>
      <c r="F901" s="221"/>
      <c r="G901" s="222"/>
      <c r="H901" s="223"/>
      <c r="I901" s="224"/>
      <c r="J901" s="507"/>
      <c r="K901" s="19"/>
      <c r="L901" s="507"/>
      <c r="M901" s="507"/>
      <c r="N901" s="507"/>
      <c r="O901" s="508"/>
      <c r="P901" s="217"/>
      <c r="Q901" s="217"/>
      <c r="R901" s="217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</row>
    <row r="902">
      <c r="A902" s="19"/>
      <c r="B902" s="19"/>
      <c r="C902" s="19"/>
      <c r="D902" s="219"/>
      <c r="E902" s="220"/>
      <c r="F902" s="221"/>
      <c r="G902" s="222"/>
      <c r="H902" s="223"/>
      <c r="I902" s="224"/>
      <c r="J902" s="507"/>
      <c r="K902" s="19"/>
      <c r="L902" s="507"/>
      <c r="M902" s="507"/>
      <c r="N902" s="507"/>
      <c r="O902" s="508"/>
      <c r="P902" s="217"/>
      <c r="Q902" s="217"/>
      <c r="R902" s="217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</row>
    <row r="903">
      <c r="A903" s="19"/>
      <c r="B903" s="19"/>
      <c r="C903" s="19"/>
      <c r="D903" s="219"/>
      <c r="E903" s="220"/>
      <c r="F903" s="221"/>
      <c r="G903" s="222"/>
      <c r="H903" s="223"/>
      <c r="I903" s="224"/>
      <c r="J903" s="507"/>
      <c r="K903" s="19"/>
      <c r="L903" s="507"/>
      <c r="M903" s="507"/>
      <c r="N903" s="507"/>
      <c r="O903" s="508"/>
      <c r="P903" s="217"/>
      <c r="Q903" s="217"/>
      <c r="R903" s="217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</row>
    <row r="904">
      <c r="A904" s="19"/>
      <c r="B904" s="19"/>
      <c r="C904" s="19"/>
      <c r="D904" s="219"/>
      <c r="E904" s="220"/>
      <c r="F904" s="221"/>
      <c r="G904" s="222"/>
      <c r="H904" s="223"/>
      <c r="I904" s="224"/>
      <c r="J904" s="507"/>
      <c r="K904" s="19"/>
      <c r="L904" s="507"/>
      <c r="M904" s="507"/>
      <c r="N904" s="507"/>
      <c r="O904" s="508"/>
      <c r="P904" s="217"/>
      <c r="Q904" s="217"/>
      <c r="R904" s="217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</row>
    <row r="905">
      <c r="A905" s="19"/>
      <c r="B905" s="19"/>
      <c r="C905" s="19"/>
      <c r="D905" s="219"/>
      <c r="E905" s="220"/>
      <c r="F905" s="221"/>
      <c r="G905" s="222"/>
      <c r="H905" s="223"/>
      <c r="I905" s="224"/>
      <c r="J905" s="507"/>
      <c r="K905" s="19"/>
      <c r="L905" s="507"/>
      <c r="M905" s="507"/>
      <c r="N905" s="507"/>
      <c r="O905" s="508"/>
      <c r="P905" s="217"/>
      <c r="Q905" s="217"/>
      <c r="R905" s="217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</row>
    <row r="906">
      <c r="A906" s="19"/>
      <c r="B906" s="19"/>
      <c r="C906" s="19"/>
      <c r="D906" s="219"/>
      <c r="E906" s="220"/>
      <c r="F906" s="221"/>
      <c r="G906" s="222"/>
      <c r="H906" s="223"/>
      <c r="I906" s="224"/>
      <c r="J906" s="507"/>
      <c r="K906" s="19"/>
      <c r="L906" s="507"/>
      <c r="M906" s="507"/>
      <c r="N906" s="507"/>
      <c r="O906" s="508"/>
      <c r="P906" s="217"/>
      <c r="Q906" s="217"/>
      <c r="R906" s="217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</row>
    <row r="907">
      <c r="A907" s="19"/>
      <c r="B907" s="19"/>
      <c r="C907" s="19"/>
      <c r="D907" s="219"/>
      <c r="E907" s="220"/>
      <c r="F907" s="221"/>
      <c r="G907" s="222"/>
      <c r="H907" s="223"/>
      <c r="I907" s="224"/>
      <c r="J907" s="507"/>
      <c r="K907" s="19"/>
      <c r="L907" s="507"/>
      <c r="M907" s="507"/>
      <c r="N907" s="507"/>
      <c r="O907" s="508"/>
      <c r="P907" s="217"/>
      <c r="Q907" s="217"/>
      <c r="R907" s="217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</row>
    <row r="908">
      <c r="A908" s="19"/>
      <c r="B908" s="19"/>
      <c r="C908" s="19"/>
      <c r="D908" s="219"/>
      <c r="E908" s="220"/>
      <c r="F908" s="221"/>
      <c r="G908" s="222"/>
      <c r="H908" s="223"/>
      <c r="I908" s="224"/>
      <c r="J908" s="507"/>
      <c r="K908" s="19"/>
      <c r="L908" s="507"/>
      <c r="M908" s="507"/>
      <c r="N908" s="507"/>
      <c r="O908" s="508"/>
      <c r="P908" s="217"/>
      <c r="Q908" s="217"/>
      <c r="R908" s="217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</row>
    <row r="909">
      <c r="A909" s="19"/>
      <c r="B909" s="19"/>
      <c r="C909" s="19"/>
      <c r="D909" s="219"/>
      <c r="E909" s="220"/>
      <c r="F909" s="221"/>
      <c r="G909" s="222"/>
      <c r="H909" s="223"/>
      <c r="I909" s="224"/>
      <c r="J909" s="507"/>
      <c r="K909" s="19"/>
      <c r="L909" s="507"/>
      <c r="M909" s="507"/>
      <c r="N909" s="507"/>
      <c r="O909" s="508"/>
      <c r="P909" s="217"/>
      <c r="Q909" s="217"/>
      <c r="R909" s="217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</row>
    <row r="910">
      <c r="A910" s="19"/>
      <c r="B910" s="19"/>
      <c r="C910" s="19"/>
      <c r="D910" s="219"/>
      <c r="E910" s="220"/>
      <c r="F910" s="221"/>
      <c r="G910" s="222"/>
      <c r="H910" s="223"/>
      <c r="I910" s="224"/>
      <c r="J910" s="507"/>
      <c r="K910" s="19"/>
      <c r="L910" s="507"/>
      <c r="M910" s="507"/>
      <c r="N910" s="507"/>
      <c r="O910" s="508"/>
      <c r="P910" s="217"/>
      <c r="Q910" s="217"/>
      <c r="R910" s="217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</row>
    <row r="911">
      <c r="A911" s="19"/>
      <c r="B911" s="19"/>
      <c r="C911" s="19"/>
      <c r="D911" s="219"/>
      <c r="E911" s="220"/>
      <c r="F911" s="221"/>
      <c r="G911" s="222"/>
      <c r="H911" s="223"/>
      <c r="I911" s="224"/>
      <c r="J911" s="507"/>
      <c r="K911" s="19"/>
      <c r="L911" s="507"/>
      <c r="M911" s="507"/>
      <c r="N911" s="507"/>
      <c r="O911" s="508"/>
      <c r="P911" s="217"/>
      <c r="Q911" s="217"/>
      <c r="R911" s="217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</row>
    <row r="912">
      <c r="A912" s="19"/>
      <c r="B912" s="19"/>
      <c r="C912" s="19"/>
      <c r="D912" s="219"/>
      <c r="E912" s="220"/>
      <c r="F912" s="221"/>
      <c r="G912" s="222"/>
      <c r="H912" s="223"/>
      <c r="I912" s="224"/>
      <c r="J912" s="507"/>
      <c r="K912" s="19"/>
      <c r="L912" s="507"/>
      <c r="M912" s="507"/>
      <c r="N912" s="507"/>
      <c r="O912" s="508"/>
      <c r="P912" s="217"/>
      <c r="Q912" s="217"/>
      <c r="R912" s="217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</row>
    <row r="913">
      <c r="A913" s="19"/>
      <c r="B913" s="19"/>
      <c r="C913" s="19"/>
      <c r="D913" s="219"/>
      <c r="E913" s="220"/>
      <c r="F913" s="221"/>
      <c r="G913" s="222"/>
      <c r="H913" s="223"/>
      <c r="I913" s="224"/>
      <c r="J913" s="507"/>
      <c r="K913" s="19"/>
      <c r="L913" s="507"/>
      <c r="M913" s="507"/>
      <c r="N913" s="507"/>
      <c r="O913" s="508"/>
      <c r="P913" s="217"/>
      <c r="Q913" s="217"/>
      <c r="R913" s="217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</row>
    <row r="914">
      <c r="A914" s="19"/>
      <c r="B914" s="19"/>
      <c r="C914" s="19"/>
      <c r="D914" s="219"/>
      <c r="E914" s="220"/>
      <c r="F914" s="221"/>
      <c r="G914" s="222"/>
      <c r="H914" s="223"/>
      <c r="I914" s="224"/>
      <c r="J914" s="507"/>
      <c r="K914" s="19"/>
      <c r="L914" s="507"/>
      <c r="M914" s="507"/>
      <c r="N914" s="507"/>
      <c r="O914" s="508"/>
      <c r="P914" s="217"/>
      <c r="Q914" s="217"/>
      <c r="R914" s="217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</row>
    <row r="915">
      <c r="A915" s="19"/>
      <c r="B915" s="19"/>
      <c r="C915" s="19"/>
      <c r="D915" s="219"/>
      <c r="E915" s="220"/>
      <c r="F915" s="221"/>
      <c r="G915" s="222"/>
      <c r="H915" s="223"/>
      <c r="I915" s="224"/>
      <c r="J915" s="507"/>
      <c r="K915" s="19"/>
      <c r="L915" s="507"/>
      <c r="M915" s="507"/>
      <c r="N915" s="507"/>
      <c r="O915" s="508"/>
      <c r="P915" s="217"/>
      <c r="Q915" s="217"/>
      <c r="R915" s="217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</row>
    <row r="916">
      <c r="A916" s="19"/>
      <c r="B916" s="19"/>
      <c r="C916" s="19"/>
      <c r="D916" s="219"/>
      <c r="E916" s="220"/>
      <c r="F916" s="221"/>
      <c r="G916" s="222"/>
      <c r="H916" s="223"/>
      <c r="I916" s="224"/>
      <c r="J916" s="507"/>
      <c r="K916" s="19"/>
      <c r="L916" s="507"/>
      <c r="M916" s="507"/>
      <c r="N916" s="507"/>
      <c r="O916" s="508"/>
      <c r="P916" s="217"/>
      <c r="Q916" s="217"/>
      <c r="R916" s="217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</row>
    <row r="917">
      <c r="A917" s="19"/>
      <c r="B917" s="19"/>
      <c r="C917" s="19"/>
      <c r="D917" s="219"/>
      <c r="E917" s="220"/>
      <c r="F917" s="221"/>
      <c r="G917" s="222"/>
      <c r="H917" s="223"/>
      <c r="I917" s="224"/>
      <c r="J917" s="507"/>
      <c r="K917" s="19"/>
      <c r="L917" s="507"/>
      <c r="M917" s="507"/>
      <c r="N917" s="507"/>
      <c r="O917" s="508"/>
      <c r="P917" s="217"/>
      <c r="Q917" s="217"/>
      <c r="R917" s="217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</row>
    <row r="918">
      <c r="A918" s="19"/>
      <c r="B918" s="19"/>
      <c r="C918" s="19"/>
      <c r="D918" s="219"/>
      <c r="E918" s="220"/>
      <c r="F918" s="221"/>
      <c r="G918" s="222"/>
      <c r="H918" s="223"/>
      <c r="I918" s="224"/>
      <c r="J918" s="507"/>
      <c r="K918" s="19"/>
      <c r="L918" s="507"/>
      <c r="M918" s="507"/>
      <c r="N918" s="507"/>
      <c r="O918" s="508"/>
      <c r="P918" s="217"/>
      <c r="Q918" s="217"/>
      <c r="R918" s="217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</row>
    <row r="919">
      <c r="A919" s="19"/>
      <c r="B919" s="19"/>
      <c r="C919" s="19"/>
      <c r="D919" s="219"/>
      <c r="E919" s="220"/>
      <c r="F919" s="221"/>
      <c r="G919" s="222"/>
      <c r="H919" s="223"/>
      <c r="I919" s="224"/>
      <c r="J919" s="507"/>
      <c r="K919" s="19"/>
      <c r="L919" s="507"/>
      <c r="M919" s="507"/>
      <c r="N919" s="507"/>
      <c r="O919" s="508"/>
      <c r="P919" s="217"/>
      <c r="Q919" s="217"/>
      <c r="R919" s="217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</row>
    <row r="920">
      <c r="A920" s="19"/>
      <c r="B920" s="19"/>
      <c r="C920" s="19"/>
      <c r="D920" s="219"/>
      <c r="E920" s="220"/>
      <c r="F920" s="221"/>
      <c r="G920" s="222"/>
      <c r="H920" s="223"/>
      <c r="I920" s="224"/>
      <c r="J920" s="507"/>
      <c r="K920" s="19"/>
      <c r="L920" s="507"/>
      <c r="M920" s="507"/>
      <c r="N920" s="507"/>
      <c r="O920" s="508"/>
      <c r="P920" s="217"/>
      <c r="Q920" s="217"/>
      <c r="R920" s="217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</row>
    <row r="921">
      <c r="A921" s="19"/>
      <c r="B921" s="19"/>
      <c r="C921" s="19"/>
      <c r="D921" s="219"/>
      <c r="E921" s="220"/>
      <c r="F921" s="221"/>
      <c r="G921" s="222"/>
      <c r="H921" s="223"/>
      <c r="I921" s="224"/>
      <c r="J921" s="507"/>
      <c r="K921" s="19"/>
      <c r="L921" s="507"/>
      <c r="M921" s="507"/>
      <c r="N921" s="507"/>
      <c r="O921" s="508"/>
      <c r="P921" s="217"/>
      <c r="Q921" s="217"/>
      <c r="R921" s="217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</row>
    <row r="922">
      <c r="A922" s="19"/>
      <c r="B922" s="19"/>
      <c r="C922" s="19"/>
      <c r="D922" s="219"/>
      <c r="E922" s="220"/>
      <c r="F922" s="221"/>
      <c r="G922" s="222"/>
      <c r="H922" s="223"/>
      <c r="I922" s="224"/>
      <c r="J922" s="507"/>
      <c r="K922" s="19"/>
      <c r="L922" s="507"/>
      <c r="M922" s="507"/>
      <c r="N922" s="507"/>
      <c r="O922" s="508"/>
      <c r="P922" s="217"/>
      <c r="Q922" s="217"/>
      <c r="R922" s="217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</row>
    <row r="923">
      <c r="A923" s="19"/>
      <c r="B923" s="19"/>
      <c r="C923" s="19"/>
      <c r="D923" s="219"/>
      <c r="E923" s="220"/>
      <c r="F923" s="221"/>
      <c r="G923" s="222"/>
      <c r="H923" s="223"/>
      <c r="I923" s="224"/>
      <c r="J923" s="507"/>
      <c r="K923" s="19"/>
      <c r="L923" s="507"/>
      <c r="M923" s="507"/>
      <c r="N923" s="507"/>
      <c r="O923" s="508"/>
      <c r="P923" s="217"/>
      <c r="Q923" s="217"/>
      <c r="R923" s="217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</row>
    <row r="924">
      <c r="A924" s="19"/>
      <c r="B924" s="19"/>
      <c r="C924" s="19"/>
      <c r="D924" s="219"/>
      <c r="E924" s="220"/>
      <c r="F924" s="221"/>
      <c r="G924" s="222"/>
      <c r="H924" s="223"/>
      <c r="I924" s="224"/>
      <c r="J924" s="507"/>
      <c r="K924" s="19"/>
      <c r="L924" s="507"/>
      <c r="M924" s="507"/>
      <c r="N924" s="507"/>
      <c r="O924" s="508"/>
      <c r="P924" s="217"/>
      <c r="Q924" s="217"/>
      <c r="R924" s="217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</row>
    <row r="925">
      <c r="A925" s="19"/>
      <c r="B925" s="19"/>
      <c r="C925" s="19"/>
      <c r="D925" s="219"/>
      <c r="E925" s="220"/>
      <c r="F925" s="221"/>
      <c r="G925" s="222"/>
      <c r="H925" s="223"/>
      <c r="I925" s="224"/>
      <c r="J925" s="507"/>
      <c r="K925" s="19"/>
      <c r="L925" s="507"/>
      <c r="M925" s="507"/>
      <c r="N925" s="507"/>
      <c r="O925" s="508"/>
      <c r="P925" s="217"/>
      <c r="Q925" s="217"/>
      <c r="R925" s="217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</row>
    <row r="926">
      <c r="A926" s="19"/>
      <c r="B926" s="19"/>
      <c r="C926" s="19"/>
      <c r="D926" s="219"/>
      <c r="E926" s="220"/>
      <c r="F926" s="221"/>
      <c r="G926" s="222"/>
      <c r="H926" s="223"/>
      <c r="I926" s="224"/>
      <c r="J926" s="507"/>
      <c r="K926" s="19"/>
      <c r="L926" s="507"/>
      <c r="M926" s="507"/>
      <c r="N926" s="507"/>
      <c r="O926" s="508"/>
      <c r="P926" s="217"/>
      <c r="Q926" s="217"/>
      <c r="R926" s="217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</row>
    <row r="927">
      <c r="A927" s="19"/>
      <c r="B927" s="19"/>
      <c r="C927" s="19"/>
      <c r="D927" s="219"/>
      <c r="E927" s="220"/>
      <c r="F927" s="221"/>
      <c r="G927" s="222"/>
      <c r="H927" s="223"/>
      <c r="I927" s="224"/>
      <c r="J927" s="507"/>
      <c r="K927" s="19"/>
      <c r="L927" s="507"/>
      <c r="M927" s="507"/>
      <c r="N927" s="507"/>
      <c r="O927" s="508"/>
      <c r="P927" s="217"/>
      <c r="Q927" s="217"/>
      <c r="R927" s="217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</row>
    <row r="928">
      <c r="A928" s="19"/>
      <c r="B928" s="19"/>
      <c r="C928" s="19"/>
      <c r="D928" s="219"/>
      <c r="E928" s="220"/>
      <c r="F928" s="221"/>
      <c r="G928" s="222"/>
      <c r="H928" s="223"/>
      <c r="I928" s="224"/>
      <c r="J928" s="507"/>
      <c r="K928" s="19"/>
      <c r="L928" s="507"/>
      <c r="M928" s="507"/>
      <c r="N928" s="507"/>
      <c r="O928" s="508"/>
      <c r="P928" s="217"/>
      <c r="Q928" s="217"/>
      <c r="R928" s="217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</row>
    <row r="929">
      <c r="A929" s="19"/>
      <c r="B929" s="19"/>
      <c r="C929" s="19"/>
      <c r="D929" s="219"/>
      <c r="E929" s="220"/>
      <c r="F929" s="221"/>
      <c r="G929" s="222"/>
      <c r="H929" s="223"/>
      <c r="I929" s="224"/>
      <c r="J929" s="507"/>
      <c r="K929" s="19"/>
      <c r="L929" s="507"/>
      <c r="M929" s="507"/>
      <c r="N929" s="507"/>
      <c r="O929" s="508"/>
      <c r="P929" s="217"/>
      <c r="Q929" s="217"/>
      <c r="R929" s="217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</row>
    <row r="930">
      <c r="A930" s="19"/>
      <c r="B930" s="19"/>
      <c r="C930" s="19"/>
      <c r="D930" s="219"/>
      <c r="E930" s="220"/>
      <c r="F930" s="221"/>
      <c r="G930" s="222"/>
      <c r="H930" s="223"/>
      <c r="I930" s="224"/>
      <c r="J930" s="507"/>
      <c r="K930" s="19"/>
      <c r="L930" s="507"/>
      <c r="M930" s="507"/>
      <c r="N930" s="507"/>
      <c r="O930" s="508"/>
      <c r="P930" s="217"/>
      <c r="Q930" s="217"/>
      <c r="R930" s="217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</row>
    <row r="931">
      <c r="A931" s="19"/>
      <c r="B931" s="19"/>
      <c r="C931" s="19"/>
      <c r="D931" s="219"/>
      <c r="E931" s="220"/>
      <c r="F931" s="221"/>
      <c r="G931" s="222"/>
      <c r="H931" s="223"/>
      <c r="I931" s="224"/>
      <c r="J931" s="507"/>
      <c r="K931" s="19"/>
      <c r="L931" s="507"/>
      <c r="M931" s="507"/>
      <c r="N931" s="507"/>
      <c r="O931" s="508"/>
      <c r="P931" s="217"/>
      <c r="Q931" s="217"/>
      <c r="R931" s="217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</row>
    <row r="932">
      <c r="A932" s="19"/>
      <c r="B932" s="19"/>
      <c r="C932" s="19"/>
      <c r="D932" s="219"/>
      <c r="E932" s="220"/>
      <c r="F932" s="221"/>
      <c r="G932" s="222"/>
      <c r="H932" s="223"/>
      <c r="I932" s="224"/>
      <c r="J932" s="507"/>
      <c r="K932" s="19"/>
      <c r="L932" s="507"/>
      <c r="M932" s="507"/>
      <c r="N932" s="507"/>
      <c r="O932" s="508"/>
      <c r="P932" s="217"/>
      <c r="Q932" s="217"/>
      <c r="R932" s="217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</row>
    <row r="933">
      <c r="A933" s="19"/>
      <c r="B933" s="19"/>
      <c r="C933" s="19"/>
      <c r="D933" s="219"/>
      <c r="E933" s="220"/>
      <c r="F933" s="221"/>
      <c r="G933" s="222"/>
      <c r="H933" s="223"/>
      <c r="I933" s="224"/>
      <c r="J933" s="507"/>
      <c r="K933" s="19"/>
      <c r="L933" s="507"/>
      <c r="M933" s="507"/>
      <c r="N933" s="507"/>
      <c r="O933" s="508"/>
      <c r="P933" s="217"/>
      <c r="Q933" s="217"/>
      <c r="R933" s="217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</row>
    <row r="934">
      <c r="A934" s="19"/>
      <c r="B934" s="19"/>
      <c r="C934" s="19"/>
      <c r="D934" s="219"/>
      <c r="E934" s="220"/>
      <c r="F934" s="221"/>
      <c r="G934" s="222"/>
      <c r="H934" s="223"/>
      <c r="I934" s="224"/>
      <c r="J934" s="507"/>
      <c r="K934" s="19"/>
      <c r="L934" s="507"/>
      <c r="M934" s="507"/>
      <c r="N934" s="507"/>
      <c r="O934" s="508"/>
      <c r="P934" s="217"/>
      <c r="Q934" s="217"/>
      <c r="R934" s="217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</row>
    <row r="935">
      <c r="A935" s="19"/>
      <c r="B935" s="19"/>
      <c r="C935" s="19"/>
      <c r="D935" s="219"/>
      <c r="E935" s="220"/>
      <c r="F935" s="221"/>
      <c r="G935" s="222"/>
      <c r="H935" s="223"/>
      <c r="I935" s="224"/>
      <c r="J935" s="507"/>
      <c r="K935" s="19"/>
      <c r="L935" s="507"/>
      <c r="M935" s="507"/>
      <c r="N935" s="507"/>
      <c r="O935" s="508"/>
      <c r="P935" s="217"/>
      <c r="Q935" s="217"/>
      <c r="R935" s="217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</row>
    <row r="936">
      <c r="A936" s="19"/>
      <c r="B936" s="19"/>
      <c r="C936" s="19"/>
      <c r="D936" s="219"/>
      <c r="E936" s="220"/>
      <c r="F936" s="221"/>
      <c r="G936" s="222"/>
      <c r="H936" s="223"/>
      <c r="I936" s="224"/>
      <c r="J936" s="507"/>
      <c r="K936" s="19"/>
      <c r="L936" s="507"/>
      <c r="M936" s="507"/>
      <c r="N936" s="507"/>
      <c r="O936" s="508"/>
      <c r="P936" s="217"/>
      <c r="Q936" s="217"/>
      <c r="R936" s="217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</row>
    <row r="937">
      <c r="A937" s="19"/>
      <c r="B937" s="19"/>
      <c r="C937" s="19"/>
      <c r="D937" s="219"/>
      <c r="E937" s="220"/>
      <c r="F937" s="221"/>
      <c r="G937" s="222"/>
      <c r="H937" s="223"/>
      <c r="I937" s="224"/>
      <c r="J937" s="507"/>
      <c r="K937" s="19"/>
      <c r="L937" s="507"/>
      <c r="M937" s="507"/>
      <c r="N937" s="507"/>
      <c r="O937" s="508"/>
      <c r="P937" s="217"/>
      <c r="Q937" s="217"/>
      <c r="R937" s="217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</row>
    <row r="938">
      <c r="A938" s="19"/>
      <c r="B938" s="19"/>
      <c r="C938" s="19"/>
      <c r="D938" s="219"/>
      <c r="E938" s="220"/>
      <c r="F938" s="221"/>
      <c r="G938" s="222"/>
      <c r="H938" s="223"/>
      <c r="I938" s="224"/>
      <c r="J938" s="507"/>
      <c r="K938" s="19"/>
      <c r="L938" s="507"/>
      <c r="M938" s="507"/>
      <c r="N938" s="507"/>
      <c r="O938" s="508"/>
      <c r="P938" s="217"/>
      <c r="Q938" s="217"/>
      <c r="R938" s="217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</row>
    <row r="939">
      <c r="A939" s="19"/>
      <c r="B939" s="19"/>
      <c r="C939" s="19"/>
      <c r="D939" s="219"/>
      <c r="E939" s="220"/>
      <c r="F939" s="221"/>
      <c r="G939" s="222"/>
      <c r="H939" s="223"/>
      <c r="I939" s="224"/>
      <c r="J939" s="507"/>
      <c r="K939" s="19"/>
      <c r="L939" s="507"/>
      <c r="M939" s="507"/>
      <c r="N939" s="507"/>
      <c r="O939" s="508"/>
      <c r="P939" s="217"/>
      <c r="Q939" s="217"/>
      <c r="R939" s="217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</row>
    <row r="940">
      <c r="A940" s="19"/>
      <c r="B940" s="19"/>
      <c r="C940" s="19"/>
      <c r="D940" s="219"/>
      <c r="E940" s="220"/>
      <c r="F940" s="221"/>
      <c r="G940" s="222"/>
      <c r="H940" s="223"/>
      <c r="I940" s="224"/>
      <c r="J940" s="507"/>
      <c r="K940" s="19"/>
      <c r="L940" s="507"/>
      <c r="M940" s="507"/>
      <c r="N940" s="507"/>
      <c r="O940" s="508"/>
      <c r="P940" s="217"/>
      <c r="Q940" s="217"/>
      <c r="R940" s="217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</row>
    <row r="941">
      <c r="A941" s="19"/>
      <c r="B941" s="19"/>
      <c r="C941" s="19"/>
      <c r="D941" s="219"/>
      <c r="E941" s="220"/>
      <c r="F941" s="221"/>
      <c r="G941" s="222"/>
      <c r="H941" s="223"/>
      <c r="I941" s="224"/>
      <c r="J941" s="507"/>
      <c r="K941" s="19"/>
      <c r="L941" s="507"/>
      <c r="M941" s="507"/>
      <c r="N941" s="507"/>
      <c r="O941" s="508"/>
      <c r="P941" s="217"/>
      <c r="Q941" s="217"/>
      <c r="R941" s="217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</row>
    <row r="942">
      <c r="A942" s="19"/>
      <c r="B942" s="19"/>
      <c r="C942" s="19"/>
      <c r="D942" s="219"/>
      <c r="E942" s="220"/>
      <c r="F942" s="221"/>
      <c r="G942" s="222"/>
      <c r="H942" s="223"/>
      <c r="I942" s="224"/>
      <c r="J942" s="507"/>
      <c r="K942" s="19"/>
      <c r="L942" s="507"/>
      <c r="M942" s="507"/>
      <c r="N942" s="507"/>
      <c r="O942" s="508"/>
      <c r="P942" s="217"/>
      <c r="Q942" s="217"/>
      <c r="R942" s="217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</row>
    <row r="943">
      <c r="A943" s="19"/>
      <c r="B943" s="19"/>
      <c r="C943" s="19"/>
      <c r="D943" s="219"/>
      <c r="E943" s="220"/>
      <c r="F943" s="221"/>
      <c r="G943" s="222"/>
      <c r="H943" s="223"/>
      <c r="I943" s="224"/>
      <c r="J943" s="507"/>
      <c r="K943" s="19"/>
      <c r="L943" s="507"/>
      <c r="M943" s="507"/>
      <c r="N943" s="507"/>
      <c r="O943" s="508"/>
      <c r="P943" s="217"/>
      <c r="Q943" s="217"/>
      <c r="R943" s="217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</row>
    <row r="944">
      <c r="A944" s="19"/>
      <c r="B944" s="19"/>
      <c r="C944" s="19"/>
      <c r="D944" s="219"/>
      <c r="E944" s="220"/>
      <c r="F944" s="221"/>
      <c r="G944" s="222"/>
      <c r="H944" s="223"/>
      <c r="I944" s="224"/>
      <c r="J944" s="507"/>
      <c r="K944" s="19"/>
      <c r="L944" s="507"/>
      <c r="M944" s="507"/>
      <c r="N944" s="507"/>
      <c r="O944" s="508"/>
      <c r="P944" s="217"/>
      <c r="Q944" s="217"/>
      <c r="R944" s="217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</row>
    <row r="945">
      <c r="A945" s="19"/>
      <c r="B945" s="19"/>
      <c r="C945" s="19"/>
      <c r="D945" s="219"/>
      <c r="E945" s="220"/>
      <c r="F945" s="221"/>
      <c r="G945" s="222"/>
      <c r="H945" s="223"/>
      <c r="I945" s="224"/>
      <c r="J945" s="507"/>
      <c r="K945" s="19"/>
      <c r="L945" s="507"/>
      <c r="M945" s="507"/>
      <c r="N945" s="507"/>
      <c r="O945" s="508"/>
      <c r="P945" s="217"/>
      <c r="Q945" s="217"/>
      <c r="R945" s="217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</row>
    <row r="946">
      <c r="A946" s="19"/>
      <c r="B946" s="19"/>
      <c r="C946" s="19"/>
      <c r="D946" s="219"/>
      <c r="E946" s="220"/>
      <c r="F946" s="221"/>
      <c r="G946" s="222"/>
      <c r="H946" s="223"/>
      <c r="I946" s="224"/>
      <c r="J946" s="507"/>
      <c r="K946" s="19"/>
      <c r="L946" s="507"/>
      <c r="M946" s="507"/>
      <c r="N946" s="507"/>
      <c r="O946" s="508"/>
      <c r="P946" s="217"/>
      <c r="Q946" s="217"/>
      <c r="R946" s="217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</row>
    <row r="947">
      <c r="A947" s="19"/>
      <c r="B947" s="19"/>
      <c r="C947" s="19"/>
      <c r="D947" s="219"/>
      <c r="E947" s="220"/>
      <c r="F947" s="221"/>
      <c r="G947" s="222"/>
      <c r="H947" s="223"/>
      <c r="I947" s="224"/>
      <c r="J947" s="507"/>
      <c r="K947" s="19"/>
      <c r="L947" s="507"/>
      <c r="M947" s="507"/>
      <c r="N947" s="507"/>
      <c r="O947" s="508"/>
      <c r="P947" s="217"/>
      <c r="Q947" s="217"/>
      <c r="R947" s="217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</row>
    <row r="948">
      <c r="A948" s="19"/>
      <c r="B948" s="19"/>
      <c r="C948" s="19"/>
      <c r="D948" s="219"/>
      <c r="E948" s="220"/>
      <c r="F948" s="221"/>
      <c r="G948" s="222"/>
      <c r="H948" s="223"/>
      <c r="I948" s="224"/>
      <c r="J948" s="507"/>
      <c r="K948" s="19"/>
      <c r="L948" s="507"/>
      <c r="M948" s="507"/>
      <c r="N948" s="507"/>
      <c r="O948" s="508"/>
      <c r="P948" s="217"/>
      <c r="Q948" s="217"/>
      <c r="R948" s="217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</row>
    <row r="949">
      <c r="A949" s="19"/>
      <c r="B949" s="19"/>
      <c r="C949" s="19"/>
      <c r="D949" s="219"/>
      <c r="E949" s="220"/>
      <c r="F949" s="221"/>
      <c r="G949" s="222"/>
      <c r="H949" s="223"/>
      <c r="I949" s="224"/>
      <c r="J949" s="507"/>
      <c r="K949" s="19"/>
      <c r="L949" s="507"/>
      <c r="M949" s="507"/>
      <c r="N949" s="507"/>
      <c r="O949" s="508"/>
      <c r="P949" s="217"/>
      <c r="Q949" s="217"/>
      <c r="R949" s="217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</row>
    <row r="950">
      <c r="A950" s="19"/>
      <c r="B950" s="19"/>
      <c r="C950" s="19"/>
      <c r="D950" s="219"/>
      <c r="E950" s="220"/>
      <c r="F950" s="221"/>
      <c r="G950" s="222"/>
      <c r="H950" s="223"/>
      <c r="I950" s="224"/>
      <c r="J950" s="507"/>
      <c r="K950" s="19"/>
      <c r="L950" s="507"/>
      <c r="M950" s="507"/>
      <c r="N950" s="507"/>
      <c r="O950" s="508"/>
      <c r="P950" s="217"/>
      <c r="Q950" s="217"/>
      <c r="R950" s="217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</row>
    <row r="951">
      <c r="A951" s="19"/>
      <c r="B951" s="19"/>
      <c r="C951" s="19"/>
      <c r="D951" s="219"/>
      <c r="E951" s="220"/>
      <c r="F951" s="221"/>
      <c r="G951" s="222"/>
      <c r="H951" s="223"/>
      <c r="I951" s="224"/>
      <c r="J951" s="507"/>
      <c r="K951" s="19"/>
      <c r="L951" s="507"/>
      <c r="M951" s="507"/>
      <c r="N951" s="507"/>
      <c r="O951" s="508"/>
      <c r="P951" s="217"/>
      <c r="Q951" s="217"/>
      <c r="R951" s="217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</row>
    <row r="952">
      <c r="A952" s="19"/>
      <c r="B952" s="19"/>
      <c r="C952" s="19"/>
      <c r="D952" s="219"/>
      <c r="E952" s="220"/>
      <c r="F952" s="221"/>
      <c r="G952" s="222"/>
      <c r="H952" s="223"/>
      <c r="I952" s="224"/>
      <c r="J952" s="507"/>
      <c r="K952" s="19"/>
      <c r="L952" s="507"/>
      <c r="M952" s="507"/>
      <c r="N952" s="507"/>
      <c r="O952" s="508"/>
      <c r="P952" s="217"/>
      <c r="Q952" s="217"/>
      <c r="R952" s="217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</row>
    <row r="953">
      <c r="A953" s="19"/>
      <c r="B953" s="19"/>
      <c r="C953" s="19"/>
      <c r="D953" s="219"/>
      <c r="E953" s="220"/>
      <c r="F953" s="221"/>
      <c r="G953" s="222"/>
      <c r="H953" s="223"/>
      <c r="I953" s="224"/>
      <c r="J953" s="507"/>
      <c r="K953" s="19"/>
      <c r="L953" s="507"/>
      <c r="M953" s="507"/>
      <c r="N953" s="507"/>
      <c r="O953" s="508"/>
      <c r="P953" s="217"/>
      <c r="Q953" s="217"/>
      <c r="R953" s="217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</row>
    <row r="954">
      <c r="A954" s="19"/>
      <c r="B954" s="19"/>
      <c r="C954" s="19"/>
      <c r="D954" s="219"/>
      <c r="E954" s="220"/>
      <c r="F954" s="221"/>
      <c r="G954" s="222"/>
      <c r="H954" s="223"/>
      <c r="I954" s="224"/>
      <c r="J954" s="507"/>
      <c r="K954" s="19"/>
      <c r="L954" s="507"/>
      <c r="M954" s="507"/>
      <c r="N954" s="507"/>
      <c r="O954" s="508"/>
      <c r="P954" s="217"/>
      <c r="Q954" s="217"/>
      <c r="R954" s="217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</row>
    <row r="955">
      <c r="A955" s="19"/>
      <c r="B955" s="19"/>
      <c r="C955" s="19"/>
      <c r="D955" s="219"/>
      <c r="E955" s="220"/>
      <c r="F955" s="221"/>
      <c r="G955" s="222"/>
      <c r="H955" s="223"/>
      <c r="I955" s="224"/>
      <c r="J955" s="507"/>
      <c r="K955" s="19"/>
      <c r="L955" s="507"/>
      <c r="M955" s="507"/>
      <c r="N955" s="507"/>
      <c r="O955" s="508"/>
      <c r="P955" s="217"/>
      <c r="Q955" s="217"/>
      <c r="R955" s="217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</row>
    <row r="956">
      <c r="A956" s="19"/>
      <c r="B956" s="19"/>
      <c r="C956" s="19"/>
      <c r="D956" s="219"/>
      <c r="E956" s="220"/>
      <c r="F956" s="221"/>
      <c r="G956" s="222"/>
      <c r="H956" s="223"/>
      <c r="I956" s="224"/>
      <c r="J956" s="507"/>
      <c r="K956" s="19"/>
      <c r="L956" s="507"/>
      <c r="M956" s="507"/>
      <c r="N956" s="507"/>
      <c r="O956" s="508"/>
      <c r="P956" s="217"/>
      <c r="Q956" s="217"/>
      <c r="R956" s="217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</row>
    <row r="957">
      <c r="A957" s="19"/>
      <c r="B957" s="19"/>
      <c r="C957" s="19"/>
      <c r="D957" s="219"/>
      <c r="E957" s="220"/>
      <c r="F957" s="221"/>
      <c r="G957" s="222"/>
      <c r="H957" s="223"/>
      <c r="I957" s="224"/>
      <c r="J957" s="507"/>
      <c r="K957" s="19"/>
      <c r="L957" s="507"/>
      <c r="M957" s="507"/>
      <c r="N957" s="507"/>
      <c r="O957" s="508"/>
      <c r="P957" s="217"/>
      <c r="Q957" s="217"/>
      <c r="R957" s="217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</row>
    <row r="958">
      <c r="A958" s="19"/>
      <c r="B958" s="19"/>
      <c r="C958" s="19"/>
      <c r="D958" s="219"/>
      <c r="E958" s="220"/>
      <c r="F958" s="221"/>
      <c r="G958" s="222"/>
      <c r="H958" s="223"/>
      <c r="I958" s="224"/>
      <c r="J958" s="507"/>
      <c r="K958" s="19"/>
      <c r="L958" s="507"/>
      <c r="M958" s="507"/>
      <c r="N958" s="507"/>
      <c r="O958" s="508"/>
      <c r="P958" s="217"/>
      <c r="Q958" s="217"/>
      <c r="R958" s="217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</row>
    <row r="959">
      <c r="A959" s="19"/>
      <c r="B959" s="19"/>
      <c r="C959" s="19"/>
      <c r="D959" s="219"/>
      <c r="E959" s="220"/>
      <c r="F959" s="221"/>
      <c r="G959" s="222"/>
      <c r="H959" s="223"/>
      <c r="I959" s="224"/>
      <c r="J959" s="507"/>
      <c r="K959" s="19"/>
      <c r="L959" s="507"/>
      <c r="M959" s="507"/>
      <c r="N959" s="507"/>
      <c r="O959" s="508"/>
      <c r="P959" s="217"/>
      <c r="Q959" s="217"/>
      <c r="R959" s="217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</row>
    <row r="960">
      <c r="A960" s="19"/>
      <c r="B960" s="19"/>
      <c r="C960" s="19"/>
      <c r="D960" s="219"/>
      <c r="E960" s="220"/>
      <c r="F960" s="221"/>
      <c r="G960" s="222"/>
      <c r="H960" s="223"/>
      <c r="I960" s="224"/>
      <c r="J960" s="507"/>
      <c r="K960" s="19"/>
      <c r="L960" s="507"/>
      <c r="M960" s="507"/>
      <c r="N960" s="507"/>
      <c r="O960" s="508"/>
      <c r="P960" s="217"/>
      <c r="Q960" s="217"/>
      <c r="R960" s="217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</row>
    <row r="961">
      <c r="A961" s="19"/>
      <c r="B961" s="19"/>
      <c r="C961" s="19"/>
      <c r="D961" s="219"/>
      <c r="E961" s="220"/>
      <c r="F961" s="221"/>
      <c r="G961" s="222"/>
      <c r="H961" s="223"/>
      <c r="I961" s="224"/>
      <c r="J961" s="507"/>
      <c r="K961" s="19"/>
      <c r="L961" s="507"/>
      <c r="M961" s="507"/>
      <c r="N961" s="507"/>
      <c r="O961" s="508"/>
      <c r="P961" s="217"/>
      <c r="Q961" s="217"/>
      <c r="R961" s="217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</row>
    <row r="962">
      <c r="A962" s="19"/>
      <c r="B962" s="19"/>
      <c r="C962" s="19"/>
      <c r="D962" s="219"/>
      <c r="E962" s="220"/>
      <c r="F962" s="221"/>
      <c r="G962" s="222"/>
      <c r="H962" s="223"/>
      <c r="I962" s="224"/>
      <c r="J962" s="507"/>
      <c r="K962" s="19"/>
      <c r="L962" s="507"/>
      <c r="M962" s="507"/>
      <c r="N962" s="507"/>
      <c r="O962" s="508"/>
      <c r="P962" s="217"/>
      <c r="Q962" s="217"/>
      <c r="R962" s="217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</row>
    <row r="963">
      <c r="A963" s="19"/>
      <c r="B963" s="19"/>
      <c r="C963" s="19"/>
      <c r="D963" s="219"/>
      <c r="E963" s="220"/>
      <c r="F963" s="221"/>
      <c r="G963" s="222"/>
      <c r="H963" s="223"/>
      <c r="I963" s="224"/>
      <c r="J963" s="507"/>
      <c r="K963" s="19"/>
      <c r="L963" s="507"/>
      <c r="M963" s="507"/>
      <c r="N963" s="507"/>
      <c r="O963" s="508"/>
      <c r="P963" s="217"/>
      <c r="Q963" s="217"/>
      <c r="R963" s="217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</row>
    <row r="964">
      <c r="A964" s="19"/>
      <c r="B964" s="19"/>
      <c r="C964" s="19"/>
      <c r="D964" s="219"/>
      <c r="E964" s="220"/>
      <c r="F964" s="221"/>
      <c r="G964" s="222"/>
      <c r="H964" s="223"/>
      <c r="I964" s="224"/>
      <c r="J964" s="507"/>
      <c r="K964" s="19"/>
      <c r="L964" s="507"/>
      <c r="M964" s="507"/>
      <c r="N964" s="507"/>
      <c r="O964" s="508"/>
      <c r="P964" s="217"/>
      <c r="Q964" s="217"/>
      <c r="R964" s="217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</row>
    <row r="965">
      <c r="A965" s="19"/>
      <c r="B965" s="19"/>
      <c r="C965" s="19"/>
      <c r="D965" s="219"/>
      <c r="E965" s="220"/>
      <c r="F965" s="221"/>
      <c r="G965" s="222"/>
      <c r="H965" s="223"/>
      <c r="I965" s="224"/>
      <c r="J965" s="507"/>
      <c r="K965" s="19"/>
      <c r="L965" s="507"/>
      <c r="M965" s="507"/>
      <c r="N965" s="507"/>
      <c r="O965" s="508"/>
      <c r="P965" s="217"/>
      <c r="Q965" s="217"/>
      <c r="R965" s="217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</row>
    <row r="966">
      <c r="A966" s="19"/>
      <c r="B966" s="19"/>
      <c r="C966" s="19"/>
      <c r="D966" s="219"/>
      <c r="E966" s="220"/>
      <c r="F966" s="221"/>
      <c r="G966" s="222"/>
      <c r="H966" s="223"/>
      <c r="I966" s="224"/>
      <c r="J966" s="507"/>
      <c r="K966" s="19"/>
      <c r="L966" s="507"/>
      <c r="M966" s="507"/>
      <c r="N966" s="507"/>
      <c r="O966" s="508"/>
      <c r="P966" s="217"/>
      <c r="Q966" s="217"/>
      <c r="R966" s="217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</row>
    <row r="967">
      <c r="A967" s="19"/>
      <c r="B967" s="19"/>
      <c r="C967" s="19"/>
      <c r="D967" s="219"/>
      <c r="E967" s="220"/>
      <c r="F967" s="221"/>
      <c r="G967" s="222"/>
      <c r="H967" s="223"/>
      <c r="I967" s="224"/>
      <c r="J967" s="507"/>
      <c r="K967" s="19"/>
      <c r="L967" s="507"/>
      <c r="M967" s="507"/>
      <c r="N967" s="507"/>
      <c r="O967" s="508"/>
      <c r="P967" s="217"/>
      <c r="Q967" s="217"/>
      <c r="R967" s="217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</row>
    <row r="968">
      <c r="A968" s="19"/>
      <c r="B968" s="19"/>
      <c r="C968" s="19"/>
      <c r="D968" s="219"/>
      <c r="E968" s="220"/>
      <c r="F968" s="221"/>
      <c r="G968" s="222"/>
      <c r="H968" s="223"/>
      <c r="I968" s="224"/>
      <c r="J968" s="507"/>
      <c r="K968" s="19"/>
      <c r="L968" s="507"/>
      <c r="M968" s="507"/>
      <c r="N968" s="507"/>
      <c r="O968" s="508"/>
      <c r="P968" s="217"/>
      <c r="Q968" s="217"/>
      <c r="R968" s="217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</row>
    <row r="969">
      <c r="A969" s="19"/>
      <c r="B969" s="19"/>
      <c r="C969" s="19"/>
      <c r="D969" s="219"/>
      <c r="E969" s="220"/>
      <c r="F969" s="221"/>
      <c r="G969" s="222"/>
      <c r="H969" s="223"/>
      <c r="I969" s="224"/>
      <c r="J969" s="507"/>
      <c r="K969" s="19"/>
      <c r="L969" s="507"/>
      <c r="M969" s="507"/>
      <c r="N969" s="507"/>
      <c r="O969" s="508"/>
      <c r="P969" s="217"/>
      <c r="Q969" s="217"/>
      <c r="R969" s="217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</row>
    <row r="970">
      <c r="A970" s="19"/>
      <c r="B970" s="19"/>
      <c r="C970" s="19"/>
      <c r="D970" s="219"/>
      <c r="E970" s="220"/>
      <c r="F970" s="221"/>
      <c r="G970" s="222"/>
      <c r="H970" s="223"/>
      <c r="I970" s="224"/>
      <c r="J970" s="507"/>
      <c r="K970" s="19"/>
      <c r="L970" s="507"/>
      <c r="M970" s="507"/>
      <c r="N970" s="507"/>
      <c r="O970" s="508"/>
      <c r="P970" s="217"/>
      <c r="Q970" s="217"/>
      <c r="R970" s="217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</row>
    <row r="971">
      <c r="A971" s="19"/>
      <c r="B971" s="19"/>
      <c r="C971" s="19"/>
      <c r="D971" s="219"/>
      <c r="E971" s="220"/>
      <c r="F971" s="221"/>
      <c r="G971" s="222"/>
      <c r="H971" s="223"/>
      <c r="I971" s="224"/>
      <c r="J971" s="507"/>
      <c r="K971" s="19"/>
      <c r="L971" s="507"/>
      <c r="M971" s="507"/>
      <c r="N971" s="507"/>
      <c r="O971" s="508"/>
      <c r="P971" s="217"/>
      <c r="Q971" s="217"/>
      <c r="R971" s="217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</row>
    <row r="972">
      <c r="A972" s="19"/>
      <c r="B972" s="19"/>
      <c r="C972" s="19"/>
      <c r="D972" s="219"/>
      <c r="E972" s="220"/>
      <c r="F972" s="221"/>
      <c r="G972" s="222"/>
      <c r="H972" s="223"/>
      <c r="I972" s="224"/>
      <c r="J972" s="507"/>
      <c r="K972" s="19"/>
      <c r="L972" s="507"/>
      <c r="M972" s="507"/>
      <c r="N972" s="507"/>
      <c r="O972" s="508"/>
      <c r="P972" s="217"/>
      <c r="Q972" s="217"/>
      <c r="R972" s="217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</row>
    <row r="973">
      <c r="A973" s="19"/>
      <c r="B973" s="19"/>
      <c r="C973" s="19"/>
      <c r="D973" s="219"/>
      <c r="E973" s="220"/>
      <c r="F973" s="221"/>
      <c r="G973" s="222"/>
      <c r="H973" s="223"/>
      <c r="I973" s="224"/>
      <c r="J973" s="507"/>
      <c r="K973" s="19"/>
      <c r="L973" s="507"/>
      <c r="M973" s="507"/>
      <c r="N973" s="507"/>
      <c r="O973" s="508"/>
      <c r="P973" s="217"/>
      <c r="Q973" s="217"/>
      <c r="R973" s="217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</row>
    <row r="974">
      <c r="A974" s="19"/>
      <c r="B974" s="19"/>
      <c r="C974" s="19"/>
      <c r="D974" s="219"/>
      <c r="E974" s="220"/>
      <c r="F974" s="221"/>
      <c r="G974" s="222"/>
      <c r="H974" s="223"/>
      <c r="I974" s="224"/>
      <c r="J974" s="507"/>
      <c r="K974" s="19"/>
      <c r="L974" s="507"/>
      <c r="M974" s="507"/>
      <c r="N974" s="507"/>
      <c r="O974" s="508"/>
      <c r="P974" s="217"/>
      <c r="Q974" s="217"/>
      <c r="R974" s="217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</row>
    <row r="975">
      <c r="A975" s="19"/>
      <c r="B975" s="19"/>
      <c r="C975" s="19"/>
      <c r="D975" s="219"/>
      <c r="E975" s="220"/>
      <c r="F975" s="221"/>
      <c r="G975" s="222"/>
      <c r="H975" s="223"/>
      <c r="I975" s="224"/>
      <c r="J975" s="507"/>
      <c r="K975" s="19"/>
      <c r="L975" s="507"/>
      <c r="M975" s="507"/>
      <c r="N975" s="507"/>
      <c r="O975" s="508"/>
      <c r="P975" s="217"/>
      <c r="Q975" s="217"/>
      <c r="R975" s="217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</row>
    <row r="976">
      <c r="A976" s="19"/>
      <c r="B976" s="19"/>
      <c r="C976" s="19"/>
      <c r="D976" s="219"/>
      <c r="E976" s="220"/>
      <c r="F976" s="221"/>
      <c r="G976" s="222"/>
      <c r="H976" s="223"/>
      <c r="I976" s="224"/>
      <c r="J976" s="507"/>
      <c r="K976" s="19"/>
      <c r="L976" s="507"/>
      <c r="M976" s="507"/>
      <c r="N976" s="507"/>
      <c r="O976" s="508"/>
      <c r="P976" s="217"/>
      <c r="Q976" s="217"/>
      <c r="R976" s="217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</row>
    <row r="977">
      <c r="A977" s="19"/>
      <c r="B977" s="19"/>
      <c r="C977" s="19"/>
      <c r="D977" s="219"/>
      <c r="E977" s="220"/>
      <c r="F977" s="221"/>
      <c r="G977" s="222"/>
      <c r="H977" s="223"/>
      <c r="I977" s="224"/>
      <c r="J977" s="507"/>
      <c r="K977" s="19"/>
      <c r="L977" s="507"/>
      <c r="M977" s="507"/>
      <c r="N977" s="507"/>
      <c r="O977" s="508"/>
      <c r="P977" s="217"/>
      <c r="Q977" s="217"/>
      <c r="R977" s="217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</row>
    <row r="978">
      <c r="A978" s="19"/>
      <c r="B978" s="19"/>
      <c r="C978" s="19"/>
      <c r="D978" s="219"/>
      <c r="E978" s="220"/>
      <c r="F978" s="221"/>
      <c r="G978" s="222"/>
      <c r="H978" s="223"/>
      <c r="I978" s="224"/>
      <c r="J978" s="507"/>
      <c r="K978" s="19"/>
      <c r="L978" s="507"/>
      <c r="M978" s="507"/>
      <c r="N978" s="507"/>
      <c r="O978" s="508"/>
      <c r="P978" s="217"/>
      <c r="Q978" s="217"/>
      <c r="R978" s="217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</row>
    <row r="979">
      <c r="A979" s="19"/>
      <c r="B979" s="19"/>
      <c r="C979" s="19"/>
      <c r="D979" s="219"/>
      <c r="E979" s="220"/>
      <c r="F979" s="221"/>
      <c r="G979" s="222"/>
      <c r="H979" s="223"/>
      <c r="I979" s="224"/>
      <c r="J979" s="507"/>
      <c r="K979" s="19"/>
      <c r="L979" s="507"/>
      <c r="M979" s="507"/>
      <c r="N979" s="507"/>
      <c r="O979" s="508"/>
      <c r="P979" s="217"/>
      <c r="Q979" s="217"/>
      <c r="R979" s="217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</row>
    <row r="980">
      <c r="A980" s="19"/>
      <c r="B980" s="19"/>
      <c r="C980" s="19"/>
      <c r="D980" s="219"/>
      <c r="E980" s="220"/>
      <c r="F980" s="221"/>
      <c r="G980" s="222"/>
      <c r="H980" s="223"/>
      <c r="I980" s="224"/>
      <c r="J980" s="507"/>
      <c r="K980" s="19"/>
      <c r="L980" s="507"/>
      <c r="M980" s="507"/>
      <c r="N980" s="507"/>
      <c r="O980" s="508"/>
      <c r="P980" s="217"/>
      <c r="Q980" s="217"/>
      <c r="R980" s="217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</row>
    <row r="981">
      <c r="A981" s="19"/>
      <c r="B981" s="19"/>
      <c r="C981" s="19"/>
      <c r="D981" s="219"/>
      <c r="E981" s="220"/>
      <c r="F981" s="221"/>
      <c r="G981" s="222"/>
      <c r="H981" s="223"/>
      <c r="I981" s="224"/>
      <c r="J981" s="507"/>
      <c r="K981" s="19"/>
      <c r="L981" s="507"/>
      <c r="M981" s="507"/>
      <c r="N981" s="507"/>
      <c r="O981" s="508"/>
      <c r="P981" s="217"/>
      <c r="Q981" s="217"/>
      <c r="R981" s="217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</row>
    <row r="982">
      <c r="A982" s="19"/>
      <c r="B982" s="19"/>
      <c r="C982" s="19"/>
      <c r="D982" s="219"/>
      <c r="E982" s="220"/>
      <c r="F982" s="221"/>
      <c r="G982" s="222"/>
      <c r="H982" s="223"/>
      <c r="I982" s="224"/>
      <c r="J982" s="507"/>
      <c r="K982" s="19"/>
      <c r="L982" s="507"/>
      <c r="M982" s="507"/>
      <c r="N982" s="507"/>
      <c r="O982" s="508"/>
      <c r="P982" s="217"/>
      <c r="Q982" s="217"/>
      <c r="R982" s="217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</row>
    <row r="983">
      <c r="A983" s="19"/>
      <c r="B983" s="19"/>
      <c r="C983" s="19"/>
      <c r="D983" s="219"/>
      <c r="E983" s="220"/>
      <c r="F983" s="221"/>
      <c r="G983" s="222"/>
      <c r="H983" s="223"/>
      <c r="I983" s="224"/>
      <c r="J983" s="507"/>
      <c r="K983" s="19"/>
      <c r="L983" s="507"/>
      <c r="M983" s="507"/>
      <c r="N983" s="507"/>
      <c r="O983" s="508"/>
      <c r="P983" s="217"/>
      <c r="Q983" s="217"/>
      <c r="R983" s="217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</row>
    <row r="984">
      <c r="A984" s="19"/>
      <c r="B984" s="19"/>
      <c r="C984" s="19"/>
      <c r="D984" s="219"/>
      <c r="E984" s="220"/>
      <c r="F984" s="221"/>
      <c r="G984" s="222"/>
      <c r="H984" s="223"/>
      <c r="I984" s="224"/>
      <c r="J984" s="507"/>
      <c r="K984" s="19"/>
      <c r="L984" s="507"/>
      <c r="M984" s="507"/>
      <c r="N984" s="507"/>
      <c r="O984" s="508"/>
      <c r="P984" s="217"/>
      <c r="Q984" s="217"/>
      <c r="R984" s="217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</row>
    <row r="985">
      <c r="A985" s="19"/>
      <c r="B985" s="19"/>
      <c r="C985" s="19"/>
      <c r="D985" s="219"/>
      <c r="E985" s="220"/>
      <c r="F985" s="221"/>
      <c r="G985" s="222"/>
      <c r="H985" s="223"/>
      <c r="I985" s="224"/>
      <c r="J985" s="507"/>
      <c r="K985" s="19"/>
      <c r="L985" s="507"/>
      <c r="M985" s="507"/>
      <c r="N985" s="507"/>
      <c r="O985" s="508"/>
      <c r="P985" s="217"/>
      <c r="Q985" s="217"/>
      <c r="R985" s="217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</row>
    <row r="986">
      <c r="A986" s="19"/>
      <c r="B986" s="19"/>
      <c r="C986" s="19"/>
      <c r="D986" s="219"/>
      <c r="E986" s="220"/>
      <c r="F986" s="221"/>
      <c r="G986" s="222"/>
      <c r="H986" s="223"/>
      <c r="I986" s="224"/>
      <c r="J986" s="507"/>
      <c r="K986" s="19"/>
      <c r="L986" s="507"/>
      <c r="M986" s="507"/>
      <c r="N986" s="507"/>
      <c r="O986" s="508"/>
      <c r="P986" s="217"/>
      <c r="Q986" s="217"/>
      <c r="R986" s="217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</row>
    <row r="987">
      <c r="A987" s="19"/>
      <c r="B987" s="19"/>
      <c r="C987" s="19"/>
      <c r="D987" s="219"/>
      <c r="E987" s="220"/>
      <c r="F987" s="221"/>
      <c r="G987" s="222"/>
      <c r="H987" s="223"/>
      <c r="I987" s="224"/>
      <c r="J987" s="507"/>
      <c r="K987" s="19"/>
      <c r="L987" s="507"/>
      <c r="M987" s="507"/>
      <c r="N987" s="507"/>
      <c r="O987" s="508"/>
      <c r="P987" s="217"/>
      <c r="Q987" s="217"/>
      <c r="R987" s="217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</row>
    <row r="988">
      <c r="A988" s="19"/>
      <c r="B988" s="19"/>
      <c r="C988" s="19"/>
      <c r="D988" s="219"/>
      <c r="E988" s="220"/>
      <c r="F988" s="221"/>
      <c r="G988" s="222"/>
      <c r="H988" s="223"/>
      <c r="I988" s="224"/>
      <c r="J988" s="507"/>
      <c r="K988" s="19"/>
      <c r="L988" s="507"/>
      <c r="M988" s="507"/>
      <c r="N988" s="507"/>
      <c r="O988" s="508"/>
      <c r="P988" s="217"/>
      <c r="Q988" s="217"/>
      <c r="R988" s="217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</row>
    <row r="989">
      <c r="A989" s="19"/>
      <c r="B989" s="19"/>
      <c r="C989" s="19"/>
      <c r="D989" s="219"/>
      <c r="E989" s="220"/>
      <c r="F989" s="221"/>
      <c r="G989" s="222"/>
      <c r="H989" s="223"/>
      <c r="I989" s="224"/>
      <c r="J989" s="507"/>
      <c r="K989" s="19"/>
      <c r="L989" s="507"/>
      <c r="M989" s="507"/>
      <c r="N989" s="507"/>
      <c r="O989" s="508"/>
      <c r="P989" s="217"/>
      <c r="Q989" s="217"/>
      <c r="R989" s="217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</row>
    <row r="990">
      <c r="A990" s="19"/>
      <c r="B990" s="19"/>
      <c r="C990" s="19"/>
      <c r="D990" s="219"/>
      <c r="E990" s="220"/>
      <c r="F990" s="221"/>
      <c r="G990" s="222"/>
      <c r="H990" s="223"/>
      <c r="I990" s="224"/>
      <c r="J990" s="507"/>
      <c r="K990" s="19"/>
      <c r="L990" s="507"/>
      <c r="M990" s="507"/>
      <c r="N990" s="507"/>
      <c r="O990" s="508"/>
      <c r="P990" s="217"/>
      <c r="Q990" s="217"/>
      <c r="R990" s="217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</row>
    <row r="991">
      <c r="A991" s="19"/>
      <c r="B991" s="19"/>
      <c r="C991" s="19"/>
      <c r="D991" s="219"/>
      <c r="E991" s="220"/>
      <c r="F991" s="221"/>
      <c r="G991" s="222"/>
      <c r="H991" s="223"/>
      <c r="I991" s="224"/>
      <c r="J991" s="507"/>
      <c r="K991" s="19"/>
      <c r="L991" s="507"/>
      <c r="M991" s="507"/>
      <c r="N991" s="507"/>
      <c r="O991" s="508"/>
      <c r="P991" s="217"/>
      <c r="Q991" s="217"/>
      <c r="R991" s="217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</row>
    <row r="992">
      <c r="A992" s="19"/>
      <c r="B992" s="19"/>
      <c r="C992" s="19"/>
      <c r="D992" s="219"/>
      <c r="E992" s="220"/>
      <c r="F992" s="221"/>
      <c r="G992" s="222"/>
      <c r="H992" s="223"/>
      <c r="I992" s="224"/>
      <c r="J992" s="507"/>
      <c r="K992" s="19"/>
      <c r="L992" s="507"/>
      <c r="M992" s="507"/>
      <c r="N992" s="507"/>
      <c r="O992" s="508"/>
      <c r="P992" s="217"/>
      <c r="Q992" s="217"/>
      <c r="R992" s="217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</row>
    <row r="993">
      <c r="A993" s="19"/>
      <c r="B993" s="19"/>
      <c r="C993" s="19"/>
      <c r="D993" s="219"/>
      <c r="E993" s="220"/>
      <c r="F993" s="221"/>
      <c r="G993" s="222"/>
      <c r="H993" s="223"/>
      <c r="I993" s="224"/>
      <c r="J993" s="507"/>
      <c r="K993" s="19"/>
      <c r="L993" s="507"/>
      <c r="M993" s="507"/>
      <c r="N993" s="507"/>
      <c r="O993" s="508"/>
      <c r="P993" s="217"/>
      <c r="Q993" s="217"/>
      <c r="R993" s="217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</row>
    <row r="994">
      <c r="A994" s="19"/>
      <c r="B994" s="19"/>
      <c r="C994" s="19"/>
      <c r="D994" s="219"/>
      <c r="E994" s="220"/>
      <c r="F994" s="221"/>
      <c r="G994" s="222"/>
      <c r="H994" s="223"/>
      <c r="I994" s="224"/>
      <c r="J994" s="507"/>
      <c r="K994" s="19"/>
      <c r="L994" s="507"/>
      <c r="M994" s="507"/>
      <c r="N994" s="507"/>
      <c r="O994" s="508"/>
      <c r="P994" s="217"/>
      <c r="Q994" s="217"/>
      <c r="R994" s="217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</row>
    <row r="995">
      <c r="A995" s="19"/>
      <c r="B995" s="19"/>
      <c r="C995" s="19"/>
      <c r="D995" s="219"/>
      <c r="E995" s="220"/>
      <c r="F995" s="221"/>
      <c r="G995" s="222"/>
      <c r="H995" s="223"/>
      <c r="I995" s="224"/>
      <c r="J995" s="507"/>
      <c r="K995" s="19"/>
      <c r="L995" s="507"/>
      <c r="M995" s="507"/>
      <c r="N995" s="507"/>
      <c r="O995" s="508"/>
      <c r="P995" s="217"/>
      <c r="Q995" s="217"/>
      <c r="R995" s="217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</row>
    <row r="996">
      <c r="A996" s="19"/>
      <c r="B996" s="19"/>
      <c r="C996" s="19"/>
      <c r="D996" s="219"/>
      <c r="E996" s="220"/>
      <c r="F996" s="221"/>
      <c r="G996" s="222"/>
      <c r="H996" s="223"/>
      <c r="I996" s="224"/>
      <c r="J996" s="507"/>
      <c r="K996" s="19"/>
      <c r="L996" s="507"/>
      <c r="M996" s="507"/>
      <c r="N996" s="507"/>
      <c r="O996" s="508"/>
      <c r="P996" s="217"/>
      <c r="Q996" s="217"/>
      <c r="R996" s="217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</row>
    <row r="997">
      <c r="A997" s="19"/>
      <c r="B997" s="19"/>
      <c r="C997" s="19"/>
      <c r="D997" s="219"/>
      <c r="E997" s="220"/>
      <c r="F997" s="221"/>
      <c r="G997" s="222"/>
      <c r="H997" s="223"/>
      <c r="I997" s="224"/>
      <c r="J997" s="507"/>
      <c r="K997" s="19"/>
      <c r="L997" s="507"/>
      <c r="M997" s="507"/>
      <c r="N997" s="507"/>
      <c r="O997" s="508"/>
      <c r="P997" s="217"/>
      <c r="Q997" s="217"/>
      <c r="R997" s="217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</row>
    <row r="998">
      <c r="A998" s="19"/>
      <c r="B998" s="19"/>
      <c r="C998" s="19"/>
      <c r="D998" s="219"/>
      <c r="E998" s="220"/>
      <c r="F998" s="221"/>
      <c r="G998" s="222"/>
      <c r="H998" s="223"/>
      <c r="I998" s="224"/>
      <c r="J998" s="507"/>
      <c r="K998" s="19"/>
      <c r="L998" s="507"/>
      <c r="M998" s="507"/>
      <c r="N998" s="507"/>
      <c r="O998" s="508"/>
      <c r="P998" s="217"/>
      <c r="Q998" s="217"/>
      <c r="R998" s="217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</row>
    <row r="999">
      <c r="A999" s="19"/>
      <c r="B999" s="19"/>
      <c r="C999" s="19"/>
      <c r="D999" s="219"/>
      <c r="E999" s="220"/>
      <c r="F999" s="221"/>
      <c r="G999" s="222"/>
      <c r="H999" s="223"/>
      <c r="I999" s="224"/>
      <c r="J999" s="507"/>
      <c r="K999" s="19"/>
      <c r="L999" s="507"/>
      <c r="M999" s="507"/>
      <c r="N999" s="507"/>
      <c r="O999" s="508"/>
      <c r="P999" s="217"/>
      <c r="Q999" s="217"/>
      <c r="R999" s="217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</row>
    <row r="1000">
      <c r="A1000" s="19"/>
      <c r="B1000" s="19"/>
      <c r="C1000" s="19"/>
      <c r="D1000" s="219"/>
      <c r="E1000" s="220"/>
      <c r="F1000" s="221"/>
      <c r="G1000" s="222"/>
      <c r="H1000" s="223"/>
      <c r="I1000" s="224"/>
      <c r="J1000" s="507"/>
      <c r="K1000" s="19"/>
      <c r="L1000" s="507"/>
      <c r="M1000" s="507"/>
      <c r="N1000" s="507"/>
      <c r="O1000" s="508"/>
      <c r="P1000" s="217"/>
      <c r="Q1000" s="217"/>
      <c r="R1000" s="217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</row>
    <row r="1001">
      <c r="A1001" s="19"/>
      <c r="B1001" s="19"/>
      <c r="C1001" s="19"/>
      <c r="D1001" s="219"/>
      <c r="E1001" s="220"/>
      <c r="F1001" s="221"/>
      <c r="G1001" s="222"/>
      <c r="H1001" s="223"/>
      <c r="I1001" s="224"/>
      <c r="J1001" s="507"/>
      <c r="K1001" s="19"/>
      <c r="L1001" s="507"/>
      <c r="M1001" s="507"/>
      <c r="N1001" s="507"/>
      <c r="O1001" s="508"/>
      <c r="P1001" s="217"/>
      <c r="Q1001" s="217"/>
      <c r="R1001" s="217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</row>
    <row r="1002">
      <c r="A1002" s="19"/>
      <c r="B1002" s="19"/>
      <c r="C1002" s="19"/>
      <c r="D1002" s="219"/>
      <c r="E1002" s="220"/>
      <c r="F1002" s="221"/>
      <c r="G1002" s="222"/>
      <c r="H1002" s="223"/>
      <c r="I1002" s="224"/>
      <c r="J1002" s="507"/>
      <c r="K1002" s="19"/>
      <c r="L1002" s="507"/>
      <c r="M1002" s="507"/>
      <c r="N1002" s="507"/>
      <c r="O1002" s="508"/>
      <c r="P1002" s="217"/>
      <c r="Q1002" s="217"/>
      <c r="R1002" s="217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</row>
    <row r="1003">
      <c r="A1003" s="19"/>
      <c r="B1003" s="19"/>
      <c r="C1003" s="19"/>
      <c r="D1003" s="219"/>
      <c r="E1003" s="220"/>
      <c r="F1003" s="221"/>
      <c r="G1003" s="222"/>
      <c r="H1003" s="223"/>
      <c r="I1003" s="224"/>
      <c r="J1003" s="507"/>
      <c r="K1003" s="19"/>
      <c r="L1003" s="507"/>
      <c r="M1003" s="507"/>
      <c r="N1003" s="507"/>
      <c r="O1003" s="508"/>
      <c r="P1003" s="217"/>
      <c r="Q1003" s="217"/>
      <c r="R1003" s="217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</row>
    <row r="1004">
      <c r="A1004" s="19"/>
      <c r="B1004" s="19"/>
      <c r="C1004" s="19"/>
      <c r="D1004" s="219"/>
      <c r="E1004" s="220"/>
      <c r="F1004" s="221"/>
      <c r="G1004" s="222"/>
      <c r="H1004" s="223"/>
      <c r="I1004" s="224"/>
      <c r="J1004" s="507"/>
      <c r="K1004" s="19"/>
      <c r="L1004" s="507"/>
      <c r="M1004" s="507"/>
      <c r="N1004" s="507"/>
      <c r="O1004" s="508"/>
      <c r="P1004" s="217"/>
      <c r="Q1004" s="217"/>
      <c r="R1004" s="217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</row>
    <row r="1005">
      <c r="A1005" s="19"/>
      <c r="B1005" s="19"/>
      <c r="C1005" s="19"/>
      <c r="D1005" s="219"/>
      <c r="E1005" s="220"/>
      <c r="F1005" s="221"/>
      <c r="G1005" s="222"/>
      <c r="H1005" s="223"/>
      <c r="I1005" s="224"/>
      <c r="J1005" s="507"/>
      <c r="K1005" s="19"/>
      <c r="L1005" s="507"/>
      <c r="M1005" s="507"/>
      <c r="N1005" s="507"/>
      <c r="O1005" s="508"/>
      <c r="P1005" s="217"/>
      <c r="Q1005" s="217"/>
      <c r="R1005" s="217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</row>
    <row r="1006">
      <c r="A1006" s="19"/>
      <c r="B1006" s="19"/>
      <c r="C1006" s="19"/>
      <c r="D1006" s="219"/>
      <c r="E1006" s="220"/>
      <c r="F1006" s="221"/>
      <c r="G1006" s="222"/>
      <c r="H1006" s="223"/>
      <c r="I1006" s="224"/>
      <c r="J1006" s="507"/>
      <c r="K1006" s="19"/>
      <c r="L1006" s="507"/>
      <c r="M1006" s="507"/>
      <c r="N1006" s="507"/>
      <c r="O1006" s="508"/>
      <c r="P1006" s="217"/>
      <c r="Q1006" s="217"/>
      <c r="R1006" s="217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</row>
    <row r="1007">
      <c r="A1007" s="19"/>
      <c r="B1007" s="19"/>
      <c r="C1007" s="19"/>
      <c r="D1007" s="219"/>
      <c r="E1007" s="220"/>
      <c r="F1007" s="221"/>
      <c r="G1007" s="222"/>
      <c r="H1007" s="223"/>
      <c r="I1007" s="224"/>
      <c r="J1007" s="507"/>
      <c r="K1007" s="19"/>
      <c r="L1007" s="507"/>
      <c r="M1007" s="507"/>
      <c r="N1007" s="507"/>
      <c r="O1007" s="508"/>
      <c r="P1007" s="217"/>
      <c r="Q1007" s="217"/>
      <c r="R1007" s="217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</row>
    <row r="1008">
      <c r="A1008" s="19"/>
      <c r="B1008" s="19"/>
      <c r="C1008" s="19"/>
      <c r="D1008" s="219"/>
      <c r="E1008" s="220"/>
      <c r="F1008" s="221"/>
      <c r="G1008" s="222"/>
      <c r="H1008" s="223"/>
      <c r="I1008" s="224"/>
      <c r="J1008" s="507"/>
      <c r="K1008" s="19"/>
      <c r="L1008" s="507"/>
      <c r="M1008" s="507"/>
      <c r="N1008" s="507"/>
      <c r="O1008" s="508"/>
      <c r="P1008" s="217"/>
      <c r="Q1008" s="217"/>
      <c r="R1008" s="217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</row>
    <row r="1009">
      <c r="A1009" s="19"/>
      <c r="B1009" s="19"/>
      <c r="C1009" s="19"/>
      <c r="D1009" s="219"/>
      <c r="E1009" s="220"/>
      <c r="F1009" s="221"/>
      <c r="G1009" s="222"/>
      <c r="H1009" s="223"/>
      <c r="I1009" s="224"/>
      <c r="J1009" s="507"/>
      <c r="K1009" s="19"/>
      <c r="L1009" s="507"/>
      <c r="M1009" s="507"/>
      <c r="N1009" s="507"/>
      <c r="O1009" s="508"/>
      <c r="P1009" s="217"/>
      <c r="Q1009" s="217"/>
      <c r="R1009" s="217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</row>
    <row r="1010">
      <c r="A1010" s="19"/>
      <c r="B1010" s="19"/>
      <c r="C1010" s="19"/>
      <c r="D1010" s="219"/>
      <c r="E1010" s="220"/>
      <c r="F1010" s="221"/>
      <c r="G1010" s="222"/>
      <c r="H1010" s="223"/>
      <c r="I1010" s="224"/>
      <c r="J1010" s="507"/>
      <c r="K1010" s="19"/>
      <c r="L1010" s="507"/>
      <c r="M1010" s="507"/>
      <c r="N1010" s="507"/>
      <c r="O1010" s="508"/>
      <c r="P1010" s="217"/>
      <c r="Q1010" s="217"/>
      <c r="R1010" s="217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</row>
    <row r="1011">
      <c r="A1011" s="19"/>
      <c r="B1011" s="19"/>
      <c r="C1011" s="19"/>
      <c r="D1011" s="219"/>
      <c r="E1011" s="220"/>
      <c r="F1011" s="221"/>
      <c r="G1011" s="222"/>
      <c r="H1011" s="223"/>
      <c r="I1011" s="224"/>
      <c r="J1011" s="507"/>
      <c r="K1011" s="19"/>
      <c r="L1011" s="507"/>
      <c r="M1011" s="507"/>
      <c r="N1011" s="507"/>
      <c r="O1011" s="508"/>
      <c r="P1011" s="217"/>
      <c r="Q1011" s="217"/>
      <c r="R1011" s="217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</row>
    <row r="1012">
      <c r="A1012" s="19"/>
      <c r="B1012" s="19"/>
      <c r="C1012" s="19"/>
      <c r="D1012" s="219"/>
      <c r="E1012" s="220"/>
      <c r="F1012" s="221"/>
      <c r="G1012" s="222"/>
      <c r="H1012" s="223"/>
      <c r="I1012" s="224"/>
      <c r="J1012" s="507"/>
      <c r="K1012" s="19"/>
      <c r="L1012" s="507"/>
      <c r="M1012" s="507"/>
      <c r="N1012" s="507"/>
      <c r="O1012" s="508"/>
      <c r="P1012" s="217"/>
      <c r="Q1012" s="217"/>
      <c r="R1012" s="217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</row>
    <row r="1013">
      <c r="A1013" s="19"/>
      <c r="B1013" s="19"/>
      <c r="C1013" s="19"/>
      <c r="D1013" s="219"/>
      <c r="E1013" s="220"/>
      <c r="F1013" s="221"/>
      <c r="G1013" s="222"/>
      <c r="H1013" s="223"/>
      <c r="I1013" s="224"/>
      <c r="J1013" s="507"/>
      <c r="K1013" s="19"/>
      <c r="L1013" s="507"/>
      <c r="M1013" s="507"/>
      <c r="N1013" s="507"/>
      <c r="O1013" s="508"/>
      <c r="P1013" s="217"/>
      <c r="Q1013" s="217"/>
      <c r="R1013" s="217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</row>
    <row r="1014">
      <c r="A1014" s="19"/>
      <c r="B1014" s="19"/>
      <c r="C1014" s="19"/>
      <c r="D1014" s="219"/>
      <c r="E1014" s="220"/>
      <c r="F1014" s="221"/>
      <c r="G1014" s="222"/>
      <c r="H1014" s="223"/>
      <c r="I1014" s="224"/>
      <c r="J1014" s="507"/>
      <c r="K1014" s="19"/>
      <c r="L1014" s="507"/>
      <c r="M1014" s="507"/>
      <c r="N1014" s="507"/>
      <c r="O1014" s="508"/>
      <c r="P1014" s="217"/>
      <c r="Q1014" s="217"/>
      <c r="R1014" s="217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</row>
    <row r="1015">
      <c r="A1015" s="19"/>
      <c r="B1015" s="19"/>
      <c r="C1015" s="19"/>
      <c r="D1015" s="219"/>
      <c r="E1015" s="220"/>
      <c r="F1015" s="221"/>
      <c r="G1015" s="222"/>
      <c r="H1015" s="223"/>
      <c r="I1015" s="224"/>
      <c r="J1015" s="507"/>
      <c r="K1015" s="19"/>
      <c r="L1015" s="507"/>
      <c r="M1015" s="507"/>
      <c r="N1015" s="507"/>
      <c r="O1015" s="508"/>
      <c r="P1015" s="217"/>
      <c r="Q1015" s="217"/>
      <c r="R1015" s="217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</row>
    <row r="1016">
      <c r="A1016" s="19"/>
      <c r="B1016" s="19"/>
      <c r="C1016" s="19"/>
      <c r="D1016" s="219"/>
      <c r="E1016" s="220"/>
      <c r="F1016" s="221"/>
      <c r="G1016" s="222"/>
      <c r="H1016" s="223"/>
      <c r="I1016" s="224"/>
      <c r="J1016" s="507"/>
      <c r="K1016" s="19"/>
      <c r="L1016" s="507"/>
      <c r="M1016" s="507"/>
      <c r="N1016" s="507"/>
      <c r="O1016" s="508"/>
      <c r="P1016" s="217"/>
      <c r="Q1016" s="217"/>
      <c r="R1016" s="217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</row>
    <row r="1017">
      <c r="A1017" s="19"/>
      <c r="B1017" s="19"/>
      <c r="C1017" s="19"/>
      <c r="D1017" s="219"/>
      <c r="E1017" s="220"/>
      <c r="F1017" s="221"/>
      <c r="G1017" s="222"/>
      <c r="H1017" s="223"/>
      <c r="I1017" s="224"/>
      <c r="J1017" s="507"/>
      <c r="K1017" s="19"/>
      <c r="L1017" s="507"/>
      <c r="M1017" s="507"/>
      <c r="N1017" s="507"/>
      <c r="O1017" s="508"/>
      <c r="P1017" s="217"/>
      <c r="Q1017" s="217"/>
      <c r="R1017" s="217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</row>
    <row r="1018">
      <c r="A1018" s="19"/>
      <c r="B1018" s="19"/>
      <c r="C1018" s="19"/>
      <c r="D1018" s="219"/>
      <c r="E1018" s="220"/>
      <c r="F1018" s="221"/>
      <c r="G1018" s="222"/>
      <c r="H1018" s="223"/>
      <c r="I1018" s="224"/>
      <c r="J1018" s="507"/>
      <c r="K1018" s="19"/>
      <c r="L1018" s="507"/>
      <c r="M1018" s="507"/>
      <c r="N1018" s="507"/>
      <c r="O1018" s="508"/>
      <c r="P1018" s="217"/>
      <c r="Q1018" s="217"/>
      <c r="R1018" s="217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</row>
    <row r="1019">
      <c r="A1019" s="19"/>
      <c r="B1019" s="19"/>
      <c r="C1019" s="19"/>
      <c r="D1019" s="219"/>
      <c r="E1019" s="220"/>
      <c r="F1019" s="221"/>
      <c r="G1019" s="222"/>
      <c r="H1019" s="223"/>
      <c r="I1019" s="224"/>
      <c r="J1019" s="507"/>
      <c r="K1019" s="19"/>
      <c r="L1019" s="507"/>
      <c r="M1019" s="507"/>
      <c r="N1019" s="507"/>
      <c r="O1019" s="508"/>
      <c r="P1019" s="217"/>
      <c r="Q1019" s="217"/>
      <c r="R1019" s="217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</row>
    <row r="1020">
      <c r="A1020" s="19"/>
      <c r="B1020" s="19"/>
      <c r="C1020" s="19"/>
      <c r="D1020" s="219"/>
      <c r="E1020" s="220"/>
      <c r="F1020" s="221"/>
      <c r="G1020" s="222"/>
      <c r="H1020" s="223"/>
      <c r="I1020" s="224"/>
      <c r="J1020" s="507"/>
      <c r="K1020" s="19"/>
      <c r="L1020" s="507"/>
      <c r="M1020" s="507"/>
      <c r="N1020" s="507"/>
      <c r="O1020" s="508"/>
      <c r="P1020" s="217"/>
      <c r="Q1020" s="217"/>
      <c r="R1020" s="217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</row>
    <row r="1021">
      <c r="A1021" s="19"/>
      <c r="B1021" s="19"/>
      <c r="C1021" s="19"/>
      <c r="D1021" s="219"/>
      <c r="E1021" s="220"/>
      <c r="F1021" s="221"/>
      <c r="G1021" s="222"/>
      <c r="H1021" s="223"/>
      <c r="I1021" s="224"/>
      <c r="J1021" s="507"/>
      <c r="K1021" s="19"/>
      <c r="L1021" s="507"/>
      <c r="M1021" s="507"/>
      <c r="N1021" s="507"/>
      <c r="O1021" s="508"/>
      <c r="P1021" s="217"/>
      <c r="Q1021" s="217"/>
      <c r="R1021" s="217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</row>
    <row r="1022">
      <c r="A1022" s="19"/>
      <c r="B1022" s="19"/>
      <c r="C1022" s="19"/>
      <c r="D1022" s="219"/>
      <c r="E1022" s="220"/>
      <c r="F1022" s="221"/>
      <c r="G1022" s="222"/>
      <c r="H1022" s="223"/>
      <c r="I1022" s="224"/>
      <c r="J1022" s="507"/>
      <c r="K1022" s="19"/>
      <c r="L1022" s="507"/>
      <c r="M1022" s="507"/>
      <c r="N1022" s="507"/>
      <c r="O1022" s="508"/>
      <c r="P1022" s="217"/>
      <c r="Q1022" s="217"/>
      <c r="R1022" s="217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</row>
    <row r="1023">
      <c r="A1023" s="19"/>
      <c r="B1023" s="19"/>
      <c r="C1023" s="19"/>
      <c r="D1023" s="219"/>
      <c r="E1023" s="220"/>
      <c r="F1023" s="221"/>
      <c r="G1023" s="222"/>
      <c r="H1023" s="223"/>
      <c r="I1023" s="224"/>
      <c r="J1023" s="507"/>
      <c r="K1023" s="19"/>
      <c r="L1023" s="507"/>
      <c r="M1023" s="507"/>
      <c r="N1023" s="507"/>
      <c r="O1023" s="508"/>
      <c r="P1023" s="217"/>
      <c r="Q1023" s="217"/>
      <c r="R1023" s="217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</row>
    <row r="1024">
      <c r="A1024" s="19"/>
      <c r="B1024" s="19"/>
      <c r="C1024" s="19"/>
      <c r="D1024" s="219"/>
      <c r="E1024" s="220"/>
      <c r="F1024" s="221"/>
      <c r="G1024" s="222"/>
      <c r="H1024" s="223"/>
      <c r="I1024" s="224"/>
      <c r="J1024" s="507"/>
      <c r="K1024" s="19"/>
      <c r="L1024" s="507"/>
      <c r="M1024" s="507"/>
      <c r="N1024" s="507"/>
      <c r="O1024" s="508"/>
      <c r="P1024" s="217"/>
      <c r="Q1024" s="217"/>
      <c r="R1024" s="217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</row>
    <row r="1025">
      <c r="A1025" s="19"/>
      <c r="B1025" s="19"/>
      <c r="C1025" s="19"/>
      <c r="D1025" s="219"/>
      <c r="E1025" s="220"/>
      <c r="F1025" s="221"/>
      <c r="G1025" s="222"/>
      <c r="H1025" s="223"/>
      <c r="I1025" s="224"/>
      <c r="J1025" s="507"/>
      <c r="K1025" s="19"/>
      <c r="L1025" s="507"/>
      <c r="M1025" s="507"/>
      <c r="N1025" s="507"/>
      <c r="O1025" s="508"/>
      <c r="P1025" s="217"/>
      <c r="Q1025" s="217"/>
      <c r="R1025" s="217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</row>
    <row r="1026">
      <c r="A1026" s="19"/>
      <c r="B1026" s="19"/>
      <c r="C1026" s="19"/>
      <c r="D1026" s="219"/>
      <c r="E1026" s="220"/>
      <c r="F1026" s="221"/>
      <c r="G1026" s="222"/>
      <c r="H1026" s="223"/>
      <c r="I1026" s="224"/>
      <c r="J1026" s="507"/>
      <c r="K1026" s="19"/>
      <c r="L1026" s="507"/>
      <c r="M1026" s="507"/>
      <c r="N1026" s="507"/>
      <c r="O1026" s="508"/>
      <c r="P1026" s="217"/>
      <c r="Q1026" s="217"/>
      <c r="R1026" s="217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</row>
    <row r="1027">
      <c r="A1027" s="19"/>
      <c r="B1027" s="19"/>
      <c r="C1027" s="19"/>
      <c r="D1027" s="219"/>
      <c r="E1027" s="220"/>
      <c r="F1027" s="221"/>
      <c r="G1027" s="222"/>
      <c r="H1027" s="223"/>
      <c r="I1027" s="224"/>
      <c r="J1027" s="507"/>
      <c r="K1027" s="19"/>
      <c r="L1027" s="507"/>
      <c r="M1027" s="507"/>
      <c r="N1027" s="507"/>
      <c r="O1027" s="508"/>
      <c r="P1027" s="217"/>
      <c r="Q1027" s="217"/>
      <c r="R1027" s="217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</row>
    <row r="1028">
      <c r="A1028" s="19"/>
      <c r="B1028" s="19"/>
      <c r="C1028" s="19"/>
      <c r="D1028" s="219"/>
      <c r="E1028" s="220"/>
      <c r="F1028" s="221"/>
      <c r="G1028" s="222"/>
      <c r="H1028" s="223"/>
      <c r="I1028" s="224"/>
      <c r="J1028" s="507"/>
      <c r="K1028" s="19"/>
      <c r="L1028" s="507"/>
      <c r="M1028" s="507"/>
      <c r="N1028" s="507"/>
      <c r="O1028" s="508"/>
      <c r="P1028" s="217"/>
      <c r="Q1028" s="217"/>
      <c r="R1028" s="217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</row>
    <row r="1029">
      <c r="A1029" s="19"/>
      <c r="B1029" s="19"/>
      <c r="C1029" s="19"/>
      <c r="D1029" s="219"/>
      <c r="E1029" s="220"/>
      <c r="F1029" s="221"/>
      <c r="G1029" s="222"/>
      <c r="H1029" s="223"/>
      <c r="I1029" s="224"/>
      <c r="J1029" s="507"/>
      <c r="K1029" s="19"/>
      <c r="L1029" s="507"/>
      <c r="M1029" s="507"/>
      <c r="N1029" s="507"/>
      <c r="O1029" s="508"/>
      <c r="P1029" s="217"/>
      <c r="Q1029" s="217"/>
      <c r="R1029" s="217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</row>
    <row r="1030">
      <c r="A1030" s="19"/>
      <c r="B1030" s="19"/>
      <c r="C1030" s="19"/>
      <c r="D1030" s="219"/>
      <c r="E1030" s="220"/>
      <c r="F1030" s="221"/>
      <c r="G1030" s="222"/>
      <c r="H1030" s="223"/>
      <c r="I1030" s="224"/>
      <c r="J1030" s="507"/>
      <c r="K1030" s="19"/>
      <c r="L1030" s="507"/>
      <c r="M1030" s="507"/>
      <c r="N1030" s="507"/>
      <c r="O1030" s="508"/>
      <c r="P1030" s="217"/>
      <c r="Q1030" s="217"/>
      <c r="R1030" s="217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</row>
    <row r="1031">
      <c r="A1031" s="19"/>
      <c r="B1031" s="19"/>
      <c r="C1031" s="19"/>
      <c r="D1031" s="219"/>
      <c r="E1031" s="220"/>
      <c r="F1031" s="221"/>
      <c r="G1031" s="222"/>
      <c r="H1031" s="223"/>
      <c r="I1031" s="224"/>
      <c r="J1031" s="507"/>
      <c r="K1031" s="19"/>
      <c r="L1031" s="507"/>
      <c r="M1031" s="507"/>
      <c r="N1031" s="507"/>
      <c r="O1031" s="508"/>
      <c r="P1031" s="217"/>
      <c r="Q1031" s="217"/>
      <c r="R1031" s="217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</row>
    <row r="1032">
      <c r="A1032" s="19"/>
      <c r="B1032" s="19"/>
      <c r="C1032" s="19"/>
      <c r="D1032" s="219"/>
      <c r="E1032" s="220"/>
      <c r="F1032" s="221"/>
      <c r="G1032" s="222"/>
      <c r="H1032" s="223"/>
      <c r="I1032" s="224"/>
      <c r="J1032" s="507"/>
      <c r="K1032" s="19"/>
      <c r="L1032" s="507"/>
      <c r="M1032" s="507"/>
      <c r="N1032" s="507"/>
      <c r="O1032" s="508"/>
      <c r="P1032" s="217"/>
      <c r="Q1032" s="217"/>
      <c r="R1032" s="217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</row>
    <row r="1033">
      <c r="A1033" s="19"/>
      <c r="B1033" s="19"/>
      <c r="C1033" s="19"/>
      <c r="D1033" s="219"/>
      <c r="E1033" s="220"/>
      <c r="F1033" s="221"/>
      <c r="G1033" s="222"/>
      <c r="H1033" s="223"/>
      <c r="I1033" s="224"/>
      <c r="J1033" s="507"/>
      <c r="K1033" s="19"/>
      <c r="L1033" s="507"/>
      <c r="M1033" s="507"/>
      <c r="N1033" s="507"/>
      <c r="O1033" s="508"/>
      <c r="P1033" s="217"/>
      <c r="Q1033" s="217"/>
      <c r="R1033" s="217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</row>
    <row r="1034">
      <c r="A1034" s="19"/>
      <c r="B1034" s="19"/>
      <c r="C1034" s="19"/>
      <c r="D1034" s="219"/>
      <c r="E1034" s="220"/>
      <c r="F1034" s="221"/>
      <c r="G1034" s="222"/>
      <c r="H1034" s="223"/>
      <c r="I1034" s="224"/>
      <c r="J1034" s="507"/>
      <c r="K1034" s="19"/>
      <c r="L1034" s="507"/>
      <c r="M1034" s="507"/>
      <c r="N1034" s="507"/>
      <c r="O1034" s="508"/>
      <c r="P1034" s="217"/>
      <c r="Q1034" s="217"/>
      <c r="R1034" s="217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</row>
    <row r="1035">
      <c r="A1035" s="19"/>
      <c r="B1035" s="19"/>
      <c r="C1035" s="19"/>
      <c r="D1035" s="219"/>
      <c r="E1035" s="220"/>
      <c r="F1035" s="221"/>
      <c r="G1035" s="222"/>
      <c r="H1035" s="223"/>
      <c r="I1035" s="224"/>
      <c r="J1035" s="507"/>
      <c r="K1035" s="19"/>
      <c r="L1035" s="507"/>
      <c r="M1035" s="507"/>
      <c r="N1035" s="507"/>
      <c r="O1035" s="508"/>
      <c r="P1035" s="217"/>
      <c r="Q1035" s="217"/>
      <c r="R1035" s="217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</row>
    <row r="1036">
      <c r="A1036" s="19"/>
      <c r="B1036" s="19"/>
      <c r="C1036" s="19"/>
      <c r="D1036" s="219"/>
      <c r="E1036" s="220"/>
      <c r="F1036" s="221"/>
      <c r="G1036" s="222"/>
      <c r="H1036" s="223"/>
      <c r="I1036" s="224"/>
      <c r="J1036" s="507"/>
      <c r="K1036" s="19"/>
      <c r="L1036" s="507"/>
      <c r="M1036" s="507"/>
      <c r="N1036" s="507"/>
      <c r="O1036" s="508"/>
      <c r="P1036" s="217"/>
      <c r="Q1036" s="217"/>
      <c r="R1036" s="217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</row>
    <row r="1037">
      <c r="A1037" s="19"/>
      <c r="B1037" s="19"/>
      <c r="C1037" s="19"/>
      <c r="D1037" s="219"/>
      <c r="E1037" s="220"/>
      <c r="F1037" s="221"/>
      <c r="G1037" s="222"/>
      <c r="H1037" s="223"/>
      <c r="I1037" s="224"/>
      <c r="J1037" s="507"/>
      <c r="K1037" s="19"/>
      <c r="L1037" s="507"/>
      <c r="M1037" s="507"/>
      <c r="N1037" s="507"/>
      <c r="O1037" s="508"/>
      <c r="P1037" s="217"/>
      <c r="Q1037" s="217"/>
      <c r="R1037" s="217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</row>
    <row r="1038">
      <c r="A1038" s="19"/>
      <c r="B1038" s="19"/>
      <c r="C1038" s="19"/>
      <c r="D1038" s="219"/>
      <c r="E1038" s="220"/>
      <c r="F1038" s="221"/>
      <c r="G1038" s="222"/>
      <c r="H1038" s="223"/>
      <c r="I1038" s="224"/>
      <c r="J1038" s="507"/>
      <c r="K1038" s="19"/>
      <c r="L1038" s="507"/>
      <c r="M1038" s="507"/>
      <c r="N1038" s="507"/>
      <c r="O1038" s="508"/>
      <c r="P1038" s="217"/>
      <c r="Q1038" s="217"/>
      <c r="R1038" s="217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</row>
    <row r="1039">
      <c r="A1039" s="19"/>
      <c r="B1039" s="19"/>
      <c r="C1039" s="19"/>
      <c r="D1039" s="219"/>
      <c r="E1039" s="220"/>
      <c r="F1039" s="221"/>
      <c r="G1039" s="222"/>
      <c r="H1039" s="223"/>
      <c r="I1039" s="224"/>
      <c r="J1039" s="507"/>
      <c r="K1039" s="19"/>
      <c r="L1039" s="507"/>
      <c r="M1039" s="507"/>
      <c r="N1039" s="507"/>
      <c r="O1039" s="508"/>
      <c r="P1039" s="217"/>
      <c r="Q1039" s="217"/>
      <c r="R1039" s="217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</row>
    <row r="1040">
      <c r="A1040" s="19"/>
      <c r="B1040" s="19"/>
      <c r="C1040" s="19"/>
      <c r="D1040" s="219"/>
      <c r="E1040" s="220"/>
      <c r="F1040" s="221"/>
      <c r="G1040" s="222"/>
      <c r="H1040" s="223"/>
      <c r="I1040" s="224"/>
      <c r="J1040" s="507"/>
      <c r="K1040" s="19"/>
      <c r="L1040" s="507"/>
      <c r="M1040" s="507"/>
      <c r="N1040" s="507"/>
      <c r="O1040" s="508"/>
      <c r="P1040" s="217"/>
      <c r="Q1040" s="217"/>
      <c r="R1040" s="217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</row>
    <row r="1041">
      <c r="A1041" s="19"/>
      <c r="B1041" s="19"/>
      <c r="C1041" s="19"/>
      <c r="D1041" s="219"/>
      <c r="E1041" s="220"/>
      <c r="F1041" s="221"/>
      <c r="G1041" s="222"/>
      <c r="H1041" s="223"/>
      <c r="I1041" s="224"/>
      <c r="J1041" s="507"/>
      <c r="K1041" s="19"/>
      <c r="L1041" s="507"/>
      <c r="M1041" s="507"/>
      <c r="N1041" s="507"/>
      <c r="O1041" s="508"/>
      <c r="P1041" s="217"/>
      <c r="Q1041" s="217"/>
      <c r="R1041" s="217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</row>
    <row r="1042">
      <c r="A1042" s="19"/>
      <c r="B1042" s="19"/>
      <c r="C1042" s="19"/>
      <c r="D1042" s="219"/>
      <c r="E1042" s="220"/>
      <c r="F1042" s="221"/>
      <c r="G1042" s="222"/>
      <c r="H1042" s="223"/>
      <c r="I1042" s="224"/>
      <c r="J1042" s="507"/>
      <c r="K1042" s="19"/>
      <c r="L1042" s="507"/>
      <c r="M1042" s="507"/>
      <c r="N1042" s="507"/>
      <c r="O1042" s="508"/>
      <c r="P1042" s="217"/>
      <c r="Q1042" s="217"/>
      <c r="R1042" s="217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</row>
    <row r="1043">
      <c r="A1043" s="19"/>
      <c r="B1043" s="19"/>
      <c r="C1043" s="19"/>
      <c r="D1043" s="219"/>
      <c r="E1043" s="220"/>
      <c r="F1043" s="221"/>
      <c r="G1043" s="222"/>
      <c r="H1043" s="223"/>
      <c r="I1043" s="224"/>
      <c r="J1043" s="507"/>
      <c r="K1043" s="19"/>
      <c r="L1043" s="507"/>
      <c r="M1043" s="507"/>
      <c r="N1043" s="507"/>
      <c r="O1043" s="508"/>
      <c r="P1043" s="217"/>
      <c r="Q1043" s="217"/>
      <c r="R1043" s="217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</row>
    <row r="1044">
      <c r="A1044" s="19"/>
      <c r="B1044" s="19"/>
      <c r="C1044" s="19"/>
      <c r="D1044" s="219"/>
      <c r="E1044" s="220"/>
      <c r="F1044" s="221"/>
      <c r="G1044" s="222"/>
      <c r="H1044" s="223"/>
      <c r="I1044" s="224"/>
      <c r="J1044" s="507"/>
      <c r="K1044" s="19"/>
      <c r="L1044" s="507"/>
      <c r="M1044" s="507"/>
      <c r="N1044" s="507"/>
      <c r="O1044" s="508"/>
      <c r="P1044" s="217"/>
      <c r="Q1044" s="217"/>
      <c r="R1044" s="217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</row>
    <row r="1045">
      <c r="A1045" s="19"/>
      <c r="B1045" s="19"/>
      <c r="C1045" s="19"/>
      <c r="D1045" s="219"/>
      <c r="E1045" s="220"/>
      <c r="F1045" s="221"/>
      <c r="G1045" s="222"/>
      <c r="H1045" s="223"/>
      <c r="I1045" s="224"/>
      <c r="J1045" s="507"/>
      <c r="K1045" s="19"/>
      <c r="L1045" s="507"/>
      <c r="M1045" s="507"/>
      <c r="N1045" s="507"/>
      <c r="O1045" s="508"/>
      <c r="P1045" s="217"/>
      <c r="Q1045" s="217"/>
      <c r="R1045" s="217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</row>
    <row r="1046">
      <c r="A1046" s="19"/>
      <c r="B1046" s="19"/>
      <c r="C1046" s="19"/>
      <c r="D1046" s="219"/>
      <c r="E1046" s="220"/>
      <c r="F1046" s="221"/>
      <c r="G1046" s="222"/>
      <c r="H1046" s="223"/>
      <c r="I1046" s="224"/>
      <c r="J1046" s="507"/>
      <c r="K1046" s="19"/>
      <c r="L1046" s="507"/>
      <c r="M1046" s="507"/>
      <c r="N1046" s="507"/>
      <c r="O1046" s="508"/>
      <c r="P1046" s="217"/>
      <c r="Q1046" s="217"/>
      <c r="R1046" s="217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</row>
    <row r="1047">
      <c r="A1047" s="19"/>
      <c r="B1047" s="19"/>
      <c r="C1047" s="19"/>
      <c r="D1047" s="219"/>
      <c r="E1047" s="220"/>
      <c r="F1047" s="221"/>
      <c r="G1047" s="222"/>
      <c r="H1047" s="223"/>
      <c r="I1047" s="224"/>
      <c r="J1047" s="507"/>
      <c r="K1047" s="19"/>
      <c r="L1047" s="507"/>
      <c r="M1047" s="507"/>
      <c r="N1047" s="507"/>
      <c r="O1047" s="508"/>
      <c r="P1047" s="217"/>
      <c r="Q1047" s="217"/>
      <c r="R1047" s="217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</row>
    <row r="1048">
      <c r="A1048" s="19"/>
      <c r="B1048" s="19"/>
      <c r="C1048" s="19"/>
      <c r="D1048" s="219"/>
      <c r="E1048" s="220"/>
      <c r="F1048" s="221"/>
      <c r="G1048" s="222"/>
      <c r="H1048" s="223"/>
      <c r="I1048" s="224"/>
      <c r="J1048" s="507"/>
      <c r="K1048" s="19"/>
      <c r="L1048" s="507"/>
      <c r="M1048" s="507"/>
      <c r="N1048" s="507"/>
      <c r="O1048" s="508"/>
      <c r="P1048" s="217"/>
      <c r="Q1048" s="217"/>
      <c r="R1048" s="217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</row>
    <row r="1049">
      <c r="A1049" s="19"/>
      <c r="B1049" s="19"/>
      <c r="C1049" s="19"/>
      <c r="D1049" s="219"/>
      <c r="E1049" s="220"/>
      <c r="F1049" s="221"/>
      <c r="G1049" s="222"/>
      <c r="H1049" s="223"/>
      <c r="I1049" s="224"/>
      <c r="J1049" s="507"/>
      <c r="K1049" s="19"/>
      <c r="L1049" s="507"/>
      <c r="M1049" s="507"/>
      <c r="N1049" s="507"/>
      <c r="O1049" s="508"/>
      <c r="P1049" s="217"/>
      <c r="Q1049" s="217"/>
      <c r="R1049" s="217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</row>
    <row r="1050">
      <c r="A1050" s="19"/>
      <c r="B1050" s="19"/>
      <c r="C1050" s="19"/>
      <c r="D1050" s="219"/>
      <c r="E1050" s="220"/>
      <c r="F1050" s="221"/>
      <c r="G1050" s="222"/>
      <c r="H1050" s="223"/>
      <c r="I1050" s="224"/>
      <c r="J1050" s="507"/>
      <c r="K1050" s="19"/>
      <c r="L1050" s="507"/>
      <c r="M1050" s="507"/>
      <c r="N1050" s="507"/>
      <c r="O1050" s="508"/>
      <c r="P1050" s="217"/>
      <c r="Q1050" s="217"/>
      <c r="R1050" s="217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</row>
    <row r="1051">
      <c r="A1051" s="19"/>
      <c r="B1051" s="19"/>
      <c r="C1051" s="19"/>
      <c r="D1051" s="219"/>
      <c r="E1051" s="220"/>
      <c r="F1051" s="221"/>
      <c r="G1051" s="222"/>
      <c r="H1051" s="223"/>
      <c r="I1051" s="224"/>
      <c r="J1051" s="507"/>
      <c r="K1051" s="19"/>
      <c r="L1051" s="507"/>
      <c r="M1051" s="507"/>
      <c r="N1051" s="507"/>
      <c r="O1051" s="508"/>
      <c r="P1051" s="217"/>
      <c r="Q1051" s="217"/>
      <c r="R1051" s="217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</row>
    <row r="1052">
      <c r="A1052" s="19"/>
      <c r="B1052" s="19"/>
      <c r="C1052" s="19"/>
      <c r="D1052" s="219"/>
      <c r="E1052" s="220"/>
      <c r="F1052" s="221"/>
      <c r="G1052" s="222"/>
      <c r="H1052" s="223"/>
      <c r="I1052" s="224"/>
      <c r="J1052" s="507"/>
      <c r="K1052" s="19"/>
      <c r="L1052" s="507"/>
      <c r="M1052" s="507"/>
      <c r="N1052" s="507"/>
      <c r="O1052" s="508"/>
      <c r="P1052" s="217"/>
      <c r="Q1052" s="217"/>
      <c r="R1052" s="217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</row>
    <row r="1053">
      <c r="A1053" s="19"/>
      <c r="B1053" s="19"/>
      <c r="C1053" s="19"/>
      <c r="D1053" s="219"/>
      <c r="E1053" s="220"/>
      <c r="F1053" s="221"/>
      <c r="G1053" s="222"/>
      <c r="H1053" s="223"/>
      <c r="I1053" s="224"/>
      <c r="J1053" s="507"/>
      <c r="K1053" s="19"/>
      <c r="L1053" s="507"/>
      <c r="M1053" s="507"/>
      <c r="N1053" s="507"/>
      <c r="O1053" s="508"/>
      <c r="P1053" s="217"/>
      <c r="Q1053" s="217"/>
      <c r="R1053" s="217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</row>
    <row r="1054">
      <c r="A1054" s="19"/>
      <c r="B1054" s="19"/>
      <c r="C1054" s="19"/>
      <c r="D1054" s="219"/>
      <c r="E1054" s="220"/>
      <c r="F1054" s="221"/>
      <c r="G1054" s="222"/>
      <c r="H1054" s="223"/>
      <c r="I1054" s="224"/>
      <c r="J1054" s="507"/>
      <c r="K1054" s="19"/>
      <c r="L1054" s="507"/>
      <c r="M1054" s="507"/>
      <c r="N1054" s="507"/>
      <c r="O1054" s="508"/>
      <c r="P1054" s="217"/>
      <c r="Q1054" s="217"/>
      <c r="R1054" s="217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</row>
    <row r="1055">
      <c r="A1055" s="19"/>
      <c r="B1055" s="19"/>
      <c r="C1055" s="19"/>
      <c r="D1055" s="219"/>
      <c r="E1055" s="220"/>
      <c r="F1055" s="221"/>
      <c r="G1055" s="222"/>
      <c r="H1055" s="223"/>
      <c r="I1055" s="224"/>
      <c r="J1055" s="507"/>
      <c r="K1055" s="19"/>
      <c r="L1055" s="507"/>
      <c r="M1055" s="507"/>
      <c r="N1055" s="507"/>
      <c r="O1055" s="508"/>
      <c r="P1055" s="217"/>
      <c r="Q1055" s="217"/>
      <c r="R1055" s="217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</row>
    <row r="1056">
      <c r="A1056" s="19"/>
      <c r="B1056" s="19"/>
      <c r="C1056" s="19"/>
      <c r="D1056" s="219"/>
      <c r="E1056" s="220"/>
      <c r="F1056" s="221"/>
      <c r="G1056" s="222"/>
      <c r="H1056" s="223"/>
      <c r="I1056" s="224"/>
      <c r="J1056" s="507"/>
      <c r="K1056" s="19"/>
      <c r="L1056" s="507"/>
      <c r="M1056" s="507"/>
      <c r="N1056" s="507"/>
      <c r="O1056" s="508"/>
      <c r="P1056" s="217"/>
      <c r="Q1056" s="217"/>
      <c r="R1056" s="217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</row>
    <row r="1057">
      <c r="A1057" s="19"/>
      <c r="B1057" s="19"/>
      <c r="C1057" s="19"/>
      <c r="D1057" s="219"/>
      <c r="E1057" s="220"/>
      <c r="F1057" s="221"/>
      <c r="G1057" s="222"/>
      <c r="H1057" s="223"/>
      <c r="I1057" s="224"/>
      <c r="J1057" s="507"/>
      <c r="K1057" s="19"/>
      <c r="L1057" s="507"/>
      <c r="M1057" s="507"/>
      <c r="N1057" s="507"/>
      <c r="O1057" s="508"/>
      <c r="P1057" s="217"/>
      <c r="Q1057" s="217"/>
      <c r="R1057" s="217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</row>
    <row r="1058">
      <c r="A1058" s="19"/>
      <c r="B1058" s="19"/>
      <c r="C1058" s="19"/>
      <c r="D1058" s="219"/>
      <c r="E1058" s="220"/>
      <c r="F1058" s="221"/>
      <c r="G1058" s="222"/>
      <c r="H1058" s="223"/>
      <c r="I1058" s="224"/>
      <c r="J1058" s="507"/>
      <c r="K1058" s="19"/>
      <c r="L1058" s="507"/>
      <c r="M1058" s="507"/>
      <c r="N1058" s="507"/>
      <c r="O1058" s="508"/>
      <c r="P1058" s="217"/>
      <c r="Q1058" s="217"/>
      <c r="R1058" s="217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</row>
    <row r="1059">
      <c r="A1059" s="19"/>
      <c r="B1059" s="19"/>
      <c r="C1059" s="19"/>
      <c r="D1059" s="219"/>
      <c r="E1059" s="220"/>
      <c r="F1059" s="221"/>
      <c r="G1059" s="222"/>
      <c r="H1059" s="223"/>
      <c r="I1059" s="224"/>
      <c r="J1059" s="507"/>
      <c r="K1059" s="19"/>
      <c r="L1059" s="507"/>
      <c r="M1059" s="507"/>
      <c r="N1059" s="507"/>
      <c r="O1059" s="508"/>
      <c r="P1059" s="217"/>
      <c r="Q1059" s="217"/>
      <c r="R1059" s="217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</row>
    <row r="1060">
      <c r="A1060" s="19"/>
      <c r="B1060" s="19"/>
      <c r="C1060" s="19"/>
      <c r="D1060" s="219"/>
      <c r="E1060" s="220"/>
      <c r="F1060" s="221"/>
      <c r="G1060" s="222"/>
      <c r="H1060" s="223"/>
      <c r="I1060" s="224"/>
      <c r="J1060" s="507"/>
      <c r="K1060" s="19"/>
      <c r="L1060" s="507"/>
      <c r="M1060" s="507"/>
      <c r="N1060" s="507"/>
      <c r="O1060" s="508"/>
      <c r="P1060" s="217"/>
      <c r="Q1060" s="217"/>
      <c r="R1060" s="217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</row>
    <row r="1061">
      <c r="A1061" s="19"/>
      <c r="B1061" s="19"/>
      <c r="C1061" s="19"/>
      <c r="D1061" s="219"/>
      <c r="E1061" s="220"/>
      <c r="F1061" s="221"/>
      <c r="G1061" s="222"/>
      <c r="H1061" s="223"/>
      <c r="I1061" s="224"/>
      <c r="J1061" s="507"/>
      <c r="K1061" s="19"/>
      <c r="L1061" s="507"/>
      <c r="M1061" s="507"/>
      <c r="N1061" s="507"/>
      <c r="O1061" s="508"/>
      <c r="P1061" s="217"/>
      <c r="Q1061" s="217"/>
      <c r="R1061" s="217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</row>
    <row r="1062">
      <c r="A1062" s="19"/>
      <c r="B1062" s="19"/>
      <c r="C1062" s="19"/>
      <c r="D1062" s="219"/>
      <c r="E1062" s="220"/>
      <c r="F1062" s="221"/>
      <c r="G1062" s="222"/>
      <c r="H1062" s="223"/>
      <c r="I1062" s="224"/>
      <c r="J1062" s="507"/>
      <c r="K1062" s="19"/>
      <c r="L1062" s="507"/>
      <c r="M1062" s="507"/>
      <c r="N1062" s="507"/>
      <c r="O1062" s="508"/>
      <c r="P1062" s="217"/>
      <c r="Q1062" s="217"/>
      <c r="R1062" s="217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</row>
    <row r="1063">
      <c r="A1063" s="19"/>
      <c r="B1063" s="19"/>
      <c r="C1063" s="19"/>
      <c r="D1063" s="219"/>
      <c r="E1063" s="220"/>
      <c r="F1063" s="221"/>
      <c r="G1063" s="222"/>
      <c r="H1063" s="223"/>
      <c r="I1063" s="224"/>
      <c r="J1063" s="507"/>
      <c r="K1063" s="19"/>
      <c r="L1063" s="507"/>
      <c r="M1063" s="507"/>
      <c r="N1063" s="507"/>
      <c r="O1063" s="508"/>
      <c r="P1063" s="217"/>
      <c r="Q1063" s="217"/>
      <c r="R1063" s="217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</row>
    <row r="1064">
      <c r="A1064" s="19"/>
      <c r="B1064" s="19"/>
      <c r="C1064" s="19"/>
      <c r="D1064" s="219"/>
      <c r="E1064" s="220"/>
      <c r="F1064" s="221"/>
      <c r="G1064" s="222"/>
      <c r="H1064" s="223"/>
      <c r="I1064" s="224"/>
      <c r="J1064" s="507"/>
      <c r="K1064" s="19"/>
      <c r="L1064" s="507"/>
      <c r="M1064" s="507"/>
      <c r="N1064" s="507"/>
      <c r="O1064" s="508"/>
      <c r="P1064" s="217"/>
      <c r="Q1064" s="217"/>
      <c r="R1064" s="217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</row>
    <row r="1065">
      <c r="A1065" s="19"/>
      <c r="B1065" s="19"/>
      <c r="C1065" s="19"/>
      <c r="D1065" s="219"/>
      <c r="E1065" s="220"/>
      <c r="F1065" s="221"/>
      <c r="G1065" s="222"/>
      <c r="H1065" s="223"/>
      <c r="I1065" s="224"/>
      <c r="J1065" s="507"/>
      <c r="K1065" s="19"/>
      <c r="L1065" s="507"/>
      <c r="M1065" s="507"/>
      <c r="N1065" s="507"/>
      <c r="O1065" s="508"/>
      <c r="P1065" s="217"/>
      <c r="Q1065" s="217"/>
      <c r="R1065" s="217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</row>
    <row r="1066">
      <c r="A1066" s="19"/>
      <c r="B1066" s="19"/>
      <c r="C1066" s="19"/>
      <c r="D1066" s="219"/>
      <c r="E1066" s="220"/>
      <c r="F1066" s="221"/>
      <c r="G1066" s="222"/>
      <c r="H1066" s="223"/>
      <c r="I1066" s="224"/>
      <c r="J1066" s="507"/>
      <c r="K1066" s="19"/>
      <c r="L1066" s="507"/>
      <c r="M1066" s="507"/>
      <c r="N1066" s="507"/>
      <c r="O1066" s="508"/>
      <c r="P1066" s="217"/>
      <c r="Q1066" s="217"/>
      <c r="R1066" s="217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</row>
    <row r="1067">
      <c r="A1067" s="19"/>
      <c r="B1067" s="19"/>
      <c r="C1067" s="19"/>
      <c r="D1067" s="219"/>
      <c r="E1067" s="220"/>
      <c r="F1067" s="221"/>
      <c r="G1067" s="222"/>
      <c r="H1067" s="223"/>
      <c r="I1067" s="224"/>
      <c r="J1067" s="507"/>
      <c r="K1067" s="19"/>
      <c r="L1067" s="507"/>
      <c r="M1067" s="507"/>
      <c r="N1067" s="507"/>
      <c r="O1067" s="508"/>
      <c r="P1067" s="217"/>
      <c r="Q1067" s="217"/>
      <c r="R1067" s="217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</row>
    <row r="1068">
      <c r="A1068" s="19"/>
      <c r="B1068" s="19"/>
      <c r="C1068" s="19"/>
      <c r="D1068" s="219"/>
      <c r="E1068" s="220"/>
      <c r="F1068" s="221"/>
      <c r="G1068" s="222"/>
      <c r="H1068" s="223"/>
      <c r="I1068" s="224"/>
      <c r="J1068" s="507"/>
      <c r="K1068" s="19"/>
      <c r="L1068" s="507"/>
      <c r="M1068" s="507"/>
      <c r="N1068" s="507"/>
      <c r="O1068" s="508"/>
      <c r="P1068" s="217"/>
      <c r="Q1068" s="217"/>
      <c r="R1068" s="217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</row>
    <row r="1069">
      <c r="A1069" s="19"/>
      <c r="B1069" s="19"/>
      <c r="C1069" s="19"/>
      <c r="D1069" s="219"/>
      <c r="E1069" s="220"/>
      <c r="F1069" s="221"/>
      <c r="G1069" s="222"/>
      <c r="H1069" s="223"/>
      <c r="I1069" s="224"/>
      <c r="J1069" s="507"/>
      <c r="K1069" s="19"/>
      <c r="L1069" s="507"/>
      <c r="M1069" s="507"/>
      <c r="N1069" s="507"/>
      <c r="O1069" s="508"/>
      <c r="P1069" s="217"/>
      <c r="Q1069" s="217"/>
      <c r="R1069" s="217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</row>
    <row r="1070">
      <c r="A1070" s="19"/>
      <c r="B1070" s="19"/>
      <c r="C1070" s="19"/>
      <c r="D1070" s="219"/>
      <c r="E1070" s="220"/>
      <c r="F1070" s="221"/>
      <c r="G1070" s="222"/>
      <c r="H1070" s="223"/>
      <c r="I1070" s="224"/>
      <c r="J1070" s="507"/>
      <c r="K1070" s="19"/>
      <c r="L1070" s="507"/>
      <c r="M1070" s="507"/>
      <c r="N1070" s="507"/>
      <c r="O1070" s="508"/>
      <c r="P1070" s="217"/>
      <c r="Q1070" s="217"/>
      <c r="R1070" s="217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</row>
    <row r="1071">
      <c r="A1071" s="19"/>
      <c r="B1071" s="19"/>
      <c r="C1071" s="19"/>
      <c r="D1071" s="219"/>
      <c r="E1071" s="220"/>
      <c r="F1071" s="221"/>
      <c r="G1071" s="222"/>
      <c r="H1071" s="223"/>
      <c r="I1071" s="224"/>
      <c r="J1071" s="507"/>
      <c r="K1071" s="19"/>
      <c r="L1071" s="507"/>
      <c r="M1071" s="507"/>
      <c r="N1071" s="507"/>
      <c r="O1071" s="508"/>
      <c r="P1071" s="217"/>
      <c r="Q1071" s="217"/>
      <c r="R1071" s="217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</row>
    <row r="1072">
      <c r="A1072" s="19"/>
      <c r="B1072" s="19"/>
      <c r="C1072" s="19"/>
      <c r="D1072" s="219"/>
      <c r="E1072" s="220"/>
      <c r="F1072" s="221"/>
      <c r="G1072" s="222"/>
      <c r="H1072" s="223"/>
      <c r="I1072" s="224"/>
      <c r="J1072" s="507"/>
      <c r="K1072" s="19"/>
      <c r="L1072" s="507"/>
      <c r="M1072" s="507"/>
      <c r="N1072" s="507"/>
      <c r="O1072" s="508"/>
      <c r="P1072" s="217"/>
      <c r="Q1072" s="217"/>
      <c r="R1072" s="217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</row>
    <row r="1073">
      <c r="A1073" s="19"/>
      <c r="B1073" s="19"/>
      <c r="C1073" s="19"/>
      <c r="D1073" s="219"/>
      <c r="E1073" s="220"/>
      <c r="F1073" s="221"/>
      <c r="G1073" s="222"/>
      <c r="H1073" s="223"/>
      <c r="I1073" s="224"/>
      <c r="J1073" s="507"/>
      <c r="K1073" s="19"/>
      <c r="L1073" s="507"/>
      <c r="M1073" s="507"/>
      <c r="N1073" s="507"/>
      <c r="O1073" s="508"/>
      <c r="P1073" s="217"/>
      <c r="Q1073" s="217"/>
      <c r="R1073" s="217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</row>
    <row r="1074">
      <c r="A1074" s="19"/>
      <c r="B1074" s="19"/>
      <c r="C1074" s="19"/>
      <c r="D1074" s="219"/>
      <c r="E1074" s="220"/>
      <c r="F1074" s="221"/>
      <c r="G1074" s="222"/>
      <c r="H1074" s="223"/>
      <c r="I1074" s="224"/>
      <c r="J1074" s="507"/>
      <c r="K1074" s="19"/>
      <c r="L1074" s="507"/>
      <c r="M1074" s="507"/>
      <c r="N1074" s="507"/>
      <c r="O1074" s="508"/>
      <c r="P1074" s="217"/>
      <c r="Q1074" s="217"/>
      <c r="R1074" s="217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</row>
    <row r="1075">
      <c r="A1075" s="19"/>
      <c r="B1075" s="19"/>
      <c r="C1075" s="19"/>
      <c r="D1075" s="219"/>
      <c r="E1075" s="220"/>
      <c r="F1075" s="221"/>
      <c r="G1075" s="222"/>
      <c r="H1075" s="223"/>
      <c r="I1075" s="224"/>
      <c r="J1075" s="507"/>
      <c r="K1075" s="19"/>
      <c r="L1075" s="507"/>
      <c r="M1075" s="507"/>
      <c r="N1075" s="507"/>
      <c r="O1075" s="508"/>
      <c r="P1075" s="217"/>
      <c r="Q1075" s="217"/>
      <c r="R1075" s="217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</row>
    <row r="1076">
      <c r="A1076" s="19"/>
      <c r="B1076" s="19"/>
      <c r="C1076" s="19"/>
      <c r="D1076" s="219"/>
      <c r="E1076" s="220"/>
      <c r="F1076" s="221"/>
      <c r="G1076" s="222"/>
      <c r="H1076" s="223"/>
      <c r="I1076" s="224"/>
      <c r="J1076" s="507"/>
      <c r="K1076" s="19"/>
      <c r="L1076" s="507"/>
      <c r="M1076" s="507"/>
      <c r="N1076" s="507"/>
      <c r="O1076" s="508"/>
      <c r="P1076" s="217"/>
      <c r="Q1076" s="217"/>
      <c r="R1076" s="217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</row>
    <row r="1077">
      <c r="A1077" s="19"/>
      <c r="B1077" s="19"/>
      <c r="C1077" s="19"/>
      <c r="D1077" s="219"/>
      <c r="E1077" s="220"/>
      <c r="F1077" s="221"/>
      <c r="G1077" s="222"/>
      <c r="H1077" s="223"/>
      <c r="I1077" s="224"/>
      <c r="J1077" s="507"/>
      <c r="K1077" s="19"/>
      <c r="L1077" s="507"/>
      <c r="M1077" s="507"/>
      <c r="N1077" s="507"/>
      <c r="O1077" s="508"/>
      <c r="P1077" s="217"/>
      <c r="Q1077" s="217"/>
      <c r="R1077" s="217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</row>
    <row r="1078">
      <c r="A1078" s="19"/>
      <c r="B1078" s="19"/>
      <c r="C1078" s="19"/>
      <c r="D1078" s="219"/>
      <c r="E1078" s="220"/>
      <c r="F1078" s="221"/>
      <c r="G1078" s="222"/>
      <c r="H1078" s="223"/>
      <c r="I1078" s="224"/>
      <c r="J1078" s="507"/>
      <c r="K1078" s="19"/>
      <c r="L1078" s="507"/>
      <c r="M1078" s="507"/>
      <c r="N1078" s="507"/>
      <c r="O1078" s="508"/>
      <c r="P1078" s="217"/>
      <c r="Q1078" s="217"/>
      <c r="R1078" s="217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</row>
    <row r="1079">
      <c r="A1079" s="19"/>
      <c r="B1079" s="19"/>
      <c r="C1079" s="19"/>
      <c r="D1079" s="219"/>
      <c r="E1079" s="220"/>
      <c r="F1079" s="221"/>
      <c r="G1079" s="222"/>
      <c r="H1079" s="223"/>
      <c r="I1079" s="224"/>
      <c r="J1079" s="507"/>
      <c r="K1079" s="19"/>
      <c r="L1079" s="507"/>
      <c r="M1079" s="507"/>
      <c r="N1079" s="507"/>
      <c r="O1079" s="508"/>
      <c r="P1079" s="217"/>
      <c r="Q1079" s="217"/>
      <c r="R1079" s="217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</row>
    <row r="1080">
      <c r="A1080" s="19"/>
      <c r="B1080" s="19"/>
      <c r="C1080" s="19"/>
      <c r="D1080" s="219"/>
      <c r="E1080" s="220"/>
      <c r="F1080" s="221"/>
      <c r="G1080" s="222"/>
      <c r="H1080" s="223"/>
      <c r="I1080" s="224"/>
      <c r="J1080" s="507"/>
      <c r="K1080" s="19"/>
      <c r="L1080" s="507"/>
      <c r="M1080" s="507"/>
      <c r="N1080" s="507"/>
      <c r="O1080" s="508"/>
      <c r="P1080" s="217"/>
      <c r="Q1080" s="217"/>
      <c r="R1080" s="217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</row>
    <row r="1081">
      <c r="A1081" s="19"/>
      <c r="B1081" s="19"/>
      <c r="C1081" s="19"/>
      <c r="D1081" s="219"/>
      <c r="E1081" s="220"/>
      <c r="F1081" s="221"/>
      <c r="G1081" s="222"/>
      <c r="H1081" s="223"/>
      <c r="I1081" s="224"/>
      <c r="J1081" s="507"/>
      <c r="K1081" s="19"/>
      <c r="L1081" s="507"/>
      <c r="M1081" s="507"/>
      <c r="N1081" s="507"/>
      <c r="O1081" s="508"/>
      <c r="P1081" s="217"/>
      <c r="Q1081" s="217"/>
      <c r="R1081" s="217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</row>
    <row r="1082">
      <c r="A1082" s="19"/>
      <c r="B1082" s="19"/>
      <c r="C1082" s="19"/>
      <c r="D1082" s="219"/>
      <c r="E1082" s="220"/>
      <c r="F1082" s="221"/>
      <c r="G1082" s="222"/>
      <c r="H1082" s="223"/>
      <c r="I1082" s="224"/>
      <c r="J1082" s="507"/>
      <c r="K1082" s="19"/>
      <c r="L1082" s="507"/>
      <c r="M1082" s="507"/>
      <c r="N1082" s="507"/>
      <c r="O1082" s="508"/>
      <c r="P1082" s="217"/>
      <c r="Q1082" s="217"/>
      <c r="R1082" s="217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</row>
    <row r="1083">
      <c r="A1083" s="19"/>
      <c r="B1083" s="19"/>
      <c r="C1083" s="19"/>
      <c r="D1083" s="219"/>
      <c r="E1083" s="220"/>
      <c r="F1083" s="221"/>
      <c r="G1083" s="222"/>
      <c r="H1083" s="223"/>
      <c r="I1083" s="224"/>
      <c r="J1083" s="507"/>
      <c r="K1083" s="19"/>
      <c r="L1083" s="507"/>
      <c r="M1083" s="507"/>
      <c r="N1083" s="507"/>
      <c r="O1083" s="508"/>
      <c r="P1083" s="217"/>
      <c r="Q1083" s="217"/>
      <c r="R1083" s="217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</row>
    <row r="1084">
      <c r="A1084" s="19"/>
      <c r="B1084" s="19"/>
      <c r="C1084" s="19"/>
      <c r="D1084" s="219"/>
      <c r="E1084" s="220"/>
      <c r="F1084" s="221"/>
      <c r="G1084" s="222"/>
      <c r="H1084" s="223"/>
      <c r="I1084" s="224"/>
      <c r="J1084" s="507"/>
      <c r="K1084" s="19"/>
      <c r="L1084" s="507"/>
      <c r="M1084" s="507"/>
      <c r="N1084" s="507"/>
      <c r="O1084" s="508"/>
      <c r="P1084" s="217"/>
      <c r="Q1084" s="217"/>
      <c r="R1084" s="217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</row>
    <row r="1085">
      <c r="A1085" s="19"/>
      <c r="B1085" s="19"/>
      <c r="C1085" s="19"/>
      <c r="D1085" s="219"/>
      <c r="E1085" s="220"/>
      <c r="F1085" s="221"/>
      <c r="G1085" s="222"/>
      <c r="H1085" s="223"/>
      <c r="I1085" s="224"/>
      <c r="J1085" s="507"/>
      <c r="K1085" s="19"/>
      <c r="L1085" s="507"/>
      <c r="M1085" s="507"/>
      <c r="N1085" s="507"/>
      <c r="O1085" s="508"/>
      <c r="P1085" s="217"/>
      <c r="Q1085" s="217"/>
      <c r="R1085" s="217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</row>
    <row r="1086">
      <c r="A1086" s="19"/>
      <c r="B1086" s="19"/>
      <c r="C1086" s="19"/>
      <c r="D1086" s="219"/>
      <c r="E1086" s="220"/>
      <c r="F1086" s="221"/>
      <c r="G1086" s="222"/>
      <c r="H1086" s="223"/>
      <c r="I1086" s="224"/>
      <c r="J1086" s="507"/>
      <c r="K1086" s="19"/>
      <c r="L1086" s="507"/>
      <c r="M1086" s="507"/>
      <c r="N1086" s="507"/>
      <c r="O1086" s="508"/>
      <c r="P1086" s="217"/>
      <c r="Q1086" s="217"/>
      <c r="R1086" s="217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</row>
    <row r="1087">
      <c r="A1087" s="19"/>
      <c r="B1087" s="19"/>
      <c r="C1087" s="19"/>
      <c r="D1087" s="219"/>
      <c r="E1087" s="220"/>
      <c r="F1087" s="221"/>
      <c r="G1087" s="222"/>
      <c r="H1087" s="223"/>
      <c r="I1087" s="224"/>
      <c r="J1087" s="507"/>
      <c r="K1087" s="19"/>
      <c r="L1087" s="507"/>
      <c r="M1087" s="507"/>
      <c r="N1087" s="507"/>
      <c r="O1087" s="508"/>
      <c r="P1087" s="217"/>
      <c r="Q1087" s="217"/>
      <c r="R1087" s="217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</row>
    <row r="1088">
      <c r="A1088" s="19"/>
      <c r="B1088" s="19"/>
      <c r="C1088" s="19"/>
      <c r="D1088" s="219"/>
      <c r="E1088" s="220"/>
      <c r="F1088" s="221"/>
      <c r="G1088" s="222"/>
      <c r="H1088" s="223"/>
      <c r="I1088" s="224"/>
      <c r="J1088" s="507"/>
      <c r="K1088" s="19"/>
      <c r="L1088" s="507"/>
      <c r="M1088" s="507"/>
      <c r="N1088" s="507"/>
      <c r="O1088" s="508"/>
      <c r="P1088" s="217"/>
      <c r="Q1088" s="217"/>
      <c r="R1088" s="217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</row>
    <row r="1089">
      <c r="A1089" s="19"/>
      <c r="B1089" s="19"/>
      <c r="C1089" s="19"/>
      <c r="D1089" s="219"/>
      <c r="E1089" s="220"/>
      <c r="F1089" s="221"/>
      <c r="G1089" s="222"/>
      <c r="H1089" s="223"/>
      <c r="I1089" s="224"/>
      <c r="J1089" s="507"/>
      <c r="K1089" s="19"/>
      <c r="L1089" s="507"/>
      <c r="M1089" s="507"/>
      <c r="N1089" s="507"/>
      <c r="O1089" s="508"/>
      <c r="P1089" s="217"/>
      <c r="Q1089" s="217"/>
      <c r="R1089" s="217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</row>
  </sheetData>
  <mergeCells count="677">
    <mergeCell ref="A38:Q38"/>
    <mergeCell ref="A37:Q37"/>
    <mergeCell ref="E28:G28"/>
    <mergeCell ref="B29:H29"/>
    <mergeCell ref="A39:Q39"/>
    <mergeCell ref="B40:C41"/>
    <mergeCell ref="B43:C44"/>
    <mergeCell ref="I41:L43"/>
    <mergeCell ref="B30:H30"/>
    <mergeCell ref="J58:L59"/>
    <mergeCell ref="K61:M62"/>
    <mergeCell ref="J64:L65"/>
    <mergeCell ref="J32:L32"/>
    <mergeCell ref="M32:O32"/>
    <mergeCell ref="E62:G63"/>
    <mergeCell ref="E59:G60"/>
    <mergeCell ref="E56:G57"/>
    <mergeCell ref="I47:L49"/>
    <mergeCell ref="M45:N46"/>
    <mergeCell ref="B59:C60"/>
    <mergeCell ref="B56:C57"/>
    <mergeCell ref="N58:P59"/>
    <mergeCell ref="N64:P65"/>
    <mergeCell ref="E65:G66"/>
    <mergeCell ref="B65:C66"/>
    <mergeCell ref="B62:C63"/>
    <mergeCell ref="A55:Q55"/>
    <mergeCell ref="A53:Q54"/>
    <mergeCell ref="P61:Q62"/>
    <mergeCell ref="A70:B70"/>
    <mergeCell ref="A71:B71"/>
    <mergeCell ref="A83:B83"/>
    <mergeCell ref="A81:B81"/>
    <mergeCell ref="A82:B82"/>
    <mergeCell ref="A78:B78"/>
    <mergeCell ref="A79:B79"/>
    <mergeCell ref="A80:B80"/>
    <mergeCell ref="L78:M78"/>
    <mergeCell ref="L79:M79"/>
    <mergeCell ref="L82:M82"/>
    <mergeCell ref="A69:B69"/>
    <mergeCell ref="A68:B68"/>
    <mergeCell ref="D68:I68"/>
    <mergeCell ref="L75:M75"/>
    <mergeCell ref="A73:B73"/>
    <mergeCell ref="A72:B72"/>
    <mergeCell ref="L76:M76"/>
    <mergeCell ref="L73:M73"/>
    <mergeCell ref="N77:O77"/>
    <mergeCell ref="N76:O76"/>
    <mergeCell ref="P75:Q75"/>
    <mergeCell ref="N75:O75"/>
    <mergeCell ref="P76:S76"/>
    <mergeCell ref="P73:Q73"/>
    <mergeCell ref="L70:M70"/>
    <mergeCell ref="L69:M69"/>
    <mergeCell ref="Q68:S68"/>
    <mergeCell ref="P70:Q70"/>
    <mergeCell ref="P69:Q69"/>
    <mergeCell ref="A74:B74"/>
    <mergeCell ref="A75:B75"/>
    <mergeCell ref="A76:B76"/>
    <mergeCell ref="A77:B77"/>
    <mergeCell ref="N78:O78"/>
    <mergeCell ref="N72:O72"/>
    <mergeCell ref="L74:M74"/>
    <mergeCell ref="L77:M77"/>
    <mergeCell ref="N74:O74"/>
    <mergeCell ref="N70:O70"/>
    <mergeCell ref="N73:O73"/>
    <mergeCell ref="L71:M71"/>
    <mergeCell ref="L72:M72"/>
    <mergeCell ref="N71:O71"/>
    <mergeCell ref="N69:O69"/>
    <mergeCell ref="E24:G24"/>
    <mergeCell ref="C24:D24"/>
    <mergeCell ref="J21:O21"/>
    <mergeCell ref="C23:D23"/>
    <mergeCell ref="E23:G23"/>
    <mergeCell ref="E22:G22"/>
    <mergeCell ref="E21:G21"/>
    <mergeCell ref="C20:D20"/>
    <mergeCell ref="E20:G20"/>
    <mergeCell ref="C18:D18"/>
    <mergeCell ref="C17:D17"/>
    <mergeCell ref="E17:G17"/>
    <mergeCell ref="B46:C47"/>
    <mergeCell ref="B49:C50"/>
    <mergeCell ref="T53:U54"/>
    <mergeCell ref="S61:T63"/>
    <mergeCell ref="S60:T60"/>
    <mergeCell ref="S42:U42"/>
    <mergeCell ref="S44:U44"/>
    <mergeCell ref="S43:U43"/>
    <mergeCell ref="S40:U40"/>
    <mergeCell ref="S39:U39"/>
    <mergeCell ref="S41:U41"/>
    <mergeCell ref="T52:U52"/>
    <mergeCell ref="N82:O82"/>
    <mergeCell ref="N81:O81"/>
    <mergeCell ref="P81:Q81"/>
    <mergeCell ref="N79:O79"/>
    <mergeCell ref="P79:Q79"/>
    <mergeCell ref="L83:M83"/>
    <mergeCell ref="L81:M81"/>
    <mergeCell ref="N80:O80"/>
    <mergeCell ref="L80:M80"/>
    <mergeCell ref="P118:Q118"/>
    <mergeCell ref="P119:Q119"/>
    <mergeCell ref="P113:Q113"/>
    <mergeCell ref="P111:Q111"/>
    <mergeCell ref="P112:Q112"/>
    <mergeCell ref="P114:Q114"/>
    <mergeCell ref="P110:Q110"/>
    <mergeCell ref="P120:Q120"/>
    <mergeCell ref="P121:Q121"/>
    <mergeCell ref="P84:Q84"/>
    <mergeCell ref="P83:Q83"/>
    <mergeCell ref="P80:Q80"/>
    <mergeCell ref="P77:Q77"/>
    <mergeCell ref="P78:Q78"/>
    <mergeCell ref="P89:Q89"/>
    <mergeCell ref="P91:Q91"/>
    <mergeCell ref="P90:Q90"/>
    <mergeCell ref="P85:Q85"/>
    <mergeCell ref="P88:Q88"/>
    <mergeCell ref="P87:Q87"/>
    <mergeCell ref="P86:Q86"/>
    <mergeCell ref="P95:Q95"/>
    <mergeCell ref="P96:Q96"/>
    <mergeCell ref="P136:Q136"/>
    <mergeCell ref="P135:Q135"/>
    <mergeCell ref="P134:Q134"/>
    <mergeCell ref="P97:Q97"/>
    <mergeCell ref="P94:Q94"/>
    <mergeCell ref="P82:Q82"/>
    <mergeCell ref="P74:Q74"/>
    <mergeCell ref="P71:Q71"/>
    <mergeCell ref="P72:Q72"/>
    <mergeCell ref="P93:Q93"/>
    <mergeCell ref="K143:L143"/>
    <mergeCell ref="H142:I145"/>
    <mergeCell ref="K144:L144"/>
    <mergeCell ref="K145:L145"/>
    <mergeCell ref="H146:I149"/>
    <mergeCell ref="K149:L149"/>
    <mergeCell ref="K146:L146"/>
    <mergeCell ref="A159:B159"/>
    <mergeCell ref="A150:B150"/>
    <mergeCell ref="A154:B154"/>
    <mergeCell ref="A155:B155"/>
    <mergeCell ref="A158:B158"/>
    <mergeCell ref="A156:B156"/>
    <mergeCell ref="A157:B157"/>
    <mergeCell ref="A160:B160"/>
    <mergeCell ref="A161:B161"/>
    <mergeCell ref="L160:M160"/>
    <mergeCell ref="L161:M161"/>
    <mergeCell ref="A163:B163"/>
    <mergeCell ref="A164:B164"/>
    <mergeCell ref="A162:B162"/>
    <mergeCell ref="N162:O162"/>
    <mergeCell ref="L162:M162"/>
    <mergeCell ref="N163:O163"/>
    <mergeCell ref="N164:O164"/>
    <mergeCell ref="N155:O155"/>
    <mergeCell ref="N154:O154"/>
    <mergeCell ref="L150:M150"/>
    <mergeCell ref="N150:O150"/>
    <mergeCell ref="N158:O158"/>
    <mergeCell ref="N156:O156"/>
    <mergeCell ref="N157:O157"/>
    <mergeCell ref="L156:M156"/>
    <mergeCell ref="L157:M157"/>
    <mergeCell ref="N111:O111"/>
    <mergeCell ref="N112:O112"/>
    <mergeCell ref="N109:O109"/>
    <mergeCell ref="N108:O108"/>
    <mergeCell ref="N110:O110"/>
    <mergeCell ref="N115:O115"/>
    <mergeCell ref="N114:O114"/>
    <mergeCell ref="L114:M114"/>
    <mergeCell ref="L115:M115"/>
    <mergeCell ref="N113:O113"/>
    <mergeCell ref="P92:S92"/>
    <mergeCell ref="T95:V95"/>
    <mergeCell ref="L92:M92"/>
    <mergeCell ref="L93:M93"/>
    <mergeCell ref="N94:O94"/>
    <mergeCell ref="N95:O95"/>
    <mergeCell ref="N93:O93"/>
    <mergeCell ref="N92:O92"/>
    <mergeCell ref="K141:L141"/>
    <mergeCell ref="K142:L142"/>
    <mergeCell ref="B139:P139"/>
    <mergeCell ref="H140:P140"/>
    <mergeCell ref="T136:U136"/>
    <mergeCell ref="T135:V135"/>
    <mergeCell ref="T134:V134"/>
    <mergeCell ref="L135:M135"/>
    <mergeCell ref="L134:M134"/>
    <mergeCell ref="N137:O137"/>
    <mergeCell ref="P137:S137"/>
    <mergeCell ref="L116:M116"/>
    <mergeCell ref="L117:M117"/>
    <mergeCell ref="L120:M120"/>
    <mergeCell ref="L118:M118"/>
    <mergeCell ref="L119:M119"/>
    <mergeCell ref="N173:O173"/>
    <mergeCell ref="N172:O172"/>
    <mergeCell ref="N166:O166"/>
    <mergeCell ref="N165:O165"/>
    <mergeCell ref="P175:S175"/>
    <mergeCell ref="L175:M175"/>
    <mergeCell ref="L176:M176"/>
    <mergeCell ref="A175:I179"/>
    <mergeCell ref="K175:K179"/>
    <mergeCell ref="N175:O179"/>
    <mergeCell ref="N174:O174"/>
    <mergeCell ref="P106:Q106"/>
    <mergeCell ref="N106:O106"/>
    <mergeCell ref="S93:S107"/>
    <mergeCell ref="T106:V106"/>
    <mergeCell ref="T105:V105"/>
    <mergeCell ref="P107:Q107"/>
    <mergeCell ref="T104:V104"/>
    <mergeCell ref="P108:S108"/>
    <mergeCell ref="N100:O100"/>
    <mergeCell ref="A122:B122"/>
    <mergeCell ref="A121:B121"/>
    <mergeCell ref="A94:B94"/>
    <mergeCell ref="A93:B93"/>
    <mergeCell ref="A119:B119"/>
    <mergeCell ref="A118:B118"/>
    <mergeCell ref="A120:B120"/>
    <mergeCell ref="A123:B123"/>
    <mergeCell ref="A124:B124"/>
    <mergeCell ref="A127:B127"/>
    <mergeCell ref="A126:B126"/>
    <mergeCell ref="P125:Q125"/>
    <mergeCell ref="T125:V125"/>
    <mergeCell ref="P127:Q127"/>
    <mergeCell ref="P128:Q128"/>
    <mergeCell ref="T123:V123"/>
    <mergeCell ref="T127:V127"/>
    <mergeCell ref="L128:M128"/>
    <mergeCell ref="P126:Q126"/>
    <mergeCell ref="A125:B125"/>
    <mergeCell ref="P124:S124"/>
    <mergeCell ref="T126:V126"/>
    <mergeCell ref="T128:V128"/>
    <mergeCell ref="T117:V117"/>
    <mergeCell ref="P117:Q117"/>
    <mergeCell ref="P115:Q115"/>
    <mergeCell ref="P116:Q116"/>
    <mergeCell ref="T119:V119"/>
    <mergeCell ref="T116:V116"/>
    <mergeCell ref="T115:V115"/>
    <mergeCell ref="T118:V118"/>
    <mergeCell ref="P123:Q123"/>
    <mergeCell ref="T122:V122"/>
    <mergeCell ref="U124:W124"/>
    <mergeCell ref="P122:Q122"/>
    <mergeCell ref="T131:V131"/>
    <mergeCell ref="P131:Q131"/>
    <mergeCell ref="P132:Q132"/>
    <mergeCell ref="P133:Q133"/>
    <mergeCell ref="N133:O133"/>
    <mergeCell ref="N132:O132"/>
    <mergeCell ref="T132:V132"/>
    <mergeCell ref="T133:V133"/>
    <mergeCell ref="L131:M131"/>
    <mergeCell ref="L130:M130"/>
    <mergeCell ref="L129:M129"/>
    <mergeCell ref="T130:V130"/>
    <mergeCell ref="T129:V129"/>
    <mergeCell ref="N104:O104"/>
    <mergeCell ref="N105:O105"/>
    <mergeCell ref="N101:O101"/>
    <mergeCell ref="N99:O99"/>
    <mergeCell ref="N98:O98"/>
    <mergeCell ref="N97:O97"/>
    <mergeCell ref="N96:O96"/>
    <mergeCell ref="N102:O102"/>
    <mergeCell ref="N103:O103"/>
    <mergeCell ref="N118:O118"/>
    <mergeCell ref="N119:O119"/>
    <mergeCell ref="P130:Q130"/>
    <mergeCell ref="P129:Q129"/>
    <mergeCell ref="S125:S135"/>
    <mergeCell ref="N134:O134"/>
    <mergeCell ref="N135:O135"/>
    <mergeCell ref="N117:O117"/>
    <mergeCell ref="N116:O116"/>
    <mergeCell ref="N120:O120"/>
    <mergeCell ref="V186:W186"/>
    <mergeCell ref="T182:U182"/>
    <mergeCell ref="T181:U181"/>
    <mergeCell ref="P181:Q181"/>
    <mergeCell ref="P182:Q182"/>
    <mergeCell ref="T183:U183"/>
    <mergeCell ref="P183:Q183"/>
    <mergeCell ref="L201:M201"/>
    <mergeCell ref="L200:M200"/>
    <mergeCell ref="L194:M194"/>
    <mergeCell ref="L192:M192"/>
    <mergeCell ref="L193:M193"/>
    <mergeCell ref="L191:M191"/>
    <mergeCell ref="L190:M190"/>
    <mergeCell ref="N184:O184"/>
    <mergeCell ref="N183:O183"/>
    <mergeCell ref="N181:O181"/>
    <mergeCell ref="N182:O182"/>
    <mergeCell ref="N187:O187"/>
    <mergeCell ref="N189:O189"/>
    <mergeCell ref="N188:O188"/>
    <mergeCell ref="L187:M187"/>
    <mergeCell ref="L189:M189"/>
    <mergeCell ref="P186:Q186"/>
    <mergeCell ref="L195:M195"/>
    <mergeCell ref="L196:M196"/>
    <mergeCell ref="L197:M197"/>
    <mergeCell ref="L198:M198"/>
    <mergeCell ref="L199:M199"/>
    <mergeCell ref="L202:M202"/>
    <mergeCell ref="A186:B186"/>
    <mergeCell ref="L186:M186"/>
    <mergeCell ref="A188:B188"/>
    <mergeCell ref="A189:B189"/>
    <mergeCell ref="A185:B185"/>
    <mergeCell ref="A187:B187"/>
    <mergeCell ref="P187:U187"/>
    <mergeCell ref="N186:O186"/>
    <mergeCell ref="L188:M188"/>
    <mergeCell ref="AD184:AF184"/>
    <mergeCell ref="AD186:AF186"/>
    <mergeCell ref="AA186:AB186"/>
    <mergeCell ref="AD185:AF185"/>
    <mergeCell ref="A184:B184"/>
    <mergeCell ref="A182:B182"/>
    <mergeCell ref="A183:B183"/>
    <mergeCell ref="AD183:AF183"/>
    <mergeCell ref="AD181:AF181"/>
    <mergeCell ref="AD182:AF182"/>
    <mergeCell ref="P184:S184"/>
    <mergeCell ref="L184:M184"/>
    <mergeCell ref="L179:M179"/>
    <mergeCell ref="L181:M181"/>
    <mergeCell ref="L182:M182"/>
    <mergeCell ref="AA183:AB183"/>
    <mergeCell ref="L183:M183"/>
    <mergeCell ref="P185:Q185"/>
    <mergeCell ref="T185:U185"/>
    <mergeCell ref="AA182:AB182"/>
    <mergeCell ref="AA184:AB184"/>
    <mergeCell ref="AA185:AB185"/>
    <mergeCell ref="A180:AQ180"/>
    <mergeCell ref="AA181:AB181"/>
    <mergeCell ref="N185:O185"/>
    <mergeCell ref="L185:M185"/>
    <mergeCell ref="P156:Q156"/>
    <mergeCell ref="T156:U156"/>
    <mergeCell ref="T158:U158"/>
    <mergeCell ref="T157:U157"/>
    <mergeCell ref="T154:U154"/>
    <mergeCell ref="T155:U155"/>
    <mergeCell ref="P154:Q154"/>
    <mergeCell ref="T159:U159"/>
    <mergeCell ref="L159:M159"/>
    <mergeCell ref="L158:M158"/>
    <mergeCell ref="L155:M155"/>
    <mergeCell ref="L154:M154"/>
    <mergeCell ref="K148:L148"/>
    <mergeCell ref="K147:L147"/>
    <mergeCell ref="A152:S153"/>
    <mergeCell ref="P158:Q158"/>
    <mergeCell ref="P157:Q157"/>
    <mergeCell ref="R156:S159"/>
    <mergeCell ref="P155:Q155"/>
    <mergeCell ref="P159:Q159"/>
    <mergeCell ref="T166:U166"/>
    <mergeCell ref="T172:U172"/>
    <mergeCell ref="T170:U170"/>
    <mergeCell ref="P172:Q172"/>
    <mergeCell ref="T165:U165"/>
    <mergeCell ref="P160:S160"/>
    <mergeCell ref="Y175:Z179"/>
    <mergeCell ref="AA175:AF179"/>
    <mergeCell ref="AD173:AF173"/>
    <mergeCell ref="AD172:AF172"/>
    <mergeCell ref="AD170:AF170"/>
    <mergeCell ref="AD171:AF171"/>
    <mergeCell ref="P168:Q168"/>
    <mergeCell ref="P171:Q171"/>
    <mergeCell ref="AA173:AB173"/>
    <mergeCell ref="AA174:AB174"/>
    <mergeCell ref="AA172:AB172"/>
    <mergeCell ref="AD169:AF169"/>
    <mergeCell ref="AD174:AF174"/>
    <mergeCell ref="P170:S170"/>
    <mergeCell ref="P169:Q169"/>
    <mergeCell ref="N161:O161"/>
    <mergeCell ref="P162:Q162"/>
    <mergeCell ref="P161:Q161"/>
    <mergeCell ref="P167:Q167"/>
    <mergeCell ref="P166:Q166"/>
    <mergeCell ref="P164:Q164"/>
    <mergeCell ref="P163:Q163"/>
    <mergeCell ref="T163:U163"/>
    <mergeCell ref="T164:U164"/>
    <mergeCell ref="T167:U167"/>
    <mergeCell ref="T168:U168"/>
    <mergeCell ref="T161:U161"/>
    <mergeCell ref="T162:U162"/>
    <mergeCell ref="T169:U169"/>
    <mergeCell ref="T171:U171"/>
    <mergeCell ref="L177:M177"/>
    <mergeCell ref="L178:M178"/>
    <mergeCell ref="L172:M172"/>
    <mergeCell ref="L174:M174"/>
    <mergeCell ref="L173:M173"/>
    <mergeCell ref="T173:U173"/>
    <mergeCell ref="T174:V174"/>
    <mergeCell ref="T175:X179"/>
    <mergeCell ref="P176:S179"/>
    <mergeCell ref="P173:Q173"/>
    <mergeCell ref="P174:Q174"/>
    <mergeCell ref="P165:S165"/>
    <mergeCell ref="A174:B174"/>
    <mergeCell ref="A173:B173"/>
    <mergeCell ref="A168:B168"/>
    <mergeCell ref="A167:B167"/>
    <mergeCell ref="A181:B181"/>
    <mergeCell ref="A170:B170"/>
    <mergeCell ref="A171:B171"/>
    <mergeCell ref="A172:B172"/>
    <mergeCell ref="A169:B169"/>
    <mergeCell ref="L123:M123"/>
    <mergeCell ref="L122:M122"/>
    <mergeCell ref="N129:O129"/>
    <mergeCell ref="N131:O131"/>
    <mergeCell ref="N130:O130"/>
    <mergeCell ref="N128:O128"/>
    <mergeCell ref="N127:O127"/>
    <mergeCell ref="L125:M125"/>
    <mergeCell ref="L124:M124"/>
    <mergeCell ref="N125:O125"/>
    <mergeCell ref="N126:O126"/>
    <mergeCell ref="N121:O121"/>
    <mergeCell ref="N123:O123"/>
    <mergeCell ref="N124:O124"/>
    <mergeCell ref="N122:O122"/>
    <mergeCell ref="A102:B102"/>
    <mergeCell ref="A101:B101"/>
    <mergeCell ref="A106:B106"/>
    <mergeCell ref="A107:B107"/>
    <mergeCell ref="A104:B104"/>
    <mergeCell ref="A105:B105"/>
    <mergeCell ref="A97:B97"/>
    <mergeCell ref="A95:B95"/>
    <mergeCell ref="A96:B96"/>
    <mergeCell ref="L96:M96"/>
    <mergeCell ref="L97:M97"/>
    <mergeCell ref="L98:M98"/>
    <mergeCell ref="L100:M100"/>
    <mergeCell ref="L99:M99"/>
    <mergeCell ref="L95:M95"/>
    <mergeCell ref="L133:M133"/>
    <mergeCell ref="L136:M136"/>
    <mergeCell ref="L104:M104"/>
    <mergeCell ref="L101:M101"/>
    <mergeCell ref="L103:M103"/>
    <mergeCell ref="L102:M102"/>
    <mergeCell ref="L105:M105"/>
    <mergeCell ref="L112:M112"/>
    <mergeCell ref="L113:M113"/>
    <mergeCell ref="L107:M107"/>
    <mergeCell ref="L106:M106"/>
    <mergeCell ref="L108:M108"/>
    <mergeCell ref="L109:M109"/>
    <mergeCell ref="L110:M110"/>
    <mergeCell ref="L132:M132"/>
    <mergeCell ref="L127:M127"/>
    <mergeCell ref="L126:M126"/>
    <mergeCell ref="L111:M111"/>
    <mergeCell ref="L121:M121"/>
    <mergeCell ref="A137:B137"/>
    <mergeCell ref="B140:G140"/>
    <mergeCell ref="N136:O136"/>
    <mergeCell ref="A136:I136"/>
    <mergeCell ref="A135:B135"/>
    <mergeCell ref="A134:B134"/>
    <mergeCell ref="A166:B166"/>
    <mergeCell ref="A165:B165"/>
    <mergeCell ref="L137:M137"/>
    <mergeCell ref="AD165:AF165"/>
    <mergeCell ref="AD168:AF168"/>
    <mergeCell ref="AD166:AF166"/>
    <mergeCell ref="AD167:AF167"/>
    <mergeCell ref="AA167:AB167"/>
    <mergeCell ref="AA168:AB168"/>
    <mergeCell ref="AA171:AB171"/>
    <mergeCell ref="AA169:AB169"/>
    <mergeCell ref="AA170:AB170"/>
    <mergeCell ref="AA164:AB164"/>
    <mergeCell ref="AA165:AB165"/>
    <mergeCell ref="AA162:AB162"/>
    <mergeCell ref="AD164:AF164"/>
    <mergeCell ref="AD163:AF163"/>
    <mergeCell ref="AA166:AB166"/>
    <mergeCell ref="AA163:AB163"/>
    <mergeCell ref="A132:B132"/>
    <mergeCell ref="A133:B133"/>
    <mergeCell ref="A128:B128"/>
    <mergeCell ref="A129:B129"/>
    <mergeCell ref="A130:B130"/>
    <mergeCell ref="A131:B131"/>
    <mergeCell ref="L169:M169"/>
    <mergeCell ref="N169:O169"/>
    <mergeCell ref="N170:O170"/>
    <mergeCell ref="N168:O168"/>
    <mergeCell ref="L170:M170"/>
    <mergeCell ref="N171:O171"/>
    <mergeCell ref="N167:O167"/>
    <mergeCell ref="L171:M171"/>
    <mergeCell ref="L163:M163"/>
    <mergeCell ref="L164:M164"/>
    <mergeCell ref="L168:M168"/>
    <mergeCell ref="L166:M166"/>
    <mergeCell ref="L167:M167"/>
    <mergeCell ref="L165:M165"/>
    <mergeCell ref="N159:O159"/>
    <mergeCell ref="N160:O160"/>
    <mergeCell ref="T77:W77"/>
    <mergeCell ref="T78:W78"/>
    <mergeCell ref="T83:W83"/>
    <mergeCell ref="T81:W81"/>
    <mergeCell ref="T82:W82"/>
    <mergeCell ref="T80:W80"/>
    <mergeCell ref="T79:W79"/>
    <mergeCell ref="T89:W89"/>
    <mergeCell ref="T85:W85"/>
    <mergeCell ref="T86:W86"/>
    <mergeCell ref="T84:W84"/>
    <mergeCell ref="S77:S91"/>
    <mergeCell ref="T96:V96"/>
    <mergeCell ref="T97:V97"/>
    <mergeCell ref="T103:V103"/>
    <mergeCell ref="T98:V98"/>
    <mergeCell ref="T100:V100"/>
    <mergeCell ref="T99:V99"/>
    <mergeCell ref="AE76:AG76"/>
    <mergeCell ref="AE77:AG77"/>
    <mergeCell ref="AB79:AC79"/>
    <mergeCell ref="T94:V94"/>
    <mergeCell ref="AE75:AG75"/>
    <mergeCell ref="AE74:AG74"/>
    <mergeCell ref="AE79:AG79"/>
    <mergeCell ref="AE78:AG78"/>
    <mergeCell ref="AE80:AG80"/>
    <mergeCell ref="AB80:AC80"/>
    <mergeCell ref="AB77:AC77"/>
    <mergeCell ref="AB78:AC78"/>
    <mergeCell ref="AB74:AC74"/>
    <mergeCell ref="AB75:AC75"/>
    <mergeCell ref="AE73:AG73"/>
    <mergeCell ref="T71:W71"/>
    <mergeCell ref="AB73:AC73"/>
    <mergeCell ref="AB72:AC72"/>
    <mergeCell ref="AE72:AG72"/>
    <mergeCell ref="AA71:AG71"/>
    <mergeCell ref="T72:W72"/>
    <mergeCell ref="T73:W73"/>
    <mergeCell ref="T75:W75"/>
    <mergeCell ref="T74:W74"/>
    <mergeCell ref="T69:W69"/>
    <mergeCell ref="T102:V102"/>
    <mergeCell ref="T101:V101"/>
    <mergeCell ref="E27:G27"/>
    <mergeCell ref="C27:D27"/>
    <mergeCell ref="C28:D28"/>
    <mergeCell ref="C25:D25"/>
    <mergeCell ref="C26:D26"/>
    <mergeCell ref="C21:D21"/>
    <mergeCell ref="C22:D22"/>
    <mergeCell ref="E26:G26"/>
    <mergeCell ref="E25:G25"/>
    <mergeCell ref="B10:H11"/>
    <mergeCell ref="E13:G13"/>
    <mergeCell ref="E12:G12"/>
    <mergeCell ref="C13:D13"/>
    <mergeCell ref="C12:D12"/>
    <mergeCell ref="E15:G15"/>
    <mergeCell ref="C15:D15"/>
    <mergeCell ref="C16:D16"/>
    <mergeCell ref="E16:G16"/>
    <mergeCell ref="B5:M5"/>
    <mergeCell ref="B3:M3"/>
    <mergeCell ref="B1:M1"/>
    <mergeCell ref="B2:M2"/>
    <mergeCell ref="N3:S4"/>
    <mergeCell ref="Z2:AA2"/>
    <mergeCell ref="J10:O10"/>
    <mergeCell ref="J8:O9"/>
    <mergeCell ref="C19:D19"/>
    <mergeCell ref="E19:G19"/>
    <mergeCell ref="E18:G18"/>
    <mergeCell ref="N5:S5"/>
    <mergeCell ref="B8:H9"/>
    <mergeCell ref="C14:D14"/>
    <mergeCell ref="E14:G14"/>
    <mergeCell ref="T120:V120"/>
    <mergeCell ref="T114:V114"/>
    <mergeCell ref="T109:V109"/>
    <mergeCell ref="T110:V110"/>
    <mergeCell ref="T107:V107"/>
    <mergeCell ref="A111:B111"/>
    <mergeCell ref="A112:B112"/>
    <mergeCell ref="A108:B108"/>
    <mergeCell ref="A109:B109"/>
    <mergeCell ref="A110:B110"/>
    <mergeCell ref="T112:V112"/>
    <mergeCell ref="T111:V111"/>
    <mergeCell ref="T113:V113"/>
    <mergeCell ref="A114:B114"/>
    <mergeCell ref="A113:B113"/>
    <mergeCell ref="A117:B117"/>
    <mergeCell ref="A115:B115"/>
    <mergeCell ref="A116:B116"/>
    <mergeCell ref="T121:V121"/>
    <mergeCell ref="S109:S123"/>
    <mergeCell ref="L91:M91"/>
    <mergeCell ref="L87:M87"/>
    <mergeCell ref="L90:M90"/>
    <mergeCell ref="L89:M89"/>
    <mergeCell ref="L88:M88"/>
    <mergeCell ref="N87:O87"/>
    <mergeCell ref="N89:O89"/>
    <mergeCell ref="N88:O88"/>
    <mergeCell ref="N90:O90"/>
    <mergeCell ref="N91:O91"/>
    <mergeCell ref="T93:V93"/>
    <mergeCell ref="T91:V91"/>
    <mergeCell ref="T90:V90"/>
    <mergeCell ref="T87:V87"/>
    <mergeCell ref="T88:V88"/>
    <mergeCell ref="A92:B92"/>
    <mergeCell ref="A89:B89"/>
    <mergeCell ref="P101:Q101"/>
    <mergeCell ref="P102:Q102"/>
    <mergeCell ref="A103:B103"/>
    <mergeCell ref="A100:B100"/>
    <mergeCell ref="P99:Q99"/>
    <mergeCell ref="P100:Q100"/>
    <mergeCell ref="L94:M94"/>
    <mergeCell ref="P104:Q104"/>
    <mergeCell ref="P105:Q105"/>
    <mergeCell ref="P109:Q109"/>
    <mergeCell ref="N107:O107"/>
    <mergeCell ref="P103:Q103"/>
    <mergeCell ref="P98:Q98"/>
    <mergeCell ref="A88:B88"/>
    <mergeCell ref="A87:B87"/>
    <mergeCell ref="A91:B91"/>
    <mergeCell ref="A90:B90"/>
    <mergeCell ref="A98:B98"/>
    <mergeCell ref="A99:B99"/>
    <mergeCell ref="L86:M86"/>
    <mergeCell ref="N86:O86"/>
    <mergeCell ref="N83:O83"/>
    <mergeCell ref="N84:O84"/>
    <mergeCell ref="A85:B85"/>
    <mergeCell ref="A86:B86"/>
    <mergeCell ref="A84:B84"/>
    <mergeCell ref="L85:M85"/>
    <mergeCell ref="L84:M84"/>
    <mergeCell ref="N85:O85"/>
  </mergeCells>
  <hyperlinks>
    <hyperlink r:id="rId1" ref="B2"/>
    <hyperlink r:id="rId2" ref="P71"/>
    <hyperlink r:id="rId3" ref="R71"/>
    <hyperlink r:id="rId4" ref="S71"/>
    <hyperlink r:id="rId5" ref="T71"/>
    <hyperlink r:id="rId6" ref="P72"/>
    <hyperlink r:id="rId7" ref="R72"/>
    <hyperlink r:id="rId8" ref="S72"/>
    <hyperlink r:id="rId9" ref="T72"/>
    <hyperlink r:id="rId10" ref="P73"/>
    <hyperlink r:id="rId11" ref="R73"/>
    <hyperlink r:id="rId12" ref="T73"/>
    <hyperlink r:id="rId13" ref="P74"/>
    <hyperlink r:id="rId14" ref="R74"/>
    <hyperlink r:id="rId15" ref="T74"/>
    <hyperlink r:id="rId16" ref="P75"/>
    <hyperlink r:id="rId17" ref="R75"/>
    <hyperlink r:id="rId18" ref="S75"/>
    <hyperlink r:id="rId19" ref="T75"/>
    <hyperlink r:id="rId20" ref="P76"/>
    <hyperlink r:id="rId21" ref="P77"/>
    <hyperlink r:id="rId22" ref="R77"/>
    <hyperlink r:id="rId23" ref="T77"/>
    <hyperlink r:id="rId24" ref="P78"/>
    <hyperlink r:id="rId25" ref="R78"/>
    <hyperlink r:id="rId26" ref="T78"/>
    <hyperlink r:id="rId27" ref="P79"/>
    <hyperlink r:id="rId28" ref="R79"/>
    <hyperlink r:id="rId29" ref="T79"/>
    <hyperlink r:id="rId30" ref="P80"/>
    <hyperlink r:id="rId31" ref="R80"/>
    <hyperlink r:id="rId32" ref="T80"/>
    <hyperlink r:id="rId33" ref="P81"/>
    <hyperlink r:id="rId34" ref="R81"/>
    <hyperlink r:id="rId35" ref="T81"/>
    <hyperlink r:id="rId36" ref="P82"/>
    <hyperlink r:id="rId37" ref="R82"/>
    <hyperlink r:id="rId38" ref="T82"/>
    <hyperlink r:id="rId39" ref="P83"/>
    <hyperlink r:id="rId40" ref="R83"/>
    <hyperlink r:id="rId41" ref="T83"/>
    <hyperlink r:id="rId42" ref="P84"/>
    <hyperlink r:id="rId43" ref="R84"/>
    <hyperlink r:id="rId44" ref="T84"/>
    <hyperlink r:id="rId45" ref="P85"/>
    <hyperlink r:id="rId46" ref="R85"/>
    <hyperlink r:id="rId47" ref="T85"/>
    <hyperlink r:id="rId48" ref="P86"/>
    <hyperlink r:id="rId49" ref="R86"/>
    <hyperlink r:id="rId50" ref="T86"/>
    <hyperlink r:id="rId51" ref="P87"/>
    <hyperlink r:id="rId52" ref="R87"/>
    <hyperlink r:id="rId53" ref="T87"/>
    <hyperlink r:id="rId54" ref="W87"/>
    <hyperlink r:id="rId55" ref="P88"/>
    <hyperlink r:id="rId56" ref="R88"/>
    <hyperlink r:id="rId57" ref="T88"/>
    <hyperlink r:id="rId58" ref="W88"/>
    <hyperlink r:id="rId59" ref="P89"/>
    <hyperlink r:id="rId60" ref="R89"/>
    <hyperlink r:id="rId61" ref="T89"/>
    <hyperlink r:id="rId62" ref="P90"/>
    <hyperlink r:id="rId63" ref="R90"/>
    <hyperlink r:id="rId64" ref="T90"/>
    <hyperlink r:id="rId65" ref="W90"/>
    <hyperlink r:id="rId66" ref="P91"/>
    <hyperlink r:id="rId67" ref="R91"/>
    <hyperlink r:id="rId68" ref="T91"/>
    <hyperlink r:id="rId69" ref="W91"/>
    <hyperlink r:id="rId70" ref="P92"/>
    <hyperlink r:id="rId71" ref="P93"/>
    <hyperlink r:id="rId72" ref="R93"/>
    <hyperlink r:id="rId73" ref="T93"/>
    <hyperlink r:id="rId74" ref="W93"/>
    <hyperlink r:id="rId75" ref="P94"/>
    <hyperlink r:id="rId76" ref="R94"/>
    <hyperlink r:id="rId77" ref="T94"/>
    <hyperlink r:id="rId78" ref="W94"/>
    <hyperlink r:id="rId79" ref="P95"/>
    <hyperlink r:id="rId80" ref="R95"/>
    <hyperlink r:id="rId81" ref="T95"/>
    <hyperlink r:id="rId82" ref="W95"/>
    <hyperlink r:id="rId83" ref="P96"/>
    <hyperlink r:id="rId84" ref="R96"/>
    <hyperlink r:id="rId85" ref="T96"/>
    <hyperlink r:id="rId86" ref="W96"/>
    <hyperlink r:id="rId87" ref="P97"/>
    <hyperlink r:id="rId88" ref="R97"/>
    <hyperlink r:id="rId89" ref="T97"/>
    <hyperlink r:id="rId90" ref="W97"/>
    <hyperlink r:id="rId91" ref="P98"/>
    <hyperlink r:id="rId92" ref="R98"/>
    <hyperlink r:id="rId93" ref="T98"/>
    <hyperlink r:id="rId94" ref="W98"/>
    <hyperlink r:id="rId95" ref="P99"/>
    <hyperlink r:id="rId96" ref="R99"/>
    <hyperlink r:id="rId97" ref="T99"/>
    <hyperlink r:id="rId98" ref="W99"/>
    <hyperlink r:id="rId99" ref="P100"/>
    <hyperlink r:id="rId100" ref="R100"/>
    <hyperlink r:id="rId101" ref="T100"/>
    <hyperlink r:id="rId102" ref="W100"/>
    <hyperlink r:id="rId103" ref="P101"/>
    <hyperlink r:id="rId104" ref="R101"/>
    <hyperlink r:id="rId105" ref="T101"/>
    <hyperlink r:id="rId106" ref="W101"/>
    <hyperlink r:id="rId107" ref="P102"/>
    <hyperlink r:id="rId108" ref="R102"/>
    <hyperlink r:id="rId109" ref="T102"/>
    <hyperlink r:id="rId110" ref="W102"/>
    <hyperlink r:id="rId111" ref="P103"/>
    <hyperlink r:id="rId112" ref="R103"/>
    <hyperlink r:id="rId113" ref="T103"/>
    <hyperlink r:id="rId114" ref="W103"/>
    <hyperlink r:id="rId115" ref="P104"/>
    <hyperlink r:id="rId116" ref="R104"/>
    <hyperlink r:id="rId117" ref="T104"/>
    <hyperlink r:id="rId118" ref="W104"/>
    <hyperlink r:id="rId119" ref="P105"/>
    <hyperlink r:id="rId120" ref="R105"/>
    <hyperlink r:id="rId121" ref="T105"/>
    <hyperlink r:id="rId122" ref="W105"/>
    <hyperlink r:id="rId123" ref="P106"/>
    <hyperlink r:id="rId124" ref="R106"/>
    <hyperlink r:id="rId125" ref="T106"/>
    <hyperlink r:id="rId126" ref="W106"/>
    <hyperlink r:id="rId127" ref="P107"/>
    <hyperlink r:id="rId128" ref="R107"/>
    <hyperlink r:id="rId129" ref="T107"/>
    <hyperlink r:id="rId130" ref="W107"/>
    <hyperlink r:id="rId131" ref="P108"/>
    <hyperlink r:id="rId132" ref="P109"/>
    <hyperlink r:id="rId133" ref="R109"/>
    <hyperlink r:id="rId134" ref="T109"/>
    <hyperlink r:id="rId135" ref="W109"/>
    <hyperlink r:id="rId136" ref="P110"/>
    <hyperlink r:id="rId137" ref="R110"/>
    <hyperlink r:id="rId138" ref="T110"/>
    <hyperlink r:id="rId139" ref="W110"/>
    <hyperlink r:id="rId140" ref="P111"/>
    <hyperlink r:id="rId141" ref="R111"/>
    <hyperlink r:id="rId142" ref="T111"/>
    <hyperlink r:id="rId143" ref="W111"/>
    <hyperlink r:id="rId144" ref="P112"/>
    <hyperlink r:id="rId145" ref="R112"/>
    <hyperlink r:id="rId146" ref="T112"/>
    <hyperlink r:id="rId147" ref="W112"/>
    <hyperlink r:id="rId148" ref="P113"/>
    <hyperlink r:id="rId149" ref="R113"/>
    <hyperlink r:id="rId150" ref="T113"/>
    <hyperlink r:id="rId151" ref="W113"/>
    <hyperlink r:id="rId152" ref="P114"/>
    <hyperlink r:id="rId153" ref="R114"/>
    <hyperlink r:id="rId154" ref="T114"/>
    <hyperlink r:id="rId155" ref="W114"/>
    <hyperlink r:id="rId156" ref="P115"/>
    <hyperlink r:id="rId157" ref="R115"/>
    <hyperlink r:id="rId158" ref="T115"/>
    <hyperlink r:id="rId159" ref="W115"/>
    <hyperlink r:id="rId160" ref="P116"/>
    <hyperlink r:id="rId161" ref="R116"/>
    <hyperlink r:id="rId162" ref="T116"/>
    <hyperlink r:id="rId163" ref="W116"/>
    <hyperlink r:id="rId164" ref="P117"/>
    <hyperlink r:id="rId165" ref="R117"/>
    <hyperlink r:id="rId166" ref="T117"/>
    <hyperlink r:id="rId167" ref="W117"/>
    <hyperlink r:id="rId168" ref="P118"/>
    <hyperlink r:id="rId169" ref="R118"/>
    <hyperlink r:id="rId170" ref="T118"/>
    <hyperlink r:id="rId171" ref="W118"/>
    <hyperlink r:id="rId172" ref="P119"/>
    <hyperlink r:id="rId173" ref="R119"/>
    <hyperlink r:id="rId174" ref="T119"/>
    <hyperlink r:id="rId175" ref="W119"/>
    <hyperlink r:id="rId176" ref="P120"/>
    <hyperlink r:id="rId177" ref="R120"/>
    <hyperlink r:id="rId178" ref="T120"/>
    <hyperlink r:id="rId179" ref="W120"/>
    <hyperlink r:id="rId180" ref="P121"/>
    <hyperlink r:id="rId181" ref="R121"/>
    <hyperlink r:id="rId182" ref="T121"/>
    <hyperlink r:id="rId183" ref="W121"/>
    <hyperlink r:id="rId184" ref="P122"/>
    <hyperlink r:id="rId185" ref="R122"/>
    <hyperlink r:id="rId186" ref="T122"/>
    <hyperlink r:id="rId187" ref="W122"/>
    <hyperlink r:id="rId188" ref="P123"/>
    <hyperlink r:id="rId189" ref="R123"/>
    <hyperlink r:id="rId190" ref="T123"/>
    <hyperlink r:id="rId191" ref="W123"/>
    <hyperlink r:id="rId192" ref="P124"/>
    <hyperlink r:id="rId193" ref="P125"/>
    <hyperlink r:id="rId194" ref="R125"/>
    <hyperlink r:id="rId195" ref="T125"/>
    <hyperlink r:id="rId196" ref="W125"/>
    <hyperlink r:id="rId197" ref="P126"/>
    <hyperlink r:id="rId198" ref="R126"/>
    <hyperlink r:id="rId199" ref="T126"/>
    <hyperlink r:id="rId200" ref="W126"/>
    <hyperlink r:id="rId201" ref="P127"/>
    <hyperlink r:id="rId202" ref="R127"/>
    <hyperlink r:id="rId203" ref="T127"/>
    <hyperlink r:id="rId204" ref="W127"/>
    <hyperlink r:id="rId205" ref="P128"/>
    <hyperlink r:id="rId206" ref="R128"/>
    <hyperlink r:id="rId207" ref="T128"/>
    <hyperlink r:id="rId208" ref="W128"/>
    <hyperlink r:id="rId209" ref="P129"/>
    <hyperlink r:id="rId210" ref="R129"/>
    <hyperlink r:id="rId211" ref="T129"/>
    <hyperlink r:id="rId212" ref="W129"/>
    <hyperlink r:id="rId213" ref="P130"/>
    <hyperlink r:id="rId214" ref="R130"/>
    <hyperlink r:id="rId215" ref="T130"/>
    <hyperlink r:id="rId216" ref="W130"/>
    <hyperlink r:id="rId217" ref="P131"/>
    <hyperlink r:id="rId218" ref="R131"/>
    <hyperlink r:id="rId219" ref="T131"/>
    <hyperlink r:id="rId220" ref="W131"/>
    <hyperlink r:id="rId221" ref="P132"/>
    <hyperlink r:id="rId222" ref="R132"/>
    <hyperlink r:id="rId223" ref="T132"/>
    <hyperlink r:id="rId224" ref="W132"/>
    <hyperlink r:id="rId225" ref="P133"/>
    <hyperlink r:id="rId226" ref="R133"/>
    <hyperlink r:id="rId227" ref="T133"/>
    <hyperlink r:id="rId228" ref="W133"/>
    <hyperlink r:id="rId229" ref="P134"/>
    <hyperlink r:id="rId230" ref="R134"/>
    <hyperlink r:id="rId231" ref="T134"/>
    <hyperlink r:id="rId232" ref="W134"/>
    <hyperlink r:id="rId233" ref="P135"/>
    <hyperlink r:id="rId234" ref="R135"/>
    <hyperlink r:id="rId235" ref="T135"/>
    <hyperlink r:id="rId236" ref="W135"/>
    <hyperlink r:id="rId237" ref="P136"/>
    <hyperlink r:id="rId238" ref="R136"/>
    <hyperlink r:id="rId239" ref="S136"/>
    <hyperlink r:id="rId240" ref="T136"/>
    <hyperlink r:id="rId241" ref="V136"/>
    <hyperlink r:id="rId242" ref="W136"/>
    <hyperlink r:id="rId243" ref="P137"/>
    <hyperlink r:id="rId244" ref="P154"/>
    <hyperlink r:id="rId245" ref="R154"/>
    <hyperlink r:id="rId246" ref="S154"/>
    <hyperlink r:id="rId247" ref="T154"/>
    <hyperlink r:id="rId248" ref="V154"/>
    <hyperlink r:id="rId249" ref="W154"/>
    <hyperlink r:id="rId250" ref="P155"/>
    <hyperlink r:id="rId251" ref="R155"/>
    <hyperlink r:id="rId252" ref="T155"/>
    <hyperlink r:id="rId253" ref="V155"/>
    <hyperlink r:id="rId254" ref="P156"/>
    <hyperlink r:id="rId255" ref="T156"/>
    <hyperlink r:id="rId256" ref="P157"/>
    <hyperlink r:id="rId257" ref="T157"/>
    <hyperlink r:id="rId258" ref="P158"/>
    <hyperlink r:id="rId259" ref="T158"/>
    <hyperlink r:id="rId260" ref="P159"/>
    <hyperlink r:id="rId261" ref="T159"/>
    <hyperlink r:id="rId262" ref="P160"/>
    <hyperlink r:id="rId263" ref="P161"/>
    <hyperlink r:id="rId264" ref="R161"/>
    <hyperlink r:id="rId265" ref="T161"/>
    <hyperlink r:id="rId266" ref="V161"/>
    <hyperlink r:id="rId267" ref="P162"/>
    <hyperlink r:id="rId268" ref="R162"/>
    <hyperlink r:id="rId269" ref="T162"/>
    <hyperlink r:id="rId270" ref="V162"/>
    <hyperlink r:id="rId271" ref="P163"/>
    <hyperlink r:id="rId272" ref="R163"/>
    <hyperlink r:id="rId273" ref="T163"/>
    <hyperlink r:id="rId274" ref="V163"/>
    <hyperlink r:id="rId275" ref="P164"/>
    <hyperlink r:id="rId276" ref="R164"/>
    <hyperlink r:id="rId277" ref="T164"/>
    <hyperlink r:id="rId278" ref="V164"/>
    <hyperlink r:id="rId279" ref="P165"/>
    <hyperlink r:id="rId280" ref="P166"/>
    <hyperlink r:id="rId281" ref="R166"/>
    <hyperlink r:id="rId282" ref="S166"/>
    <hyperlink r:id="rId283" ref="T166"/>
    <hyperlink r:id="rId284" ref="V166"/>
    <hyperlink r:id="rId285" ref="W166"/>
    <hyperlink r:id="rId286" ref="P167"/>
    <hyperlink r:id="rId287" ref="R167"/>
    <hyperlink r:id="rId288" ref="S167"/>
    <hyperlink r:id="rId289" ref="T167"/>
    <hyperlink r:id="rId290" ref="V167"/>
    <hyperlink r:id="rId291" ref="W167"/>
    <hyperlink r:id="rId292" ref="P168"/>
    <hyperlink r:id="rId293" ref="R168"/>
    <hyperlink r:id="rId294" ref="T168"/>
    <hyperlink r:id="rId295" ref="V168"/>
    <hyperlink r:id="rId296" ref="P169"/>
    <hyperlink r:id="rId297" ref="R169"/>
    <hyperlink r:id="rId298" ref="S169"/>
    <hyperlink r:id="rId299" ref="T169"/>
    <hyperlink r:id="rId300" ref="V169"/>
    <hyperlink r:id="rId301" ref="W169"/>
    <hyperlink r:id="rId302" ref="P170"/>
    <hyperlink r:id="rId303" ref="P171"/>
    <hyperlink r:id="rId304" ref="R171"/>
    <hyperlink r:id="rId305" ref="T171"/>
    <hyperlink r:id="rId306" ref="V171"/>
    <hyperlink r:id="rId307" ref="P172"/>
    <hyperlink r:id="rId308" ref="R172"/>
    <hyperlink r:id="rId309" ref="S172"/>
    <hyperlink r:id="rId310" ref="T172"/>
    <hyperlink r:id="rId311" ref="V172"/>
    <hyperlink r:id="rId312" ref="W172"/>
    <hyperlink r:id="rId313" ref="P173"/>
    <hyperlink r:id="rId314" ref="R173"/>
    <hyperlink r:id="rId315" ref="T173"/>
    <hyperlink r:id="rId316" ref="V173"/>
    <hyperlink r:id="rId317" ref="T174"/>
    <hyperlink r:id="rId318" ref="W174"/>
    <hyperlink r:id="rId319" ref="P175"/>
    <hyperlink r:id="rId320" ref="P181"/>
    <hyperlink r:id="rId321" ref="R181"/>
    <hyperlink r:id="rId322" ref="T181"/>
    <hyperlink r:id="rId323" ref="V181"/>
    <hyperlink r:id="rId324" ref="P182"/>
    <hyperlink r:id="rId325" ref="R182"/>
    <hyperlink r:id="rId326" ref="T182"/>
    <hyperlink r:id="rId327" ref="V182"/>
    <hyperlink r:id="rId328" ref="P183"/>
    <hyperlink r:id="rId329" ref="R183"/>
    <hyperlink r:id="rId330" ref="S183"/>
    <hyperlink r:id="rId331" ref="T183"/>
    <hyperlink r:id="rId332" ref="V183"/>
    <hyperlink r:id="rId333" ref="W183"/>
    <hyperlink r:id="rId334" ref="P184"/>
    <hyperlink r:id="rId335" ref="P185"/>
    <hyperlink r:id="rId336" ref="R185"/>
    <hyperlink r:id="rId337" ref="T185"/>
    <hyperlink r:id="rId338" ref="V185"/>
    <hyperlink r:id="rId339" ref="P186"/>
    <hyperlink r:id="rId340" ref="R186"/>
    <hyperlink r:id="rId341" ref="S186"/>
    <hyperlink r:id="rId342" ref="T186"/>
    <hyperlink r:id="rId343" ref="V186"/>
    <hyperlink r:id="rId344" ref="P187"/>
  </hyperlinks>
  <drawing r:id="rId3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6.14"/>
    <col customWidth="1" min="3" max="3" width="6.57"/>
    <col customWidth="1" min="4" max="4" width="12.14"/>
    <col customWidth="1" min="5" max="5" width="12.29"/>
    <col customWidth="1" min="6" max="6" width="13.43"/>
    <col customWidth="1" min="7" max="7" width="18.0"/>
    <col customWidth="1" min="8" max="8" width="18.14"/>
    <col customWidth="1" min="9" max="9" width="26.43"/>
    <col customWidth="1" min="12" max="12" width="4.43"/>
    <col customWidth="1" min="13" max="13" width="6.0"/>
  </cols>
  <sheetData>
    <row r="1" ht="16.5" customHeight="1">
      <c r="A1" s="509"/>
      <c r="B1" s="509"/>
      <c r="C1" s="509"/>
      <c r="D1" s="510" t="s">
        <v>261</v>
      </c>
      <c r="E1" s="510" t="s">
        <v>262</v>
      </c>
      <c r="F1" s="509" t="s">
        <v>263</v>
      </c>
      <c r="G1" s="509" t="s">
        <v>264</v>
      </c>
      <c r="H1" s="509" t="s">
        <v>265</v>
      </c>
      <c r="I1" s="140" t="s">
        <v>266</v>
      </c>
      <c r="K1" s="509"/>
      <c r="L1" s="511"/>
      <c r="M1" s="92"/>
    </row>
    <row r="2" ht="15.0" customHeight="1">
      <c r="A2" s="512"/>
      <c r="B2" s="512"/>
      <c r="C2" s="512"/>
      <c r="D2" s="513" t="str">
        <f t="shared" ref="D2:E2" si="1">sum(B4:B113)</f>
        <v>470</v>
      </c>
      <c r="E2" s="513" t="str">
        <f t="shared" si="1"/>
        <v>470</v>
      </c>
      <c r="F2" s="512">
        <v>47.0</v>
      </c>
      <c r="G2" s="139" t="str">
        <f t="shared" ref="G2:H2" si="2">COUNTBLANK(B4:B113)</f>
        <v>43</v>
      </c>
      <c r="H2" s="139" t="str">
        <f t="shared" si="2"/>
        <v>55</v>
      </c>
      <c r="I2" s="124" t="str">
        <f>COUNTIF(L3:L152,0)
</f>
        <v>37</v>
      </c>
      <c r="K2" s="512"/>
      <c r="L2" s="514"/>
      <c r="M2" s="124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ht="23.25" customHeight="1">
      <c r="A3" s="515" t="s">
        <v>267</v>
      </c>
      <c r="B3" s="515" t="s">
        <v>268</v>
      </c>
      <c r="C3" s="516" t="s">
        <v>269</v>
      </c>
      <c r="D3" s="515" t="s">
        <v>270</v>
      </c>
      <c r="E3" s="515" t="s">
        <v>271</v>
      </c>
      <c r="F3" s="512"/>
      <c r="G3" s="137"/>
      <c r="H3" s="72"/>
      <c r="I3" s="72"/>
      <c r="J3" s="517" t="s">
        <v>272</v>
      </c>
      <c r="K3" s="73"/>
      <c r="L3" s="518" t="s">
        <v>273</v>
      </c>
      <c r="M3" s="519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>
      <c r="A4" s="520" t="s">
        <v>274</v>
      </c>
      <c r="B4" s="521"/>
      <c r="C4" s="522"/>
      <c r="D4" s="523" t="str">
        <f t="shared" ref="D4:E4" si="3">B4/($F$2*0.01)/100</f>
        <v>0.00%</v>
      </c>
      <c r="E4" s="523" t="str">
        <f t="shared" si="3"/>
        <v>0.00%</v>
      </c>
      <c r="J4" s="499" t="s">
        <v>275</v>
      </c>
      <c r="K4" s="87"/>
      <c r="L4" s="524" t="str">
        <f t="shared" ref="L4:L113" si="5">SUM(B4:C4)</f>
        <v>0</v>
      </c>
    </row>
    <row r="5">
      <c r="A5" s="520" t="s">
        <v>276</v>
      </c>
      <c r="B5" s="525"/>
      <c r="C5" s="526"/>
      <c r="D5" s="523" t="str">
        <f t="shared" ref="D5:E5" si="4">B5/($F$2*0.01)/100</f>
        <v>0.00%</v>
      </c>
      <c r="E5" s="523" t="str">
        <f t="shared" si="4"/>
        <v>0.00%</v>
      </c>
      <c r="J5" s="499" t="s">
        <v>277</v>
      </c>
      <c r="K5" s="87"/>
      <c r="L5" s="524" t="str">
        <f t="shared" si="5"/>
        <v>0</v>
      </c>
    </row>
    <row r="6">
      <c r="A6" s="520" t="s">
        <v>278</v>
      </c>
      <c r="B6" s="521">
        <v>4.0</v>
      </c>
      <c r="C6" s="522">
        <v>4.0</v>
      </c>
      <c r="D6" s="523" t="str">
        <f t="shared" ref="D6:E6" si="6">B6/($F$2*0.01)/100</f>
        <v>8.51%</v>
      </c>
      <c r="E6" s="523" t="str">
        <f t="shared" si="6"/>
        <v>8.51%</v>
      </c>
      <c r="J6" s="499" t="s">
        <v>279</v>
      </c>
      <c r="K6" s="87"/>
      <c r="L6" s="524" t="str">
        <f t="shared" si="5"/>
        <v>8</v>
      </c>
    </row>
    <row r="7">
      <c r="A7" s="527" t="s">
        <v>280</v>
      </c>
      <c r="B7" s="521">
        <v>10.0</v>
      </c>
      <c r="C7" s="522">
        <v>21.0</v>
      </c>
      <c r="D7" s="523" t="str">
        <f t="shared" ref="D7:E7" si="7">B7/($F$2*0.01)/100</f>
        <v>21.28%</v>
      </c>
      <c r="E7" s="523" t="str">
        <f t="shared" si="7"/>
        <v>44.68%</v>
      </c>
      <c r="J7" s="499" t="s">
        <v>281</v>
      </c>
      <c r="K7" s="87"/>
      <c r="L7" s="524" t="str">
        <f t="shared" si="5"/>
        <v>31</v>
      </c>
    </row>
    <row r="8">
      <c r="A8" s="520" t="s">
        <v>282</v>
      </c>
      <c r="B8" s="521">
        <v>2.0</v>
      </c>
      <c r="C8" s="522">
        <v>1.0</v>
      </c>
      <c r="D8" s="523" t="str">
        <f t="shared" ref="D8:E8" si="8">B8/($F$2*0.01)/100</f>
        <v>4.26%</v>
      </c>
      <c r="E8" s="523" t="str">
        <f t="shared" si="8"/>
        <v>2.13%</v>
      </c>
      <c r="J8" s="499" t="s">
        <v>283</v>
      </c>
      <c r="K8" s="87"/>
      <c r="L8" s="524" t="str">
        <f t="shared" si="5"/>
        <v>3</v>
      </c>
    </row>
    <row r="9">
      <c r="A9" s="520" t="s">
        <v>284</v>
      </c>
      <c r="B9" s="521">
        <v>7.0</v>
      </c>
      <c r="C9" s="522">
        <v>1.0</v>
      </c>
      <c r="D9" s="523" t="str">
        <f t="shared" ref="D9:E9" si="9">B9/($F$2*0.01)/100</f>
        <v>14.89%</v>
      </c>
      <c r="E9" s="523" t="str">
        <f t="shared" si="9"/>
        <v>2.13%</v>
      </c>
      <c r="J9" s="502" t="s">
        <v>285</v>
      </c>
      <c r="K9" s="249"/>
      <c r="L9" s="524" t="str">
        <f t="shared" si="5"/>
        <v>8</v>
      </c>
    </row>
    <row r="10">
      <c r="A10" s="520" t="s">
        <v>286</v>
      </c>
      <c r="B10" s="525"/>
      <c r="C10" s="526"/>
      <c r="D10" s="523" t="str">
        <f t="shared" ref="D10:E10" si="10">B10/($F$2*0.01)/100</f>
        <v>0.00%</v>
      </c>
      <c r="E10" s="523" t="str">
        <f t="shared" si="10"/>
        <v>0.00%</v>
      </c>
      <c r="J10" s="499" t="s">
        <v>287</v>
      </c>
      <c r="K10" s="87"/>
      <c r="L10" s="524" t="str">
        <f t="shared" si="5"/>
        <v>0</v>
      </c>
    </row>
    <row r="11">
      <c r="A11" s="520" t="s">
        <v>288</v>
      </c>
      <c r="B11" s="525"/>
      <c r="C11" s="522">
        <v>1.0</v>
      </c>
      <c r="D11" s="523" t="str">
        <f t="shared" ref="D11:E11" si="11">B11/($F$2*0.01)/100</f>
        <v>0.00%</v>
      </c>
      <c r="E11" s="523" t="str">
        <f t="shared" si="11"/>
        <v>2.13%</v>
      </c>
      <c r="J11" s="499" t="s">
        <v>289</v>
      </c>
      <c r="K11" s="87"/>
      <c r="L11" s="524" t="str">
        <f t="shared" si="5"/>
        <v>1</v>
      </c>
    </row>
    <row r="12">
      <c r="A12" s="520" t="s">
        <v>290</v>
      </c>
      <c r="B12" s="521">
        <v>3.0</v>
      </c>
      <c r="C12" s="522">
        <v>9.0</v>
      </c>
      <c r="D12" s="523" t="str">
        <f t="shared" ref="D12:E12" si="12">B12/($F$2*0.01)/100</f>
        <v>6.38%</v>
      </c>
      <c r="E12" s="523" t="str">
        <f t="shared" si="12"/>
        <v>19.15%</v>
      </c>
      <c r="J12" s="499" t="s">
        <v>291</v>
      </c>
      <c r="K12" s="87"/>
      <c r="L12" s="524" t="str">
        <f t="shared" si="5"/>
        <v>12</v>
      </c>
    </row>
    <row r="13">
      <c r="A13" s="520" t="s">
        <v>292</v>
      </c>
      <c r="B13" s="521">
        <v>14.0</v>
      </c>
      <c r="C13" s="522">
        <v>31.0</v>
      </c>
      <c r="D13" s="523" t="str">
        <f t="shared" ref="D13:E13" si="13">B13/($F$2*0.01)/100</f>
        <v>29.79%</v>
      </c>
      <c r="E13" s="528" t="str">
        <f t="shared" si="13"/>
        <v>65.96%</v>
      </c>
      <c r="J13" s="502" t="s">
        <v>293</v>
      </c>
      <c r="K13" s="249"/>
      <c r="L13" s="524" t="str">
        <f t="shared" si="5"/>
        <v>45</v>
      </c>
    </row>
    <row r="14">
      <c r="A14" s="520" t="s">
        <v>294</v>
      </c>
      <c r="B14" s="525"/>
      <c r="C14" s="526"/>
      <c r="D14" s="523" t="str">
        <f t="shared" ref="D14:E14" si="14">B14/($F$2*0.01)/100</f>
        <v>0.00%</v>
      </c>
      <c r="E14" s="523" t="str">
        <f t="shared" si="14"/>
        <v>0.00%</v>
      </c>
      <c r="J14" s="499" t="s">
        <v>295</v>
      </c>
      <c r="K14" s="87"/>
      <c r="L14" s="524" t="str">
        <f t="shared" si="5"/>
        <v>0</v>
      </c>
    </row>
    <row r="15">
      <c r="A15" s="520" t="s">
        <v>296</v>
      </c>
      <c r="B15" s="521">
        <v>2.0</v>
      </c>
      <c r="C15" s="526"/>
      <c r="D15" s="523" t="str">
        <f t="shared" ref="D15:E15" si="15">B15/($F$2*0.01)/100</f>
        <v>4.26%</v>
      </c>
      <c r="E15" s="523" t="str">
        <f t="shared" si="15"/>
        <v>0.00%</v>
      </c>
      <c r="J15" s="499" t="s">
        <v>297</v>
      </c>
      <c r="K15" s="87"/>
      <c r="L15" s="524" t="str">
        <f t="shared" si="5"/>
        <v>2</v>
      </c>
    </row>
    <row r="16">
      <c r="A16" s="520" t="s">
        <v>298</v>
      </c>
      <c r="B16" s="521">
        <v>3.0</v>
      </c>
      <c r="C16" s="522">
        <v>22.0</v>
      </c>
      <c r="D16" s="523" t="str">
        <f t="shared" ref="D16:E16" si="16">B16/($F$2*0.01)/100</f>
        <v>6.38%</v>
      </c>
      <c r="E16" s="523" t="str">
        <f t="shared" si="16"/>
        <v>46.81%</v>
      </c>
      <c r="J16" s="499" t="s">
        <v>299</v>
      </c>
      <c r="K16" s="87"/>
      <c r="L16" s="524" t="str">
        <f t="shared" si="5"/>
        <v>25</v>
      </c>
    </row>
    <row r="17">
      <c r="A17" s="520" t="s">
        <v>300</v>
      </c>
      <c r="B17" s="525"/>
      <c r="C17" s="522">
        <v>1.0</v>
      </c>
      <c r="D17" s="523" t="str">
        <f t="shared" ref="D17:E17" si="17">B17/($F$2*0.01)/100</f>
        <v>0.00%</v>
      </c>
      <c r="E17" s="523" t="str">
        <f t="shared" si="17"/>
        <v>2.13%</v>
      </c>
      <c r="J17" s="502" t="s">
        <v>301</v>
      </c>
      <c r="K17" s="249"/>
      <c r="L17" s="524" t="str">
        <f t="shared" si="5"/>
        <v>1</v>
      </c>
    </row>
    <row r="18">
      <c r="A18" s="520" t="s">
        <v>302</v>
      </c>
      <c r="B18" s="525"/>
      <c r="C18" s="522">
        <v>1.0</v>
      </c>
      <c r="D18" s="523" t="str">
        <f t="shared" ref="D18:E18" si="18">B18/($F$2*0.01)/100</f>
        <v>0.00%</v>
      </c>
      <c r="E18" s="523" t="str">
        <f t="shared" si="18"/>
        <v>2.13%</v>
      </c>
      <c r="J18" s="499" t="s">
        <v>303</v>
      </c>
      <c r="K18" s="87"/>
      <c r="L18" s="524" t="str">
        <f t="shared" si="5"/>
        <v>1</v>
      </c>
    </row>
    <row r="19">
      <c r="A19" s="520" t="s">
        <v>304</v>
      </c>
      <c r="B19" s="521">
        <v>3.0</v>
      </c>
      <c r="C19" s="522">
        <v>0.0</v>
      </c>
      <c r="D19" s="523" t="str">
        <f t="shared" ref="D19:E19" si="19">B19/($F$2*0.01)/100</f>
        <v>6.38%</v>
      </c>
      <c r="E19" s="523" t="str">
        <f t="shared" si="19"/>
        <v>0.00%</v>
      </c>
      <c r="J19" s="499" t="s">
        <v>305</v>
      </c>
      <c r="K19" s="87"/>
      <c r="L19" s="524" t="str">
        <f t="shared" si="5"/>
        <v>3</v>
      </c>
    </row>
    <row r="20">
      <c r="A20" s="520" t="s">
        <v>306</v>
      </c>
      <c r="B20" s="521">
        <v>2.0</v>
      </c>
      <c r="C20" s="522">
        <v>3.0</v>
      </c>
      <c r="D20" s="523" t="str">
        <f t="shared" ref="D20:E20" si="20">B20/($F$2*0.01)/100</f>
        <v>4.26%</v>
      </c>
      <c r="E20" s="523" t="str">
        <f t="shared" si="20"/>
        <v>6.38%</v>
      </c>
      <c r="J20" s="499" t="s">
        <v>307</v>
      </c>
      <c r="K20" s="87"/>
      <c r="L20" s="524" t="str">
        <f t="shared" si="5"/>
        <v>5</v>
      </c>
    </row>
    <row r="21">
      <c r="A21" s="520" t="s">
        <v>308</v>
      </c>
      <c r="B21" s="521">
        <v>17.0</v>
      </c>
      <c r="C21" s="522">
        <v>12.0</v>
      </c>
      <c r="D21" s="523" t="str">
        <f t="shared" ref="D21:E21" si="21">B21/($F$2*0.01)/100</f>
        <v>36.17%</v>
      </c>
      <c r="E21" s="523" t="str">
        <f t="shared" si="21"/>
        <v>25.53%</v>
      </c>
      <c r="J21" s="529" t="s">
        <v>309</v>
      </c>
      <c r="K21" s="87"/>
      <c r="L21" s="524" t="str">
        <f t="shared" si="5"/>
        <v>29</v>
      </c>
    </row>
    <row r="22">
      <c r="A22" s="520" t="s">
        <v>310</v>
      </c>
      <c r="B22" s="521">
        <v>6.0</v>
      </c>
      <c r="C22" s="522">
        <v>3.0</v>
      </c>
      <c r="D22" s="523" t="str">
        <f t="shared" ref="D22:E22" si="22">B22/($F$2*0.01)/100</f>
        <v>12.77%</v>
      </c>
      <c r="E22" s="523" t="str">
        <f t="shared" si="22"/>
        <v>6.38%</v>
      </c>
      <c r="J22" s="530" t="s">
        <v>311</v>
      </c>
      <c r="K22" s="246"/>
      <c r="L22" s="524" t="str">
        <f t="shared" si="5"/>
        <v>9</v>
      </c>
    </row>
    <row r="23">
      <c r="A23" s="520" t="s">
        <v>312</v>
      </c>
      <c r="B23" s="521">
        <v>22.0</v>
      </c>
      <c r="C23" s="522">
        <v>11.0</v>
      </c>
      <c r="D23" s="523" t="str">
        <f t="shared" ref="D23:E23" si="23">B23/($F$2*0.01)/100</f>
        <v>46.81%</v>
      </c>
      <c r="E23" s="523" t="str">
        <f t="shared" si="23"/>
        <v>23.40%</v>
      </c>
      <c r="J23" s="499" t="s">
        <v>313</v>
      </c>
      <c r="K23" s="87"/>
      <c r="L23" s="524" t="str">
        <f t="shared" si="5"/>
        <v>33</v>
      </c>
    </row>
    <row r="24">
      <c r="A24" s="520" t="s">
        <v>314</v>
      </c>
      <c r="B24" s="521">
        <v>19.0</v>
      </c>
      <c r="C24" s="522">
        <v>13.0</v>
      </c>
      <c r="D24" s="523" t="str">
        <f t="shared" ref="D24:E24" si="24">B24/($F$2*0.01)/100</f>
        <v>40.43%</v>
      </c>
      <c r="E24" s="523" t="str">
        <f t="shared" si="24"/>
        <v>27.66%</v>
      </c>
      <c r="J24" s="499" t="s">
        <v>315</v>
      </c>
      <c r="K24" s="87"/>
      <c r="L24" s="524" t="str">
        <f t="shared" si="5"/>
        <v>32</v>
      </c>
    </row>
    <row r="25">
      <c r="A25" s="520" t="s">
        <v>316</v>
      </c>
      <c r="B25" s="525"/>
      <c r="C25" s="526"/>
      <c r="D25" s="523" t="str">
        <f t="shared" ref="D25:E25" si="25">B25/($F$2*0.01)/100</f>
        <v>0.00%</v>
      </c>
      <c r="E25" s="523" t="str">
        <f t="shared" si="25"/>
        <v>0.00%</v>
      </c>
      <c r="J25" s="530" t="s">
        <v>317</v>
      </c>
      <c r="K25" s="246"/>
      <c r="L25" s="524" t="str">
        <f t="shared" si="5"/>
        <v>0</v>
      </c>
    </row>
    <row r="26">
      <c r="A26" s="520" t="s">
        <v>318</v>
      </c>
      <c r="B26" s="521">
        <v>3.0</v>
      </c>
      <c r="C26" s="526"/>
      <c r="D26" s="523" t="str">
        <f t="shared" ref="D26:E26" si="26">B26/($F$2*0.01)/100</f>
        <v>6.38%</v>
      </c>
      <c r="E26" s="523" t="str">
        <f t="shared" si="26"/>
        <v>0.00%</v>
      </c>
      <c r="J26" s="502" t="s">
        <v>319</v>
      </c>
      <c r="K26" s="249"/>
      <c r="L26" s="524" t="str">
        <f t="shared" si="5"/>
        <v>3</v>
      </c>
    </row>
    <row r="27">
      <c r="A27" s="520" t="s">
        <v>320</v>
      </c>
      <c r="B27" s="525"/>
      <c r="C27" s="526"/>
      <c r="D27" s="523" t="str">
        <f t="shared" ref="D27:E27" si="27">B27/($F$2*0.01)/100</f>
        <v>0.00%</v>
      </c>
      <c r="E27" s="523" t="str">
        <f t="shared" si="27"/>
        <v>0.00%</v>
      </c>
      <c r="J27" s="19"/>
      <c r="L27" s="524" t="str">
        <f t="shared" si="5"/>
        <v>0</v>
      </c>
    </row>
    <row r="28">
      <c r="A28" s="520" t="s">
        <v>321</v>
      </c>
      <c r="B28" s="521">
        <v>5.0</v>
      </c>
      <c r="C28" s="522">
        <v>6.0</v>
      </c>
      <c r="D28" s="523" t="str">
        <f t="shared" ref="D28:E28" si="28">B28/($F$2*0.01)/100</f>
        <v>10.64%</v>
      </c>
      <c r="E28" s="523" t="str">
        <f t="shared" si="28"/>
        <v>12.77%</v>
      </c>
      <c r="J28" s="19"/>
      <c r="L28" s="524" t="str">
        <f t="shared" si="5"/>
        <v>11</v>
      </c>
    </row>
    <row r="29">
      <c r="A29" s="520" t="s">
        <v>322</v>
      </c>
      <c r="B29" s="521">
        <v>2.0</v>
      </c>
      <c r="C29" s="522">
        <v>2.0</v>
      </c>
      <c r="D29" s="523" t="str">
        <f t="shared" ref="D29:E29" si="29">B29/($F$2*0.01)/100</f>
        <v>4.26%</v>
      </c>
      <c r="E29" s="523" t="str">
        <f t="shared" si="29"/>
        <v>4.26%</v>
      </c>
      <c r="J29" s="19"/>
      <c r="L29" s="524" t="str">
        <f t="shared" si="5"/>
        <v>4</v>
      </c>
    </row>
    <row r="30">
      <c r="A30" s="520" t="s">
        <v>323</v>
      </c>
      <c r="B30" s="525"/>
      <c r="C30" s="526"/>
      <c r="D30" s="523" t="str">
        <f t="shared" ref="D30:E30" si="30">B30/($F$2*0.01)/100</f>
        <v>0.00%</v>
      </c>
      <c r="E30" s="523" t="str">
        <f t="shared" si="30"/>
        <v>0.00%</v>
      </c>
      <c r="J30" s="19"/>
      <c r="L30" s="524" t="str">
        <f t="shared" si="5"/>
        <v>0</v>
      </c>
    </row>
    <row r="31">
      <c r="A31" s="520" t="s">
        <v>324</v>
      </c>
      <c r="B31" s="521">
        <v>18.0</v>
      </c>
      <c r="C31" s="522">
        <v>13.0</v>
      </c>
      <c r="D31" s="523" t="str">
        <f t="shared" ref="D31:E31" si="31">B31/($F$2*0.01)/100</f>
        <v>38.30%</v>
      </c>
      <c r="E31" s="523" t="str">
        <f t="shared" si="31"/>
        <v>27.66%</v>
      </c>
      <c r="J31" s="19"/>
      <c r="L31" s="524" t="str">
        <f t="shared" si="5"/>
        <v>31</v>
      </c>
    </row>
    <row r="32">
      <c r="A32" s="520" t="s">
        <v>325</v>
      </c>
      <c r="B32" s="525"/>
      <c r="C32" s="526"/>
      <c r="D32" s="523" t="str">
        <f t="shared" ref="D32:E32" si="32">B32/($F$2*0.01)/100</f>
        <v>0.00%</v>
      </c>
      <c r="E32" s="523" t="str">
        <f t="shared" si="32"/>
        <v>0.00%</v>
      </c>
      <c r="J32" s="19"/>
      <c r="L32" s="524" t="str">
        <f t="shared" si="5"/>
        <v>0</v>
      </c>
    </row>
    <row r="33">
      <c r="A33" s="520" t="s">
        <v>326</v>
      </c>
      <c r="B33" s="521">
        <v>7.0</v>
      </c>
      <c r="C33" s="522">
        <v>10.0</v>
      </c>
      <c r="D33" s="523" t="str">
        <f t="shared" ref="D33:E33" si="33">B33/($F$2*0.01)/100</f>
        <v>14.89%</v>
      </c>
      <c r="E33" s="523" t="str">
        <f t="shared" si="33"/>
        <v>21.28%</v>
      </c>
      <c r="J33" s="19"/>
      <c r="L33" s="524" t="str">
        <f t="shared" si="5"/>
        <v>17</v>
      </c>
    </row>
    <row r="34">
      <c r="A34" s="520" t="s">
        <v>327</v>
      </c>
      <c r="B34" s="525"/>
      <c r="C34" s="526"/>
      <c r="D34" s="523" t="str">
        <f t="shared" ref="D34:E34" si="34">B34/($F$2*0.01)/100</f>
        <v>0.00%</v>
      </c>
      <c r="E34" s="523" t="str">
        <f t="shared" si="34"/>
        <v>0.00%</v>
      </c>
      <c r="J34" s="19"/>
      <c r="L34" s="524" t="str">
        <f t="shared" si="5"/>
        <v>0</v>
      </c>
    </row>
    <row r="35">
      <c r="A35" s="520" t="s">
        <v>328</v>
      </c>
      <c r="B35" s="521">
        <v>2.0</v>
      </c>
      <c r="C35" s="522">
        <v>1.0</v>
      </c>
      <c r="D35" s="523" t="str">
        <f t="shared" ref="D35:E35" si="35">B35/($F$2*0.01)/100</f>
        <v>4.26%</v>
      </c>
      <c r="E35" s="523" t="str">
        <f t="shared" si="35"/>
        <v>2.13%</v>
      </c>
      <c r="J35" s="19"/>
      <c r="L35" s="524" t="str">
        <f t="shared" si="5"/>
        <v>3</v>
      </c>
    </row>
    <row r="36">
      <c r="A36" s="520" t="s">
        <v>329</v>
      </c>
      <c r="B36" s="525"/>
      <c r="C36" s="526"/>
      <c r="D36" s="523" t="str">
        <f t="shared" ref="D36:E36" si="36">B36/($F$2*0.01)/100</f>
        <v>0.00%</v>
      </c>
      <c r="E36" s="523" t="str">
        <f t="shared" si="36"/>
        <v>0.00%</v>
      </c>
      <c r="J36" s="19"/>
      <c r="K36" s="19"/>
      <c r="L36" s="524" t="str">
        <f t="shared" si="5"/>
        <v>0</v>
      </c>
    </row>
    <row r="37">
      <c r="A37" s="520" t="s">
        <v>330</v>
      </c>
      <c r="B37" s="521">
        <v>20.0</v>
      </c>
      <c r="C37" s="522">
        <v>25.0</v>
      </c>
      <c r="D37" s="523" t="str">
        <f t="shared" ref="D37:E37" si="37">B37/($F$2*0.01)/100</f>
        <v>42.55%</v>
      </c>
      <c r="E37" s="528" t="str">
        <f t="shared" si="37"/>
        <v>53.19%</v>
      </c>
      <c r="J37" s="19"/>
      <c r="K37" s="19"/>
      <c r="L37" s="524" t="str">
        <f t="shared" si="5"/>
        <v>45</v>
      </c>
    </row>
    <row r="38">
      <c r="A38" s="520" t="s">
        <v>331</v>
      </c>
      <c r="B38" s="525"/>
      <c r="C38" s="526"/>
      <c r="D38" s="523" t="str">
        <f t="shared" ref="D38:E38" si="38">B38/($F$2*0.01)/100</f>
        <v>0.00%</v>
      </c>
      <c r="E38" s="523" t="str">
        <f t="shared" si="38"/>
        <v>0.00%</v>
      </c>
      <c r="J38" s="19"/>
      <c r="K38" s="19"/>
      <c r="L38" s="524" t="str">
        <f t="shared" si="5"/>
        <v>0</v>
      </c>
    </row>
    <row r="39">
      <c r="A39" s="520" t="s">
        <v>332</v>
      </c>
      <c r="B39" s="525"/>
      <c r="C39" s="526"/>
      <c r="D39" s="523" t="str">
        <f t="shared" ref="D39:E39" si="39">B39/($F$2*0.01)/100</f>
        <v>0.00%</v>
      </c>
      <c r="E39" s="523" t="str">
        <f t="shared" si="39"/>
        <v>0.00%</v>
      </c>
      <c r="J39" s="19"/>
      <c r="K39" s="19"/>
      <c r="L39" s="524" t="str">
        <f t="shared" si="5"/>
        <v>0</v>
      </c>
    </row>
    <row r="40">
      <c r="A40" s="520" t="s">
        <v>333</v>
      </c>
      <c r="B40" s="521">
        <v>6.0</v>
      </c>
      <c r="C40" s="522">
        <v>3.0</v>
      </c>
      <c r="D40" s="523" t="str">
        <f t="shared" ref="D40:E40" si="40">B40/($F$2*0.01)/100</f>
        <v>12.77%</v>
      </c>
      <c r="E40" s="523" t="str">
        <f t="shared" si="40"/>
        <v>6.38%</v>
      </c>
      <c r="J40" s="19"/>
      <c r="K40" s="19"/>
      <c r="L40" s="524" t="str">
        <f t="shared" si="5"/>
        <v>9</v>
      </c>
    </row>
    <row r="41">
      <c r="A41" s="520" t="s">
        <v>334</v>
      </c>
      <c r="B41" s="521">
        <v>1.0</v>
      </c>
      <c r="C41" s="526"/>
      <c r="D41" s="523" t="str">
        <f t="shared" ref="D41:E41" si="41">B41/($F$2*0.01)/100</f>
        <v>2.13%</v>
      </c>
      <c r="E41" s="523" t="str">
        <f t="shared" si="41"/>
        <v>0.00%</v>
      </c>
      <c r="J41" s="19"/>
      <c r="K41" s="19"/>
      <c r="L41" s="524" t="str">
        <f t="shared" si="5"/>
        <v>1</v>
      </c>
    </row>
    <row r="42">
      <c r="A42" s="520" t="s">
        <v>335</v>
      </c>
      <c r="B42" s="521">
        <v>1.0</v>
      </c>
      <c r="C42" s="522">
        <v>2.0</v>
      </c>
      <c r="D42" s="523" t="str">
        <f t="shared" ref="D42:E42" si="42">B42/($F$2*0.01)/100</f>
        <v>2.13%</v>
      </c>
      <c r="E42" s="523" t="str">
        <f t="shared" si="42"/>
        <v>4.26%</v>
      </c>
      <c r="J42" s="19"/>
      <c r="K42" s="19"/>
      <c r="L42" s="524" t="str">
        <f t="shared" si="5"/>
        <v>3</v>
      </c>
    </row>
    <row r="43">
      <c r="A43" s="520" t="s">
        <v>336</v>
      </c>
      <c r="B43" s="521">
        <v>1.0</v>
      </c>
      <c r="C43" s="526"/>
      <c r="D43" s="523" t="str">
        <f t="shared" ref="D43:E43" si="43">B43/($F$2*0.01)/100</f>
        <v>2.13%</v>
      </c>
      <c r="E43" s="523" t="str">
        <f t="shared" si="43"/>
        <v>0.00%</v>
      </c>
      <c r="J43" s="19"/>
      <c r="K43" s="19"/>
      <c r="L43" s="524" t="str">
        <f t="shared" si="5"/>
        <v>1</v>
      </c>
    </row>
    <row r="44">
      <c r="A44" s="520" t="s">
        <v>337</v>
      </c>
      <c r="B44" s="525"/>
      <c r="C44" s="526"/>
      <c r="D44" s="523" t="str">
        <f t="shared" ref="D44:E44" si="44">B44/($F$2*0.01)/100</f>
        <v>0.00%</v>
      </c>
      <c r="E44" s="523" t="str">
        <f t="shared" si="44"/>
        <v>0.00%</v>
      </c>
      <c r="J44" s="19"/>
      <c r="K44" s="19"/>
      <c r="L44" s="524" t="str">
        <f t="shared" si="5"/>
        <v>0</v>
      </c>
    </row>
    <row r="45">
      <c r="A45" s="520" t="s">
        <v>338</v>
      </c>
      <c r="B45" s="521">
        <v>1.0</v>
      </c>
      <c r="C45" s="526"/>
      <c r="D45" s="523" t="str">
        <f t="shared" ref="D45:E45" si="45">B45/($F$2*0.01)/100</f>
        <v>2.13%</v>
      </c>
      <c r="E45" s="523" t="str">
        <f t="shared" si="45"/>
        <v>0.00%</v>
      </c>
      <c r="J45" s="19"/>
      <c r="K45" s="19"/>
      <c r="L45" s="524" t="str">
        <f t="shared" si="5"/>
        <v>1</v>
      </c>
    </row>
    <row r="46">
      <c r="A46" s="520" t="s">
        <v>339</v>
      </c>
      <c r="B46" s="521">
        <v>5.0</v>
      </c>
      <c r="C46" s="522">
        <v>42.0</v>
      </c>
      <c r="D46" s="523" t="str">
        <f t="shared" ref="D46:E46" si="46">B46/($F$2*0.01)/100</f>
        <v>10.64%</v>
      </c>
      <c r="E46" s="523" t="str">
        <f t="shared" si="46"/>
        <v>89.36%</v>
      </c>
      <c r="J46" s="19"/>
      <c r="K46" s="19"/>
      <c r="L46" s="524" t="str">
        <f t="shared" si="5"/>
        <v>47</v>
      </c>
    </row>
    <row r="47">
      <c r="A47" s="520" t="s">
        <v>340</v>
      </c>
      <c r="B47" s="525"/>
      <c r="C47" s="526"/>
      <c r="D47" s="523" t="str">
        <f t="shared" ref="D47:E47" si="47">B47/($F$2*0.01)/100</f>
        <v>0.00%</v>
      </c>
      <c r="E47" s="523" t="str">
        <f t="shared" si="47"/>
        <v>0.00%</v>
      </c>
      <c r="J47" s="19"/>
      <c r="K47" s="19"/>
      <c r="L47" s="524" t="str">
        <f t="shared" si="5"/>
        <v>0</v>
      </c>
    </row>
    <row r="48">
      <c r="A48" s="520" t="s">
        <v>341</v>
      </c>
      <c r="B48" s="525"/>
      <c r="C48" s="526"/>
      <c r="D48" s="523" t="str">
        <f t="shared" ref="D48:E48" si="48">B48/($F$2*0.01)/100</f>
        <v>0.00%</v>
      </c>
      <c r="E48" s="523" t="str">
        <f t="shared" si="48"/>
        <v>0.00%</v>
      </c>
      <c r="J48" s="19"/>
      <c r="K48" s="19"/>
      <c r="L48" s="524" t="str">
        <f t="shared" si="5"/>
        <v>0</v>
      </c>
    </row>
    <row r="49">
      <c r="A49" s="520" t="s">
        <v>342</v>
      </c>
      <c r="B49" s="521">
        <v>32.0</v>
      </c>
      <c r="C49" s="522">
        <v>14.0</v>
      </c>
      <c r="D49" s="528" t="str">
        <f t="shared" ref="D49:E49" si="49">B49/($F$2*0.01)/100</f>
        <v>68.09%</v>
      </c>
      <c r="E49" s="523" t="str">
        <f t="shared" si="49"/>
        <v>29.79%</v>
      </c>
      <c r="J49" s="19"/>
      <c r="K49" s="19"/>
      <c r="L49" s="524" t="str">
        <f t="shared" si="5"/>
        <v>46</v>
      </c>
    </row>
    <row r="50">
      <c r="A50" s="520" t="s">
        <v>343</v>
      </c>
      <c r="B50" s="521">
        <v>5.0</v>
      </c>
      <c r="C50" s="522">
        <v>1.0</v>
      </c>
      <c r="D50" s="523" t="str">
        <f t="shared" ref="D50:E50" si="50">B50/($F$2*0.01)/100</f>
        <v>10.64%</v>
      </c>
      <c r="E50" s="523" t="str">
        <f t="shared" si="50"/>
        <v>2.13%</v>
      </c>
      <c r="J50" s="19"/>
      <c r="K50" s="19"/>
      <c r="L50" s="524" t="str">
        <f t="shared" si="5"/>
        <v>6</v>
      </c>
    </row>
    <row r="51">
      <c r="A51" s="520" t="s">
        <v>344</v>
      </c>
      <c r="B51" s="525"/>
      <c r="C51" s="526"/>
      <c r="D51" s="523" t="str">
        <f t="shared" ref="D51:E51" si="51">B51/($F$2*0.01)/100</f>
        <v>0.00%</v>
      </c>
      <c r="E51" s="523" t="str">
        <f t="shared" si="51"/>
        <v>0.00%</v>
      </c>
      <c r="J51" s="19"/>
      <c r="K51" s="19"/>
      <c r="L51" s="524" t="str">
        <f t="shared" si="5"/>
        <v>0</v>
      </c>
    </row>
    <row r="52">
      <c r="A52" s="520" t="s">
        <v>345</v>
      </c>
      <c r="B52" s="521">
        <v>8.0</v>
      </c>
      <c r="C52" s="522">
        <v>5.0</v>
      </c>
      <c r="D52" s="523" t="str">
        <f t="shared" ref="D52:E52" si="52">B52/($F$2*0.01)/100</f>
        <v>17.02%</v>
      </c>
      <c r="E52" s="523" t="str">
        <f t="shared" si="52"/>
        <v>10.64%</v>
      </c>
      <c r="J52" s="19"/>
      <c r="K52" s="19"/>
      <c r="L52" s="524" t="str">
        <f t="shared" si="5"/>
        <v>13</v>
      </c>
    </row>
    <row r="53">
      <c r="A53" s="520" t="s">
        <v>346</v>
      </c>
      <c r="B53" s="521">
        <v>1.0</v>
      </c>
      <c r="C53" s="526"/>
      <c r="D53" s="523" t="str">
        <f t="shared" ref="D53:E53" si="53">B53/($F$2*0.01)/100</f>
        <v>2.13%</v>
      </c>
      <c r="E53" s="523" t="str">
        <f t="shared" si="53"/>
        <v>0.00%</v>
      </c>
      <c r="J53" s="19"/>
      <c r="K53" s="19"/>
      <c r="L53" s="524" t="str">
        <f t="shared" si="5"/>
        <v>1</v>
      </c>
    </row>
    <row r="54">
      <c r="A54" s="520" t="s">
        <v>347</v>
      </c>
      <c r="B54" s="521">
        <v>3.0</v>
      </c>
      <c r="C54" s="526"/>
      <c r="D54" s="523" t="str">
        <f t="shared" ref="D54:E54" si="54">B54/($F$2*0.01)/100</f>
        <v>6.38%</v>
      </c>
      <c r="E54" s="523" t="str">
        <f t="shared" si="54"/>
        <v>0.00%</v>
      </c>
      <c r="J54" s="19"/>
      <c r="K54" s="19"/>
      <c r="L54" s="524" t="str">
        <f t="shared" si="5"/>
        <v>3</v>
      </c>
    </row>
    <row r="55">
      <c r="A55" s="520" t="s">
        <v>348</v>
      </c>
      <c r="B55" s="521">
        <v>1.0</v>
      </c>
      <c r="C55" s="526"/>
      <c r="D55" s="523" t="str">
        <f t="shared" ref="D55:E55" si="55">B55/($F$2*0.01)/100</f>
        <v>2.13%</v>
      </c>
      <c r="E55" s="523" t="str">
        <f t="shared" si="55"/>
        <v>0.00%</v>
      </c>
      <c r="J55" s="19"/>
      <c r="K55" s="19"/>
      <c r="L55" s="524" t="str">
        <f t="shared" si="5"/>
        <v>1</v>
      </c>
    </row>
    <row r="56">
      <c r="A56" s="520" t="s">
        <v>349</v>
      </c>
      <c r="B56" s="525"/>
      <c r="C56" s="526"/>
      <c r="D56" s="523" t="str">
        <f t="shared" ref="D56:E56" si="56">B56/($F$2*0.01)/100</f>
        <v>0.00%</v>
      </c>
      <c r="E56" s="523" t="str">
        <f t="shared" si="56"/>
        <v>0.00%</v>
      </c>
      <c r="J56" s="19"/>
      <c r="K56" s="19"/>
      <c r="L56" s="524" t="str">
        <f t="shared" si="5"/>
        <v>0</v>
      </c>
    </row>
    <row r="57">
      <c r="A57" s="520" t="s">
        <v>350</v>
      </c>
      <c r="B57" s="525"/>
      <c r="C57" s="526"/>
      <c r="D57" s="523" t="str">
        <f t="shared" ref="D57:E57" si="57">B57/($F$2*0.01)/100</f>
        <v>0.00%</v>
      </c>
      <c r="E57" s="523" t="str">
        <f t="shared" si="57"/>
        <v>0.00%</v>
      </c>
      <c r="J57" s="19"/>
      <c r="K57" s="19"/>
      <c r="L57" s="524" t="str">
        <f t="shared" si="5"/>
        <v>0</v>
      </c>
    </row>
    <row r="58">
      <c r="A58" s="520" t="s">
        <v>351</v>
      </c>
      <c r="B58" s="521">
        <v>1.0</v>
      </c>
      <c r="C58" s="526"/>
      <c r="D58" s="523" t="str">
        <f t="shared" ref="D58:E58" si="58">B58/($F$2*0.01)/100</f>
        <v>2.13%</v>
      </c>
      <c r="E58" s="523" t="str">
        <f t="shared" si="58"/>
        <v>0.00%</v>
      </c>
      <c r="J58" s="19"/>
      <c r="K58" s="19"/>
      <c r="L58" s="524" t="str">
        <f t="shared" si="5"/>
        <v>1</v>
      </c>
    </row>
    <row r="59">
      <c r="A59" s="520" t="s">
        <v>352</v>
      </c>
      <c r="B59" s="521">
        <v>11.0</v>
      </c>
      <c r="C59" s="522">
        <v>26.0</v>
      </c>
      <c r="D59" s="523" t="str">
        <f t="shared" ref="D59:E59" si="59">B59/($F$2*0.01)/100</f>
        <v>23.40%</v>
      </c>
      <c r="E59" s="528" t="str">
        <f t="shared" si="59"/>
        <v>55.32%</v>
      </c>
      <c r="J59" s="19"/>
      <c r="K59" s="19"/>
      <c r="L59" s="524" t="str">
        <f t="shared" si="5"/>
        <v>37</v>
      </c>
    </row>
    <row r="60">
      <c r="A60" s="520" t="s">
        <v>353</v>
      </c>
      <c r="B60" s="521">
        <v>1.0</v>
      </c>
      <c r="C60" s="522">
        <v>1.0</v>
      </c>
      <c r="D60" s="523" t="str">
        <f t="shared" ref="D60:E60" si="60">B60/($F$2*0.01)/100</f>
        <v>2.13%</v>
      </c>
      <c r="E60" s="523" t="str">
        <f t="shared" si="60"/>
        <v>2.13%</v>
      </c>
      <c r="J60" s="19"/>
      <c r="K60" s="19"/>
      <c r="L60" s="524" t="str">
        <f t="shared" si="5"/>
        <v>2</v>
      </c>
    </row>
    <row r="61">
      <c r="A61" s="520" t="s">
        <v>354</v>
      </c>
      <c r="B61" s="525"/>
      <c r="C61" s="526"/>
      <c r="D61" s="523" t="str">
        <f t="shared" ref="D61:E61" si="61">B61/($F$2*0.01)/100</f>
        <v>0.00%</v>
      </c>
      <c r="E61" s="523" t="str">
        <f t="shared" si="61"/>
        <v>0.00%</v>
      </c>
      <c r="J61" s="19"/>
      <c r="K61" s="19"/>
      <c r="L61" s="524" t="str">
        <f t="shared" si="5"/>
        <v>0</v>
      </c>
    </row>
    <row r="62">
      <c r="A62" s="520" t="s">
        <v>355</v>
      </c>
      <c r="B62" s="521">
        <v>1.0</v>
      </c>
      <c r="C62" s="526"/>
      <c r="D62" s="523" t="str">
        <f t="shared" ref="D62:E62" si="62">B62/($F$2*0.01)/100</f>
        <v>2.13%</v>
      </c>
      <c r="E62" s="523" t="str">
        <f t="shared" si="62"/>
        <v>0.00%</v>
      </c>
      <c r="J62" s="19"/>
      <c r="K62" s="19"/>
      <c r="L62" s="524" t="str">
        <f t="shared" si="5"/>
        <v>1</v>
      </c>
    </row>
    <row r="63">
      <c r="A63" s="520" t="s">
        <v>356</v>
      </c>
      <c r="B63" s="525"/>
      <c r="C63" s="526"/>
      <c r="D63" s="523" t="str">
        <f t="shared" ref="D63:E63" si="63">B63/($F$2*0.01)/100</f>
        <v>0.00%</v>
      </c>
      <c r="E63" s="523" t="str">
        <f t="shared" si="63"/>
        <v>0.00%</v>
      </c>
      <c r="J63" s="19"/>
      <c r="K63" s="19"/>
      <c r="L63" s="524" t="str">
        <f t="shared" si="5"/>
        <v>0</v>
      </c>
    </row>
    <row r="64">
      <c r="A64" s="520" t="s">
        <v>357</v>
      </c>
      <c r="B64" s="525"/>
      <c r="C64" s="526"/>
      <c r="D64" s="523" t="str">
        <f t="shared" ref="D64:E64" si="64">B64/($F$2*0.01)/100</f>
        <v>0.00%</v>
      </c>
      <c r="E64" s="523" t="str">
        <f t="shared" si="64"/>
        <v>0.00%</v>
      </c>
      <c r="J64" s="19"/>
      <c r="K64" s="19"/>
      <c r="L64" s="524" t="str">
        <f t="shared" si="5"/>
        <v>0</v>
      </c>
    </row>
    <row r="65">
      <c r="A65" s="520" t="s">
        <v>358</v>
      </c>
      <c r="B65" s="525"/>
      <c r="C65" s="522">
        <v>1.0</v>
      </c>
      <c r="D65" s="523" t="str">
        <f t="shared" ref="D65:E65" si="65">B65/($F$2*0.01)/100</f>
        <v>0.00%</v>
      </c>
      <c r="E65" s="523" t="str">
        <f t="shared" si="65"/>
        <v>2.13%</v>
      </c>
      <c r="J65" s="19"/>
      <c r="K65" s="19"/>
      <c r="L65" s="524" t="str">
        <f t="shared" si="5"/>
        <v>1</v>
      </c>
    </row>
    <row r="66">
      <c r="A66" s="520" t="s">
        <v>359</v>
      </c>
      <c r="B66" s="525"/>
      <c r="C66" s="526"/>
      <c r="D66" s="523" t="str">
        <f t="shared" ref="D66:E66" si="66">B66/($F$2*0.01)/100</f>
        <v>0.00%</v>
      </c>
      <c r="E66" s="523" t="str">
        <f t="shared" si="66"/>
        <v>0.00%</v>
      </c>
      <c r="J66" s="19"/>
      <c r="K66" s="19"/>
      <c r="L66" s="524" t="str">
        <f t="shared" si="5"/>
        <v>0</v>
      </c>
    </row>
    <row r="67">
      <c r="A67" s="520" t="s">
        <v>360</v>
      </c>
      <c r="B67" s="525"/>
      <c r="C67" s="526"/>
      <c r="D67" s="523" t="str">
        <f t="shared" ref="D67:E67" si="67">B67/($F$2*0.01)/100</f>
        <v>0.00%</v>
      </c>
      <c r="E67" s="523" t="str">
        <f t="shared" si="67"/>
        <v>0.00%</v>
      </c>
      <c r="J67" s="19"/>
      <c r="K67" s="19"/>
      <c r="L67" s="524" t="str">
        <f t="shared" si="5"/>
        <v>0</v>
      </c>
    </row>
    <row r="68">
      <c r="A68" s="520" t="s">
        <v>361</v>
      </c>
      <c r="B68" s="525"/>
      <c r="C68" s="526"/>
      <c r="D68" s="523" t="str">
        <f t="shared" ref="D68:E68" si="68">B68/($F$2*0.01)/100</f>
        <v>0.00%</v>
      </c>
      <c r="E68" s="523" t="str">
        <f t="shared" si="68"/>
        <v>0.00%</v>
      </c>
      <c r="J68" s="19"/>
      <c r="K68" s="19"/>
      <c r="L68" s="524" t="str">
        <f t="shared" si="5"/>
        <v>0</v>
      </c>
    </row>
    <row r="69">
      <c r="A69" s="520" t="s">
        <v>362</v>
      </c>
      <c r="B69" s="521">
        <v>17.0</v>
      </c>
      <c r="C69" s="522">
        <v>14.0</v>
      </c>
      <c r="D69" s="523" t="str">
        <f t="shared" ref="D69:E69" si="69">B69/($F$2*0.01)/100</f>
        <v>36.17%</v>
      </c>
      <c r="E69" s="523" t="str">
        <f t="shared" si="69"/>
        <v>29.79%</v>
      </c>
      <c r="J69" s="19"/>
      <c r="K69" s="19"/>
      <c r="L69" s="524" t="str">
        <f t="shared" si="5"/>
        <v>31</v>
      </c>
    </row>
    <row r="70">
      <c r="A70" s="520" t="s">
        <v>363</v>
      </c>
      <c r="B70" s="521">
        <v>5.0</v>
      </c>
      <c r="C70" s="522">
        <v>1.0</v>
      </c>
      <c r="D70" s="523" t="str">
        <f t="shared" ref="D70:E70" si="70">B70/($F$2*0.01)/100</f>
        <v>10.64%</v>
      </c>
      <c r="E70" s="523" t="str">
        <f t="shared" si="70"/>
        <v>2.13%</v>
      </c>
      <c r="J70" s="19"/>
      <c r="K70" s="19"/>
      <c r="L70" s="524" t="str">
        <f t="shared" si="5"/>
        <v>6</v>
      </c>
    </row>
    <row r="71">
      <c r="A71" s="520" t="s">
        <v>364</v>
      </c>
      <c r="B71" s="525"/>
      <c r="C71" s="526"/>
      <c r="D71" s="523" t="str">
        <f t="shared" ref="D71:E71" si="71">B71/($F$2*0.01)/100</f>
        <v>0.00%</v>
      </c>
      <c r="E71" s="523" t="str">
        <f t="shared" si="71"/>
        <v>0.00%</v>
      </c>
      <c r="J71" s="19"/>
      <c r="K71" s="19"/>
      <c r="L71" s="524" t="str">
        <f t="shared" si="5"/>
        <v>0</v>
      </c>
    </row>
    <row r="72">
      <c r="A72" s="520" t="s">
        <v>365</v>
      </c>
      <c r="B72" s="525"/>
      <c r="C72" s="526"/>
      <c r="D72" s="523" t="str">
        <f t="shared" ref="D72:E72" si="72">B72/($F$2*0.01)/100</f>
        <v>0.00%</v>
      </c>
      <c r="E72" s="523" t="str">
        <f t="shared" si="72"/>
        <v>0.00%</v>
      </c>
      <c r="J72" s="19"/>
      <c r="K72" s="19"/>
      <c r="L72" s="524" t="str">
        <f t="shared" si="5"/>
        <v>0</v>
      </c>
    </row>
    <row r="73">
      <c r="A73" s="520" t="s">
        <v>366</v>
      </c>
      <c r="B73" s="521">
        <v>2.0</v>
      </c>
      <c r="C73" s="522">
        <v>2.0</v>
      </c>
      <c r="D73" s="523" t="str">
        <f t="shared" ref="D73:E73" si="73">B73/($F$2*0.01)/100</f>
        <v>4.26%</v>
      </c>
      <c r="E73" s="523" t="str">
        <f t="shared" si="73"/>
        <v>4.26%</v>
      </c>
      <c r="J73" s="19"/>
      <c r="K73" s="19"/>
      <c r="L73" s="524" t="str">
        <f t="shared" si="5"/>
        <v>4</v>
      </c>
    </row>
    <row r="74">
      <c r="A74" s="520" t="s">
        <v>367</v>
      </c>
      <c r="B74" s="521">
        <v>20.0</v>
      </c>
      <c r="C74" s="522">
        <v>15.0</v>
      </c>
      <c r="D74" s="523" t="str">
        <f t="shared" ref="D74:E74" si="74">B74/($F$2*0.01)/100</f>
        <v>42.55%</v>
      </c>
      <c r="E74" s="523" t="str">
        <f t="shared" si="74"/>
        <v>31.91%</v>
      </c>
      <c r="J74" s="19"/>
      <c r="K74" s="19"/>
      <c r="L74" s="524" t="str">
        <f t="shared" si="5"/>
        <v>35</v>
      </c>
    </row>
    <row r="75">
      <c r="A75" s="520" t="s">
        <v>368</v>
      </c>
      <c r="B75" s="521">
        <v>10.0</v>
      </c>
      <c r="C75" s="522">
        <v>7.0</v>
      </c>
      <c r="D75" s="523" t="str">
        <f t="shared" ref="D75:E75" si="75">B75/($F$2*0.01)/100</f>
        <v>21.28%</v>
      </c>
      <c r="E75" s="523" t="str">
        <f t="shared" si="75"/>
        <v>14.89%</v>
      </c>
      <c r="J75" s="19"/>
      <c r="K75" s="19"/>
      <c r="L75" s="524" t="str">
        <f t="shared" si="5"/>
        <v>17</v>
      </c>
    </row>
    <row r="76">
      <c r="A76" s="520" t="s">
        <v>369</v>
      </c>
      <c r="B76" s="525"/>
      <c r="C76" s="526"/>
      <c r="D76" s="523" t="str">
        <f t="shared" ref="D76:E76" si="76">B76/($F$2*0.01)/100</f>
        <v>0.00%</v>
      </c>
      <c r="E76" s="523" t="str">
        <f t="shared" si="76"/>
        <v>0.00%</v>
      </c>
      <c r="J76" s="19"/>
      <c r="K76" s="19"/>
      <c r="L76" s="524" t="str">
        <f t="shared" si="5"/>
        <v>0</v>
      </c>
    </row>
    <row r="77">
      <c r="A77" s="520" t="s">
        <v>370</v>
      </c>
      <c r="B77" s="521">
        <v>17.0</v>
      </c>
      <c r="C77" s="522">
        <v>7.0</v>
      </c>
      <c r="D77" s="523" t="str">
        <f t="shared" ref="D77:E77" si="77">B77/($F$2*0.01)/100</f>
        <v>36.17%</v>
      </c>
      <c r="E77" s="523" t="str">
        <f t="shared" si="77"/>
        <v>14.89%</v>
      </c>
      <c r="J77" s="19"/>
      <c r="K77" s="19"/>
      <c r="L77" s="524" t="str">
        <f t="shared" si="5"/>
        <v>24</v>
      </c>
    </row>
    <row r="78">
      <c r="A78" s="520" t="s">
        <v>371</v>
      </c>
      <c r="B78" s="521">
        <v>5.0</v>
      </c>
      <c r="C78" s="522">
        <v>4.0</v>
      </c>
      <c r="D78" s="523" t="str">
        <f t="shared" ref="D78:E78" si="78">B78/($F$2*0.01)/100</f>
        <v>10.64%</v>
      </c>
      <c r="E78" s="523" t="str">
        <f t="shared" si="78"/>
        <v>8.51%</v>
      </c>
      <c r="J78" s="19"/>
      <c r="K78" s="19"/>
      <c r="L78" s="524" t="str">
        <f t="shared" si="5"/>
        <v>9</v>
      </c>
    </row>
    <row r="79">
      <c r="A79" s="520" t="s">
        <v>372</v>
      </c>
      <c r="B79" s="525"/>
      <c r="C79" s="526"/>
      <c r="D79" s="523" t="str">
        <f t="shared" ref="D79:E79" si="79">B79/($F$2*0.01)/100</f>
        <v>0.00%</v>
      </c>
      <c r="E79" s="523" t="str">
        <f t="shared" si="79"/>
        <v>0.00%</v>
      </c>
      <c r="J79" s="19"/>
      <c r="K79" s="19"/>
      <c r="L79" s="524" t="str">
        <f t="shared" si="5"/>
        <v>0</v>
      </c>
    </row>
    <row r="80">
      <c r="A80" s="520" t="s">
        <v>373</v>
      </c>
      <c r="B80" s="521">
        <v>17.0</v>
      </c>
      <c r="C80" s="522">
        <v>16.0</v>
      </c>
      <c r="D80" s="523" t="str">
        <f t="shared" ref="D80:E80" si="80">B80/($F$2*0.01)/100</f>
        <v>36.17%</v>
      </c>
      <c r="E80" s="523" t="str">
        <f t="shared" si="80"/>
        <v>34.04%</v>
      </c>
      <c r="J80" s="19"/>
      <c r="K80" s="19"/>
      <c r="L80" s="524" t="str">
        <f t="shared" si="5"/>
        <v>33</v>
      </c>
    </row>
    <row r="81">
      <c r="A81" s="520" t="s">
        <v>374</v>
      </c>
      <c r="B81" s="521">
        <v>2.0</v>
      </c>
      <c r="C81" s="526"/>
      <c r="D81" s="523" t="str">
        <f t="shared" ref="D81:E81" si="81">B81/($F$2*0.01)/100</f>
        <v>4.26%</v>
      </c>
      <c r="E81" s="523" t="str">
        <f t="shared" si="81"/>
        <v>0.00%</v>
      </c>
      <c r="J81" s="19"/>
      <c r="K81" s="19"/>
      <c r="L81" s="524" t="str">
        <f t="shared" si="5"/>
        <v>2</v>
      </c>
    </row>
    <row r="82">
      <c r="A82" s="520" t="s">
        <v>375</v>
      </c>
      <c r="B82" s="521">
        <v>6.0</v>
      </c>
      <c r="C82" s="522">
        <v>5.0</v>
      </c>
      <c r="D82" s="523" t="str">
        <f t="shared" ref="D82:E82" si="82">B82/($F$2*0.01)/100</f>
        <v>12.77%</v>
      </c>
      <c r="E82" s="523" t="str">
        <f t="shared" si="82"/>
        <v>10.64%</v>
      </c>
      <c r="J82" s="19"/>
      <c r="K82" s="19"/>
      <c r="L82" s="524" t="str">
        <f t="shared" si="5"/>
        <v>11</v>
      </c>
    </row>
    <row r="83">
      <c r="A83" s="520" t="s">
        <v>376</v>
      </c>
      <c r="B83" s="521">
        <v>3.0</v>
      </c>
      <c r="C83" s="522">
        <v>1.0</v>
      </c>
      <c r="D83" s="523" t="str">
        <f t="shared" ref="D83:E83" si="83">B83/($F$2*0.01)/100</f>
        <v>6.38%</v>
      </c>
      <c r="E83" s="523" t="str">
        <f t="shared" si="83"/>
        <v>2.13%</v>
      </c>
      <c r="J83" s="19"/>
      <c r="K83" s="19"/>
      <c r="L83" s="524" t="str">
        <f t="shared" si="5"/>
        <v>4</v>
      </c>
    </row>
    <row r="84">
      <c r="A84" s="520" t="s">
        <v>377</v>
      </c>
      <c r="B84" s="525"/>
      <c r="C84" s="522">
        <v>1.0</v>
      </c>
      <c r="D84" s="523" t="str">
        <f t="shared" ref="D84:E84" si="84">B84/($F$2*0.01)/100</f>
        <v>0.00%</v>
      </c>
      <c r="E84" s="523" t="str">
        <f t="shared" si="84"/>
        <v>2.13%</v>
      </c>
      <c r="J84" s="19"/>
      <c r="K84" s="19"/>
      <c r="L84" s="524" t="str">
        <f t="shared" si="5"/>
        <v>1</v>
      </c>
    </row>
    <row r="85">
      <c r="A85" s="520" t="s">
        <v>378</v>
      </c>
      <c r="B85" s="521">
        <v>2.0</v>
      </c>
      <c r="C85" s="526"/>
      <c r="D85" s="523" t="str">
        <f t="shared" ref="D85:E85" si="85">B85/($F$2*0.01)/100</f>
        <v>4.26%</v>
      </c>
      <c r="E85" s="523" t="str">
        <f t="shared" si="85"/>
        <v>0.00%</v>
      </c>
      <c r="J85" s="19"/>
      <c r="K85" s="19"/>
      <c r="L85" s="524" t="str">
        <f t="shared" si="5"/>
        <v>2</v>
      </c>
    </row>
    <row r="86">
      <c r="A86" s="520" t="s">
        <v>379</v>
      </c>
      <c r="B86" s="521">
        <v>2.0</v>
      </c>
      <c r="C86" s="526"/>
      <c r="D86" s="523" t="str">
        <f t="shared" ref="D86:E86" si="86">B86/($F$2*0.01)/100</f>
        <v>4.26%</v>
      </c>
      <c r="E86" s="523" t="str">
        <f t="shared" si="86"/>
        <v>0.00%</v>
      </c>
      <c r="J86" s="19"/>
      <c r="K86" s="19"/>
      <c r="L86" s="524" t="str">
        <f t="shared" si="5"/>
        <v>2</v>
      </c>
    </row>
    <row r="87">
      <c r="A87" s="520" t="s">
        <v>380</v>
      </c>
      <c r="B87" s="521">
        <v>1.0</v>
      </c>
      <c r="C87" s="522">
        <v>1.0</v>
      </c>
      <c r="D87" s="523" t="str">
        <f t="shared" ref="D87:E87" si="87">B87/($F$2*0.01)/100</f>
        <v>2.13%</v>
      </c>
      <c r="E87" s="523" t="str">
        <f t="shared" si="87"/>
        <v>2.13%</v>
      </c>
      <c r="J87" s="19"/>
      <c r="K87" s="19"/>
      <c r="L87" s="524" t="str">
        <f t="shared" si="5"/>
        <v>2</v>
      </c>
    </row>
    <row r="88">
      <c r="A88" s="520" t="s">
        <v>381</v>
      </c>
      <c r="B88" s="521">
        <v>11.0</v>
      </c>
      <c r="C88" s="522">
        <v>5.0</v>
      </c>
      <c r="D88" s="523" t="str">
        <f t="shared" ref="D88:E88" si="88">B88/($F$2*0.01)/100</f>
        <v>23.40%</v>
      </c>
      <c r="E88" s="523" t="str">
        <f t="shared" si="88"/>
        <v>10.64%</v>
      </c>
      <c r="J88" s="19"/>
      <c r="K88" s="19"/>
      <c r="L88" s="524" t="str">
        <f t="shared" si="5"/>
        <v>16</v>
      </c>
    </row>
    <row r="89">
      <c r="A89" s="520" t="s">
        <v>382</v>
      </c>
      <c r="B89" s="521">
        <v>18.0</v>
      </c>
      <c r="C89" s="522">
        <v>13.0</v>
      </c>
      <c r="D89" s="523" t="str">
        <f t="shared" ref="D89:E89" si="89">B89/($F$2*0.01)/100</f>
        <v>38.30%</v>
      </c>
      <c r="E89" s="523" t="str">
        <f t="shared" si="89"/>
        <v>27.66%</v>
      </c>
      <c r="J89" s="19"/>
      <c r="K89" s="19"/>
      <c r="L89" s="524" t="str">
        <f t="shared" si="5"/>
        <v>31</v>
      </c>
    </row>
    <row r="90">
      <c r="A90" s="520" t="s">
        <v>383</v>
      </c>
      <c r="B90" s="521">
        <v>1.0</v>
      </c>
      <c r="C90" s="526"/>
      <c r="D90" s="523" t="str">
        <f t="shared" ref="D90:E90" si="90">B90/($F$2*0.01)/100</f>
        <v>2.13%</v>
      </c>
      <c r="E90" s="523" t="str">
        <f t="shared" si="90"/>
        <v>0.00%</v>
      </c>
      <c r="J90" s="19"/>
      <c r="K90" s="19"/>
      <c r="L90" s="524" t="str">
        <f t="shared" si="5"/>
        <v>1</v>
      </c>
    </row>
    <row r="91">
      <c r="A91" s="520" t="s">
        <v>384</v>
      </c>
      <c r="B91" s="521">
        <v>1.0</v>
      </c>
      <c r="C91" s="522">
        <v>13.0</v>
      </c>
      <c r="D91" s="523" t="str">
        <f t="shared" ref="D91:E91" si="91">B91/($F$2*0.01)/100</f>
        <v>2.13%</v>
      </c>
      <c r="E91" s="523" t="str">
        <f t="shared" si="91"/>
        <v>27.66%</v>
      </c>
      <c r="J91" s="19"/>
      <c r="K91" s="19"/>
      <c r="L91" s="524" t="str">
        <f t="shared" si="5"/>
        <v>14</v>
      </c>
    </row>
    <row r="92">
      <c r="A92" s="520" t="s">
        <v>385</v>
      </c>
      <c r="B92" s="521">
        <v>7.0</v>
      </c>
      <c r="C92" s="522">
        <v>8.0</v>
      </c>
      <c r="D92" s="523" t="str">
        <f t="shared" ref="D92:E92" si="92">B92/($F$2*0.01)/100</f>
        <v>14.89%</v>
      </c>
      <c r="E92" s="523" t="str">
        <f t="shared" si="92"/>
        <v>17.02%</v>
      </c>
      <c r="J92" s="19"/>
      <c r="K92" s="19"/>
      <c r="L92" s="524" t="str">
        <f t="shared" si="5"/>
        <v>15</v>
      </c>
    </row>
    <row r="93">
      <c r="A93" s="520" t="s">
        <v>386</v>
      </c>
      <c r="B93" s="525"/>
      <c r="C93" s="526"/>
      <c r="D93" s="523" t="str">
        <f t="shared" ref="D93:E93" si="93">B93/($F$2*0.01)/100</f>
        <v>0.00%</v>
      </c>
      <c r="E93" s="523" t="str">
        <f t="shared" si="93"/>
        <v>0.00%</v>
      </c>
      <c r="J93" s="19"/>
      <c r="K93" s="19"/>
      <c r="L93" s="524" t="str">
        <f t="shared" si="5"/>
        <v>0</v>
      </c>
    </row>
    <row r="94">
      <c r="A94" s="520" t="s">
        <v>387</v>
      </c>
      <c r="B94" s="525"/>
      <c r="C94" s="526"/>
      <c r="D94" s="523" t="str">
        <f t="shared" ref="D94:E94" si="94">B94/($F$2*0.01)/100</f>
        <v>0.00%</v>
      </c>
      <c r="E94" s="523" t="str">
        <f t="shared" si="94"/>
        <v>0.00%</v>
      </c>
      <c r="J94" s="19"/>
      <c r="K94" s="19"/>
      <c r="L94" s="524" t="str">
        <f t="shared" si="5"/>
        <v>0</v>
      </c>
    </row>
    <row r="95">
      <c r="A95" s="520" t="s">
        <v>388</v>
      </c>
      <c r="B95" s="521">
        <v>1.0</v>
      </c>
      <c r="C95" s="526"/>
      <c r="D95" s="523" t="str">
        <f t="shared" ref="D95:E95" si="95">B95/($F$2*0.01)/100</f>
        <v>2.13%</v>
      </c>
      <c r="E95" s="523" t="str">
        <f t="shared" si="95"/>
        <v>0.00%</v>
      </c>
      <c r="J95" s="19"/>
      <c r="K95" s="19"/>
      <c r="L95" s="524" t="str">
        <f t="shared" si="5"/>
        <v>1</v>
      </c>
    </row>
    <row r="96">
      <c r="A96" s="520" t="s">
        <v>389</v>
      </c>
      <c r="B96" s="525"/>
      <c r="C96" s="526"/>
      <c r="D96" s="523" t="str">
        <f t="shared" ref="D96:E96" si="96">B96/($F$2*0.01)/100</f>
        <v>0.00%</v>
      </c>
      <c r="E96" s="523" t="str">
        <f t="shared" si="96"/>
        <v>0.00%</v>
      </c>
      <c r="J96" s="19"/>
      <c r="K96" s="19"/>
      <c r="L96" s="524" t="str">
        <f t="shared" si="5"/>
        <v>0</v>
      </c>
    </row>
    <row r="97">
      <c r="A97" s="520" t="s">
        <v>390</v>
      </c>
      <c r="B97" s="525"/>
      <c r="C97" s="526"/>
      <c r="D97" s="523" t="str">
        <f t="shared" ref="D97:E97" si="97">B97/($F$2*0.01)/100</f>
        <v>0.00%</v>
      </c>
      <c r="E97" s="523" t="str">
        <f t="shared" si="97"/>
        <v>0.00%</v>
      </c>
      <c r="J97" s="19"/>
      <c r="K97" s="19"/>
      <c r="L97" s="524" t="str">
        <f t="shared" si="5"/>
        <v>0</v>
      </c>
    </row>
    <row r="98">
      <c r="A98" s="520" t="s">
        <v>391</v>
      </c>
      <c r="B98" s="521">
        <v>1.0</v>
      </c>
      <c r="C98" s="526"/>
      <c r="D98" s="523" t="str">
        <f t="shared" ref="D98:E98" si="98">B98/($F$2*0.01)/100</f>
        <v>2.13%</v>
      </c>
      <c r="E98" s="523" t="str">
        <f t="shared" si="98"/>
        <v>0.00%</v>
      </c>
      <c r="J98" s="19"/>
      <c r="K98" s="19"/>
      <c r="L98" s="524" t="str">
        <f t="shared" si="5"/>
        <v>1</v>
      </c>
    </row>
    <row r="99">
      <c r="A99" s="520" t="s">
        <v>392</v>
      </c>
      <c r="B99" s="525"/>
      <c r="C99" s="526"/>
      <c r="D99" s="523" t="str">
        <f t="shared" ref="D99:E99" si="99">B99/($F$2*0.01)/100</f>
        <v>0.00%</v>
      </c>
      <c r="E99" s="523" t="str">
        <f t="shared" si="99"/>
        <v>0.00%</v>
      </c>
      <c r="J99" s="19"/>
      <c r="K99" s="19"/>
      <c r="L99" s="524" t="str">
        <f t="shared" si="5"/>
        <v>0</v>
      </c>
    </row>
    <row r="100">
      <c r="A100" s="520" t="s">
        <v>393</v>
      </c>
      <c r="B100" s="521">
        <v>19.0</v>
      </c>
      <c r="C100" s="522">
        <v>20.0</v>
      </c>
      <c r="D100" s="523" t="str">
        <f t="shared" ref="D100:E100" si="100">B100/($F$2*0.01)/100</f>
        <v>40.43%</v>
      </c>
      <c r="E100" s="523" t="str">
        <f t="shared" si="100"/>
        <v>42.55%</v>
      </c>
      <c r="J100" s="19"/>
      <c r="K100" s="19"/>
      <c r="L100" s="524" t="str">
        <f t="shared" si="5"/>
        <v>39</v>
      </c>
    </row>
    <row r="101">
      <c r="A101" s="520" t="s">
        <v>394</v>
      </c>
      <c r="B101" s="521">
        <v>7.0</v>
      </c>
      <c r="C101" s="522">
        <v>18.0</v>
      </c>
      <c r="D101" s="523" t="str">
        <f t="shared" ref="D101:E101" si="101">B101/($F$2*0.01)/100</f>
        <v>14.89%</v>
      </c>
      <c r="E101" s="523" t="str">
        <f t="shared" si="101"/>
        <v>38.30%</v>
      </c>
      <c r="J101" s="19"/>
      <c r="K101" s="19"/>
      <c r="L101" s="524" t="str">
        <f t="shared" si="5"/>
        <v>25</v>
      </c>
    </row>
    <row r="102">
      <c r="A102" s="520" t="s">
        <v>395</v>
      </c>
      <c r="B102" s="525"/>
      <c r="C102" s="526"/>
      <c r="D102" s="523" t="str">
        <f t="shared" ref="D102:E102" si="102">B102/($F$2*0.01)/100</f>
        <v>0.00%</v>
      </c>
      <c r="E102" s="523" t="str">
        <f t="shared" si="102"/>
        <v>0.00%</v>
      </c>
      <c r="J102" s="19"/>
      <c r="K102" s="19"/>
      <c r="L102" s="524" t="str">
        <f t="shared" si="5"/>
        <v>0</v>
      </c>
    </row>
    <row r="103">
      <c r="A103" s="520" t="s">
        <v>396</v>
      </c>
      <c r="B103" s="525"/>
      <c r="C103" s="522">
        <v>1.0</v>
      </c>
      <c r="D103" s="523" t="str">
        <f t="shared" ref="D103:E103" si="103">B103/($F$2*0.01)/100</f>
        <v>0.00%</v>
      </c>
      <c r="E103" s="523" t="str">
        <f t="shared" si="103"/>
        <v>2.13%</v>
      </c>
      <c r="J103" s="19"/>
      <c r="K103" s="19"/>
      <c r="L103" s="524" t="str">
        <f t="shared" si="5"/>
        <v>1</v>
      </c>
    </row>
    <row r="104">
      <c r="A104" s="520" t="s">
        <v>397</v>
      </c>
      <c r="B104" s="525"/>
      <c r="C104" s="526"/>
      <c r="D104" s="523" t="str">
        <f t="shared" ref="D104:E104" si="104">B104/($F$2*0.01)/100</f>
        <v>0.00%</v>
      </c>
      <c r="E104" s="523" t="str">
        <f t="shared" si="104"/>
        <v>0.00%</v>
      </c>
      <c r="J104" s="19"/>
      <c r="K104" s="19"/>
      <c r="L104" s="524" t="str">
        <f t="shared" si="5"/>
        <v>0</v>
      </c>
    </row>
    <row r="105">
      <c r="A105" s="520" t="s">
        <v>398</v>
      </c>
      <c r="B105" s="521">
        <v>1.0</v>
      </c>
      <c r="C105" s="522">
        <v>5.0</v>
      </c>
      <c r="D105" s="523" t="str">
        <f t="shared" ref="D105:E105" si="105">B105/($F$2*0.01)/100</f>
        <v>2.13%</v>
      </c>
      <c r="E105" s="523" t="str">
        <f t="shared" si="105"/>
        <v>10.64%</v>
      </c>
      <c r="J105" s="19"/>
      <c r="K105" s="19"/>
      <c r="L105" s="524" t="str">
        <f t="shared" si="5"/>
        <v>6</v>
      </c>
    </row>
    <row r="106">
      <c r="A106" s="520" t="s">
        <v>399</v>
      </c>
      <c r="B106" s="521">
        <v>7.0</v>
      </c>
      <c r="C106" s="522">
        <v>5.0</v>
      </c>
      <c r="D106" s="523" t="str">
        <f t="shared" ref="D106:E106" si="106">B106/($F$2*0.01)/100</f>
        <v>14.89%</v>
      </c>
      <c r="E106" s="523" t="str">
        <f t="shared" si="106"/>
        <v>10.64%</v>
      </c>
      <c r="J106" s="19"/>
      <c r="K106" s="19"/>
      <c r="L106" s="524" t="str">
        <f t="shared" si="5"/>
        <v>12</v>
      </c>
    </row>
    <row r="107">
      <c r="A107" s="520" t="s">
        <v>400</v>
      </c>
      <c r="B107" s="525"/>
      <c r="C107" s="526"/>
      <c r="D107" s="523" t="str">
        <f t="shared" ref="D107:E107" si="107">B107/($F$2*0.01)/100</f>
        <v>0.00%</v>
      </c>
      <c r="E107" s="523" t="str">
        <f t="shared" si="107"/>
        <v>0.00%</v>
      </c>
      <c r="J107" s="19"/>
      <c r="K107" s="19"/>
      <c r="L107" s="524" t="str">
        <f t="shared" si="5"/>
        <v>0</v>
      </c>
    </row>
    <row r="108">
      <c r="A108" s="520" t="s">
        <v>401</v>
      </c>
      <c r="B108" s="525"/>
      <c r="C108" s="526"/>
      <c r="D108" s="523" t="str">
        <f t="shared" ref="D108:E108" si="108">B108/($F$2*0.01)/100</f>
        <v>0.00%</v>
      </c>
      <c r="E108" s="523" t="str">
        <f t="shared" si="108"/>
        <v>0.00%</v>
      </c>
      <c r="J108" s="19"/>
      <c r="K108" s="19"/>
      <c r="L108" s="524" t="str">
        <f t="shared" si="5"/>
        <v>0</v>
      </c>
    </row>
    <row r="109">
      <c r="A109" s="520" t="s">
        <v>402</v>
      </c>
      <c r="B109" s="521">
        <v>2.0</v>
      </c>
      <c r="C109" s="522">
        <v>1.0</v>
      </c>
      <c r="D109" s="523" t="str">
        <f t="shared" ref="D109:E109" si="109">B109/($F$2*0.01)/100</f>
        <v>4.26%</v>
      </c>
      <c r="E109" s="523" t="str">
        <f t="shared" si="109"/>
        <v>2.13%</v>
      </c>
      <c r="J109" s="19"/>
      <c r="K109" s="19"/>
      <c r="L109" s="524" t="str">
        <f t="shared" si="5"/>
        <v>3</v>
      </c>
    </row>
    <row r="110">
      <c r="A110" s="520" t="s">
        <v>403</v>
      </c>
      <c r="B110" s="521">
        <v>18.0</v>
      </c>
      <c r="C110" s="522">
        <v>18.0</v>
      </c>
      <c r="D110" s="523" t="str">
        <f t="shared" ref="D110:E110" si="110">B110/($F$2*0.01)/100</f>
        <v>38.30%</v>
      </c>
      <c r="E110" s="523" t="str">
        <f t="shared" si="110"/>
        <v>38.30%</v>
      </c>
      <c r="J110" s="19"/>
      <c r="K110" s="19"/>
      <c r="L110" s="524" t="str">
        <f t="shared" si="5"/>
        <v>36</v>
      </c>
    </row>
    <row r="111">
      <c r="A111" s="520" t="s">
        <v>404</v>
      </c>
      <c r="B111" s="521">
        <v>12.0</v>
      </c>
      <c r="C111" s="522">
        <v>3.0</v>
      </c>
      <c r="D111" s="523" t="str">
        <f t="shared" ref="D111:E111" si="111">B111/($F$2*0.01)/100</f>
        <v>25.53%</v>
      </c>
      <c r="E111" s="523" t="str">
        <f t="shared" si="111"/>
        <v>6.38%</v>
      </c>
      <c r="J111" s="19"/>
      <c r="K111" s="19"/>
      <c r="L111" s="524" t="str">
        <f t="shared" si="5"/>
        <v>15</v>
      </c>
    </row>
    <row r="112">
      <c r="A112" s="520" t="s">
        <v>405</v>
      </c>
      <c r="B112" s="521">
        <v>1.0</v>
      </c>
      <c r="C112" s="526"/>
      <c r="D112" s="523" t="str">
        <f t="shared" ref="D112:E112" si="112">B112/($F$2*0.01)/100</f>
        <v>2.13%</v>
      </c>
      <c r="E112" s="523" t="str">
        <f t="shared" si="112"/>
        <v>0.00%</v>
      </c>
      <c r="J112" s="19"/>
      <c r="K112" s="19"/>
      <c r="L112" s="524" t="str">
        <f t="shared" si="5"/>
        <v>1</v>
      </c>
    </row>
    <row r="113">
      <c r="A113" s="531" t="s">
        <v>406</v>
      </c>
      <c r="B113" s="532">
        <v>4.0</v>
      </c>
      <c r="C113" s="533"/>
      <c r="D113" s="534" t="str">
        <f t="shared" ref="D113:E113" si="113">B113/($F$2*0.01)/100</f>
        <v>8.51%</v>
      </c>
      <c r="E113" s="534" t="str">
        <f t="shared" si="113"/>
        <v>0.00%</v>
      </c>
      <c r="F113" s="137"/>
      <c r="G113" s="137"/>
      <c r="H113" s="137"/>
      <c r="I113" s="137"/>
      <c r="J113" s="139"/>
      <c r="K113" s="139"/>
      <c r="L113" s="535" t="str">
        <f t="shared" si="5"/>
        <v>4</v>
      </c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</row>
    <row r="114">
      <c r="A114" s="536"/>
      <c r="B114" s="525"/>
      <c r="C114" s="526"/>
      <c r="D114" s="537"/>
      <c r="J114" s="19"/>
      <c r="K114" s="19"/>
      <c r="L114" s="229"/>
    </row>
    <row r="115">
      <c r="A115" s="536"/>
      <c r="B115" s="525"/>
      <c r="C115" s="526"/>
      <c r="D115" s="537"/>
      <c r="J115" s="19"/>
      <c r="K115" s="19"/>
      <c r="L115" s="229"/>
    </row>
    <row r="116">
      <c r="A116" s="536"/>
      <c r="B116" s="525"/>
      <c r="C116" s="526"/>
      <c r="D116" s="537"/>
      <c r="J116" s="19"/>
      <c r="K116" s="19"/>
      <c r="L116" s="229"/>
    </row>
    <row r="117">
      <c r="A117" s="536"/>
      <c r="B117" s="525"/>
      <c r="C117" s="526"/>
      <c r="D117" s="537"/>
      <c r="J117" s="19"/>
      <c r="K117" s="19"/>
      <c r="L117" s="229"/>
    </row>
    <row r="118">
      <c r="A118" s="536"/>
      <c r="B118" s="525"/>
      <c r="C118" s="526"/>
      <c r="D118" s="537"/>
      <c r="J118" s="19"/>
      <c r="K118" s="19"/>
      <c r="L118" s="229"/>
    </row>
    <row r="119">
      <c r="A119" s="536"/>
      <c r="B119" s="525"/>
      <c r="C119" s="526"/>
      <c r="D119" s="537"/>
      <c r="J119" s="19"/>
      <c r="K119" s="19"/>
      <c r="L119" s="229"/>
    </row>
    <row r="120">
      <c r="A120" s="536"/>
      <c r="B120" s="525"/>
      <c r="C120" s="526"/>
      <c r="D120" s="537"/>
      <c r="J120" s="19"/>
      <c r="K120" s="19"/>
      <c r="L120" s="229"/>
    </row>
    <row r="121">
      <c r="A121" s="536"/>
      <c r="B121" s="525"/>
      <c r="C121" s="526"/>
      <c r="D121" s="537"/>
      <c r="J121" s="19"/>
      <c r="K121" s="19"/>
      <c r="L121" s="229"/>
    </row>
    <row r="122">
      <c r="A122" s="536"/>
      <c r="B122" s="525"/>
      <c r="C122" s="526"/>
      <c r="D122" s="537"/>
      <c r="J122" s="19"/>
      <c r="K122" s="19"/>
      <c r="L122" s="229"/>
    </row>
    <row r="123">
      <c r="A123" s="536"/>
      <c r="B123" s="525"/>
      <c r="C123" s="526"/>
      <c r="D123" s="537"/>
      <c r="J123" s="19"/>
      <c r="K123" s="19"/>
      <c r="L123" s="229"/>
    </row>
    <row r="124">
      <c r="A124" s="536"/>
      <c r="B124" s="525"/>
      <c r="C124" s="526"/>
      <c r="D124" s="537"/>
      <c r="J124" s="19"/>
      <c r="K124" s="19"/>
      <c r="L124" s="229"/>
    </row>
    <row r="125">
      <c r="A125" s="536"/>
      <c r="B125" s="525"/>
      <c r="C125" s="526"/>
      <c r="D125" s="537"/>
      <c r="J125" s="19"/>
      <c r="K125" s="19"/>
      <c r="L125" s="229"/>
    </row>
    <row r="126">
      <c r="A126" s="536"/>
      <c r="B126" s="525"/>
      <c r="C126" s="526"/>
      <c r="D126" s="537"/>
      <c r="J126" s="19"/>
      <c r="K126" s="19"/>
      <c r="L126" s="229"/>
    </row>
    <row r="127">
      <c r="A127" s="536"/>
      <c r="B127" s="525"/>
      <c r="C127" s="526"/>
      <c r="D127" s="537"/>
      <c r="J127" s="19"/>
      <c r="K127" s="19"/>
      <c r="L127" s="229"/>
    </row>
    <row r="128">
      <c r="A128" s="536"/>
      <c r="B128" s="525"/>
      <c r="C128" s="526"/>
      <c r="D128" s="537"/>
      <c r="J128" s="19"/>
      <c r="K128" s="19"/>
      <c r="L128" s="229"/>
    </row>
    <row r="129">
      <c r="A129" s="536"/>
      <c r="B129" s="525"/>
      <c r="C129" s="526"/>
      <c r="D129" s="537"/>
      <c r="J129" s="19"/>
      <c r="K129" s="19"/>
      <c r="L129" s="229"/>
    </row>
    <row r="130">
      <c r="A130" s="536"/>
      <c r="B130" s="525"/>
      <c r="C130" s="526"/>
      <c r="D130" s="537"/>
      <c r="J130" s="19"/>
      <c r="K130" s="19"/>
      <c r="L130" s="229"/>
    </row>
    <row r="131">
      <c r="A131" s="536"/>
      <c r="B131" s="525"/>
      <c r="C131" s="526"/>
      <c r="D131" s="537"/>
      <c r="J131" s="19"/>
      <c r="K131" s="19"/>
      <c r="L131" s="229"/>
    </row>
    <row r="132">
      <c r="A132" s="536"/>
      <c r="B132" s="525"/>
      <c r="C132" s="526"/>
      <c r="D132" s="537"/>
      <c r="J132" s="19"/>
      <c r="K132" s="19"/>
      <c r="L132" s="229"/>
    </row>
    <row r="133">
      <c r="A133" s="536"/>
      <c r="B133" s="525"/>
      <c r="C133" s="526"/>
      <c r="D133" s="537"/>
      <c r="J133" s="19"/>
      <c r="K133" s="19"/>
      <c r="L133" s="229"/>
    </row>
    <row r="134">
      <c r="A134" s="536"/>
      <c r="B134" s="525"/>
      <c r="C134" s="526"/>
      <c r="D134" s="537"/>
      <c r="J134" s="19"/>
      <c r="K134" s="19"/>
      <c r="L134" s="229"/>
    </row>
    <row r="135">
      <c r="A135" s="536"/>
      <c r="B135" s="525"/>
      <c r="C135" s="526"/>
      <c r="D135" s="537"/>
      <c r="J135" s="19"/>
      <c r="K135" s="19"/>
      <c r="L135" s="229"/>
    </row>
    <row r="136">
      <c r="A136" s="536"/>
      <c r="B136" s="525"/>
      <c r="C136" s="526"/>
      <c r="D136" s="537"/>
      <c r="J136" s="19"/>
      <c r="K136" s="19"/>
      <c r="L136" s="229"/>
    </row>
    <row r="137">
      <c r="A137" s="536"/>
      <c r="B137" s="525"/>
      <c r="C137" s="526"/>
      <c r="D137" s="537"/>
      <c r="J137" s="19"/>
      <c r="K137" s="19"/>
      <c r="L137" s="229"/>
    </row>
    <row r="138">
      <c r="A138" s="536"/>
      <c r="B138" s="525"/>
      <c r="C138" s="526"/>
      <c r="D138" s="537"/>
      <c r="J138" s="19"/>
      <c r="K138" s="19"/>
      <c r="L138" s="229"/>
    </row>
    <row r="139">
      <c r="A139" s="536"/>
      <c r="B139" s="525"/>
      <c r="C139" s="526"/>
      <c r="D139" s="537"/>
      <c r="J139" s="19"/>
      <c r="K139" s="19"/>
      <c r="L139" s="229"/>
    </row>
    <row r="140">
      <c r="A140" s="536"/>
      <c r="B140" s="525"/>
      <c r="C140" s="526"/>
      <c r="D140" s="537"/>
      <c r="J140" s="19"/>
      <c r="K140" s="19"/>
      <c r="L140" s="229"/>
    </row>
    <row r="141">
      <c r="A141" s="536"/>
      <c r="B141" s="525"/>
      <c r="C141" s="526"/>
      <c r="D141" s="537"/>
      <c r="J141" s="19"/>
      <c r="K141" s="19"/>
      <c r="L141" s="229"/>
    </row>
    <row r="142">
      <c r="A142" s="536"/>
      <c r="B142" s="525"/>
      <c r="C142" s="526"/>
      <c r="D142" s="537"/>
      <c r="J142" s="19"/>
      <c r="K142" s="19"/>
      <c r="L142" s="229"/>
    </row>
    <row r="143">
      <c r="A143" s="536"/>
      <c r="B143" s="525"/>
      <c r="C143" s="526"/>
      <c r="D143" s="537"/>
      <c r="J143" s="19"/>
      <c r="K143" s="19"/>
      <c r="L143" s="229"/>
    </row>
    <row r="144">
      <c r="A144" s="536"/>
      <c r="B144" s="525"/>
      <c r="C144" s="526"/>
      <c r="D144" s="537"/>
      <c r="J144" s="19"/>
      <c r="K144" s="19"/>
      <c r="L144" s="229"/>
    </row>
    <row r="145">
      <c r="A145" s="536"/>
      <c r="B145" s="525"/>
      <c r="C145" s="526"/>
      <c r="D145" s="537"/>
      <c r="J145" s="19"/>
      <c r="K145" s="19"/>
      <c r="L145" s="229"/>
    </row>
    <row r="146">
      <c r="A146" s="536"/>
      <c r="B146" s="525"/>
      <c r="C146" s="526"/>
      <c r="D146" s="537"/>
      <c r="J146" s="19"/>
      <c r="K146" s="19"/>
      <c r="L146" s="229"/>
    </row>
    <row r="147">
      <c r="A147" s="536"/>
      <c r="B147" s="525"/>
      <c r="C147" s="526"/>
      <c r="D147" s="537"/>
      <c r="J147" s="19"/>
      <c r="K147" s="19"/>
      <c r="L147" s="229"/>
    </row>
    <row r="148">
      <c r="A148" s="536"/>
      <c r="B148" s="525"/>
      <c r="C148" s="526"/>
      <c r="D148" s="537"/>
      <c r="J148" s="19"/>
      <c r="K148" s="19"/>
      <c r="L148" s="229"/>
    </row>
    <row r="149">
      <c r="A149" s="536"/>
      <c r="B149" s="525"/>
      <c r="C149" s="526"/>
      <c r="D149" s="537"/>
      <c r="J149" s="19"/>
      <c r="K149" s="19"/>
      <c r="L149" s="229"/>
    </row>
    <row r="150">
      <c r="A150" s="536"/>
      <c r="B150" s="525"/>
      <c r="C150" s="526"/>
      <c r="D150" s="537"/>
      <c r="J150" s="19"/>
      <c r="K150" s="19"/>
      <c r="L150" s="229"/>
    </row>
    <row r="151">
      <c r="A151" s="536"/>
      <c r="B151" s="525"/>
      <c r="C151" s="526"/>
      <c r="D151" s="537"/>
      <c r="J151" s="19"/>
      <c r="K151" s="19"/>
      <c r="L151" s="229"/>
    </row>
    <row r="152">
      <c r="A152" s="536"/>
      <c r="B152" s="525"/>
      <c r="C152" s="526"/>
      <c r="D152" s="537"/>
      <c r="J152" s="19"/>
      <c r="K152" s="19"/>
      <c r="L152" s="229"/>
    </row>
    <row r="153">
      <c r="A153" s="536"/>
      <c r="B153" s="525"/>
      <c r="C153" s="526"/>
      <c r="D153" s="537"/>
      <c r="J153" s="19"/>
      <c r="K153" s="19"/>
      <c r="L153" s="229"/>
    </row>
    <row r="154">
      <c r="A154" s="536"/>
      <c r="B154" s="525"/>
      <c r="C154" s="526"/>
      <c r="D154" s="537"/>
      <c r="J154" s="19"/>
      <c r="K154" s="19"/>
      <c r="L154" s="229"/>
    </row>
    <row r="155">
      <c r="A155" s="536"/>
      <c r="B155" s="525"/>
      <c r="C155" s="526"/>
      <c r="D155" s="537"/>
      <c r="J155" s="19"/>
      <c r="K155" s="19"/>
      <c r="L155" s="229"/>
    </row>
    <row r="156">
      <c r="A156" s="536"/>
      <c r="B156" s="525"/>
      <c r="C156" s="526"/>
      <c r="D156" s="537"/>
      <c r="J156" s="19"/>
      <c r="K156" s="19"/>
      <c r="L156" s="229"/>
    </row>
    <row r="157">
      <c r="A157" s="536"/>
      <c r="B157" s="525"/>
      <c r="C157" s="526"/>
      <c r="D157" s="537"/>
      <c r="J157" s="19"/>
      <c r="K157" s="19"/>
      <c r="L157" s="229"/>
    </row>
    <row r="158">
      <c r="A158" s="536"/>
      <c r="B158" s="525"/>
      <c r="C158" s="526"/>
      <c r="D158" s="537"/>
      <c r="J158" s="19"/>
      <c r="K158" s="19"/>
      <c r="L158" s="229"/>
    </row>
    <row r="159">
      <c r="A159" s="536"/>
      <c r="B159" s="525"/>
      <c r="C159" s="526"/>
      <c r="D159" s="537"/>
      <c r="J159" s="19"/>
      <c r="K159" s="19"/>
      <c r="L159" s="229"/>
    </row>
    <row r="160">
      <c r="A160" s="536"/>
      <c r="B160" s="525"/>
      <c r="C160" s="526"/>
      <c r="D160" s="537"/>
      <c r="J160" s="19"/>
      <c r="K160" s="19"/>
      <c r="L160" s="229"/>
    </row>
    <row r="161">
      <c r="A161" s="536"/>
      <c r="B161" s="525"/>
      <c r="C161" s="526"/>
      <c r="D161" s="537"/>
      <c r="J161" s="19"/>
      <c r="K161" s="19"/>
      <c r="L161" s="229"/>
    </row>
    <row r="162">
      <c r="A162" s="536"/>
      <c r="B162" s="525"/>
      <c r="C162" s="526"/>
      <c r="D162" s="537"/>
      <c r="J162" s="19"/>
      <c r="K162" s="19"/>
      <c r="L162" s="229"/>
    </row>
    <row r="163">
      <c r="A163" s="536"/>
      <c r="B163" s="525"/>
      <c r="C163" s="526"/>
      <c r="D163" s="537"/>
      <c r="J163" s="19"/>
      <c r="K163" s="19"/>
      <c r="L163" s="229"/>
    </row>
    <row r="164">
      <c r="A164" s="536"/>
      <c r="B164" s="525"/>
      <c r="C164" s="526"/>
      <c r="D164" s="537"/>
      <c r="J164" s="19"/>
      <c r="K164" s="19"/>
      <c r="L164" s="229"/>
    </row>
    <row r="165">
      <c r="A165" s="536"/>
      <c r="B165" s="525"/>
      <c r="C165" s="526"/>
      <c r="D165" s="537"/>
      <c r="J165" s="19"/>
      <c r="K165" s="19"/>
      <c r="L165" s="229"/>
    </row>
    <row r="166">
      <c r="A166" s="536"/>
      <c r="B166" s="525"/>
      <c r="C166" s="526"/>
      <c r="D166" s="537"/>
      <c r="J166" s="19"/>
      <c r="K166" s="19"/>
      <c r="L166" s="229"/>
    </row>
    <row r="167">
      <c r="A167" s="536"/>
      <c r="B167" s="525"/>
      <c r="C167" s="526"/>
      <c r="D167" s="537"/>
      <c r="J167" s="19"/>
      <c r="K167" s="19"/>
      <c r="L167" s="229"/>
    </row>
    <row r="168">
      <c r="A168" s="536"/>
      <c r="B168" s="525"/>
      <c r="C168" s="526"/>
      <c r="D168" s="537"/>
      <c r="J168" s="19"/>
      <c r="K168" s="19"/>
      <c r="L168" s="229"/>
    </row>
    <row r="169">
      <c r="A169" s="536"/>
      <c r="B169" s="525"/>
      <c r="C169" s="526"/>
      <c r="D169" s="537"/>
      <c r="J169" s="19"/>
      <c r="K169" s="19"/>
      <c r="L169" s="229"/>
    </row>
    <row r="170">
      <c r="A170" s="536"/>
      <c r="B170" s="525"/>
      <c r="C170" s="526"/>
      <c r="D170" s="537"/>
      <c r="J170" s="19"/>
      <c r="K170" s="19"/>
      <c r="L170" s="229"/>
    </row>
    <row r="171">
      <c r="A171" s="536"/>
      <c r="B171" s="525"/>
      <c r="C171" s="526"/>
      <c r="D171" s="537"/>
      <c r="J171" s="19"/>
      <c r="K171" s="19"/>
      <c r="L171" s="229"/>
    </row>
    <row r="172">
      <c r="A172" s="536"/>
      <c r="B172" s="525"/>
      <c r="C172" s="526"/>
      <c r="D172" s="537"/>
      <c r="J172" s="19"/>
      <c r="K172" s="19"/>
      <c r="L172" s="229"/>
    </row>
    <row r="173">
      <c r="A173" s="536"/>
      <c r="B173" s="525"/>
      <c r="C173" s="526"/>
      <c r="D173" s="537"/>
      <c r="J173" s="19"/>
      <c r="K173" s="19"/>
      <c r="L173" s="229"/>
    </row>
    <row r="174">
      <c r="A174" s="536"/>
      <c r="B174" s="525"/>
      <c r="C174" s="526"/>
      <c r="D174" s="537"/>
      <c r="J174" s="19"/>
      <c r="K174" s="19"/>
      <c r="L174" s="229"/>
    </row>
    <row r="175">
      <c r="A175" s="536"/>
      <c r="B175" s="525"/>
      <c r="C175" s="526"/>
      <c r="D175" s="537"/>
      <c r="J175" s="19"/>
      <c r="K175" s="19"/>
      <c r="L175" s="229"/>
    </row>
    <row r="176">
      <c r="A176" s="536"/>
      <c r="B176" s="525"/>
      <c r="C176" s="526"/>
      <c r="D176" s="537"/>
      <c r="J176" s="19"/>
      <c r="K176" s="19"/>
      <c r="L176" s="229"/>
    </row>
    <row r="177">
      <c r="A177" s="536"/>
      <c r="B177" s="525"/>
      <c r="C177" s="526"/>
      <c r="D177" s="537"/>
      <c r="J177" s="19"/>
      <c r="K177" s="19"/>
      <c r="L177" s="229"/>
    </row>
    <row r="178">
      <c r="A178" s="536"/>
      <c r="B178" s="525"/>
      <c r="C178" s="526"/>
      <c r="D178" s="537"/>
      <c r="J178" s="19"/>
      <c r="K178" s="19"/>
      <c r="L178" s="229"/>
    </row>
    <row r="179">
      <c r="A179" s="536"/>
      <c r="B179" s="525"/>
      <c r="C179" s="526"/>
      <c r="D179" s="537"/>
      <c r="J179" s="19"/>
      <c r="K179" s="19"/>
      <c r="L179" s="229"/>
    </row>
    <row r="180">
      <c r="A180" s="536"/>
      <c r="B180" s="525"/>
      <c r="C180" s="526"/>
      <c r="D180" s="537"/>
      <c r="J180" s="19"/>
      <c r="K180" s="19"/>
      <c r="L180" s="229"/>
    </row>
    <row r="181">
      <c r="A181" s="536"/>
      <c r="B181" s="525"/>
      <c r="C181" s="526"/>
      <c r="D181" s="537"/>
      <c r="J181" s="19"/>
      <c r="K181" s="19"/>
      <c r="L181" s="229"/>
    </row>
    <row r="182">
      <c r="A182" s="536"/>
      <c r="B182" s="525"/>
      <c r="C182" s="526"/>
      <c r="D182" s="537"/>
      <c r="J182" s="19"/>
      <c r="K182" s="19"/>
      <c r="L182" s="229"/>
    </row>
    <row r="183">
      <c r="A183" s="536"/>
      <c r="B183" s="525"/>
      <c r="C183" s="526"/>
      <c r="D183" s="537"/>
      <c r="J183" s="19"/>
      <c r="K183" s="19"/>
      <c r="L183" s="229"/>
    </row>
    <row r="184">
      <c r="A184" s="536"/>
      <c r="B184" s="525"/>
      <c r="C184" s="526"/>
      <c r="D184" s="537"/>
      <c r="J184" s="19"/>
      <c r="K184" s="19"/>
      <c r="L184" s="229"/>
    </row>
    <row r="185">
      <c r="A185" s="536"/>
      <c r="B185" s="525"/>
      <c r="C185" s="526"/>
      <c r="D185" s="537"/>
      <c r="J185" s="19"/>
      <c r="K185" s="19"/>
      <c r="L185" s="229"/>
    </row>
    <row r="186">
      <c r="A186" s="536"/>
      <c r="B186" s="525"/>
      <c r="C186" s="526"/>
      <c r="D186" s="537"/>
      <c r="J186" s="19"/>
      <c r="K186" s="19"/>
      <c r="L186" s="229"/>
    </row>
    <row r="187">
      <c r="A187" s="536"/>
      <c r="B187" s="525"/>
      <c r="C187" s="526"/>
      <c r="D187" s="537"/>
      <c r="J187" s="19"/>
      <c r="K187" s="19"/>
      <c r="L187" s="229"/>
    </row>
    <row r="188">
      <c r="A188" s="536"/>
      <c r="B188" s="525"/>
      <c r="C188" s="526"/>
      <c r="D188" s="537"/>
      <c r="J188" s="19"/>
      <c r="K188" s="19"/>
      <c r="L188" s="229"/>
    </row>
    <row r="189">
      <c r="A189" s="536"/>
      <c r="B189" s="525"/>
      <c r="C189" s="526"/>
      <c r="D189" s="537"/>
      <c r="J189" s="19"/>
      <c r="K189" s="19"/>
      <c r="L189" s="229"/>
    </row>
    <row r="190">
      <c r="A190" s="536"/>
      <c r="B190" s="525"/>
      <c r="C190" s="526"/>
      <c r="D190" s="537"/>
      <c r="J190" s="19"/>
      <c r="K190" s="19"/>
      <c r="L190" s="229"/>
    </row>
    <row r="191">
      <c r="A191" s="536"/>
      <c r="B191" s="525"/>
      <c r="C191" s="526"/>
      <c r="D191" s="537"/>
      <c r="J191" s="19"/>
      <c r="K191" s="19"/>
      <c r="L191" s="229"/>
    </row>
    <row r="192">
      <c r="A192" s="536"/>
      <c r="B192" s="525"/>
      <c r="C192" s="526"/>
      <c r="D192" s="537"/>
      <c r="J192" s="19"/>
      <c r="K192" s="19"/>
      <c r="L192" s="229"/>
    </row>
    <row r="193">
      <c r="A193" s="536"/>
      <c r="B193" s="525"/>
      <c r="C193" s="526"/>
      <c r="D193" s="537"/>
      <c r="J193" s="19"/>
      <c r="K193" s="19"/>
      <c r="L193" s="229"/>
    </row>
    <row r="194">
      <c r="A194" s="536"/>
      <c r="B194" s="525"/>
      <c r="C194" s="526"/>
      <c r="D194" s="537"/>
      <c r="J194" s="19"/>
      <c r="K194" s="19"/>
      <c r="L194" s="229"/>
    </row>
    <row r="195">
      <c r="A195" s="536"/>
      <c r="B195" s="525"/>
      <c r="C195" s="526"/>
      <c r="D195" s="537"/>
      <c r="J195" s="19"/>
      <c r="K195" s="19"/>
      <c r="L195" s="229"/>
    </row>
    <row r="196">
      <c r="A196" s="536"/>
      <c r="B196" s="525"/>
      <c r="C196" s="526"/>
      <c r="D196" s="537"/>
      <c r="J196" s="19"/>
      <c r="K196" s="19"/>
      <c r="L196" s="229"/>
    </row>
    <row r="197">
      <c r="A197" s="536"/>
      <c r="B197" s="525"/>
      <c r="C197" s="526"/>
      <c r="D197" s="537"/>
      <c r="J197" s="19"/>
      <c r="K197" s="19"/>
      <c r="L197" s="229"/>
    </row>
    <row r="198">
      <c r="A198" s="536"/>
      <c r="B198" s="525"/>
      <c r="C198" s="526"/>
      <c r="D198" s="537"/>
      <c r="J198" s="19"/>
      <c r="K198" s="19"/>
      <c r="L198" s="229"/>
    </row>
    <row r="199">
      <c r="A199" s="536"/>
      <c r="B199" s="525"/>
      <c r="C199" s="526"/>
      <c r="D199" s="537"/>
      <c r="J199" s="19"/>
      <c r="K199" s="19"/>
      <c r="L199" s="229"/>
    </row>
    <row r="200">
      <c r="A200" s="536"/>
      <c r="B200" s="525"/>
      <c r="C200" s="526"/>
      <c r="D200" s="537"/>
      <c r="J200" s="19"/>
      <c r="K200" s="19"/>
      <c r="L200" s="229"/>
    </row>
    <row r="201">
      <c r="A201" s="536"/>
      <c r="B201" s="525"/>
      <c r="C201" s="526"/>
      <c r="D201" s="537"/>
      <c r="J201" s="19"/>
      <c r="K201" s="19"/>
      <c r="L201" s="229"/>
    </row>
    <row r="202">
      <c r="A202" s="536"/>
      <c r="B202" s="525"/>
      <c r="C202" s="526"/>
      <c r="D202" s="537"/>
      <c r="J202" s="19"/>
      <c r="K202" s="19"/>
      <c r="L202" s="229"/>
    </row>
    <row r="203">
      <c r="A203" s="536"/>
      <c r="B203" s="525"/>
      <c r="C203" s="526"/>
      <c r="D203" s="537"/>
      <c r="J203" s="19"/>
      <c r="K203" s="19"/>
      <c r="L203" s="229"/>
    </row>
    <row r="204">
      <c r="A204" s="536"/>
      <c r="B204" s="525"/>
      <c r="C204" s="526"/>
      <c r="D204" s="537"/>
      <c r="J204" s="19"/>
      <c r="K204" s="19"/>
      <c r="L204" s="229"/>
    </row>
    <row r="205">
      <c r="A205" s="536"/>
      <c r="B205" s="525"/>
      <c r="C205" s="526"/>
      <c r="D205" s="537"/>
      <c r="J205" s="19"/>
      <c r="K205" s="19"/>
      <c r="L205" s="229"/>
    </row>
    <row r="206">
      <c r="A206" s="536"/>
      <c r="B206" s="525"/>
      <c r="C206" s="526"/>
      <c r="D206" s="537"/>
      <c r="J206" s="19"/>
      <c r="K206" s="19"/>
      <c r="L206" s="229"/>
    </row>
    <row r="207">
      <c r="A207" s="536"/>
      <c r="B207" s="525"/>
      <c r="C207" s="526"/>
      <c r="D207" s="537"/>
      <c r="J207" s="19"/>
      <c r="K207" s="19"/>
      <c r="L207" s="229"/>
    </row>
    <row r="208">
      <c r="A208" s="536"/>
      <c r="B208" s="525"/>
      <c r="C208" s="526"/>
      <c r="D208" s="537"/>
      <c r="J208" s="19"/>
      <c r="K208" s="19"/>
      <c r="L208" s="229"/>
    </row>
    <row r="209">
      <c r="A209" s="536"/>
      <c r="B209" s="525"/>
      <c r="C209" s="526"/>
      <c r="D209" s="537"/>
      <c r="J209" s="19"/>
      <c r="K209" s="19"/>
      <c r="L209" s="229"/>
    </row>
    <row r="210">
      <c r="A210" s="536"/>
      <c r="B210" s="525"/>
      <c r="C210" s="526"/>
      <c r="D210" s="537"/>
      <c r="J210" s="19"/>
      <c r="K210" s="19"/>
      <c r="L210" s="229"/>
    </row>
    <row r="211">
      <c r="A211" s="536"/>
      <c r="B211" s="525"/>
      <c r="C211" s="526"/>
      <c r="D211" s="537"/>
      <c r="J211" s="19"/>
      <c r="K211" s="19"/>
      <c r="L211" s="229"/>
    </row>
    <row r="212">
      <c r="A212" s="536"/>
      <c r="B212" s="525"/>
      <c r="C212" s="526"/>
      <c r="D212" s="537"/>
      <c r="J212" s="19"/>
      <c r="K212" s="19"/>
      <c r="L212" s="229"/>
    </row>
    <row r="213">
      <c r="A213" s="536"/>
      <c r="B213" s="525"/>
      <c r="C213" s="526"/>
      <c r="D213" s="537"/>
      <c r="J213" s="19"/>
      <c r="K213" s="19"/>
      <c r="L213" s="229"/>
    </row>
    <row r="214">
      <c r="A214" s="536"/>
      <c r="B214" s="525"/>
      <c r="C214" s="526"/>
      <c r="D214" s="537"/>
      <c r="J214" s="19"/>
      <c r="K214" s="19"/>
      <c r="L214" s="229"/>
    </row>
    <row r="215">
      <c r="A215" s="536"/>
      <c r="B215" s="525"/>
      <c r="C215" s="526"/>
      <c r="D215" s="537"/>
      <c r="J215" s="19"/>
      <c r="K215" s="19"/>
      <c r="L215" s="229"/>
    </row>
    <row r="216">
      <c r="A216" s="536"/>
      <c r="B216" s="525"/>
      <c r="C216" s="526"/>
      <c r="D216" s="537"/>
      <c r="J216" s="19"/>
      <c r="K216" s="19"/>
      <c r="L216" s="229"/>
    </row>
    <row r="217">
      <c r="A217" s="536"/>
      <c r="B217" s="525"/>
      <c r="C217" s="526"/>
      <c r="D217" s="537"/>
      <c r="J217" s="19"/>
      <c r="K217" s="19"/>
      <c r="L217" s="229"/>
    </row>
    <row r="218">
      <c r="A218" s="536"/>
      <c r="B218" s="525"/>
      <c r="C218" s="526"/>
      <c r="D218" s="537"/>
      <c r="J218" s="19"/>
      <c r="K218" s="19"/>
      <c r="L218" s="229"/>
    </row>
    <row r="219">
      <c r="A219" s="536"/>
      <c r="B219" s="525"/>
      <c r="C219" s="526"/>
      <c r="D219" s="537"/>
      <c r="J219" s="19"/>
      <c r="K219" s="19"/>
      <c r="L219" s="229"/>
    </row>
    <row r="220">
      <c r="A220" s="536"/>
      <c r="B220" s="525"/>
      <c r="C220" s="526"/>
      <c r="D220" s="537"/>
      <c r="J220" s="19"/>
      <c r="K220" s="19"/>
      <c r="L220" s="229"/>
    </row>
    <row r="221">
      <c r="A221" s="536"/>
      <c r="B221" s="525"/>
      <c r="C221" s="526"/>
      <c r="D221" s="537"/>
      <c r="J221" s="19"/>
      <c r="K221" s="19"/>
      <c r="L221" s="229"/>
    </row>
    <row r="222">
      <c r="A222" s="536"/>
      <c r="B222" s="525"/>
      <c r="C222" s="526"/>
      <c r="D222" s="537"/>
      <c r="J222" s="19"/>
      <c r="K222" s="19"/>
      <c r="L222" s="229"/>
    </row>
    <row r="223">
      <c r="A223" s="536"/>
      <c r="B223" s="525"/>
      <c r="C223" s="526"/>
      <c r="D223" s="537"/>
      <c r="J223" s="19"/>
      <c r="K223" s="19"/>
      <c r="L223" s="229"/>
    </row>
    <row r="224">
      <c r="A224" s="536"/>
      <c r="B224" s="525"/>
      <c r="C224" s="526"/>
      <c r="D224" s="537"/>
      <c r="J224" s="19"/>
      <c r="K224" s="19"/>
      <c r="L224" s="229"/>
    </row>
    <row r="225">
      <c r="A225" s="536"/>
      <c r="B225" s="525"/>
      <c r="C225" s="526"/>
      <c r="D225" s="537"/>
      <c r="J225" s="19"/>
      <c r="K225" s="19"/>
      <c r="L225" s="229"/>
    </row>
    <row r="226">
      <c r="A226" s="536"/>
      <c r="B226" s="525"/>
      <c r="C226" s="526"/>
      <c r="D226" s="537"/>
      <c r="J226" s="19"/>
      <c r="K226" s="19"/>
      <c r="L226" s="229"/>
    </row>
    <row r="227">
      <c r="A227" s="536"/>
      <c r="B227" s="525"/>
      <c r="C227" s="526"/>
      <c r="D227" s="537"/>
      <c r="J227" s="19"/>
      <c r="K227" s="19"/>
      <c r="L227" s="229"/>
    </row>
    <row r="228">
      <c r="A228" s="536"/>
      <c r="B228" s="525"/>
      <c r="C228" s="526"/>
      <c r="D228" s="537"/>
      <c r="J228" s="19"/>
      <c r="K228" s="19"/>
      <c r="L228" s="229"/>
    </row>
    <row r="229">
      <c r="A229" s="536"/>
      <c r="B229" s="525"/>
      <c r="C229" s="526"/>
      <c r="D229" s="537"/>
      <c r="J229" s="19"/>
      <c r="K229" s="19"/>
      <c r="L229" s="229"/>
    </row>
    <row r="230">
      <c r="A230" s="536"/>
      <c r="B230" s="525"/>
      <c r="C230" s="526"/>
      <c r="D230" s="537"/>
      <c r="J230" s="19"/>
      <c r="K230" s="19"/>
      <c r="L230" s="229"/>
    </row>
    <row r="231">
      <c r="A231" s="536"/>
      <c r="B231" s="525"/>
      <c r="C231" s="526"/>
      <c r="D231" s="537"/>
      <c r="J231" s="19"/>
      <c r="K231" s="19"/>
      <c r="L231" s="229"/>
    </row>
    <row r="232">
      <c r="A232" s="536"/>
      <c r="B232" s="525"/>
      <c r="C232" s="526"/>
      <c r="D232" s="537"/>
      <c r="J232" s="19"/>
      <c r="K232" s="19"/>
      <c r="L232" s="229"/>
    </row>
    <row r="233">
      <c r="A233" s="536"/>
      <c r="B233" s="525"/>
      <c r="C233" s="526"/>
      <c r="D233" s="537"/>
      <c r="J233" s="19"/>
      <c r="K233" s="19"/>
      <c r="L233" s="229"/>
    </row>
    <row r="234">
      <c r="A234" s="536"/>
      <c r="B234" s="525"/>
      <c r="C234" s="526"/>
      <c r="D234" s="537"/>
      <c r="J234" s="19"/>
      <c r="K234" s="19"/>
      <c r="L234" s="229"/>
    </row>
    <row r="235">
      <c r="A235" s="536"/>
      <c r="B235" s="525"/>
      <c r="C235" s="526"/>
      <c r="D235" s="537"/>
      <c r="J235" s="19"/>
      <c r="K235" s="19"/>
      <c r="L235" s="229"/>
    </row>
    <row r="236">
      <c r="A236" s="536"/>
      <c r="B236" s="525"/>
      <c r="C236" s="526"/>
      <c r="D236" s="537"/>
      <c r="J236" s="19"/>
      <c r="K236" s="19"/>
      <c r="L236" s="229"/>
    </row>
    <row r="237">
      <c r="A237" s="536"/>
      <c r="B237" s="525"/>
      <c r="C237" s="526"/>
      <c r="D237" s="537"/>
      <c r="J237" s="19"/>
      <c r="K237" s="19"/>
      <c r="L237" s="229"/>
    </row>
    <row r="238">
      <c r="A238" s="536"/>
      <c r="B238" s="525"/>
      <c r="C238" s="526"/>
      <c r="D238" s="537"/>
      <c r="J238" s="19"/>
      <c r="K238" s="19"/>
      <c r="L238" s="229"/>
    </row>
    <row r="239">
      <c r="A239" s="536"/>
      <c r="B239" s="525"/>
      <c r="C239" s="526"/>
      <c r="D239" s="537"/>
      <c r="J239" s="19"/>
      <c r="K239" s="19"/>
      <c r="L239" s="229"/>
    </row>
    <row r="240">
      <c r="A240" s="536"/>
      <c r="B240" s="525"/>
      <c r="C240" s="526"/>
      <c r="D240" s="537"/>
      <c r="J240" s="19"/>
      <c r="K240" s="19"/>
      <c r="L240" s="229"/>
    </row>
    <row r="241">
      <c r="A241" s="536"/>
      <c r="B241" s="525"/>
      <c r="C241" s="526"/>
      <c r="D241" s="537"/>
      <c r="J241" s="19"/>
      <c r="K241" s="19"/>
      <c r="L241" s="229"/>
    </row>
    <row r="242">
      <c r="A242" s="536"/>
      <c r="B242" s="525"/>
      <c r="C242" s="526"/>
      <c r="D242" s="537"/>
      <c r="J242" s="19"/>
      <c r="K242" s="19"/>
      <c r="L242" s="229"/>
    </row>
    <row r="243">
      <c r="A243" s="536"/>
      <c r="B243" s="525"/>
      <c r="C243" s="526"/>
      <c r="D243" s="537"/>
      <c r="J243" s="19"/>
      <c r="K243" s="19"/>
      <c r="L243" s="229"/>
    </row>
    <row r="244">
      <c r="A244" s="536"/>
      <c r="B244" s="525"/>
      <c r="C244" s="526"/>
      <c r="D244" s="537"/>
      <c r="J244" s="19"/>
      <c r="K244" s="19"/>
      <c r="L244" s="229"/>
    </row>
    <row r="245">
      <c r="A245" s="536"/>
      <c r="B245" s="525"/>
      <c r="C245" s="526"/>
      <c r="D245" s="537"/>
      <c r="J245" s="19"/>
      <c r="K245" s="19"/>
      <c r="L245" s="229"/>
    </row>
    <row r="246">
      <c r="A246" s="536"/>
      <c r="B246" s="525"/>
      <c r="C246" s="526"/>
      <c r="D246" s="537"/>
      <c r="J246" s="19"/>
      <c r="K246" s="19"/>
      <c r="L246" s="229"/>
    </row>
    <row r="247">
      <c r="A247" s="536"/>
      <c r="B247" s="525"/>
      <c r="C247" s="526"/>
      <c r="D247" s="537"/>
      <c r="J247" s="19"/>
      <c r="K247" s="19"/>
      <c r="L247" s="229"/>
    </row>
    <row r="248">
      <c r="A248" s="536"/>
      <c r="B248" s="525"/>
      <c r="C248" s="526"/>
      <c r="D248" s="537"/>
      <c r="J248" s="19"/>
      <c r="K248" s="19"/>
      <c r="L248" s="229"/>
    </row>
    <row r="249">
      <c r="A249" s="536"/>
      <c r="B249" s="525"/>
      <c r="C249" s="526"/>
      <c r="D249" s="537"/>
      <c r="J249" s="19"/>
      <c r="K249" s="19"/>
      <c r="L249" s="229"/>
    </row>
    <row r="250">
      <c r="A250" s="536"/>
      <c r="B250" s="525"/>
      <c r="C250" s="526"/>
      <c r="D250" s="537"/>
      <c r="J250" s="19"/>
      <c r="K250" s="19"/>
      <c r="L250" s="229"/>
    </row>
    <row r="251">
      <c r="A251" s="536"/>
      <c r="B251" s="525"/>
      <c r="C251" s="526"/>
      <c r="D251" s="537"/>
      <c r="J251" s="19"/>
      <c r="K251" s="19"/>
      <c r="L251" s="229"/>
    </row>
    <row r="252">
      <c r="A252" s="536"/>
      <c r="B252" s="525"/>
      <c r="C252" s="526"/>
      <c r="D252" s="537"/>
      <c r="J252" s="19"/>
      <c r="K252" s="19"/>
      <c r="L252" s="229"/>
    </row>
    <row r="253">
      <c r="A253" s="536"/>
      <c r="B253" s="525"/>
      <c r="C253" s="526"/>
      <c r="D253" s="537"/>
      <c r="J253" s="19"/>
      <c r="K253" s="19"/>
      <c r="L253" s="229"/>
    </row>
    <row r="254">
      <c r="A254" s="536"/>
      <c r="B254" s="525"/>
      <c r="C254" s="526"/>
      <c r="D254" s="537"/>
      <c r="J254" s="19"/>
      <c r="K254" s="19"/>
      <c r="L254" s="229"/>
    </row>
    <row r="255">
      <c r="A255" s="536"/>
      <c r="B255" s="525"/>
      <c r="C255" s="526"/>
      <c r="D255" s="537"/>
      <c r="J255" s="19"/>
      <c r="K255" s="19"/>
      <c r="L255" s="229"/>
    </row>
    <row r="256">
      <c r="A256" s="536"/>
      <c r="B256" s="525"/>
      <c r="C256" s="526"/>
      <c r="D256" s="537"/>
      <c r="J256" s="19"/>
      <c r="K256" s="19"/>
      <c r="L256" s="229"/>
    </row>
    <row r="257">
      <c r="A257" s="536"/>
      <c r="B257" s="525"/>
      <c r="C257" s="526"/>
      <c r="D257" s="537"/>
      <c r="J257" s="19"/>
      <c r="K257" s="19"/>
      <c r="L257" s="229"/>
    </row>
    <row r="258">
      <c r="A258" s="536"/>
      <c r="B258" s="525"/>
      <c r="C258" s="526"/>
      <c r="D258" s="537"/>
      <c r="J258" s="19"/>
      <c r="K258" s="19"/>
      <c r="L258" s="229"/>
    </row>
    <row r="259">
      <c r="A259" s="536"/>
      <c r="B259" s="525"/>
      <c r="C259" s="526"/>
      <c r="D259" s="537"/>
      <c r="J259" s="19"/>
      <c r="K259" s="19"/>
      <c r="L259" s="229"/>
    </row>
    <row r="260">
      <c r="A260" s="536"/>
      <c r="B260" s="525"/>
      <c r="C260" s="526"/>
      <c r="D260" s="537"/>
      <c r="J260" s="19"/>
      <c r="K260" s="19"/>
      <c r="L260" s="229"/>
    </row>
    <row r="261">
      <c r="A261" s="536"/>
      <c r="B261" s="525"/>
      <c r="C261" s="526"/>
      <c r="D261" s="537"/>
      <c r="J261" s="19"/>
      <c r="K261" s="19"/>
      <c r="L261" s="229"/>
    </row>
    <row r="262">
      <c r="A262" s="536"/>
      <c r="B262" s="525"/>
      <c r="C262" s="526"/>
      <c r="D262" s="537"/>
      <c r="J262" s="19"/>
      <c r="K262" s="19"/>
      <c r="L262" s="229"/>
    </row>
    <row r="263">
      <c r="A263" s="536"/>
      <c r="B263" s="525"/>
      <c r="C263" s="526"/>
      <c r="D263" s="537"/>
      <c r="J263" s="19"/>
      <c r="K263" s="19"/>
      <c r="L263" s="229"/>
    </row>
    <row r="264">
      <c r="A264" s="536"/>
      <c r="B264" s="525"/>
      <c r="C264" s="526"/>
      <c r="D264" s="537"/>
      <c r="J264" s="19"/>
      <c r="K264" s="19"/>
      <c r="L264" s="229"/>
    </row>
    <row r="265">
      <c r="A265" s="536"/>
      <c r="B265" s="525"/>
      <c r="C265" s="526"/>
      <c r="D265" s="537"/>
      <c r="J265" s="19"/>
      <c r="K265" s="19"/>
      <c r="L265" s="229"/>
    </row>
    <row r="266">
      <c r="A266" s="536"/>
      <c r="B266" s="525"/>
      <c r="C266" s="526"/>
      <c r="D266" s="537"/>
      <c r="J266" s="19"/>
      <c r="K266" s="19"/>
      <c r="L266" s="229"/>
    </row>
    <row r="267">
      <c r="A267" s="536"/>
      <c r="B267" s="525"/>
      <c r="C267" s="526"/>
      <c r="D267" s="537"/>
      <c r="J267" s="19"/>
      <c r="K267" s="19"/>
      <c r="L267" s="229"/>
    </row>
    <row r="268">
      <c r="A268" s="536"/>
      <c r="B268" s="525"/>
      <c r="C268" s="526"/>
      <c r="D268" s="537"/>
      <c r="J268" s="19"/>
      <c r="K268" s="19"/>
      <c r="L268" s="229"/>
    </row>
    <row r="269">
      <c r="A269" s="536"/>
      <c r="B269" s="525"/>
      <c r="C269" s="526"/>
      <c r="D269" s="537"/>
      <c r="J269" s="19"/>
      <c r="K269" s="19"/>
      <c r="L269" s="229"/>
    </row>
    <row r="270">
      <c r="A270" s="536"/>
      <c r="B270" s="525"/>
      <c r="C270" s="526"/>
      <c r="D270" s="537"/>
      <c r="J270" s="19"/>
      <c r="K270" s="19"/>
      <c r="L270" s="229"/>
    </row>
    <row r="271">
      <c r="A271" s="536"/>
      <c r="B271" s="525"/>
      <c r="C271" s="526"/>
      <c r="D271" s="537"/>
      <c r="J271" s="19"/>
      <c r="K271" s="19"/>
      <c r="L271" s="229"/>
    </row>
    <row r="272">
      <c r="A272" s="536"/>
      <c r="B272" s="525"/>
      <c r="C272" s="526"/>
      <c r="D272" s="537"/>
      <c r="J272" s="19"/>
      <c r="K272" s="19"/>
      <c r="L272" s="229"/>
    </row>
    <row r="273">
      <c r="A273" s="536"/>
      <c r="B273" s="525"/>
      <c r="C273" s="526"/>
      <c r="D273" s="537"/>
      <c r="J273" s="19"/>
      <c r="K273" s="19"/>
      <c r="L273" s="229"/>
    </row>
    <row r="274">
      <c r="A274" s="536"/>
      <c r="B274" s="525"/>
      <c r="C274" s="526"/>
      <c r="D274" s="537"/>
      <c r="J274" s="19"/>
      <c r="K274" s="19"/>
      <c r="L274" s="229"/>
    </row>
    <row r="275">
      <c r="A275" s="536"/>
      <c r="B275" s="525"/>
      <c r="C275" s="526"/>
      <c r="D275" s="537"/>
      <c r="J275" s="19"/>
      <c r="K275" s="19"/>
      <c r="L275" s="229"/>
    </row>
    <row r="276">
      <c r="A276" s="536"/>
      <c r="B276" s="525"/>
      <c r="C276" s="526"/>
      <c r="D276" s="537"/>
      <c r="J276" s="19"/>
      <c r="K276" s="19"/>
      <c r="L276" s="229"/>
    </row>
    <row r="277">
      <c r="A277" s="536"/>
      <c r="B277" s="525"/>
      <c r="C277" s="526"/>
      <c r="D277" s="537"/>
      <c r="J277" s="19"/>
      <c r="K277" s="19"/>
      <c r="L277" s="229"/>
    </row>
    <row r="278">
      <c r="A278" s="536"/>
      <c r="B278" s="525"/>
      <c r="C278" s="526"/>
      <c r="D278" s="537"/>
      <c r="J278" s="19"/>
      <c r="K278" s="19"/>
      <c r="L278" s="229"/>
    </row>
    <row r="279">
      <c r="A279" s="536"/>
      <c r="B279" s="525"/>
      <c r="C279" s="526"/>
      <c r="D279" s="537"/>
      <c r="J279" s="19"/>
      <c r="K279" s="19"/>
      <c r="L279" s="229"/>
    </row>
    <row r="280">
      <c r="A280" s="536"/>
      <c r="B280" s="525"/>
      <c r="C280" s="526"/>
      <c r="D280" s="537"/>
      <c r="J280" s="19"/>
      <c r="K280" s="19"/>
      <c r="L280" s="229"/>
    </row>
    <row r="281">
      <c r="A281" s="536"/>
      <c r="B281" s="525"/>
      <c r="C281" s="526"/>
      <c r="D281" s="537"/>
      <c r="J281" s="19"/>
      <c r="K281" s="19"/>
      <c r="L281" s="229"/>
    </row>
    <row r="282">
      <c r="A282" s="536"/>
      <c r="B282" s="525"/>
      <c r="C282" s="526"/>
      <c r="D282" s="537"/>
      <c r="J282" s="19"/>
      <c r="K282" s="19"/>
      <c r="L282" s="229"/>
    </row>
    <row r="283">
      <c r="A283" s="536"/>
      <c r="B283" s="525"/>
      <c r="C283" s="526"/>
      <c r="D283" s="537"/>
      <c r="J283" s="19"/>
      <c r="K283" s="19"/>
      <c r="L283" s="229"/>
    </row>
    <row r="284">
      <c r="A284" s="536"/>
      <c r="B284" s="525"/>
      <c r="C284" s="526"/>
      <c r="D284" s="537"/>
      <c r="J284" s="19"/>
      <c r="K284" s="19"/>
      <c r="L284" s="229"/>
    </row>
    <row r="285">
      <c r="A285" s="536"/>
      <c r="B285" s="525"/>
      <c r="C285" s="526"/>
      <c r="D285" s="537"/>
      <c r="J285" s="19"/>
      <c r="K285" s="19"/>
      <c r="L285" s="229"/>
    </row>
    <row r="286">
      <c r="A286" s="536"/>
      <c r="B286" s="525"/>
      <c r="C286" s="526"/>
      <c r="D286" s="537"/>
      <c r="J286" s="19"/>
      <c r="K286" s="19"/>
      <c r="L286" s="229"/>
    </row>
    <row r="287">
      <c r="A287" s="536"/>
      <c r="B287" s="525"/>
      <c r="C287" s="526"/>
      <c r="D287" s="537"/>
      <c r="J287" s="19"/>
      <c r="K287" s="19"/>
      <c r="L287" s="229"/>
    </row>
    <row r="288">
      <c r="A288" s="536"/>
      <c r="B288" s="525"/>
      <c r="C288" s="526"/>
      <c r="D288" s="537"/>
      <c r="J288" s="19"/>
      <c r="K288" s="19"/>
      <c r="L288" s="229"/>
    </row>
    <row r="289">
      <c r="A289" s="536"/>
      <c r="B289" s="525"/>
      <c r="C289" s="526"/>
      <c r="D289" s="537"/>
      <c r="J289" s="19"/>
      <c r="K289" s="19"/>
      <c r="L289" s="229"/>
    </row>
    <row r="290">
      <c r="A290" s="536"/>
      <c r="B290" s="525"/>
      <c r="C290" s="526"/>
      <c r="D290" s="537"/>
      <c r="J290" s="19"/>
      <c r="K290" s="19"/>
      <c r="L290" s="229"/>
    </row>
    <row r="291">
      <c r="A291" s="536"/>
      <c r="B291" s="525"/>
      <c r="C291" s="526"/>
      <c r="D291" s="537"/>
      <c r="J291" s="19"/>
      <c r="K291" s="19"/>
      <c r="L291" s="229"/>
    </row>
    <row r="292">
      <c r="A292" s="536"/>
      <c r="B292" s="525"/>
      <c r="C292" s="526"/>
      <c r="D292" s="537"/>
      <c r="J292" s="19"/>
      <c r="K292" s="19"/>
      <c r="L292" s="229"/>
    </row>
    <row r="293">
      <c r="A293" s="536"/>
      <c r="B293" s="525"/>
      <c r="C293" s="526"/>
      <c r="D293" s="537"/>
      <c r="J293" s="19"/>
      <c r="K293" s="19"/>
      <c r="L293" s="229"/>
    </row>
    <row r="294">
      <c r="A294" s="536"/>
      <c r="B294" s="525"/>
      <c r="C294" s="526"/>
      <c r="D294" s="537"/>
      <c r="J294" s="19"/>
      <c r="K294" s="19"/>
      <c r="L294" s="229"/>
    </row>
    <row r="295">
      <c r="A295" s="536"/>
      <c r="B295" s="525"/>
      <c r="C295" s="526"/>
      <c r="D295" s="537"/>
      <c r="J295" s="19"/>
      <c r="K295" s="19"/>
      <c r="L295" s="229"/>
    </row>
    <row r="296">
      <c r="A296" s="536"/>
      <c r="B296" s="525"/>
      <c r="C296" s="526"/>
      <c r="D296" s="537"/>
      <c r="J296" s="19"/>
      <c r="K296" s="19"/>
      <c r="L296" s="229"/>
    </row>
    <row r="297">
      <c r="A297" s="536"/>
      <c r="B297" s="525"/>
      <c r="C297" s="526"/>
      <c r="D297" s="537"/>
      <c r="J297" s="19"/>
      <c r="K297" s="19"/>
      <c r="L297" s="229"/>
    </row>
    <row r="298">
      <c r="A298" s="536"/>
      <c r="B298" s="525"/>
      <c r="C298" s="526"/>
      <c r="D298" s="537"/>
      <c r="J298" s="19"/>
      <c r="K298" s="19"/>
      <c r="L298" s="229"/>
    </row>
    <row r="299">
      <c r="A299" s="536"/>
      <c r="B299" s="525"/>
      <c r="C299" s="526"/>
      <c r="D299" s="537"/>
      <c r="J299" s="19"/>
      <c r="K299" s="19"/>
      <c r="L299" s="229"/>
    </row>
    <row r="300">
      <c r="A300" s="536"/>
      <c r="B300" s="525"/>
      <c r="C300" s="526"/>
      <c r="D300" s="537"/>
      <c r="J300" s="19"/>
      <c r="K300" s="19"/>
      <c r="L300" s="229"/>
    </row>
    <row r="301">
      <c r="A301" s="536"/>
      <c r="B301" s="525"/>
      <c r="C301" s="526"/>
      <c r="D301" s="537"/>
      <c r="J301" s="19"/>
      <c r="K301" s="19"/>
      <c r="L301" s="229"/>
    </row>
    <row r="302">
      <c r="A302" s="536"/>
      <c r="B302" s="525"/>
      <c r="C302" s="526"/>
      <c r="D302" s="537"/>
      <c r="J302" s="19"/>
      <c r="K302" s="19"/>
      <c r="L302" s="229"/>
    </row>
    <row r="303">
      <c r="A303" s="536"/>
      <c r="B303" s="525"/>
      <c r="C303" s="526"/>
      <c r="D303" s="537"/>
      <c r="J303" s="19"/>
      <c r="K303" s="19"/>
      <c r="L303" s="229"/>
    </row>
    <row r="304">
      <c r="A304" s="536"/>
      <c r="B304" s="525"/>
      <c r="C304" s="526"/>
      <c r="D304" s="537"/>
      <c r="J304" s="19"/>
      <c r="K304" s="19"/>
      <c r="L304" s="229"/>
    </row>
    <row r="305">
      <c r="A305" s="536"/>
      <c r="B305" s="525"/>
      <c r="C305" s="526"/>
      <c r="D305" s="537"/>
      <c r="J305" s="19"/>
      <c r="K305" s="19"/>
      <c r="L305" s="229"/>
    </row>
    <row r="306">
      <c r="A306" s="536"/>
      <c r="B306" s="525"/>
      <c r="C306" s="526"/>
      <c r="D306" s="537"/>
      <c r="J306" s="19"/>
      <c r="K306" s="19"/>
      <c r="L306" s="229"/>
    </row>
    <row r="307">
      <c r="A307" s="536"/>
      <c r="B307" s="525"/>
      <c r="C307" s="526"/>
      <c r="D307" s="537"/>
      <c r="J307" s="19"/>
      <c r="K307" s="19"/>
      <c r="L307" s="229"/>
    </row>
    <row r="308">
      <c r="A308" s="536"/>
      <c r="B308" s="525"/>
      <c r="C308" s="526"/>
      <c r="D308" s="537"/>
      <c r="J308" s="19"/>
      <c r="K308" s="19"/>
      <c r="L308" s="229"/>
    </row>
    <row r="309">
      <c r="A309" s="536"/>
      <c r="B309" s="525"/>
      <c r="C309" s="526"/>
      <c r="D309" s="537"/>
      <c r="J309" s="19"/>
      <c r="K309" s="19"/>
      <c r="L309" s="229"/>
    </row>
    <row r="310">
      <c r="A310" s="536"/>
      <c r="B310" s="525"/>
      <c r="C310" s="526"/>
      <c r="D310" s="537"/>
      <c r="J310" s="19"/>
      <c r="K310" s="19"/>
      <c r="L310" s="229"/>
    </row>
    <row r="311">
      <c r="A311" s="536"/>
      <c r="B311" s="525"/>
      <c r="C311" s="526"/>
      <c r="D311" s="537"/>
      <c r="J311" s="19"/>
      <c r="K311" s="19"/>
      <c r="L311" s="229"/>
    </row>
    <row r="312">
      <c r="A312" s="536"/>
      <c r="B312" s="525"/>
      <c r="C312" s="526"/>
      <c r="D312" s="537"/>
      <c r="J312" s="19"/>
      <c r="K312" s="19"/>
      <c r="L312" s="229"/>
    </row>
    <row r="313">
      <c r="A313" s="536"/>
      <c r="B313" s="525"/>
      <c r="C313" s="526"/>
      <c r="D313" s="537"/>
      <c r="J313" s="19"/>
      <c r="K313" s="19"/>
      <c r="L313" s="229"/>
    </row>
    <row r="314">
      <c r="A314" s="536"/>
      <c r="B314" s="525"/>
      <c r="C314" s="526"/>
      <c r="D314" s="537"/>
      <c r="J314" s="19"/>
      <c r="K314" s="19"/>
      <c r="L314" s="229"/>
    </row>
    <row r="315">
      <c r="A315" s="536"/>
      <c r="B315" s="525"/>
      <c r="C315" s="526"/>
      <c r="D315" s="537"/>
      <c r="J315" s="19"/>
      <c r="K315" s="19"/>
      <c r="L315" s="229"/>
    </row>
    <row r="316">
      <c r="A316" s="536"/>
      <c r="B316" s="525"/>
      <c r="C316" s="526"/>
      <c r="D316" s="537"/>
      <c r="J316" s="19"/>
      <c r="K316" s="19"/>
      <c r="L316" s="229"/>
    </row>
    <row r="317">
      <c r="A317" s="536"/>
      <c r="B317" s="525"/>
      <c r="C317" s="526"/>
      <c r="D317" s="537"/>
      <c r="J317" s="19"/>
      <c r="K317" s="19"/>
      <c r="L317" s="229"/>
    </row>
    <row r="318">
      <c r="A318" s="536"/>
      <c r="B318" s="525"/>
      <c r="C318" s="526"/>
      <c r="D318" s="537"/>
      <c r="J318" s="19"/>
      <c r="K318" s="19"/>
      <c r="L318" s="229"/>
    </row>
    <row r="319">
      <c r="A319" s="536"/>
      <c r="B319" s="525"/>
      <c r="C319" s="526"/>
      <c r="D319" s="537"/>
      <c r="J319" s="19"/>
      <c r="K319" s="19"/>
      <c r="L319" s="229"/>
    </row>
    <row r="320">
      <c r="A320" s="536"/>
      <c r="B320" s="525"/>
      <c r="C320" s="526"/>
      <c r="D320" s="537"/>
      <c r="J320" s="19"/>
      <c r="K320" s="19"/>
      <c r="L320" s="229"/>
    </row>
    <row r="321">
      <c r="A321" s="536"/>
      <c r="B321" s="525"/>
      <c r="C321" s="526"/>
      <c r="D321" s="537"/>
      <c r="J321" s="19"/>
      <c r="K321" s="19"/>
      <c r="L321" s="229"/>
    </row>
    <row r="322">
      <c r="A322" s="536"/>
      <c r="B322" s="525"/>
      <c r="C322" s="526"/>
      <c r="D322" s="537"/>
      <c r="J322" s="19"/>
      <c r="K322" s="19"/>
      <c r="L322" s="229"/>
    </row>
    <row r="323">
      <c r="A323" s="536"/>
      <c r="B323" s="525"/>
      <c r="C323" s="526"/>
      <c r="D323" s="537"/>
      <c r="J323" s="19"/>
      <c r="K323" s="19"/>
      <c r="L323" s="229"/>
    </row>
    <row r="324">
      <c r="A324" s="536"/>
      <c r="B324" s="525"/>
      <c r="C324" s="526"/>
      <c r="D324" s="537"/>
      <c r="J324" s="19"/>
      <c r="K324" s="19"/>
      <c r="L324" s="229"/>
    </row>
    <row r="325">
      <c r="A325" s="536"/>
      <c r="B325" s="525"/>
      <c r="C325" s="526"/>
      <c r="D325" s="537"/>
      <c r="J325" s="19"/>
      <c r="K325" s="19"/>
      <c r="L325" s="229"/>
    </row>
    <row r="326">
      <c r="A326" s="536"/>
      <c r="B326" s="525"/>
      <c r="C326" s="526"/>
      <c r="D326" s="537"/>
      <c r="J326" s="19"/>
      <c r="K326" s="19"/>
      <c r="L326" s="229"/>
    </row>
    <row r="327">
      <c r="A327" s="536"/>
      <c r="B327" s="525"/>
      <c r="C327" s="526"/>
      <c r="D327" s="537"/>
      <c r="J327" s="19"/>
      <c r="K327" s="19"/>
      <c r="L327" s="229"/>
    </row>
    <row r="328">
      <c r="A328" s="536"/>
      <c r="B328" s="525"/>
      <c r="C328" s="526"/>
      <c r="D328" s="537"/>
      <c r="J328" s="19"/>
      <c r="K328" s="19"/>
      <c r="L328" s="229"/>
    </row>
    <row r="329">
      <c r="A329" s="536"/>
      <c r="B329" s="525"/>
      <c r="C329" s="526"/>
      <c r="D329" s="537"/>
      <c r="J329" s="19"/>
      <c r="K329" s="19"/>
      <c r="L329" s="229"/>
    </row>
    <row r="330">
      <c r="A330" s="536"/>
      <c r="B330" s="525"/>
      <c r="C330" s="526"/>
      <c r="D330" s="537"/>
      <c r="J330" s="19"/>
      <c r="K330" s="19"/>
      <c r="L330" s="229"/>
    </row>
    <row r="331">
      <c r="A331" s="536"/>
      <c r="B331" s="525"/>
      <c r="C331" s="526"/>
      <c r="D331" s="537"/>
      <c r="J331" s="19"/>
      <c r="K331" s="19"/>
      <c r="L331" s="229"/>
    </row>
    <row r="332">
      <c r="A332" s="536"/>
      <c r="B332" s="525"/>
      <c r="C332" s="526"/>
      <c r="D332" s="537"/>
      <c r="J332" s="19"/>
      <c r="K332" s="19"/>
      <c r="L332" s="229"/>
    </row>
    <row r="333">
      <c r="A333" s="536"/>
      <c r="B333" s="525"/>
      <c r="C333" s="526"/>
      <c r="D333" s="537"/>
      <c r="J333" s="19"/>
      <c r="K333" s="19"/>
      <c r="L333" s="229"/>
    </row>
    <row r="334">
      <c r="A334" s="536"/>
      <c r="B334" s="525"/>
      <c r="C334" s="526"/>
      <c r="D334" s="537"/>
      <c r="J334" s="19"/>
      <c r="K334" s="19"/>
      <c r="L334" s="229"/>
    </row>
    <row r="335">
      <c r="A335" s="536"/>
      <c r="B335" s="525"/>
      <c r="C335" s="526"/>
      <c r="D335" s="537"/>
      <c r="J335" s="19"/>
      <c r="K335" s="19"/>
      <c r="L335" s="229"/>
    </row>
    <row r="336">
      <c r="A336" s="536"/>
      <c r="B336" s="525"/>
      <c r="C336" s="526"/>
      <c r="D336" s="537"/>
      <c r="J336" s="19"/>
      <c r="K336" s="19"/>
      <c r="L336" s="229"/>
    </row>
    <row r="337">
      <c r="A337" s="536"/>
      <c r="B337" s="525"/>
      <c r="C337" s="526"/>
      <c r="D337" s="537"/>
      <c r="J337" s="19"/>
      <c r="K337" s="19"/>
      <c r="L337" s="229"/>
    </row>
    <row r="338">
      <c r="A338" s="536"/>
      <c r="B338" s="525"/>
      <c r="C338" s="526"/>
      <c r="D338" s="537"/>
      <c r="J338" s="19"/>
      <c r="K338" s="19"/>
      <c r="L338" s="229"/>
    </row>
    <row r="339">
      <c r="A339" s="536"/>
      <c r="B339" s="525"/>
      <c r="C339" s="526"/>
      <c r="D339" s="537"/>
      <c r="J339" s="19"/>
      <c r="K339" s="19"/>
      <c r="L339" s="229"/>
    </row>
    <row r="340">
      <c r="A340" s="536"/>
      <c r="B340" s="525"/>
      <c r="C340" s="526"/>
      <c r="D340" s="537"/>
      <c r="J340" s="19"/>
      <c r="K340" s="19"/>
      <c r="L340" s="229"/>
    </row>
    <row r="341">
      <c r="A341" s="536"/>
      <c r="B341" s="525"/>
      <c r="C341" s="526"/>
      <c r="D341" s="537"/>
      <c r="J341" s="19"/>
      <c r="K341" s="19"/>
      <c r="L341" s="229"/>
    </row>
    <row r="342">
      <c r="A342" s="536"/>
      <c r="B342" s="525"/>
      <c r="C342" s="526"/>
      <c r="D342" s="537"/>
      <c r="J342" s="19"/>
      <c r="K342" s="19"/>
      <c r="L342" s="229"/>
    </row>
    <row r="343">
      <c r="A343" s="536"/>
      <c r="B343" s="525"/>
      <c r="C343" s="526"/>
      <c r="D343" s="537"/>
      <c r="J343" s="19"/>
      <c r="K343" s="19"/>
      <c r="L343" s="229"/>
    </row>
    <row r="344">
      <c r="A344" s="536"/>
      <c r="B344" s="525"/>
      <c r="C344" s="526"/>
      <c r="D344" s="537"/>
      <c r="J344" s="19"/>
      <c r="K344" s="19"/>
      <c r="L344" s="229"/>
    </row>
    <row r="345">
      <c r="A345" s="536"/>
      <c r="B345" s="525"/>
      <c r="C345" s="526"/>
      <c r="D345" s="537"/>
      <c r="J345" s="19"/>
      <c r="K345" s="19"/>
      <c r="L345" s="229"/>
    </row>
    <row r="346">
      <c r="A346" s="536"/>
      <c r="B346" s="525"/>
      <c r="C346" s="526"/>
      <c r="D346" s="537"/>
      <c r="J346" s="19"/>
      <c r="K346" s="19"/>
      <c r="L346" s="229"/>
    </row>
    <row r="347">
      <c r="A347" s="536"/>
      <c r="B347" s="525"/>
      <c r="C347" s="526"/>
      <c r="D347" s="537"/>
      <c r="J347" s="19"/>
      <c r="K347" s="19"/>
      <c r="L347" s="229"/>
    </row>
    <row r="348">
      <c r="A348" s="536"/>
      <c r="B348" s="525"/>
      <c r="C348" s="526"/>
      <c r="D348" s="537"/>
      <c r="J348" s="19"/>
      <c r="K348" s="19"/>
      <c r="L348" s="229"/>
    </row>
    <row r="349">
      <c r="A349" s="536"/>
      <c r="B349" s="525"/>
      <c r="C349" s="526"/>
      <c r="D349" s="537"/>
      <c r="J349" s="19"/>
      <c r="K349" s="19"/>
      <c r="L349" s="229"/>
    </row>
    <row r="350">
      <c r="A350" s="536"/>
      <c r="B350" s="525"/>
      <c r="C350" s="526"/>
      <c r="D350" s="537"/>
      <c r="J350" s="19"/>
      <c r="K350" s="19"/>
      <c r="L350" s="229"/>
    </row>
    <row r="351">
      <c r="A351" s="536"/>
      <c r="B351" s="525"/>
      <c r="C351" s="526"/>
      <c r="D351" s="537"/>
      <c r="J351" s="19"/>
      <c r="K351" s="19"/>
      <c r="L351" s="229"/>
    </row>
    <row r="352">
      <c r="A352" s="536"/>
      <c r="B352" s="525"/>
      <c r="C352" s="526"/>
      <c r="D352" s="537"/>
      <c r="J352" s="19"/>
      <c r="K352" s="19"/>
      <c r="L352" s="229"/>
    </row>
    <row r="353">
      <c r="A353" s="536"/>
      <c r="B353" s="525"/>
      <c r="C353" s="526"/>
      <c r="D353" s="537"/>
      <c r="J353" s="19"/>
      <c r="K353" s="19"/>
      <c r="L353" s="229"/>
    </row>
    <row r="354">
      <c r="A354" s="536"/>
      <c r="B354" s="525"/>
      <c r="C354" s="526"/>
      <c r="D354" s="537"/>
      <c r="J354" s="19"/>
      <c r="K354" s="19"/>
      <c r="L354" s="229"/>
    </row>
    <row r="355">
      <c r="A355" s="536"/>
      <c r="B355" s="525"/>
      <c r="C355" s="526"/>
      <c r="D355" s="537"/>
      <c r="J355" s="19"/>
      <c r="K355" s="19"/>
      <c r="L355" s="229"/>
    </row>
    <row r="356">
      <c r="A356" s="536"/>
      <c r="B356" s="525"/>
      <c r="C356" s="526"/>
      <c r="D356" s="537"/>
      <c r="J356" s="19"/>
      <c r="K356" s="19"/>
      <c r="L356" s="229"/>
    </row>
    <row r="357">
      <c r="A357" s="536"/>
      <c r="B357" s="525"/>
      <c r="C357" s="526"/>
      <c r="D357" s="537"/>
      <c r="J357" s="19"/>
      <c r="K357" s="19"/>
      <c r="L357" s="229"/>
    </row>
    <row r="358">
      <c r="A358" s="536"/>
      <c r="B358" s="525"/>
      <c r="C358" s="526"/>
      <c r="D358" s="537"/>
      <c r="J358" s="19"/>
      <c r="K358" s="19"/>
      <c r="L358" s="229"/>
    </row>
    <row r="359">
      <c r="A359" s="536"/>
      <c r="B359" s="525"/>
      <c r="C359" s="526"/>
      <c r="D359" s="537"/>
      <c r="J359" s="19"/>
      <c r="K359" s="19"/>
      <c r="L359" s="229"/>
    </row>
    <row r="360">
      <c r="A360" s="536"/>
      <c r="B360" s="525"/>
      <c r="C360" s="526"/>
      <c r="D360" s="537"/>
      <c r="J360" s="19"/>
      <c r="K360" s="19"/>
      <c r="L360" s="229"/>
    </row>
    <row r="361">
      <c r="A361" s="536"/>
      <c r="B361" s="525"/>
      <c r="C361" s="526"/>
      <c r="D361" s="537"/>
      <c r="J361" s="19"/>
      <c r="K361" s="19"/>
      <c r="L361" s="229"/>
    </row>
    <row r="362">
      <c r="A362" s="536"/>
      <c r="B362" s="525"/>
      <c r="C362" s="526"/>
      <c r="D362" s="537"/>
      <c r="J362" s="19"/>
      <c r="K362" s="19"/>
      <c r="L362" s="229"/>
    </row>
    <row r="363">
      <c r="A363" s="536"/>
      <c r="B363" s="525"/>
      <c r="C363" s="526"/>
      <c r="D363" s="537"/>
      <c r="J363" s="19"/>
      <c r="K363" s="19"/>
      <c r="L363" s="229"/>
    </row>
    <row r="364">
      <c r="A364" s="536"/>
      <c r="B364" s="525"/>
      <c r="C364" s="526"/>
      <c r="D364" s="537"/>
      <c r="J364" s="19"/>
      <c r="K364" s="19"/>
      <c r="L364" s="229"/>
    </row>
    <row r="365">
      <c r="A365" s="536"/>
      <c r="B365" s="525"/>
      <c r="C365" s="526"/>
      <c r="D365" s="537"/>
      <c r="J365" s="19"/>
      <c r="K365" s="19"/>
      <c r="L365" s="229"/>
    </row>
    <row r="366">
      <c r="A366" s="536"/>
      <c r="B366" s="525"/>
      <c r="C366" s="526"/>
      <c r="D366" s="537"/>
      <c r="J366" s="19"/>
      <c r="K366" s="19"/>
      <c r="L366" s="229"/>
    </row>
    <row r="367">
      <c r="A367" s="536"/>
      <c r="B367" s="525"/>
      <c r="C367" s="526"/>
      <c r="D367" s="537"/>
      <c r="J367" s="19"/>
      <c r="K367" s="19"/>
      <c r="L367" s="229"/>
    </row>
    <row r="368">
      <c r="A368" s="536"/>
      <c r="B368" s="525"/>
      <c r="C368" s="526"/>
      <c r="D368" s="537"/>
      <c r="J368" s="19"/>
      <c r="K368" s="19"/>
      <c r="L368" s="229"/>
    </row>
    <row r="369">
      <c r="A369" s="536"/>
      <c r="B369" s="525"/>
      <c r="C369" s="526"/>
      <c r="D369" s="537"/>
      <c r="J369" s="19"/>
      <c r="K369" s="19"/>
      <c r="L369" s="229"/>
    </row>
    <row r="370">
      <c r="A370" s="536"/>
      <c r="B370" s="525"/>
      <c r="C370" s="526"/>
      <c r="D370" s="537"/>
      <c r="J370" s="19"/>
      <c r="K370" s="19"/>
      <c r="L370" s="229"/>
    </row>
    <row r="371">
      <c r="A371" s="536"/>
      <c r="B371" s="525"/>
      <c r="C371" s="526"/>
      <c r="D371" s="537"/>
      <c r="J371" s="19"/>
      <c r="K371" s="19"/>
      <c r="L371" s="229"/>
    </row>
    <row r="372">
      <c r="A372" s="536"/>
      <c r="B372" s="525"/>
      <c r="C372" s="526"/>
      <c r="D372" s="537"/>
      <c r="J372" s="19"/>
      <c r="K372" s="19"/>
      <c r="L372" s="229"/>
    </row>
    <row r="373">
      <c r="A373" s="536"/>
      <c r="B373" s="525"/>
      <c r="C373" s="526"/>
      <c r="D373" s="537"/>
      <c r="J373" s="19"/>
      <c r="K373" s="19"/>
      <c r="L373" s="229"/>
    </row>
    <row r="374">
      <c r="A374" s="536"/>
      <c r="B374" s="525"/>
      <c r="C374" s="526"/>
      <c r="D374" s="537"/>
      <c r="J374" s="19"/>
      <c r="K374" s="19"/>
      <c r="L374" s="229"/>
    </row>
    <row r="375">
      <c r="A375" s="536"/>
      <c r="B375" s="525"/>
      <c r="C375" s="526"/>
      <c r="D375" s="537"/>
      <c r="J375" s="19"/>
      <c r="K375" s="19"/>
      <c r="L375" s="229"/>
    </row>
    <row r="376">
      <c r="A376" s="536"/>
      <c r="B376" s="525"/>
      <c r="C376" s="526"/>
      <c r="D376" s="537"/>
      <c r="J376" s="19"/>
      <c r="K376" s="19"/>
      <c r="L376" s="229"/>
    </row>
    <row r="377">
      <c r="A377" s="536"/>
      <c r="B377" s="525"/>
      <c r="C377" s="526"/>
      <c r="D377" s="537"/>
      <c r="J377" s="19"/>
      <c r="K377" s="19"/>
      <c r="L377" s="229"/>
    </row>
    <row r="378">
      <c r="A378" s="536"/>
      <c r="B378" s="525"/>
      <c r="C378" s="526"/>
      <c r="D378" s="537"/>
      <c r="J378" s="19"/>
      <c r="K378" s="19"/>
      <c r="L378" s="229"/>
    </row>
    <row r="379">
      <c r="A379" s="536"/>
      <c r="B379" s="525"/>
      <c r="C379" s="526"/>
      <c r="D379" s="537"/>
      <c r="J379" s="19"/>
      <c r="K379" s="19"/>
      <c r="L379" s="229"/>
    </row>
    <row r="380">
      <c r="A380" s="536"/>
      <c r="B380" s="525"/>
      <c r="C380" s="526"/>
      <c r="D380" s="537"/>
      <c r="J380" s="19"/>
      <c r="K380" s="19"/>
      <c r="L380" s="229"/>
    </row>
    <row r="381">
      <c r="A381" s="536"/>
      <c r="B381" s="525"/>
      <c r="C381" s="526"/>
      <c r="D381" s="537"/>
      <c r="J381" s="19"/>
      <c r="K381" s="19"/>
      <c r="L381" s="229"/>
    </row>
    <row r="382">
      <c r="A382" s="536"/>
      <c r="B382" s="525"/>
      <c r="C382" s="526"/>
      <c r="D382" s="537"/>
      <c r="J382" s="19"/>
      <c r="K382" s="19"/>
      <c r="L382" s="229"/>
    </row>
    <row r="383">
      <c r="A383" s="536"/>
      <c r="B383" s="525"/>
      <c r="C383" s="526"/>
      <c r="D383" s="537"/>
      <c r="J383" s="19"/>
      <c r="K383" s="19"/>
      <c r="L383" s="229"/>
    </row>
    <row r="384">
      <c r="A384" s="536"/>
      <c r="B384" s="525"/>
      <c r="C384" s="526"/>
      <c r="D384" s="537"/>
      <c r="J384" s="19"/>
      <c r="K384" s="19"/>
      <c r="L384" s="229"/>
    </row>
    <row r="385">
      <c r="A385" s="536"/>
      <c r="B385" s="525"/>
      <c r="C385" s="526"/>
      <c r="D385" s="537"/>
      <c r="J385" s="19"/>
      <c r="K385" s="19"/>
      <c r="L385" s="229"/>
    </row>
    <row r="386">
      <c r="A386" s="536"/>
      <c r="B386" s="525"/>
      <c r="C386" s="526"/>
      <c r="D386" s="537"/>
      <c r="J386" s="19"/>
      <c r="K386" s="19"/>
      <c r="L386" s="229"/>
    </row>
    <row r="387">
      <c r="A387" s="536"/>
      <c r="B387" s="525"/>
      <c r="C387" s="526"/>
      <c r="D387" s="537"/>
      <c r="J387" s="19"/>
      <c r="K387" s="19"/>
      <c r="L387" s="229"/>
    </row>
    <row r="388">
      <c r="A388" s="536"/>
      <c r="B388" s="525"/>
      <c r="C388" s="526"/>
      <c r="D388" s="537"/>
      <c r="J388" s="19"/>
      <c r="K388" s="19"/>
      <c r="L388" s="229"/>
    </row>
    <row r="389">
      <c r="A389" s="536"/>
      <c r="B389" s="525"/>
      <c r="C389" s="526"/>
      <c r="D389" s="537"/>
      <c r="J389" s="19"/>
      <c r="K389" s="19"/>
      <c r="L389" s="229"/>
    </row>
    <row r="390">
      <c r="A390" s="536"/>
      <c r="B390" s="525"/>
      <c r="C390" s="526"/>
      <c r="D390" s="537"/>
      <c r="J390" s="19"/>
      <c r="K390" s="19"/>
      <c r="L390" s="229"/>
    </row>
    <row r="391">
      <c r="A391" s="536"/>
      <c r="B391" s="525"/>
      <c r="C391" s="526"/>
      <c r="D391" s="537"/>
      <c r="J391" s="19"/>
      <c r="K391" s="19"/>
      <c r="L391" s="229"/>
    </row>
    <row r="392">
      <c r="A392" s="536"/>
      <c r="B392" s="525"/>
      <c r="C392" s="526"/>
      <c r="D392" s="537"/>
      <c r="J392" s="19"/>
      <c r="K392" s="19"/>
      <c r="L392" s="229"/>
    </row>
    <row r="393">
      <c r="A393" s="536"/>
      <c r="B393" s="525"/>
      <c r="C393" s="526"/>
      <c r="D393" s="537"/>
      <c r="J393" s="19"/>
      <c r="K393" s="19"/>
      <c r="L393" s="229"/>
    </row>
    <row r="394">
      <c r="A394" s="536"/>
      <c r="B394" s="525"/>
      <c r="C394" s="526"/>
      <c r="D394" s="537"/>
      <c r="J394" s="19"/>
      <c r="K394" s="19"/>
      <c r="L394" s="229"/>
    </row>
    <row r="395">
      <c r="A395" s="536"/>
      <c r="B395" s="525"/>
      <c r="C395" s="526"/>
      <c r="D395" s="537"/>
      <c r="J395" s="19"/>
      <c r="K395" s="19"/>
      <c r="L395" s="229"/>
    </row>
    <row r="396">
      <c r="A396" s="536"/>
      <c r="B396" s="525"/>
      <c r="C396" s="526"/>
      <c r="D396" s="537"/>
      <c r="J396" s="19"/>
      <c r="K396" s="19"/>
      <c r="L396" s="229"/>
    </row>
    <row r="397">
      <c r="A397" s="536"/>
      <c r="B397" s="525"/>
      <c r="C397" s="526"/>
      <c r="D397" s="537"/>
      <c r="J397" s="19"/>
      <c r="K397" s="19"/>
      <c r="L397" s="229"/>
    </row>
    <row r="398">
      <c r="A398" s="536"/>
      <c r="B398" s="525"/>
      <c r="C398" s="526"/>
      <c r="D398" s="537"/>
      <c r="J398" s="19"/>
      <c r="K398" s="19"/>
      <c r="L398" s="229"/>
    </row>
    <row r="399">
      <c r="A399" s="536"/>
      <c r="B399" s="525"/>
      <c r="C399" s="526"/>
      <c r="D399" s="537"/>
      <c r="J399" s="19"/>
      <c r="K399" s="19"/>
      <c r="L399" s="229"/>
    </row>
    <row r="400">
      <c r="A400" s="536"/>
      <c r="B400" s="525"/>
      <c r="C400" s="526"/>
      <c r="D400" s="537"/>
      <c r="J400" s="19"/>
      <c r="K400" s="19"/>
      <c r="L400" s="229"/>
    </row>
    <row r="401">
      <c r="A401" s="536"/>
      <c r="B401" s="525"/>
      <c r="C401" s="526"/>
      <c r="D401" s="537"/>
      <c r="J401" s="19"/>
      <c r="K401" s="19"/>
      <c r="L401" s="229"/>
    </row>
    <row r="402">
      <c r="A402" s="536"/>
      <c r="B402" s="525"/>
      <c r="C402" s="526"/>
      <c r="D402" s="537"/>
      <c r="J402" s="19"/>
      <c r="K402" s="19"/>
      <c r="L402" s="229"/>
    </row>
    <row r="403">
      <c r="A403" s="536"/>
      <c r="B403" s="525"/>
      <c r="C403" s="526"/>
      <c r="D403" s="537"/>
      <c r="J403" s="19"/>
      <c r="K403" s="19"/>
      <c r="L403" s="229"/>
    </row>
    <row r="404">
      <c r="A404" s="536"/>
      <c r="B404" s="525"/>
      <c r="C404" s="526"/>
      <c r="D404" s="537"/>
      <c r="J404" s="19"/>
      <c r="K404" s="19"/>
      <c r="L404" s="229"/>
    </row>
    <row r="405">
      <c r="A405" s="536"/>
      <c r="B405" s="525"/>
      <c r="C405" s="526"/>
      <c r="D405" s="537"/>
      <c r="J405" s="19"/>
      <c r="K405" s="19"/>
      <c r="L405" s="229"/>
    </row>
    <row r="406">
      <c r="A406" s="536"/>
      <c r="B406" s="525"/>
      <c r="C406" s="526"/>
      <c r="D406" s="537"/>
      <c r="J406" s="19"/>
      <c r="K406" s="19"/>
      <c r="L406" s="229"/>
    </row>
    <row r="407">
      <c r="A407" s="536"/>
      <c r="B407" s="525"/>
      <c r="C407" s="526"/>
      <c r="D407" s="537"/>
      <c r="J407" s="19"/>
      <c r="K407" s="19"/>
      <c r="L407" s="229"/>
    </row>
    <row r="408">
      <c r="A408" s="536"/>
      <c r="B408" s="525"/>
      <c r="C408" s="526"/>
      <c r="D408" s="537"/>
      <c r="J408" s="19"/>
      <c r="K408" s="19"/>
      <c r="L408" s="229"/>
    </row>
    <row r="409">
      <c r="A409" s="536"/>
      <c r="B409" s="525"/>
      <c r="C409" s="526"/>
      <c r="D409" s="537"/>
      <c r="J409" s="19"/>
      <c r="K409" s="19"/>
      <c r="L409" s="229"/>
    </row>
    <row r="410">
      <c r="A410" s="536"/>
      <c r="B410" s="525"/>
      <c r="C410" s="526"/>
      <c r="D410" s="537"/>
      <c r="J410" s="19"/>
      <c r="K410" s="19"/>
      <c r="L410" s="229"/>
    </row>
    <row r="411">
      <c r="A411" s="536"/>
      <c r="B411" s="525"/>
      <c r="C411" s="526"/>
      <c r="D411" s="537"/>
      <c r="J411" s="19"/>
      <c r="K411" s="19"/>
      <c r="L411" s="229"/>
    </row>
    <row r="412">
      <c r="A412" s="536"/>
      <c r="B412" s="525"/>
      <c r="C412" s="526"/>
      <c r="D412" s="537"/>
      <c r="J412" s="19"/>
      <c r="K412" s="19"/>
      <c r="L412" s="229"/>
    </row>
    <row r="413">
      <c r="A413" s="536"/>
      <c r="B413" s="525"/>
      <c r="C413" s="526"/>
      <c r="D413" s="537"/>
      <c r="J413" s="19"/>
      <c r="K413" s="19"/>
      <c r="L413" s="229"/>
    </row>
    <row r="414">
      <c r="A414" s="536"/>
      <c r="B414" s="525"/>
      <c r="C414" s="526"/>
      <c r="D414" s="537"/>
      <c r="J414" s="19"/>
      <c r="K414" s="19"/>
      <c r="L414" s="229"/>
    </row>
    <row r="415">
      <c r="A415" s="536"/>
      <c r="B415" s="525"/>
      <c r="C415" s="526"/>
      <c r="D415" s="537"/>
      <c r="J415" s="19"/>
      <c r="K415" s="19"/>
      <c r="L415" s="229"/>
    </row>
    <row r="416">
      <c r="A416" s="536"/>
      <c r="B416" s="525"/>
      <c r="C416" s="526"/>
      <c r="D416" s="537"/>
      <c r="J416" s="19"/>
      <c r="K416" s="19"/>
      <c r="L416" s="229"/>
    </row>
    <row r="417">
      <c r="A417" s="536"/>
      <c r="B417" s="525"/>
      <c r="C417" s="526"/>
      <c r="D417" s="537"/>
      <c r="J417" s="19"/>
      <c r="K417" s="19"/>
      <c r="L417" s="229"/>
    </row>
    <row r="418">
      <c r="A418" s="536"/>
      <c r="B418" s="525"/>
      <c r="C418" s="526"/>
      <c r="D418" s="537"/>
      <c r="J418" s="19"/>
      <c r="K418" s="19"/>
      <c r="L418" s="229"/>
    </row>
    <row r="419">
      <c r="A419" s="536"/>
      <c r="B419" s="525"/>
      <c r="C419" s="526"/>
      <c r="D419" s="537"/>
      <c r="J419" s="19"/>
      <c r="K419" s="19"/>
      <c r="L419" s="229"/>
    </row>
    <row r="420">
      <c r="A420" s="536"/>
      <c r="B420" s="525"/>
      <c r="C420" s="526"/>
      <c r="D420" s="537"/>
      <c r="J420" s="19"/>
      <c r="K420" s="19"/>
      <c r="L420" s="229"/>
    </row>
    <row r="421">
      <c r="A421" s="536"/>
      <c r="B421" s="525"/>
      <c r="C421" s="526"/>
      <c r="D421" s="537"/>
      <c r="J421" s="19"/>
      <c r="K421" s="19"/>
      <c r="L421" s="229"/>
    </row>
    <row r="422">
      <c r="A422" s="536"/>
      <c r="B422" s="525"/>
      <c r="C422" s="526"/>
      <c r="D422" s="537"/>
      <c r="J422" s="19"/>
      <c r="K422" s="19"/>
      <c r="L422" s="229"/>
    </row>
    <row r="423">
      <c r="A423" s="536"/>
      <c r="B423" s="525"/>
      <c r="C423" s="526"/>
      <c r="D423" s="537"/>
      <c r="J423" s="19"/>
      <c r="K423" s="19"/>
      <c r="L423" s="229"/>
    </row>
    <row r="424">
      <c r="A424" s="536"/>
      <c r="B424" s="525"/>
      <c r="C424" s="526"/>
      <c r="D424" s="537"/>
      <c r="J424" s="19"/>
      <c r="K424" s="19"/>
      <c r="L424" s="229"/>
    </row>
    <row r="425">
      <c r="A425" s="536"/>
      <c r="B425" s="525"/>
      <c r="C425" s="526"/>
      <c r="D425" s="537"/>
      <c r="J425" s="19"/>
      <c r="K425" s="19"/>
      <c r="L425" s="229"/>
    </row>
    <row r="426">
      <c r="A426" s="536"/>
      <c r="B426" s="525"/>
      <c r="C426" s="526"/>
      <c r="D426" s="537"/>
      <c r="J426" s="19"/>
      <c r="K426" s="19"/>
      <c r="L426" s="229"/>
    </row>
    <row r="427">
      <c r="A427" s="536"/>
      <c r="B427" s="525"/>
      <c r="C427" s="526"/>
      <c r="D427" s="537"/>
      <c r="J427" s="19"/>
      <c r="K427" s="19"/>
      <c r="L427" s="229"/>
    </row>
    <row r="428">
      <c r="A428" s="536"/>
      <c r="B428" s="525"/>
      <c r="C428" s="526"/>
      <c r="D428" s="537"/>
      <c r="J428" s="19"/>
      <c r="K428" s="19"/>
      <c r="L428" s="229"/>
    </row>
    <row r="429">
      <c r="A429" s="536"/>
      <c r="B429" s="525"/>
      <c r="C429" s="526"/>
      <c r="D429" s="537"/>
      <c r="J429" s="19"/>
      <c r="K429" s="19"/>
      <c r="L429" s="229"/>
    </row>
    <row r="430">
      <c r="A430" s="536"/>
      <c r="B430" s="525"/>
      <c r="C430" s="526"/>
      <c r="D430" s="537"/>
      <c r="J430" s="19"/>
      <c r="K430" s="19"/>
      <c r="L430" s="229"/>
    </row>
    <row r="431">
      <c r="A431" s="536"/>
      <c r="B431" s="525"/>
      <c r="C431" s="526"/>
      <c r="D431" s="537"/>
      <c r="J431" s="19"/>
      <c r="K431" s="19"/>
      <c r="L431" s="229"/>
    </row>
    <row r="432">
      <c r="A432" s="536"/>
      <c r="B432" s="525"/>
      <c r="C432" s="526"/>
      <c r="D432" s="537"/>
      <c r="J432" s="19"/>
      <c r="K432" s="19"/>
      <c r="L432" s="229"/>
    </row>
    <row r="433">
      <c r="A433" s="536"/>
      <c r="B433" s="525"/>
      <c r="C433" s="526"/>
      <c r="D433" s="537"/>
      <c r="J433" s="19"/>
      <c r="K433" s="19"/>
      <c r="L433" s="229"/>
    </row>
    <row r="434">
      <c r="A434" s="536"/>
      <c r="B434" s="525"/>
      <c r="C434" s="526"/>
      <c r="D434" s="537"/>
      <c r="J434" s="19"/>
      <c r="K434" s="19"/>
      <c r="L434" s="229"/>
    </row>
    <row r="435">
      <c r="A435" s="536"/>
      <c r="B435" s="525"/>
      <c r="C435" s="526"/>
      <c r="D435" s="537"/>
      <c r="J435" s="19"/>
      <c r="K435" s="19"/>
      <c r="L435" s="229"/>
    </row>
    <row r="436">
      <c r="A436" s="536"/>
      <c r="B436" s="525"/>
      <c r="C436" s="526"/>
      <c r="D436" s="537"/>
      <c r="J436" s="19"/>
      <c r="K436" s="19"/>
      <c r="L436" s="229"/>
    </row>
    <row r="437">
      <c r="A437" s="536"/>
      <c r="B437" s="525"/>
      <c r="C437" s="526"/>
      <c r="D437" s="537"/>
      <c r="J437" s="19"/>
      <c r="K437" s="19"/>
      <c r="L437" s="229"/>
    </row>
    <row r="438">
      <c r="A438" s="536"/>
      <c r="B438" s="525"/>
      <c r="C438" s="526"/>
      <c r="D438" s="537"/>
      <c r="J438" s="19"/>
      <c r="K438" s="19"/>
      <c r="L438" s="229"/>
    </row>
    <row r="439">
      <c r="A439" s="536"/>
      <c r="B439" s="525"/>
      <c r="C439" s="526"/>
      <c r="D439" s="537"/>
      <c r="J439" s="19"/>
      <c r="K439" s="19"/>
      <c r="L439" s="229"/>
    </row>
    <row r="440">
      <c r="A440" s="536"/>
      <c r="B440" s="525"/>
      <c r="C440" s="526"/>
      <c r="D440" s="537"/>
      <c r="J440" s="19"/>
      <c r="K440" s="19"/>
      <c r="L440" s="229"/>
    </row>
    <row r="441">
      <c r="A441" s="536"/>
      <c r="B441" s="525"/>
      <c r="C441" s="526"/>
      <c r="D441" s="537"/>
      <c r="J441" s="19"/>
      <c r="K441" s="19"/>
      <c r="L441" s="229"/>
    </row>
    <row r="442">
      <c r="A442" s="536"/>
      <c r="B442" s="525"/>
      <c r="C442" s="526"/>
      <c r="D442" s="537"/>
      <c r="J442" s="19"/>
      <c r="K442" s="19"/>
      <c r="L442" s="229"/>
    </row>
    <row r="443">
      <c r="A443" s="536"/>
      <c r="B443" s="525"/>
      <c r="C443" s="526"/>
      <c r="D443" s="537"/>
      <c r="J443" s="19"/>
      <c r="K443" s="19"/>
      <c r="L443" s="229"/>
    </row>
    <row r="444">
      <c r="A444" s="536"/>
      <c r="B444" s="525"/>
      <c r="C444" s="526"/>
      <c r="D444" s="537"/>
      <c r="J444" s="19"/>
      <c r="K444" s="19"/>
      <c r="L444" s="229"/>
    </row>
    <row r="445">
      <c r="A445" s="536"/>
      <c r="B445" s="525"/>
      <c r="C445" s="526"/>
      <c r="D445" s="537"/>
      <c r="J445" s="19"/>
      <c r="K445" s="19"/>
      <c r="L445" s="229"/>
    </row>
    <row r="446">
      <c r="A446" s="536"/>
      <c r="B446" s="525"/>
      <c r="C446" s="526"/>
      <c r="D446" s="537"/>
      <c r="J446" s="19"/>
      <c r="K446" s="19"/>
      <c r="L446" s="229"/>
    </row>
    <row r="447">
      <c r="A447" s="536"/>
      <c r="B447" s="525"/>
      <c r="C447" s="526"/>
      <c r="D447" s="537"/>
      <c r="J447" s="19"/>
      <c r="K447" s="19"/>
      <c r="L447" s="229"/>
    </row>
    <row r="448">
      <c r="A448" s="536"/>
      <c r="B448" s="525"/>
      <c r="C448" s="526"/>
      <c r="D448" s="537"/>
      <c r="J448" s="19"/>
      <c r="K448" s="19"/>
      <c r="L448" s="229"/>
    </row>
    <row r="449">
      <c r="A449" s="536"/>
      <c r="B449" s="525"/>
      <c r="C449" s="526"/>
      <c r="D449" s="537"/>
      <c r="J449" s="19"/>
      <c r="K449" s="19"/>
      <c r="L449" s="229"/>
    </row>
    <row r="450">
      <c r="A450" s="536"/>
      <c r="B450" s="525"/>
      <c r="C450" s="526"/>
      <c r="D450" s="537"/>
      <c r="J450" s="19"/>
      <c r="K450" s="19"/>
      <c r="L450" s="229"/>
    </row>
    <row r="451">
      <c r="A451" s="536"/>
      <c r="B451" s="525"/>
      <c r="C451" s="526"/>
      <c r="D451" s="537"/>
      <c r="J451" s="19"/>
      <c r="K451" s="19"/>
      <c r="L451" s="229"/>
    </row>
    <row r="452">
      <c r="A452" s="536"/>
      <c r="B452" s="525"/>
      <c r="C452" s="526"/>
      <c r="D452" s="537"/>
      <c r="J452" s="19"/>
      <c r="K452" s="19"/>
      <c r="L452" s="229"/>
    </row>
    <row r="453">
      <c r="A453" s="536"/>
      <c r="B453" s="525"/>
      <c r="C453" s="526"/>
      <c r="D453" s="537"/>
      <c r="J453" s="19"/>
      <c r="K453" s="19"/>
      <c r="L453" s="229"/>
    </row>
    <row r="454">
      <c r="A454" s="536"/>
      <c r="B454" s="525"/>
      <c r="C454" s="526"/>
      <c r="D454" s="537"/>
      <c r="J454" s="19"/>
      <c r="K454" s="19"/>
      <c r="L454" s="229"/>
    </row>
    <row r="455">
      <c r="A455" s="536"/>
      <c r="B455" s="525"/>
      <c r="C455" s="526"/>
      <c r="D455" s="537"/>
      <c r="J455" s="19"/>
      <c r="K455" s="19"/>
      <c r="L455" s="229"/>
    </row>
    <row r="456">
      <c r="A456" s="536"/>
      <c r="B456" s="525"/>
      <c r="C456" s="526"/>
      <c r="D456" s="537"/>
      <c r="J456" s="19"/>
      <c r="K456" s="19"/>
      <c r="L456" s="229"/>
    </row>
    <row r="457">
      <c r="A457" s="536"/>
      <c r="B457" s="525"/>
      <c r="C457" s="526"/>
      <c r="D457" s="537"/>
      <c r="J457" s="19"/>
      <c r="K457" s="19"/>
      <c r="L457" s="229"/>
    </row>
    <row r="458">
      <c r="A458" s="536"/>
      <c r="B458" s="525"/>
      <c r="C458" s="526"/>
      <c r="D458" s="537"/>
      <c r="J458" s="19"/>
      <c r="K458" s="19"/>
      <c r="L458" s="229"/>
    </row>
    <row r="459">
      <c r="A459" s="536"/>
      <c r="B459" s="525"/>
      <c r="C459" s="526"/>
      <c r="D459" s="537"/>
      <c r="J459" s="19"/>
      <c r="K459" s="19"/>
      <c r="L459" s="229"/>
    </row>
    <row r="460">
      <c r="A460" s="536"/>
      <c r="B460" s="525"/>
      <c r="C460" s="526"/>
      <c r="D460" s="537"/>
      <c r="J460" s="19"/>
      <c r="K460" s="19"/>
      <c r="L460" s="229"/>
    </row>
    <row r="461">
      <c r="A461" s="536"/>
      <c r="B461" s="525"/>
      <c r="C461" s="526"/>
      <c r="D461" s="537"/>
      <c r="J461" s="19"/>
      <c r="K461" s="19"/>
      <c r="L461" s="229"/>
    </row>
    <row r="462">
      <c r="A462" s="536"/>
      <c r="B462" s="525"/>
      <c r="C462" s="526"/>
      <c r="D462" s="537"/>
      <c r="J462" s="19"/>
      <c r="K462" s="19"/>
      <c r="L462" s="229"/>
    </row>
    <row r="463">
      <c r="A463" s="536"/>
      <c r="B463" s="525"/>
      <c r="C463" s="526"/>
      <c r="D463" s="537"/>
      <c r="J463" s="19"/>
      <c r="K463" s="19"/>
      <c r="L463" s="229"/>
    </row>
    <row r="464">
      <c r="A464" s="536"/>
      <c r="B464" s="525"/>
      <c r="C464" s="526"/>
      <c r="D464" s="537"/>
      <c r="J464" s="19"/>
      <c r="K464" s="19"/>
      <c r="L464" s="229"/>
    </row>
    <row r="465">
      <c r="A465" s="536"/>
      <c r="B465" s="525"/>
      <c r="C465" s="526"/>
      <c r="D465" s="537"/>
      <c r="J465" s="19"/>
      <c r="K465" s="19"/>
      <c r="L465" s="229"/>
    </row>
    <row r="466">
      <c r="A466" s="536"/>
      <c r="B466" s="525"/>
      <c r="C466" s="526"/>
      <c r="D466" s="537"/>
      <c r="J466" s="19"/>
      <c r="K466" s="19"/>
      <c r="L466" s="229"/>
    </row>
    <row r="467">
      <c r="A467" s="536"/>
      <c r="B467" s="525"/>
      <c r="C467" s="526"/>
      <c r="D467" s="537"/>
      <c r="J467" s="19"/>
      <c r="K467" s="19"/>
      <c r="L467" s="229"/>
    </row>
    <row r="468">
      <c r="A468" s="536"/>
      <c r="B468" s="525"/>
      <c r="C468" s="526"/>
      <c r="D468" s="537"/>
      <c r="J468" s="19"/>
      <c r="K468" s="19"/>
      <c r="L468" s="229"/>
    </row>
    <row r="469">
      <c r="A469" s="536"/>
      <c r="B469" s="525"/>
      <c r="C469" s="526"/>
      <c r="D469" s="537"/>
      <c r="J469" s="19"/>
      <c r="K469" s="19"/>
      <c r="L469" s="229"/>
    </row>
    <row r="470">
      <c r="A470" s="536"/>
      <c r="B470" s="525"/>
      <c r="C470" s="526"/>
      <c r="D470" s="537"/>
      <c r="J470" s="19"/>
      <c r="K470" s="19"/>
      <c r="L470" s="229"/>
    </row>
    <row r="471">
      <c r="A471" s="536"/>
      <c r="B471" s="525"/>
      <c r="C471" s="526"/>
      <c r="D471" s="537"/>
      <c r="J471" s="19"/>
      <c r="K471" s="19"/>
      <c r="L471" s="229"/>
    </row>
    <row r="472">
      <c r="A472" s="536"/>
      <c r="B472" s="525"/>
      <c r="C472" s="526"/>
      <c r="D472" s="537"/>
      <c r="J472" s="19"/>
      <c r="K472" s="19"/>
      <c r="L472" s="229"/>
    </row>
    <row r="473">
      <c r="A473" s="536"/>
      <c r="B473" s="525"/>
      <c r="C473" s="526"/>
      <c r="D473" s="537"/>
      <c r="J473" s="19"/>
      <c r="K473" s="19"/>
      <c r="L473" s="229"/>
    </row>
    <row r="474">
      <c r="A474" s="536"/>
      <c r="B474" s="525"/>
      <c r="C474" s="526"/>
      <c r="D474" s="537"/>
      <c r="J474" s="19"/>
      <c r="K474" s="19"/>
      <c r="L474" s="229"/>
    </row>
    <row r="475">
      <c r="A475" s="536"/>
      <c r="B475" s="525"/>
      <c r="C475" s="526"/>
      <c r="D475" s="537"/>
      <c r="J475" s="19"/>
      <c r="K475" s="19"/>
      <c r="L475" s="229"/>
    </row>
    <row r="476">
      <c r="A476" s="536"/>
      <c r="B476" s="525"/>
      <c r="C476" s="526"/>
      <c r="D476" s="537"/>
      <c r="J476" s="19"/>
      <c r="K476" s="19"/>
      <c r="L476" s="229"/>
    </row>
    <row r="477">
      <c r="A477" s="536"/>
      <c r="B477" s="525"/>
      <c r="C477" s="526"/>
      <c r="D477" s="537"/>
      <c r="J477" s="19"/>
      <c r="K477" s="19"/>
      <c r="L477" s="229"/>
    </row>
    <row r="478">
      <c r="A478" s="536"/>
      <c r="B478" s="525"/>
      <c r="C478" s="526"/>
      <c r="D478" s="537"/>
      <c r="J478" s="19"/>
      <c r="K478" s="19"/>
      <c r="L478" s="229"/>
    </row>
    <row r="479">
      <c r="A479" s="536"/>
      <c r="B479" s="525"/>
      <c r="C479" s="526"/>
      <c r="D479" s="537"/>
      <c r="J479" s="19"/>
      <c r="K479" s="19"/>
      <c r="L479" s="229"/>
    </row>
    <row r="480">
      <c r="A480" s="536"/>
      <c r="B480" s="525"/>
      <c r="C480" s="526"/>
      <c r="D480" s="537"/>
      <c r="J480" s="19"/>
      <c r="K480" s="19"/>
      <c r="L480" s="229"/>
    </row>
    <row r="481">
      <c r="A481" s="536"/>
      <c r="B481" s="525"/>
      <c r="C481" s="526"/>
      <c r="D481" s="537"/>
      <c r="J481" s="19"/>
      <c r="K481" s="19"/>
      <c r="L481" s="229"/>
    </row>
    <row r="482">
      <c r="A482" s="536"/>
      <c r="B482" s="525"/>
      <c r="C482" s="526"/>
      <c r="D482" s="537"/>
      <c r="J482" s="19"/>
      <c r="K482" s="19"/>
      <c r="L482" s="229"/>
    </row>
    <row r="483">
      <c r="A483" s="536"/>
      <c r="B483" s="525"/>
      <c r="C483" s="526"/>
      <c r="D483" s="537"/>
      <c r="J483" s="19"/>
      <c r="K483" s="19"/>
      <c r="L483" s="229"/>
    </row>
    <row r="484">
      <c r="A484" s="536"/>
      <c r="B484" s="525"/>
      <c r="C484" s="526"/>
      <c r="D484" s="537"/>
      <c r="J484" s="19"/>
      <c r="K484" s="19"/>
      <c r="L484" s="229"/>
    </row>
    <row r="485">
      <c r="A485" s="536"/>
      <c r="B485" s="525"/>
      <c r="C485" s="526"/>
      <c r="D485" s="537"/>
      <c r="J485" s="19"/>
      <c r="K485" s="19"/>
      <c r="L485" s="229"/>
    </row>
    <row r="486">
      <c r="A486" s="536"/>
      <c r="B486" s="525"/>
      <c r="C486" s="526"/>
      <c r="D486" s="537"/>
      <c r="J486" s="19"/>
      <c r="K486" s="19"/>
      <c r="L486" s="229"/>
    </row>
    <row r="487">
      <c r="A487" s="536"/>
      <c r="B487" s="525"/>
      <c r="C487" s="526"/>
      <c r="D487" s="537"/>
      <c r="J487" s="19"/>
      <c r="K487" s="19"/>
      <c r="L487" s="229"/>
    </row>
    <row r="488">
      <c r="A488" s="536"/>
      <c r="B488" s="525"/>
      <c r="C488" s="526"/>
      <c r="D488" s="537"/>
      <c r="J488" s="19"/>
      <c r="K488" s="19"/>
      <c r="L488" s="229"/>
    </row>
    <row r="489">
      <c r="A489" s="536"/>
      <c r="B489" s="525"/>
      <c r="C489" s="526"/>
      <c r="D489" s="537"/>
      <c r="J489" s="19"/>
      <c r="K489" s="19"/>
      <c r="L489" s="229"/>
    </row>
    <row r="490">
      <c r="A490" s="536"/>
      <c r="B490" s="525"/>
      <c r="C490" s="526"/>
      <c r="D490" s="537"/>
      <c r="J490" s="19"/>
      <c r="K490" s="19"/>
      <c r="L490" s="229"/>
    </row>
    <row r="491">
      <c r="A491" s="536"/>
      <c r="B491" s="525"/>
      <c r="C491" s="526"/>
      <c r="D491" s="537"/>
      <c r="J491" s="19"/>
      <c r="K491" s="19"/>
      <c r="L491" s="229"/>
    </row>
    <row r="492">
      <c r="A492" s="536"/>
      <c r="B492" s="525"/>
      <c r="C492" s="526"/>
      <c r="D492" s="537"/>
      <c r="J492" s="19"/>
      <c r="K492" s="19"/>
      <c r="L492" s="229"/>
    </row>
    <row r="493">
      <c r="A493" s="536"/>
      <c r="B493" s="525"/>
      <c r="C493" s="526"/>
      <c r="D493" s="537"/>
      <c r="J493" s="19"/>
      <c r="K493" s="19"/>
      <c r="L493" s="229"/>
    </row>
    <row r="494">
      <c r="A494" s="536"/>
      <c r="B494" s="525"/>
      <c r="C494" s="526"/>
      <c r="D494" s="537"/>
      <c r="J494" s="19"/>
      <c r="K494" s="19"/>
      <c r="L494" s="229"/>
    </row>
    <row r="495">
      <c r="A495" s="536"/>
      <c r="B495" s="525"/>
      <c r="C495" s="526"/>
      <c r="D495" s="537"/>
      <c r="J495" s="19"/>
      <c r="K495" s="19"/>
      <c r="L495" s="229"/>
    </row>
    <row r="496">
      <c r="A496" s="536"/>
      <c r="B496" s="525"/>
      <c r="C496" s="526"/>
      <c r="D496" s="537"/>
      <c r="J496" s="19"/>
      <c r="K496" s="19"/>
      <c r="L496" s="229"/>
    </row>
    <row r="497">
      <c r="A497" s="536"/>
      <c r="B497" s="525"/>
      <c r="C497" s="526"/>
      <c r="D497" s="537"/>
      <c r="J497" s="19"/>
      <c r="K497" s="19"/>
      <c r="L497" s="229"/>
    </row>
    <row r="498">
      <c r="A498" s="536"/>
      <c r="B498" s="525"/>
      <c r="C498" s="526"/>
      <c r="D498" s="537"/>
      <c r="J498" s="19"/>
      <c r="K498" s="19"/>
      <c r="L498" s="229"/>
    </row>
    <row r="499">
      <c r="A499" s="536"/>
      <c r="B499" s="525"/>
      <c r="C499" s="526"/>
      <c r="D499" s="537"/>
      <c r="J499" s="19"/>
      <c r="K499" s="19"/>
      <c r="L499" s="229"/>
    </row>
    <row r="500">
      <c r="A500" s="536"/>
      <c r="B500" s="525"/>
      <c r="C500" s="526"/>
      <c r="D500" s="537"/>
      <c r="J500" s="19"/>
      <c r="K500" s="19"/>
      <c r="L500" s="229"/>
    </row>
    <row r="501">
      <c r="A501" s="536"/>
      <c r="B501" s="525"/>
      <c r="C501" s="526"/>
      <c r="D501" s="537"/>
      <c r="J501" s="19"/>
      <c r="K501" s="19"/>
      <c r="L501" s="229"/>
    </row>
    <row r="502">
      <c r="A502" s="536"/>
      <c r="B502" s="525"/>
      <c r="C502" s="526"/>
      <c r="D502" s="537"/>
      <c r="J502" s="19"/>
      <c r="K502" s="19"/>
      <c r="L502" s="229"/>
    </row>
    <row r="503">
      <c r="A503" s="536"/>
      <c r="B503" s="525"/>
      <c r="C503" s="526"/>
      <c r="D503" s="537"/>
      <c r="J503" s="19"/>
      <c r="K503" s="19"/>
      <c r="L503" s="229"/>
    </row>
    <row r="504">
      <c r="A504" s="536"/>
      <c r="B504" s="525"/>
      <c r="C504" s="526"/>
      <c r="D504" s="537"/>
      <c r="J504" s="19"/>
      <c r="K504" s="19"/>
      <c r="L504" s="229"/>
    </row>
    <row r="505">
      <c r="A505" s="536"/>
      <c r="B505" s="525"/>
      <c r="C505" s="526"/>
      <c r="D505" s="537"/>
      <c r="J505" s="19"/>
      <c r="K505" s="19"/>
      <c r="L505" s="229"/>
    </row>
    <row r="506">
      <c r="A506" s="536"/>
      <c r="B506" s="525"/>
      <c r="C506" s="526"/>
      <c r="D506" s="537"/>
      <c r="J506" s="19"/>
      <c r="K506" s="19"/>
      <c r="L506" s="229"/>
    </row>
    <row r="507">
      <c r="A507" s="536"/>
      <c r="B507" s="525"/>
      <c r="C507" s="526"/>
      <c r="D507" s="537"/>
      <c r="J507" s="19"/>
      <c r="K507" s="19"/>
      <c r="L507" s="229"/>
    </row>
    <row r="508">
      <c r="A508" s="536"/>
      <c r="B508" s="525"/>
      <c r="C508" s="526"/>
      <c r="D508" s="537"/>
      <c r="J508" s="19"/>
      <c r="K508" s="19"/>
      <c r="L508" s="229"/>
    </row>
    <row r="509">
      <c r="A509" s="536"/>
      <c r="B509" s="525"/>
      <c r="C509" s="526"/>
      <c r="D509" s="537"/>
      <c r="J509" s="19"/>
      <c r="K509" s="19"/>
      <c r="L509" s="229"/>
    </row>
    <row r="510">
      <c r="A510" s="536"/>
      <c r="B510" s="525"/>
      <c r="C510" s="526"/>
      <c r="D510" s="537"/>
      <c r="J510" s="19"/>
      <c r="K510" s="19"/>
      <c r="L510" s="229"/>
    </row>
    <row r="511">
      <c r="A511" s="536"/>
      <c r="B511" s="525"/>
      <c r="C511" s="526"/>
      <c r="D511" s="537"/>
      <c r="J511" s="19"/>
      <c r="K511" s="19"/>
      <c r="L511" s="229"/>
    </row>
    <row r="512">
      <c r="A512" s="536"/>
      <c r="B512" s="525"/>
      <c r="C512" s="526"/>
      <c r="D512" s="537"/>
      <c r="J512" s="19"/>
      <c r="K512" s="19"/>
      <c r="L512" s="229"/>
    </row>
    <row r="513">
      <c r="A513" s="536"/>
      <c r="B513" s="525"/>
      <c r="C513" s="526"/>
      <c r="D513" s="537"/>
      <c r="J513" s="19"/>
      <c r="K513" s="19"/>
      <c r="L513" s="229"/>
    </row>
    <row r="514">
      <c r="A514" s="536"/>
      <c r="B514" s="525"/>
      <c r="C514" s="526"/>
      <c r="D514" s="537"/>
      <c r="J514" s="19"/>
      <c r="K514" s="19"/>
      <c r="L514" s="229"/>
    </row>
    <row r="515">
      <c r="A515" s="536"/>
      <c r="B515" s="525"/>
      <c r="C515" s="526"/>
      <c r="D515" s="537"/>
      <c r="J515" s="19"/>
      <c r="K515" s="19"/>
      <c r="L515" s="229"/>
    </row>
    <row r="516">
      <c r="A516" s="536"/>
      <c r="B516" s="525"/>
      <c r="C516" s="526"/>
      <c r="D516" s="537"/>
      <c r="J516" s="19"/>
      <c r="K516" s="19"/>
      <c r="L516" s="229"/>
    </row>
    <row r="517">
      <c r="A517" s="536"/>
      <c r="B517" s="525"/>
      <c r="C517" s="526"/>
      <c r="D517" s="537"/>
      <c r="J517" s="19"/>
      <c r="K517" s="19"/>
      <c r="L517" s="229"/>
    </row>
    <row r="518">
      <c r="A518" s="536"/>
      <c r="B518" s="525"/>
      <c r="C518" s="526"/>
      <c r="D518" s="537"/>
      <c r="J518" s="19"/>
      <c r="K518" s="19"/>
      <c r="L518" s="229"/>
    </row>
    <row r="519">
      <c r="A519" s="536"/>
      <c r="B519" s="525"/>
      <c r="C519" s="526"/>
      <c r="D519" s="537"/>
      <c r="J519" s="19"/>
      <c r="K519" s="19"/>
      <c r="L519" s="229"/>
    </row>
    <row r="520">
      <c r="A520" s="536"/>
      <c r="B520" s="525"/>
      <c r="C520" s="526"/>
      <c r="D520" s="537"/>
      <c r="J520" s="19"/>
      <c r="K520" s="19"/>
      <c r="L520" s="229"/>
    </row>
    <row r="521">
      <c r="A521" s="536"/>
      <c r="B521" s="525"/>
      <c r="C521" s="526"/>
      <c r="D521" s="537"/>
      <c r="J521" s="19"/>
      <c r="K521" s="19"/>
      <c r="L521" s="229"/>
    </row>
    <row r="522">
      <c r="A522" s="536"/>
      <c r="B522" s="525"/>
      <c r="C522" s="526"/>
      <c r="D522" s="537"/>
      <c r="J522" s="19"/>
      <c r="K522" s="19"/>
      <c r="L522" s="229"/>
    </row>
    <row r="523">
      <c r="A523" s="536"/>
      <c r="B523" s="525"/>
      <c r="C523" s="526"/>
      <c r="D523" s="537"/>
      <c r="J523" s="19"/>
      <c r="K523" s="19"/>
      <c r="L523" s="229"/>
    </row>
    <row r="524">
      <c r="A524" s="536"/>
      <c r="B524" s="525"/>
      <c r="C524" s="526"/>
      <c r="D524" s="537"/>
      <c r="J524" s="19"/>
      <c r="K524" s="19"/>
      <c r="L524" s="229"/>
    </row>
    <row r="525">
      <c r="A525" s="536"/>
      <c r="B525" s="525"/>
      <c r="C525" s="526"/>
      <c r="D525" s="537"/>
      <c r="J525" s="19"/>
      <c r="K525" s="19"/>
      <c r="L525" s="229"/>
    </row>
    <row r="526">
      <c r="A526" s="536"/>
      <c r="B526" s="525"/>
      <c r="C526" s="526"/>
      <c r="D526" s="537"/>
      <c r="J526" s="19"/>
      <c r="K526" s="19"/>
      <c r="L526" s="229"/>
    </row>
    <row r="527">
      <c r="A527" s="536"/>
      <c r="B527" s="525"/>
      <c r="C527" s="526"/>
      <c r="D527" s="537"/>
      <c r="J527" s="19"/>
      <c r="K527" s="19"/>
      <c r="L527" s="229"/>
    </row>
    <row r="528">
      <c r="A528" s="536"/>
      <c r="B528" s="525"/>
      <c r="C528" s="526"/>
      <c r="D528" s="537"/>
      <c r="J528" s="19"/>
      <c r="K528" s="19"/>
      <c r="L528" s="229"/>
    </row>
    <row r="529">
      <c r="A529" s="536"/>
      <c r="B529" s="525"/>
      <c r="C529" s="526"/>
      <c r="D529" s="537"/>
      <c r="J529" s="19"/>
      <c r="K529" s="19"/>
      <c r="L529" s="229"/>
    </row>
    <row r="530">
      <c r="A530" s="536"/>
      <c r="B530" s="525"/>
      <c r="C530" s="526"/>
      <c r="D530" s="537"/>
      <c r="J530" s="19"/>
      <c r="K530" s="19"/>
      <c r="L530" s="229"/>
    </row>
    <row r="531">
      <c r="A531" s="536"/>
      <c r="B531" s="525"/>
      <c r="C531" s="526"/>
      <c r="D531" s="537"/>
      <c r="J531" s="19"/>
      <c r="K531" s="19"/>
      <c r="L531" s="229"/>
    </row>
    <row r="532">
      <c r="A532" s="536"/>
      <c r="B532" s="525"/>
      <c r="C532" s="526"/>
      <c r="D532" s="537"/>
      <c r="J532" s="19"/>
      <c r="K532" s="19"/>
      <c r="L532" s="229"/>
    </row>
    <row r="533">
      <c r="A533" s="536"/>
      <c r="B533" s="525"/>
      <c r="C533" s="526"/>
      <c r="D533" s="537"/>
      <c r="J533" s="19"/>
      <c r="K533" s="19"/>
      <c r="L533" s="229"/>
    </row>
    <row r="534">
      <c r="A534" s="536"/>
      <c r="B534" s="525"/>
      <c r="C534" s="526"/>
      <c r="D534" s="537"/>
      <c r="J534" s="19"/>
      <c r="K534" s="19"/>
      <c r="L534" s="229"/>
    </row>
    <row r="535">
      <c r="A535" s="536"/>
      <c r="B535" s="525"/>
      <c r="C535" s="526"/>
      <c r="D535" s="537"/>
      <c r="J535" s="19"/>
      <c r="K535" s="19"/>
      <c r="L535" s="229"/>
    </row>
    <row r="536">
      <c r="A536" s="536"/>
      <c r="B536" s="525"/>
      <c r="C536" s="526"/>
      <c r="D536" s="537"/>
      <c r="J536" s="19"/>
      <c r="K536" s="19"/>
      <c r="L536" s="229"/>
    </row>
    <row r="537">
      <c r="A537" s="536"/>
      <c r="B537" s="525"/>
      <c r="C537" s="526"/>
      <c r="D537" s="537"/>
      <c r="J537" s="19"/>
      <c r="K537" s="19"/>
      <c r="L537" s="229"/>
    </row>
    <row r="538">
      <c r="A538" s="536"/>
      <c r="B538" s="525"/>
      <c r="C538" s="526"/>
      <c r="D538" s="537"/>
      <c r="J538" s="19"/>
      <c r="K538" s="19"/>
      <c r="L538" s="229"/>
    </row>
    <row r="539">
      <c r="A539" s="536"/>
      <c r="B539" s="525"/>
      <c r="C539" s="526"/>
      <c r="D539" s="537"/>
      <c r="J539" s="19"/>
      <c r="K539" s="19"/>
      <c r="L539" s="229"/>
    </row>
    <row r="540">
      <c r="A540" s="536"/>
      <c r="B540" s="525"/>
      <c r="C540" s="526"/>
      <c r="D540" s="537"/>
      <c r="J540" s="19"/>
      <c r="K540" s="19"/>
      <c r="L540" s="229"/>
    </row>
    <row r="541">
      <c r="A541" s="536"/>
      <c r="B541" s="525"/>
      <c r="C541" s="526"/>
      <c r="D541" s="537"/>
      <c r="J541" s="19"/>
      <c r="K541" s="19"/>
      <c r="L541" s="229"/>
    </row>
    <row r="542">
      <c r="A542" s="536"/>
      <c r="B542" s="525"/>
      <c r="C542" s="526"/>
      <c r="D542" s="537"/>
      <c r="J542" s="19"/>
      <c r="K542" s="19"/>
      <c r="L542" s="229"/>
    </row>
    <row r="543">
      <c r="A543" s="536"/>
      <c r="B543" s="525"/>
      <c r="C543" s="526"/>
      <c r="D543" s="537"/>
      <c r="J543" s="19"/>
      <c r="K543" s="19"/>
      <c r="L543" s="229"/>
    </row>
    <row r="544">
      <c r="A544" s="536"/>
      <c r="B544" s="525"/>
      <c r="C544" s="526"/>
      <c r="D544" s="537"/>
      <c r="J544" s="19"/>
      <c r="K544" s="19"/>
      <c r="L544" s="229"/>
    </row>
    <row r="545">
      <c r="A545" s="536"/>
      <c r="B545" s="525"/>
      <c r="C545" s="526"/>
      <c r="D545" s="537"/>
      <c r="J545" s="19"/>
      <c r="K545" s="19"/>
      <c r="L545" s="229"/>
    </row>
    <row r="546">
      <c r="A546" s="536"/>
      <c r="B546" s="525"/>
      <c r="C546" s="526"/>
      <c r="D546" s="537"/>
      <c r="J546" s="19"/>
      <c r="K546" s="19"/>
      <c r="L546" s="229"/>
    </row>
    <row r="547">
      <c r="A547" s="536"/>
      <c r="B547" s="525"/>
      <c r="C547" s="526"/>
      <c r="D547" s="537"/>
      <c r="J547" s="19"/>
      <c r="K547" s="19"/>
      <c r="L547" s="229"/>
    </row>
    <row r="548">
      <c r="A548" s="536"/>
      <c r="B548" s="525"/>
      <c r="C548" s="526"/>
      <c r="D548" s="537"/>
      <c r="J548" s="19"/>
      <c r="K548" s="19"/>
      <c r="L548" s="229"/>
    </row>
    <row r="549">
      <c r="A549" s="536"/>
      <c r="B549" s="525"/>
      <c r="C549" s="526"/>
      <c r="D549" s="537"/>
      <c r="J549" s="19"/>
      <c r="K549" s="19"/>
      <c r="L549" s="229"/>
    </row>
    <row r="550">
      <c r="A550" s="536"/>
      <c r="B550" s="525"/>
      <c r="C550" s="526"/>
      <c r="D550" s="537"/>
      <c r="J550" s="19"/>
      <c r="K550" s="19"/>
      <c r="L550" s="229"/>
    </row>
    <row r="551">
      <c r="A551" s="536"/>
      <c r="B551" s="525"/>
      <c r="C551" s="526"/>
      <c r="D551" s="537"/>
      <c r="J551" s="19"/>
      <c r="K551" s="19"/>
      <c r="L551" s="229"/>
    </row>
    <row r="552">
      <c r="A552" s="536"/>
      <c r="B552" s="525"/>
      <c r="C552" s="526"/>
      <c r="D552" s="537"/>
      <c r="J552" s="19"/>
      <c r="K552" s="19"/>
      <c r="L552" s="229"/>
    </row>
    <row r="553">
      <c r="A553" s="536"/>
      <c r="B553" s="525"/>
      <c r="C553" s="526"/>
      <c r="D553" s="537"/>
      <c r="J553" s="19"/>
      <c r="K553" s="19"/>
      <c r="L553" s="229"/>
    </row>
    <row r="554">
      <c r="A554" s="536"/>
      <c r="B554" s="525"/>
      <c r="C554" s="526"/>
      <c r="D554" s="537"/>
      <c r="J554" s="19"/>
      <c r="K554" s="19"/>
      <c r="L554" s="229"/>
    </row>
    <row r="555">
      <c r="A555" s="536"/>
      <c r="B555" s="525"/>
      <c r="C555" s="526"/>
      <c r="D555" s="537"/>
      <c r="J555" s="19"/>
      <c r="K555" s="19"/>
      <c r="L555" s="229"/>
    </row>
    <row r="556">
      <c r="A556" s="536"/>
      <c r="B556" s="525"/>
      <c r="C556" s="526"/>
      <c r="D556" s="537"/>
      <c r="J556" s="19"/>
      <c r="K556" s="19"/>
      <c r="L556" s="229"/>
    </row>
    <row r="557">
      <c r="A557" s="536"/>
      <c r="B557" s="525"/>
      <c r="C557" s="526"/>
      <c r="D557" s="537"/>
      <c r="J557" s="19"/>
      <c r="K557" s="19"/>
      <c r="L557" s="229"/>
    </row>
    <row r="558">
      <c r="A558" s="536"/>
      <c r="B558" s="525"/>
      <c r="C558" s="526"/>
      <c r="D558" s="537"/>
      <c r="J558" s="19"/>
      <c r="K558" s="19"/>
      <c r="L558" s="229"/>
    </row>
    <row r="559">
      <c r="A559" s="536"/>
      <c r="B559" s="525"/>
      <c r="C559" s="526"/>
      <c r="D559" s="537"/>
      <c r="J559" s="19"/>
      <c r="K559" s="19"/>
      <c r="L559" s="229"/>
    </row>
    <row r="560">
      <c r="A560" s="536"/>
      <c r="B560" s="525"/>
      <c r="C560" s="526"/>
      <c r="D560" s="537"/>
      <c r="J560" s="19"/>
      <c r="K560" s="19"/>
      <c r="L560" s="229"/>
    </row>
    <row r="561">
      <c r="A561" s="536"/>
      <c r="B561" s="525"/>
      <c r="C561" s="526"/>
      <c r="D561" s="537"/>
      <c r="J561" s="19"/>
      <c r="K561" s="19"/>
      <c r="L561" s="229"/>
    </row>
    <row r="562">
      <c r="A562" s="536"/>
      <c r="B562" s="525"/>
      <c r="C562" s="526"/>
      <c r="D562" s="537"/>
      <c r="J562" s="19"/>
      <c r="K562" s="19"/>
      <c r="L562" s="229"/>
    </row>
    <row r="563">
      <c r="A563" s="536"/>
      <c r="B563" s="525"/>
      <c r="C563" s="526"/>
      <c r="D563" s="537"/>
      <c r="J563" s="19"/>
      <c r="K563" s="19"/>
      <c r="L563" s="229"/>
    </row>
    <row r="564">
      <c r="A564" s="536"/>
      <c r="B564" s="525"/>
      <c r="C564" s="526"/>
      <c r="D564" s="537"/>
      <c r="J564" s="19"/>
      <c r="K564" s="19"/>
      <c r="L564" s="229"/>
    </row>
    <row r="565">
      <c r="A565" s="536"/>
      <c r="B565" s="525"/>
      <c r="C565" s="526"/>
      <c r="D565" s="537"/>
      <c r="J565" s="19"/>
      <c r="K565" s="19"/>
      <c r="L565" s="229"/>
    </row>
    <row r="566">
      <c r="A566" s="536"/>
      <c r="B566" s="525"/>
      <c r="C566" s="526"/>
      <c r="D566" s="537"/>
      <c r="J566" s="19"/>
      <c r="K566" s="19"/>
      <c r="L566" s="229"/>
    </row>
    <row r="567">
      <c r="A567" s="536"/>
      <c r="B567" s="525"/>
      <c r="C567" s="526"/>
      <c r="D567" s="537"/>
      <c r="J567" s="19"/>
      <c r="K567" s="19"/>
      <c r="L567" s="229"/>
    </row>
    <row r="568">
      <c r="A568" s="536"/>
      <c r="B568" s="525"/>
      <c r="C568" s="526"/>
      <c r="D568" s="537"/>
      <c r="J568" s="19"/>
      <c r="K568" s="19"/>
      <c r="L568" s="229"/>
    </row>
    <row r="569">
      <c r="A569" s="536"/>
      <c r="B569" s="525"/>
      <c r="C569" s="526"/>
      <c r="D569" s="537"/>
      <c r="J569" s="19"/>
      <c r="K569" s="19"/>
      <c r="L569" s="229"/>
    </row>
    <row r="570">
      <c r="A570" s="536"/>
      <c r="B570" s="525"/>
      <c r="C570" s="526"/>
      <c r="D570" s="537"/>
      <c r="J570" s="19"/>
      <c r="K570" s="19"/>
      <c r="L570" s="229"/>
    </row>
    <row r="571">
      <c r="A571" s="536"/>
      <c r="B571" s="525"/>
      <c r="C571" s="526"/>
      <c r="D571" s="537"/>
      <c r="J571" s="19"/>
      <c r="K571" s="19"/>
      <c r="L571" s="229"/>
    </row>
    <row r="572">
      <c r="A572" s="536"/>
      <c r="B572" s="525"/>
      <c r="C572" s="526"/>
      <c r="D572" s="537"/>
      <c r="J572" s="19"/>
      <c r="K572" s="19"/>
      <c r="L572" s="229"/>
    </row>
    <row r="573">
      <c r="A573" s="536"/>
      <c r="B573" s="525"/>
      <c r="C573" s="526"/>
      <c r="D573" s="537"/>
      <c r="J573" s="19"/>
      <c r="K573" s="19"/>
      <c r="L573" s="229"/>
    </row>
    <row r="574">
      <c r="A574" s="536"/>
      <c r="B574" s="525"/>
      <c r="C574" s="526"/>
      <c r="D574" s="537"/>
      <c r="J574" s="19"/>
      <c r="K574" s="19"/>
      <c r="L574" s="229"/>
    </row>
    <row r="575">
      <c r="A575" s="536"/>
      <c r="B575" s="525"/>
      <c r="C575" s="526"/>
      <c r="D575" s="537"/>
      <c r="J575" s="19"/>
      <c r="K575" s="19"/>
      <c r="L575" s="229"/>
    </row>
    <row r="576">
      <c r="A576" s="536"/>
      <c r="B576" s="525"/>
      <c r="C576" s="526"/>
      <c r="D576" s="537"/>
      <c r="J576" s="19"/>
      <c r="K576" s="19"/>
      <c r="L576" s="229"/>
    </row>
    <row r="577">
      <c r="A577" s="536"/>
      <c r="B577" s="525"/>
      <c r="C577" s="526"/>
      <c r="D577" s="537"/>
      <c r="J577" s="19"/>
      <c r="K577" s="19"/>
      <c r="L577" s="229"/>
    </row>
    <row r="578">
      <c r="A578" s="536"/>
      <c r="B578" s="525"/>
      <c r="C578" s="526"/>
      <c r="D578" s="537"/>
      <c r="J578" s="19"/>
      <c r="K578" s="19"/>
      <c r="L578" s="229"/>
    </row>
    <row r="579">
      <c r="A579" s="536"/>
      <c r="B579" s="525"/>
      <c r="C579" s="526"/>
      <c r="D579" s="537"/>
      <c r="J579" s="19"/>
      <c r="K579" s="19"/>
      <c r="L579" s="229"/>
    </row>
    <row r="580">
      <c r="A580" s="536"/>
      <c r="B580" s="525"/>
      <c r="C580" s="526"/>
      <c r="D580" s="537"/>
      <c r="J580" s="19"/>
      <c r="K580" s="19"/>
      <c r="L580" s="229"/>
    </row>
    <row r="581">
      <c r="A581" s="536"/>
      <c r="B581" s="525"/>
      <c r="C581" s="526"/>
      <c r="D581" s="537"/>
      <c r="J581" s="19"/>
      <c r="K581" s="19"/>
      <c r="L581" s="229"/>
    </row>
    <row r="582">
      <c r="A582" s="536"/>
      <c r="B582" s="525"/>
      <c r="C582" s="526"/>
      <c r="D582" s="537"/>
      <c r="J582" s="19"/>
      <c r="K582" s="19"/>
      <c r="L582" s="229"/>
    </row>
    <row r="583">
      <c r="A583" s="536"/>
      <c r="B583" s="525"/>
      <c r="C583" s="526"/>
      <c r="D583" s="537"/>
      <c r="J583" s="19"/>
      <c r="K583" s="19"/>
      <c r="L583" s="229"/>
    </row>
    <row r="584">
      <c r="A584" s="536"/>
      <c r="B584" s="525"/>
      <c r="C584" s="526"/>
      <c r="D584" s="537"/>
      <c r="J584" s="19"/>
      <c r="K584" s="19"/>
      <c r="L584" s="229"/>
    </row>
    <row r="585">
      <c r="A585" s="536"/>
      <c r="B585" s="525"/>
      <c r="C585" s="526"/>
      <c r="D585" s="537"/>
      <c r="J585" s="19"/>
      <c r="K585" s="19"/>
      <c r="L585" s="229"/>
    </row>
    <row r="586">
      <c r="A586" s="536"/>
      <c r="B586" s="525"/>
      <c r="C586" s="526"/>
      <c r="D586" s="537"/>
      <c r="J586" s="19"/>
      <c r="K586" s="19"/>
      <c r="L586" s="229"/>
    </row>
    <row r="587">
      <c r="A587" s="536"/>
      <c r="B587" s="525"/>
      <c r="C587" s="526"/>
      <c r="D587" s="537"/>
      <c r="J587" s="19"/>
      <c r="K587" s="19"/>
      <c r="L587" s="229"/>
    </row>
    <row r="588">
      <c r="A588" s="536"/>
      <c r="B588" s="525"/>
      <c r="C588" s="526"/>
      <c r="D588" s="537"/>
      <c r="J588" s="19"/>
      <c r="K588" s="19"/>
      <c r="L588" s="229"/>
    </row>
    <row r="589">
      <c r="A589" s="536"/>
      <c r="B589" s="525"/>
      <c r="C589" s="526"/>
      <c r="D589" s="537"/>
      <c r="J589" s="19"/>
      <c r="K589" s="19"/>
      <c r="L589" s="229"/>
    </row>
    <row r="590">
      <c r="A590" s="536"/>
      <c r="B590" s="525"/>
      <c r="C590" s="526"/>
      <c r="D590" s="537"/>
      <c r="J590" s="19"/>
      <c r="K590" s="19"/>
      <c r="L590" s="229"/>
    </row>
    <row r="591">
      <c r="A591" s="536"/>
      <c r="B591" s="525"/>
      <c r="C591" s="526"/>
      <c r="D591" s="537"/>
      <c r="J591" s="19"/>
      <c r="K591" s="19"/>
      <c r="L591" s="229"/>
    </row>
    <row r="592">
      <c r="A592" s="536"/>
      <c r="B592" s="525"/>
      <c r="C592" s="526"/>
      <c r="D592" s="537"/>
      <c r="J592" s="19"/>
      <c r="K592" s="19"/>
      <c r="L592" s="229"/>
    </row>
    <row r="593">
      <c r="A593" s="536"/>
      <c r="B593" s="525"/>
      <c r="C593" s="526"/>
      <c r="D593" s="537"/>
      <c r="J593" s="19"/>
      <c r="K593" s="19"/>
      <c r="L593" s="229"/>
    </row>
    <row r="594">
      <c r="A594" s="536"/>
      <c r="B594" s="525"/>
      <c r="C594" s="526"/>
      <c r="D594" s="537"/>
      <c r="J594" s="19"/>
      <c r="K594" s="19"/>
      <c r="L594" s="229"/>
    </row>
    <row r="595">
      <c r="A595" s="536"/>
      <c r="B595" s="525"/>
      <c r="C595" s="526"/>
      <c r="D595" s="537"/>
      <c r="J595" s="19"/>
      <c r="K595" s="19"/>
      <c r="L595" s="229"/>
    </row>
    <row r="596">
      <c r="A596" s="536"/>
      <c r="B596" s="525"/>
      <c r="C596" s="526"/>
      <c r="D596" s="537"/>
      <c r="J596" s="19"/>
      <c r="K596" s="19"/>
      <c r="L596" s="229"/>
    </row>
    <row r="597">
      <c r="A597" s="536"/>
      <c r="B597" s="525"/>
      <c r="C597" s="526"/>
      <c r="D597" s="537"/>
      <c r="J597" s="19"/>
      <c r="K597" s="19"/>
      <c r="L597" s="229"/>
    </row>
    <row r="598">
      <c r="A598" s="536"/>
      <c r="B598" s="525"/>
      <c r="C598" s="526"/>
      <c r="D598" s="537"/>
      <c r="J598" s="19"/>
      <c r="K598" s="19"/>
      <c r="L598" s="229"/>
    </row>
    <row r="599">
      <c r="A599" s="536"/>
      <c r="B599" s="525"/>
      <c r="C599" s="526"/>
      <c r="D599" s="537"/>
      <c r="J599" s="19"/>
      <c r="K599" s="19"/>
      <c r="L599" s="229"/>
    </row>
    <row r="600">
      <c r="A600" s="536"/>
      <c r="B600" s="525"/>
      <c r="C600" s="526"/>
      <c r="D600" s="537"/>
      <c r="J600" s="19"/>
      <c r="K600" s="19"/>
      <c r="L600" s="229"/>
    </row>
    <row r="601">
      <c r="A601" s="536"/>
      <c r="B601" s="525"/>
      <c r="C601" s="526"/>
      <c r="D601" s="537"/>
      <c r="J601" s="19"/>
      <c r="K601" s="19"/>
      <c r="L601" s="229"/>
    </row>
    <row r="602">
      <c r="A602" s="536"/>
      <c r="B602" s="525"/>
      <c r="C602" s="526"/>
      <c r="D602" s="537"/>
      <c r="J602" s="19"/>
      <c r="K602" s="19"/>
      <c r="L602" s="229"/>
    </row>
    <row r="603">
      <c r="A603" s="536"/>
      <c r="B603" s="525"/>
      <c r="C603" s="526"/>
      <c r="D603" s="537"/>
      <c r="J603" s="19"/>
      <c r="K603" s="19"/>
      <c r="L603" s="229"/>
    </row>
    <row r="604">
      <c r="A604" s="536"/>
      <c r="B604" s="525"/>
      <c r="C604" s="526"/>
      <c r="D604" s="537"/>
      <c r="J604" s="19"/>
      <c r="K604" s="19"/>
      <c r="L604" s="229"/>
    </row>
    <row r="605">
      <c r="A605" s="536"/>
      <c r="B605" s="525"/>
      <c r="C605" s="526"/>
      <c r="D605" s="537"/>
      <c r="J605" s="19"/>
      <c r="K605" s="19"/>
      <c r="L605" s="229"/>
    </row>
    <row r="606">
      <c r="A606" s="536"/>
      <c r="B606" s="525"/>
      <c r="C606" s="526"/>
      <c r="D606" s="537"/>
      <c r="J606" s="19"/>
      <c r="K606" s="19"/>
      <c r="L606" s="229"/>
    </row>
    <row r="607">
      <c r="A607" s="536"/>
      <c r="B607" s="525"/>
      <c r="C607" s="526"/>
      <c r="D607" s="537"/>
      <c r="J607" s="19"/>
      <c r="K607" s="19"/>
      <c r="L607" s="229"/>
    </row>
    <row r="608">
      <c r="A608" s="536"/>
      <c r="B608" s="525"/>
      <c r="C608" s="526"/>
      <c r="D608" s="537"/>
      <c r="J608" s="19"/>
      <c r="K608" s="19"/>
      <c r="L608" s="229"/>
    </row>
    <row r="609">
      <c r="A609" s="536"/>
      <c r="B609" s="525"/>
      <c r="C609" s="526"/>
      <c r="D609" s="537"/>
      <c r="J609" s="19"/>
      <c r="K609" s="19"/>
      <c r="L609" s="229"/>
    </row>
    <row r="610">
      <c r="A610" s="536"/>
      <c r="B610" s="525"/>
      <c r="C610" s="526"/>
      <c r="D610" s="537"/>
      <c r="J610" s="19"/>
      <c r="K610" s="19"/>
      <c r="L610" s="229"/>
    </row>
    <row r="611">
      <c r="A611" s="536"/>
      <c r="B611" s="525"/>
      <c r="C611" s="526"/>
      <c r="D611" s="537"/>
      <c r="J611" s="19"/>
      <c r="K611" s="19"/>
      <c r="L611" s="229"/>
    </row>
    <row r="612">
      <c r="A612" s="536"/>
      <c r="B612" s="525"/>
      <c r="C612" s="526"/>
      <c r="D612" s="537"/>
      <c r="J612" s="19"/>
      <c r="K612" s="19"/>
      <c r="L612" s="229"/>
    </row>
    <row r="613">
      <c r="A613" s="536"/>
      <c r="B613" s="525"/>
      <c r="C613" s="526"/>
      <c r="D613" s="537"/>
      <c r="J613" s="19"/>
      <c r="K613" s="19"/>
      <c r="L613" s="229"/>
    </row>
    <row r="614">
      <c r="A614" s="536"/>
      <c r="B614" s="525"/>
      <c r="C614" s="526"/>
      <c r="D614" s="537"/>
      <c r="J614" s="19"/>
      <c r="K614" s="19"/>
      <c r="L614" s="229"/>
    </row>
    <row r="615">
      <c r="A615" s="536"/>
      <c r="B615" s="525"/>
      <c r="C615" s="526"/>
      <c r="D615" s="537"/>
      <c r="J615" s="19"/>
      <c r="K615" s="19"/>
      <c r="L615" s="229"/>
    </row>
    <row r="616">
      <c r="A616" s="536"/>
      <c r="B616" s="525"/>
      <c r="C616" s="526"/>
      <c r="D616" s="537"/>
      <c r="J616" s="19"/>
      <c r="K616" s="19"/>
      <c r="L616" s="229"/>
    </row>
    <row r="617">
      <c r="A617" s="536"/>
      <c r="B617" s="525"/>
      <c r="C617" s="526"/>
      <c r="D617" s="537"/>
      <c r="J617" s="19"/>
      <c r="K617" s="19"/>
      <c r="L617" s="229"/>
    </row>
    <row r="618">
      <c r="A618" s="536"/>
      <c r="B618" s="525"/>
      <c r="C618" s="526"/>
      <c r="D618" s="537"/>
      <c r="J618" s="19"/>
      <c r="K618" s="19"/>
      <c r="L618" s="229"/>
    </row>
    <row r="619">
      <c r="A619" s="536"/>
      <c r="B619" s="525"/>
      <c r="C619" s="526"/>
      <c r="D619" s="537"/>
      <c r="J619" s="19"/>
      <c r="K619" s="19"/>
      <c r="L619" s="229"/>
    </row>
    <row r="620">
      <c r="A620" s="536"/>
      <c r="B620" s="525"/>
      <c r="C620" s="526"/>
      <c r="D620" s="537"/>
      <c r="J620" s="19"/>
      <c r="K620" s="19"/>
      <c r="L620" s="229"/>
    </row>
    <row r="621">
      <c r="A621" s="536"/>
      <c r="B621" s="525"/>
      <c r="C621" s="526"/>
      <c r="D621" s="537"/>
      <c r="J621" s="19"/>
      <c r="K621" s="19"/>
      <c r="L621" s="229"/>
    </row>
    <row r="622">
      <c r="A622" s="536"/>
      <c r="B622" s="525"/>
      <c r="C622" s="526"/>
      <c r="D622" s="537"/>
      <c r="J622" s="19"/>
      <c r="K622" s="19"/>
      <c r="L622" s="229"/>
    </row>
    <row r="623">
      <c r="A623" s="536"/>
      <c r="B623" s="525"/>
      <c r="C623" s="526"/>
      <c r="D623" s="537"/>
      <c r="J623" s="19"/>
      <c r="K623" s="19"/>
      <c r="L623" s="229"/>
    </row>
    <row r="624">
      <c r="A624" s="536"/>
      <c r="B624" s="525"/>
      <c r="C624" s="526"/>
      <c r="D624" s="537"/>
      <c r="J624" s="19"/>
      <c r="K624" s="19"/>
      <c r="L624" s="229"/>
    </row>
    <row r="625">
      <c r="A625" s="536"/>
      <c r="B625" s="525"/>
      <c r="C625" s="526"/>
      <c r="D625" s="537"/>
      <c r="J625" s="19"/>
      <c r="K625" s="19"/>
      <c r="L625" s="229"/>
    </row>
    <row r="626">
      <c r="A626" s="536"/>
      <c r="B626" s="525"/>
      <c r="C626" s="526"/>
      <c r="D626" s="537"/>
      <c r="J626" s="19"/>
      <c r="K626" s="19"/>
      <c r="L626" s="229"/>
    </row>
    <row r="627">
      <c r="A627" s="536"/>
      <c r="B627" s="525"/>
      <c r="C627" s="526"/>
      <c r="D627" s="537"/>
      <c r="J627" s="19"/>
      <c r="K627" s="19"/>
      <c r="L627" s="229"/>
    </row>
    <row r="628">
      <c r="A628" s="536"/>
      <c r="B628" s="525"/>
      <c r="C628" s="526"/>
      <c r="D628" s="537"/>
      <c r="J628" s="19"/>
      <c r="K628" s="19"/>
      <c r="L628" s="229"/>
    </row>
    <row r="629">
      <c r="A629" s="536"/>
      <c r="B629" s="525"/>
      <c r="C629" s="526"/>
      <c r="D629" s="537"/>
      <c r="J629" s="19"/>
      <c r="K629" s="19"/>
      <c r="L629" s="229"/>
    </row>
    <row r="630">
      <c r="A630" s="536"/>
      <c r="B630" s="525"/>
      <c r="C630" s="526"/>
      <c r="D630" s="537"/>
      <c r="J630" s="19"/>
      <c r="K630" s="19"/>
      <c r="L630" s="229"/>
    </row>
    <row r="631">
      <c r="A631" s="536"/>
      <c r="B631" s="525"/>
      <c r="C631" s="526"/>
      <c r="D631" s="537"/>
      <c r="J631" s="19"/>
      <c r="K631" s="19"/>
      <c r="L631" s="229"/>
    </row>
    <row r="632">
      <c r="A632" s="536"/>
      <c r="B632" s="525"/>
      <c r="C632" s="526"/>
      <c r="D632" s="537"/>
      <c r="J632" s="19"/>
      <c r="K632" s="19"/>
      <c r="L632" s="229"/>
    </row>
    <row r="633">
      <c r="A633" s="536"/>
      <c r="B633" s="525"/>
      <c r="C633" s="526"/>
      <c r="D633" s="537"/>
      <c r="J633" s="19"/>
      <c r="K633" s="19"/>
      <c r="L633" s="229"/>
    </row>
    <row r="634">
      <c r="A634" s="536"/>
      <c r="B634" s="525"/>
      <c r="C634" s="526"/>
      <c r="D634" s="537"/>
      <c r="J634" s="19"/>
      <c r="K634" s="19"/>
      <c r="L634" s="229"/>
    </row>
    <row r="635">
      <c r="A635" s="536"/>
      <c r="B635" s="525"/>
      <c r="C635" s="526"/>
      <c r="D635" s="537"/>
      <c r="J635" s="19"/>
      <c r="K635" s="19"/>
      <c r="L635" s="229"/>
    </row>
    <row r="636">
      <c r="A636" s="536"/>
      <c r="B636" s="525"/>
      <c r="C636" s="526"/>
      <c r="D636" s="537"/>
      <c r="J636" s="19"/>
      <c r="K636" s="19"/>
      <c r="L636" s="229"/>
    </row>
    <row r="637">
      <c r="A637" s="536"/>
      <c r="B637" s="525"/>
      <c r="C637" s="526"/>
      <c r="D637" s="537"/>
      <c r="J637" s="19"/>
      <c r="K637" s="19"/>
      <c r="L637" s="229"/>
    </row>
    <row r="638">
      <c r="A638" s="536"/>
      <c r="B638" s="525"/>
      <c r="C638" s="526"/>
      <c r="D638" s="537"/>
      <c r="J638" s="19"/>
      <c r="K638" s="19"/>
      <c r="L638" s="229"/>
    </row>
    <row r="639">
      <c r="A639" s="536"/>
      <c r="B639" s="525"/>
      <c r="C639" s="526"/>
      <c r="D639" s="537"/>
      <c r="J639" s="19"/>
      <c r="K639" s="19"/>
      <c r="L639" s="229"/>
    </row>
    <row r="640">
      <c r="A640" s="536"/>
      <c r="B640" s="525"/>
      <c r="C640" s="526"/>
      <c r="D640" s="537"/>
      <c r="J640" s="19"/>
      <c r="K640" s="19"/>
      <c r="L640" s="229"/>
    </row>
    <row r="641">
      <c r="A641" s="536"/>
      <c r="B641" s="525"/>
      <c r="C641" s="526"/>
      <c r="D641" s="537"/>
      <c r="J641" s="19"/>
      <c r="K641" s="19"/>
      <c r="L641" s="229"/>
    </row>
    <row r="642">
      <c r="A642" s="536"/>
      <c r="B642" s="525"/>
      <c r="C642" s="526"/>
      <c r="D642" s="537"/>
      <c r="J642" s="19"/>
      <c r="K642" s="19"/>
      <c r="L642" s="229"/>
    </row>
    <row r="643">
      <c r="A643" s="536"/>
      <c r="B643" s="525"/>
      <c r="C643" s="526"/>
      <c r="D643" s="537"/>
      <c r="J643" s="19"/>
      <c r="K643" s="19"/>
      <c r="L643" s="229"/>
    </row>
    <row r="644">
      <c r="A644" s="536"/>
      <c r="B644" s="525"/>
      <c r="C644" s="526"/>
      <c r="D644" s="537"/>
      <c r="J644" s="19"/>
      <c r="K644" s="19"/>
      <c r="L644" s="229"/>
    </row>
    <row r="645">
      <c r="A645" s="536"/>
      <c r="B645" s="525"/>
      <c r="C645" s="526"/>
      <c r="D645" s="537"/>
      <c r="J645" s="19"/>
      <c r="K645" s="19"/>
      <c r="L645" s="229"/>
    </row>
    <row r="646">
      <c r="A646" s="536"/>
      <c r="B646" s="525"/>
      <c r="C646" s="526"/>
      <c r="D646" s="537"/>
      <c r="J646" s="19"/>
      <c r="K646" s="19"/>
      <c r="L646" s="229"/>
    </row>
    <row r="647">
      <c r="A647" s="536"/>
      <c r="B647" s="525"/>
      <c r="C647" s="526"/>
      <c r="D647" s="537"/>
      <c r="J647" s="19"/>
      <c r="K647" s="19"/>
      <c r="L647" s="229"/>
    </row>
    <row r="648">
      <c r="A648" s="536"/>
      <c r="B648" s="525"/>
      <c r="C648" s="526"/>
      <c r="D648" s="537"/>
      <c r="J648" s="19"/>
      <c r="K648" s="19"/>
      <c r="L648" s="229"/>
    </row>
    <row r="649">
      <c r="A649" s="536"/>
      <c r="B649" s="525"/>
      <c r="C649" s="526"/>
      <c r="D649" s="537"/>
      <c r="J649" s="19"/>
      <c r="K649" s="19"/>
      <c r="L649" s="229"/>
    </row>
    <row r="650">
      <c r="A650" s="536"/>
      <c r="B650" s="525"/>
      <c r="C650" s="526"/>
      <c r="D650" s="537"/>
      <c r="J650" s="19"/>
      <c r="K650" s="19"/>
      <c r="L650" s="229"/>
    </row>
    <row r="651">
      <c r="A651" s="536"/>
      <c r="B651" s="525"/>
      <c r="C651" s="526"/>
      <c r="D651" s="537"/>
      <c r="J651" s="19"/>
      <c r="K651" s="19"/>
      <c r="L651" s="229"/>
    </row>
    <row r="652">
      <c r="A652" s="536"/>
      <c r="B652" s="525"/>
      <c r="C652" s="526"/>
      <c r="D652" s="537"/>
      <c r="J652" s="19"/>
      <c r="K652" s="19"/>
      <c r="L652" s="229"/>
    </row>
    <row r="653">
      <c r="A653" s="536"/>
      <c r="B653" s="525"/>
      <c r="C653" s="526"/>
      <c r="D653" s="537"/>
      <c r="J653" s="19"/>
      <c r="K653" s="19"/>
      <c r="L653" s="229"/>
    </row>
    <row r="654">
      <c r="A654" s="536"/>
      <c r="B654" s="525"/>
      <c r="C654" s="526"/>
      <c r="D654" s="537"/>
      <c r="J654" s="19"/>
      <c r="K654" s="19"/>
      <c r="L654" s="229"/>
    </row>
    <row r="655">
      <c r="A655" s="536"/>
      <c r="B655" s="525"/>
      <c r="C655" s="526"/>
      <c r="D655" s="537"/>
      <c r="J655" s="19"/>
      <c r="K655" s="19"/>
      <c r="L655" s="229"/>
    </row>
    <row r="656">
      <c r="A656" s="536"/>
      <c r="B656" s="525"/>
      <c r="C656" s="526"/>
      <c r="D656" s="537"/>
      <c r="J656" s="19"/>
      <c r="K656" s="19"/>
      <c r="L656" s="229"/>
    </row>
    <row r="657">
      <c r="A657" s="536"/>
      <c r="B657" s="525"/>
      <c r="C657" s="526"/>
      <c r="D657" s="537"/>
      <c r="J657" s="19"/>
      <c r="K657" s="19"/>
      <c r="L657" s="229"/>
    </row>
    <row r="658">
      <c r="A658" s="536"/>
      <c r="B658" s="525"/>
      <c r="C658" s="526"/>
      <c r="D658" s="537"/>
      <c r="J658" s="19"/>
      <c r="K658" s="19"/>
      <c r="L658" s="229"/>
    </row>
    <row r="659">
      <c r="A659" s="536"/>
      <c r="B659" s="525"/>
      <c r="C659" s="526"/>
      <c r="D659" s="537"/>
      <c r="J659" s="19"/>
      <c r="K659" s="19"/>
      <c r="L659" s="229"/>
    </row>
    <row r="660">
      <c r="A660" s="536"/>
      <c r="B660" s="525"/>
      <c r="C660" s="526"/>
      <c r="D660" s="537"/>
      <c r="J660" s="19"/>
      <c r="K660" s="19"/>
      <c r="L660" s="229"/>
    </row>
    <row r="661">
      <c r="A661" s="536"/>
      <c r="B661" s="525"/>
      <c r="C661" s="526"/>
      <c r="D661" s="537"/>
      <c r="J661" s="19"/>
      <c r="K661" s="19"/>
      <c r="L661" s="229"/>
    </row>
    <row r="662">
      <c r="A662" s="536"/>
      <c r="B662" s="525"/>
      <c r="C662" s="526"/>
      <c r="D662" s="537"/>
      <c r="J662" s="19"/>
      <c r="K662" s="19"/>
      <c r="L662" s="229"/>
    </row>
    <row r="663">
      <c r="A663" s="536"/>
      <c r="B663" s="525"/>
      <c r="C663" s="526"/>
      <c r="D663" s="537"/>
      <c r="J663" s="19"/>
      <c r="K663" s="19"/>
      <c r="L663" s="229"/>
    </row>
    <row r="664">
      <c r="A664" s="536"/>
      <c r="B664" s="525"/>
      <c r="C664" s="526"/>
      <c r="D664" s="537"/>
      <c r="J664" s="19"/>
      <c r="K664" s="19"/>
      <c r="L664" s="229"/>
    </row>
    <row r="665">
      <c r="A665" s="536"/>
      <c r="B665" s="525"/>
      <c r="C665" s="526"/>
      <c r="D665" s="537"/>
      <c r="J665" s="19"/>
      <c r="K665" s="19"/>
      <c r="L665" s="229"/>
    </row>
    <row r="666">
      <c r="A666" s="536"/>
      <c r="B666" s="525"/>
      <c r="C666" s="526"/>
      <c r="D666" s="537"/>
      <c r="J666" s="19"/>
      <c r="K666" s="19"/>
      <c r="L666" s="229"/>
    </row>
    <row r="667">
      <c r="A667" s="536"/>
      <c r="B667" s="525"/>
      <c r="C667" s="526"/>
      <c r="D667" s="537"/>
      <c r="J667" s="19"/>
      <c r="K667" s="19"/>
      <c r="L667" s="229"/>
    </row>
    <row r="668">
      <c r="A668" s="536"/>
      <c r="B668" s="525"/>
      <c r="C668" s="526"/>
      <c r="D668" s="537"/>
      <c r="J668" s="19"/>
      <c r="K668" s="19"/>
      <c r="L668" s="229"/>
    </row>
    <row r="669">
      <c r="A669" s="536"/>
      <c r="B669" s="525"/>
      <c r="C669" s="526"/>
      <c r="D669" s="537"/>
      <c r="J669" s="19"/>
      <c r="K669" s="19"/>
      <c r="L669" s="229"/>
    </row>
    <row r="670">
      <c r="A670" s="536"/>
      <c r="B670" s="525"/>
      <c r="C670" s="526"/>
      <c r="D670" s="537"/>
      <c r="J670" s="19"/>
      <c r="K670" s="19"/>
      <c r="L670" s="229"/>
    </row>
    <row r="671">
      <c r="A671" s="536"/>
      <c r="B671" s="525"/>
      <c r="C671" s="526"/>
      <c r="D671" s="537"/>
      <c r="J671" s="19"/>
      <c r="K671" s="19"/>
      <c r="L671" s="229"/>
    </row>
    <row r="672">
      <c r="A672" s="536"/>
      <c r="B672" s="525"/>
      <c r="C672" s="526"/>
      <c r="D672" s="537"/>
      <c r="J672" s="19"/>
      <c r="K672" s="19"/>
      <c r="L672" s="229"/>
    </row>
    <row r="673">
      <c r="A673" s="536"/>
      <c r="B673" s="525"/>
      <c r="C673" s="526"/>
      <c r="D673" s="537"/>
      <c r="J673" s="19"/>
      <c r="K673" s="19"/>
      <c r="L673" s="229"/>
    </row>
    <row r="674">
      <c r="A674" s="536"/>
      <c r="B674" s="525"/>
      <c r="C674" s="526"/>
      <c r="D674" s="537"/>
      <c r="J674" s="19"/>
      <c r="K674" s="19"/>
      <c r="L674" s="229"/>
    </row>
    <row r="675">
      <c r="A675" s="536"/>
      <c r="B675" s="525"/>
      <c r="C675" s="526"/>
      <c r="D675" s="537"/>
      <c r="J675" s="19"/>
      <c r="K675" s="19"/>
      <c r="L675" s="229"/>
    </row>
    <row r="676">
      <c r="A676" s="536"/>
      <c r="B676" s="525"/>
      <c r="C676" s="526"/>
      <c r="D676" s="537"/>
      <c r="J676" s="19"/>
      <c r="K676" s="19"/>
      <c r="L676" s="229"/>
    </row>
    <row r="677">
      <c r="A677" s="536"/>
      <c r="B677" s="525"/>
      <c r="C677" s="526"/>
      <c r="D677" s="537"/>
      <c r="J677" s="19"/>
      <c r="K677" s="19"/>
      <c r="L677" s="229"/>
    </row>
    <row r="678">
      <c r="A678" s="536"/>
      <c r="B678" s="525"/>
      <c r="C678" s="526"/>
      <c r="D678" s="537"/>
      <c r="J678" s="19"/>
      <c r="K678" s="19"/>
      <c r="L678" s="229"/>
    </row>
    <row r="679">
      <c r="A679" s="536"/>
      <c r="B679" s="525"/>
      <c r="C679" s="526"/>
      <c r="D679" s="537"/>
      <c r="J679" s="19"/>
      <c r="K679" s="19"/>
      <c r="L679" s="229"/>
    </row>
    <row r="680">
      <c r="A680" s="536"/>
      <c r="B680" s="525"/>
      <c r="C680" s="526"/>
      <c r="D680" s="537"/>
      <c r="J680" s="19"/>
      <c r="K680" s="19"/>
      <c r="L680" s="229"/>
    </row>
    <row r="681">
      <c r="A681" s="536"/>
      <c r="B681" s="525"/>
      <c r="C681" s="526"/>
      <c r="D681" s="537"/>
      <c r="J681" s="19"/>
      <c r="K681" s="19"/>
      <c r="L681" s="229"/>
    </row>
    <row r="682">
      <c r="A682" s="536"/>
      <c r="B682" s="525"/>
      <c r="C682" s="526"/>
      <c r="D682" s="537"/>
      <c r="J682" s="19"/>
      <c r="K682" s="19"/>
      <c r="L682" s="229"/>
    </row>
    <row r="683">
      <c r="A683" s="536"/>
      <c r="B683" s="525"/>
      <c r="C683" s="526"/>
      <c r="D683" s="537"/>
      <c r="J683" s="19"/>
      <c r="K683" s="19"/>
      <c r="L683" s="229"/>
    </row>
    <row r="684">
      <c r="A684" s="536"/>
      <c r="B684" s="525"/>
      <c r="C684" s="526"/>
      <c r="D684" s="537"/>
      <c r="J684" s="19"/>
      <c r="K684" s="19"/>
      <c r="L684" s="229"/>
    </row>
    <row r="685">
      <c r="A685" s="536"/>
      <c r="B685" s="525"/>
      <c r="C685" s="526"/>
      <c r="D685" s="537"/>
      <c r="J685" s="19"/>
      <c r="K685" s="19"/>
      <c r="L685" s="229"/>
    </row>
    <row r="686">
      <c r="A686" s="536"/>
      <c r="B686" s="525"/>
      <c r="C686" s="526"/>
      <c r="D686" s="537"/>
      <c r="J686" s="19"/>
      <c r="K686" s="19"/>
      <c r="L686" s="229"/>
    </row>
    <row r="687">
      <c r="A687" s="536"/>
      <c r="B687" s="525"/>
      <c r="C687" s="526"/>
      <c r="D687" s="537"/>
      <c r="J687" s="19"/>
      <c r="K687" s="19"/>
      <c r="L687" s="229"/>
    </row>
    <row r="688">
      <c r="A688" s="536"/>
      <c r="B688" s="525"/>
      <c r="C688" s="526"/>
      <c r="D688" s="537"/>
      <c r="J688" s="19"/>
      <c r="K688" s="19"/>
      <c r="L688" s="229"/>
    </row>
    <row r="689">
      <c r="A689" s="536"/>
      <c r="B689" s="525"/>
      <c r="C689" s="526"/>
      <c r="D689" s="537"/>
      <c r="J689" s="19"/>
      <c r="K689" s="19"/>
      <c r="L689" s="229"/>
    </row>
    <row r="690">
      <c r="A690" s="536"/>
      <c r="B690" s="525"/>
      <c r="C690" s="526"/>
      <c r="D690" s="537"/>
      <c r="J690" s="19"/>
      <c r="K690" s="19"/>
      <c r="L690" s="229"/>
    </row>
    <row r="691">
      <c r="A691" s="536"/>
      <c r="B691" s="525"/>
      <c r="C691" s="526"/>
      <c r="D691" s="537"/>
      <c r="J691" s="19"/>
      <c r="K691" s="19"/>
      <c r="L691" s="229"/>
    </row>
    <row r="692">
      <c r="A692" s="536"/>
      <c r="B692" s="525"/>
      <c r="C692" s="526"/>
      <c r="D692" s="537"/>
      <c r="J692" s="19"/>
      <c r="K692" s="19"/>
      <c r="L692" s="229"/>
    </row>
    <row r="693">
      <c r="A693" s="536"/>
      <c r="B693" s="525"/>
      <c r="C693" s="526"/>
      <c r="D693" s="537"/>
      <c r="J693" s="19"/>
      <c r="K693" s="19"/>
      <c r="L693" s="229"/>
    </row>
    <row r="694">
      <c r="A694" s="536"/>
      <c r="B694" s="525"/>
      <c r="C694" s="526"/>
      <c r="D694" s="537"/>
      <c r="J694" s="19"/>
      <c r="K694" s="19"/>
      <c r="L694" s="229"/>
    </row>
    <row r="695">
      <c r="A695" s="536"/>
      <c r="B695" s="525"/>
      <c r="C695" s="526"/>
      <c r="D695" s="537"/>
      <c r="J695" s="19"/>
      <c r="K695" s="19"/>
      <c r="L695" s="229"/>
    </row>
    <row r="696">
      <c r="A696" s="536"/>
      <c r="B696" s="525"/>
      <c r="C696" s="526"/>
      <c r="D696" s="537"/>
      <c r="J696" s="19"/>
      <c r="K696" s="19"/>
      <c r="L696" s="229"/>
    </row>
    <row r="697">
      <c r="A697" s="536"/>
      <c r="B697" s="525"/>
      <c r="C697" s="526"/>
      <c r="D697" s="537"/>
      <c r="J697" s="19"/>
      <c r="K697" s="19"/>
      <c r="L697" s="229"/>
    </row>
    <row r="698">
      <c r="A698" s="536"/>
      <c r="B698" s="525"/>
      <c r="C698" s="526"/>
      <c r="D698" s="537"/>
      <c r="J698" s="19"/>
      <c r="K698" s="19"/>
      <c r="L698" s="229"/>
    </row>
    <row r="699">
      <c r="A699" s="536"/>
      <c r="B699" s="525"/>
      <c r="C699" s="526"/>
      <c r="D699" s="537"/>
      <c r="J699" s="19"/>
      <c r="K699" s="19"/>
      <c r="L699" s="229"/>
    </row>
    <row r="700">
      <c r="A700" s="536"/>
      <c r="B700" s="525"/>
      <c r="C700" s="526"/>
      <c r="D700" s="537"/>
      <c r="J700" s="19"/>
      <c r="K700" s="19"/>
      <c r="L700" s="229"/>
    </row>
    <row r="701">
      <c r="A701" s="536"/>
      <c r="B701" s="525"/>
      <c r="C701" s="526"/>
      <c r="D701" s="537"/>
      <c r="J701" s="19"/>
      <c r="K701" s="19"/>
      <c r="L701" s="229"/>
    </row>
    <row r="702">
      <c r="A702" s="536"/>
      <c r="B702" s="525"/>
      <c r="C702" s="526"/>
      <c r="D702" s="537"/>
      <c r="J702" s="19"/>
      <c r="K702" s="19"/>
      <c r="L702" s="229"/>
    </row>
    <row r="703">
      <c r="A703" s="536"/>
      <c r="B703" s="525"/>
      <c r="C703" s="526"/>
      <c r="D703" s="537"/>
      <c r="J703" s="19"/>
      <c r="K703" s="19"/>
      <c r="L703" s="229"/>
    </row>
    <row r="704">
      <c r="A704" s="536"/>
      <c r="B704" s="525"/>
      <c r="C704" s="526"/>
      <c r="D704" s="537"/>
      <c r="J704" s="19"/>
      <c r="K704" s="19"/>
      <c r="L704" s="229"/>
    </row>
    <row r="705">
      <c r="A705" s="536"/>
      <c r="B705" s="525"/>
      <c r="C705" s="526"/>
      <c r="D705" s="537"/>
      <c r="J705" s="19"/>
      <c r="K705" s="19"/>
      <c r="L705" s="229"/>
    </row>
    <row r="706">
      <c r="A706" s="536"/>
      <c r="B706" s="525"/>
      <c r="C706" s="526"/>
      <c r="D706" s="537"/>
      <c r="J706" s="19"/>
      <c r="K706" s="19"/>
      <c r="L706" s="229"/>
    </row>
    <row r="707">
      <c r="A707" s="536"/>
      <c r="B707" s="525"/>
      <c r="C707" s="526"/>
      <c r="D707" s="537"/>
      <c r="J707" s="19"/>
      <c r="K707" s="19"/>
      <c r="L707" s="229"/>
    </row>
    <row r="708">
      <c r="A708" s="536"/>
      <c r="B708" s="525"/>
      <c r="C708" s="526"/>
      <c r="D708" s="537"/>
      <c r="J708" s="19"/>
      <c r="K708" s="19"/>
      <c r="L708" s="229"/>
    </row>
    <row r="709">
      <c r="A709" s="536"/>
      <c r="B709" s="525"/>
      <c r="C709" s="526"/>
      <c r="D709" s="537"/>
      <c r="J709" s="19"/>
      <c r="K709" s="19"/>
      <c r="L709" s="229"/>
    </row>
    <row r="710">
      <c r="A710" s="536"/>
      <c r="B710" s="525"/>
      <c r="C710" s="526"/>
      <c r="D710" s="537"/>
      <c r="J710" s="19"/>
      <c r="K710" s="19"/>
      <c r="L710" s="229"/>
    </row>
    <row r="711">
      <c r="A711" s="536"/>
      <c r="B711" s="525"/>
      <c r="C711" s="526"/>
      <c r="D711" s="537"/>
      <c r="J711" s="19"/>
      <c r="K711" s="19"/>
      <c r="L711" s="229"/>
    </row>
    <row r="712">
      <c r="A712" s="536"/>
      <c r="B712" s="525"/>
      <c r="C712" s="526"/>
      <c r="D712" s="537"/>
      <c r="J712" s="19"/>
      <c r="K712" s="19"/>
      <c r="L712" s="229"/>
    </row>
    <row r="713">
      <c r="A713" s="536"/>
      <c r="B713" s="525"/>
      <c r="C713" s="526"/>
      <c r="D713" s="537"/>
      <c r="J713" s="19"/>
      <c r="K713" s="19"/>
      <c r="L713" s="229"/>
    </row>
    <row r="714">
      <c r="A714" s="536"/>
      <c r="B714" s="525"/>
      <c r="C714" s="526"/>
      <c r="D714" s="537"/>
      <c r="J714" s="19"/>
      <c r="K714" s="19"/>
      <c r="L714" s="229"/>
    </row>
    <row r="715">
      <c r="A715" s="536"/>
      <c r="B715" s="525"/>
      <c r="C715" s="526"/>
      <c r="D715" s="537"/>
      <c r="J715" s="19"/>
      <c r="K715" s="19"/>
      <c r="L715" s="229"/>
    </row>
    <row r="716">
      <c r="A716" s="536"/>
      <c r="B716" s="525"/>
      <c r="C716" s="526"/>
      <c r="D716" s="537"/>
      <c r="J716" s="19"/>
      <c r="K716" s="19"/>
      <c r="L716" s="229"/>
    </row>
    <row r="717">
      <c r="A717" s="536"/>
      <c r="B717" s="525"/>
      <c r="C717" s="526"/>
      <c r="D717" s="537"/>
      <c r="J717" s="19"/>
      <c r="K717" s="19"/>
      <c r="L717" s="229"/>
    </row>
    <row r="718">
      <c r="A718" s="536"/>
      <c r="B718" s="525"/>
      <c r="C718" s="526"/>
      <c r="D718" s="537"/>
      <c r="J718" s="19"/>
      <c r="K718" s="19"/>
      <c r="L718" s="229"/>
    </row>
    <row r="719">
      <c r="A719" s="536"/>
      <c r="B719" s="525"/>
      <c r="C719" s="526"/>
      <c r="D719" s="537"/>
      <c r="J719" s="19"/>
      <c r="K719" s="19"/>
      <c r="L719" s="229"/>
    </row>
    <row r="720">
      <c r="A720" s="536"/>
      <c r="B720" s="525"/>
      <c r="C720" s="526"/>
      <c r="D720" s="537"/>
      <c r="J720" s="19"/>
      <c r="K720" s="19"/>
      <c r="L720" s="229"/>
    </row>
    <row r="721">
      <c r="A721" s="536"/>
      <c r="B721" s="525"/>
      <c r="C721" s="526"/>
      <c r="D721" s="537"/>
      <c r="J721" s="19"/>
      <c r="K721" s="19"/>
      <c r="L721" s="229"/>
    </row>
    <row r="722">
      <c r="A722" s="536"/>
      <c r="B722" s="525"/>
      <c r="C722" s="526"/>
      <c r="D722" s="537"/>
      <c r="J722" s="19"/>
      <c r="K722" s="19"/>
      <c r="L722" s="229"/>
    </row>
    <row r="723">
      <c r="A723" s="536"/>
      <c r="B723" s="525"/>
      <c r="C723" s="526"/>
      <c r="D723" s="537"/>
      <c r="J723" s="19"/>
      <c r="K723" s="19"/>
      <c r="L723" s="229"/>
    </row>
    <row r="724">
      <c r="A724" s="536"/>
      <c r="B724" s="525"/>
      <c r="C724" s="526"/>
      <c r="D724" s="537"/>
      <c r="J724" s="19"/>
      <c r="K724" s="19"/>
      <c r="L724" s="229"/>
    </row>
    <row r="725">
      <c r="A725" s="536"/>
      <c r="B725" s="525"/>
      <c r="C725" s="526"/>
      <c r="D725" s="537"/>
      <c r="J725" s="19"/>
      <c r="K725" s="19"/>
      <c r="L725" s="229"/>
    </row>
    <row r="726">
      <c r="A726" s="536"/>
      <c r="B726" s="525"/>
      <c r="C726" s="526"/>
      <c r="D726" s="537"/>
      <c r="J726" s="19"/>
      <c r="K726" s="19"/>
      <c r="L726" s="229"/>
    </row>
    <row r="727">
      <c r="A727" s="536"/>
      <c r="B727" s="525"/>
      <c r="C727" s="526"/>
      <c r="D727" s="537"/>
      <c r="J727" s="19"/>
      <c r="K727" s="19"/>
      <c r="L727" s="229"/>
    </row>
    <row r="728">
      <c r="A728" s="536"/>
      <c r="B728" s="525"/>
      <c r="C728" s="526"/>
      <c r="D728" s="537"/>
      <c r="J728" s="19"/>
      <c r="K728" s="19"/>
      <c r="L728" s="229"/>
    </row>
    <row r="729">
      <c r="A729" s="536"/>
      <c r="B729" s="525"/>
      <c r="C729" s="526"/>
      <c r="D729" s="537"/>
      <c r="J729" s="19"/>
      <c r="K729" s="19"/>
      <c r="L729" s="229"/>
    </row>
    <row r="730">
      <c r="A730" s="536"/>
      <c r="B730" s="525"/>
      <c r="C730" s="526"/>
      <c r="D730" s="537"/>
      <c r="J730" s="19"/>
      <c r="K730" s="19"/>
      <c r="L730" s="229"/>
    </row>
    <row r="731">
      <c r="A731" s="536"/>
      <c r="B731" s="525"/>
      <c r="C731" s="526"/>
      <c r="D731" s="537"/>
      <c r="J731" s="19"/>
      <c r="K731" s="19"/>
      <c r="L731" s="229"/>
    </row>
    <row r="732">
      <c r="A732" s="536"/>
      <c r="B732" s="525"/>
      <c r="C732" s="526"/>
      <c r="D732" s="537"/>
      <c r="J732" s="19"/>
      <c r="K732" s="19"/>
      <c r="L732" s="229"/>
    </row>
    <row r="733">
      <c r="A733" s="536"/>
      <c r="B733" s="525"/>
      <c r="C733" s="526"/>
      <c r="D733" s="537"/>
      <c r="J733" s="19"/>
      <c r="K733" s="19"/>
      <c r="L733" s="229"/>
    </row>
    <row r="734">
      <c r="A734" s="536"/>
      <c r="B734" s="525"/>
      <c r="C734" s="526"/>
      <c r="D734" s="537"/>
      <c r="J734" s="19"/>
      <c r="K734" s="19"/>
      <c r="L734" s="229"/>
    </row>
    <row r="735">
      <c r="A735" s="536"/>
      <c r="B735" s="525"/>
      <c r="C735" s="526"/>
      <c r="D735" s="537"/>
      <c r="J735" s="19"/>
      <c r="K735" s="19"/>
      <c r="L735" s="229"/>
    </row>
    <row r="736">
      <c r="A736" s="536"/>
      <c r="B736" s="525"/>
      <c r="C736" s="526"/>
      <c r="D736" s="537"/>
      <c r="J736" s="19"/>
      <c r="K736" s="19"/>
      <c r="L736" s="229"/>
    </row>
    <row r="737">
      <c r="A737" s="536"/>
      <c r="B737" s="525"/>
      <c r="C737" s="526"/>
      <c r="D737" s="537"/>
      <c r="J737" s="19"/>
      <c r="K737" s="19"/>
      <c r="L737" s="229"/>
    </row>
    <row r="738">
      <c r="A738" s="536"/>
      <c r="B738" s="525"/>
      <c r="C738" s="526"/>
      <c r="D738" s="537"/>
      <c r="J738" s="19"/>
      <c r="K738" s="19"/>
      <c r="L738" s="229"/>
    </row>
    <row r="739">
      <c r="A739" s="536"/>
      <c r="B739" s="525"/>
      <c r="C739" s="526"/>
      <c r="D739" s="537"/>
      <c r="J739" s="19"/>
      <c r="K739" s="19"/>
      <c r="L739" s="229"/>
    </row>
    <row r="740">
      <c r="A740" s="536"/>
      <c r="B740" s="525"/>
      <c r="C740" s="526"/>
      <c r="D740" s="537"/>
      <c r="J740" s="19"/>
      <c r="K740" s="19"/>
      <c r="L740" s="229"/>
    </row>
    <row r="741">
      <c r="A741" s="536"/>
      <c r="B741" s="525"/>
      <c r="C741" s="526"/>
      <c r="D741" s="537"/>
      <c r="J741" s="19"/>
      <c r="K741" s="19"/>
      <c r="L741" s="229"/>
    </row>
    <row r="742">
      <c r="A742" s="536"/>
      <c r="B742" s="525"/>
      <c r="C742" s="526"/>
      <c r="D742" s="537"/>
      <c r="J742" s="19"/>
      <c r="K742" s="19"/>
      <c r="L742" s="229"/>
    </row>
    <row r="743">
      <c r="A743" s="536"/>
      <c r="B743" s="525"/>
      <c r="C743" s="526"/>
      <c r="D743" s="537"/>
      <c r="J743" s="19"/>
      <c r="K743" s="19"/>
      <c r="L743" s="229"/>
    </row>
    <row r="744">
      <c r="A744" s="536"/>
      <c r="B744" s="525"/>
      <c r="C744" s="526"/>
      <c r="D744" s="537"/>
      <c r="J744" s="19"/>
      <c r="K744" s="19"/>
      <c r="L744" s="229"/>
    </row>
    <row r="745">
      <c r="A745" s="536"/>
      <c r="B745" s="525"/>
      <c r="C745" s="526"/>
      <c r="D745" s="537"/>
      <c r="J745" s="19"/>
      <c r="K745" s="19"/>
      <c r="L745" s="229"/>
    </row>
    <row r="746">
      <c r="A746" s="536"/>
      <c r="B746" s="525"/>
      <c r="C746" s="526"/>
      <c r="D746" s="537"/>
      <c r="J746" s="19"/>
      <c r="K746" s="19"/>
      <c r="L746" s="229"/>
    </row>
    <row r="747">
      <c r="A747" s="536"/>
      <c r="B747" s="525"/>
      <c r="C747" s="526"/>
      <c r="D747" s="537"/>
      <c r="J747" s="19"/>
      <c r="K747" s="19"/>
      <c r="L747" s="229"/>
    </row>
    <row r="748">
      <c r="A748" s="536"/>
      <c r="B748" s="525"/>
      <c r="C748" s="526"/>
      <c r="D748" s="537"/>
      <c r="J748" s="19"/>
      <c r="K748" s="19"/>
      <c r="L748" s="229"/>
    </row>
    <row r="749">
      <c r="A749" s="536"/>
      <c r="B749" s="525"/>
      <c r="C749" s="526"/>
      <c r="D749" s="537"/>
      <c r="J749" s="19"/>
      <c r="K749" s="19"/>
      <c r="L749" s="229"/>
    </row>
    <row r="750">
      <c r="A750" s="536"/>
      <c r="B750" s="525"/>
      <c r="C750" s="526"/>
      <c r="D750" s="537"/>
      <c r="J750" s="19"/>
      <c r="K750" s="19"/>
      <c r="L750" s="229"/>
    </row>
    <row r="751">
      <c r="A751" s="536"/>
      <c r="B751" s="525"/>
      <c r="C751" s="526"/>
      <c r="D751" s="537"/>
      <c r="J751" s="19"/>
      <c r="K751" s="19"/>
      <c r="L751" s="229"/>
    </row>
    <row r="752">
      <c r="A752" s="536"/>
      <c r="B752" s="525"/>
      <c r="C752" s="526"/>
      <c r="D752" s="537"/>
      <c r="J752" s="19"/>
      <c r="K752" s="19"/>
      <c r="L752" s="229"/>
    </row>
    <row r="753">
      <c r="A753" s="536"/>
      <c r="B753" s="525"/>
      <c r="C753" s="526"/>
      <c r="D753" s="537"/>
      <c r="J753" s="19"/>
      <c r="K753" s="19"/>
      <c r="L753" s="229"/>
    </row>
    <row r="754">
      <c r="A754" s="536"/>
      <c r="B754" s="525"/>
      <c r="C754" s="526"/>
      <c r="D754" s="537"/>
      <c r="J754" s="19"/>
      <c r="K754" s="19"/>
      <c r="L754" s="229"/>
    </row>
    <row r="755">
      <c r="A755" s="536"/>
      <c r="B755" s="525"/>
      <c r="C755" s="526"/>
      <c r="D755" s="537"/>
      <c r="J755" s="19"/>
      <c r="K755" s="19"/>
      <c r="L755" s="229"/>
    </row>
    <row r="756">
      <c r="A756" s="536"/>
      <c r="B756" s="525"/>
      <c r="C756" s="526"/>
      <c r="D756" s="537"/>
      <c r="J756" s="19"/>
      <c r="K756" s="19"/>
      <c r="L756" s="229"/>
    </row>
    <row r="757">
      <c r="A757" s="536"/>
      <c r="B757" s="525"/>
      <c r="C757" s="526"/>
      <c r="D757" s="537"/>
      <c r="J757" s="19"/>
      <c r="K757" s="19"/>
      <c r="L757" s="229"/>
    </row>
    <row r="758">
      <c r="A758" s="536"/>
      <c r="B758" s="525"/>
      <c r="C758" s="526"/>
      <c r="D758" s="537"/>
      <c r="J758" s="19"/>
      <c r="K758" s="19"/>
      <c r="L758" s="229"/>
    </row>
    <row r="759">
      <c r="A759" s="536"/>
      <c r="B759" s="525"/>
      <c r="C759" s="526"/>
      <c r="D759" s="537"/>
      <c r="J759" s="19"/>
      <c r="K759" s="19"/>
      <c r="L759" s="229"/>
    </row>
    <row r="760">
      <c r="A760" s="536"/>
      <c r="B760" s="525"/>
      <c r="C760" s="526"/>
      <c r="D760" s="537"/>
      <c r="J760" s="19"/>
      <c r="K760" s="19"/>
      <c r="L760" s="229"/>
    </row>
    <row r="761">
      <c r="A761" s="536"/>
      <c r="B761" s="525"/>
      <c r="C761" s="526"/>
      <c r="D761" s="537"/>
      <c r="J761" s="19"/>
      <c r="K761" s="19"/>
      <c r="L761" s="229"/>
    </row>
    <row r="762">
      <c r="A762" s="536"/>
      <c r="B762" s="525"/>
      <c r="C762" s="526"/>
      <c r="D762" s="537"/>
      <c r="J762" s="19"/>
      <c r="K762" s="19"/>
      <c r="L762" s="229"/>
    </row>
    <row r="763">
      <c r="A763" s="536"/>
      <c r="B763" s="525"/>
      <c r="C763" s="526"/>
      <c r="D763" s="537"/>
      <c r="J763" s="19"/>
      <c r="K763" s="19"/>
      <c r="L763" s="229"/>
    </row>
    <row r="764">
      <c r="A764" s="536"/>
      <c r="B764" s="525"/>
      <c r="C764" s="526"/>
      <c r="D764" s="537"/>
      <c r="J764" s="19"/>
      <c r="K764" s="19"/>
      <c r="L764" s="229"/>
    </row>
    <row r="765">
      <c r="A765" s="536"/>
      <c r="B765" s="525"/>
      <c r="C765" s="526"/>
      <c r="D765" s="537"/>
      <c r="J765" s="19"/>
      <c r="K765" s="19"/>
      <c r="L765" s="229"/>
    </row>
    <row r="766">
      <c r="A766" s="536"/>
      <c r="B766" s="525"/>
      <c r="C766" s="526"/>
      <c r="D766" s="537"/>
      <c r="J766" s="19"/>
      <c r="K766" s="19"/>
      <c r="L766" s="229"/>
    </row>
    <row r="767">
      <c r="A767" s="536"/>
      <c r="B767" s="525"/>
      <c r="C767" s="526"/>
      <c r="D767" s="537"/>
      <c r="J767" s="19"/>
      <c r="K767" s="19"/>
      <c r="L767" s="229"/>
    </row>
    <row r="768">
      <c r="A768" s="536"/>
      <c r="B768" s="525"/>
      <c r="C768" s="526"/>
      <c r="D768" s="537"/>
      <c r="J768" s="19"/>
      <c r="K768" s="19"/>
      <c r="L768" s="229"/>
    </row>
    <row r="769">
      <c r="A769" s="536"/>
      <c r="B769" s="525"/>
      <c r="C769" s="526"/>
      <c r="D769" s="537"/>
      <c r="J769" s="19"/>
      <c r="K769" s="19"/>
      <c r="L769" s="229"/>
    </row>
    <row r="770">
      <c r="A770" s="536"/>
      <c r="B770" s="525"/>
      <c r="C770" s="526"/>
      <c r="D770" s="537"/>
      <c r="J770" s="19"/>
      <c r="K770" s="19"/>
      <c r="L770" s="229"/>
    </row>
    <row r="771">
      <c r="A771" s="536"/>
      <c r="B771" s="525"/>
      <c r="C771" s="526"/>
      <c r="D771" s="537"/>
      <c r="J771" s="19"/>
      <c r="K771" s="19"/>
      <c r="L771" s="229"/>
    </row>
    <row r="772">
      <c r="A772" s="536"/>
      <c r="B772" s="525"/>
      <c r="C772" s="526"/>
      <c r="D772" s="537"/>
      <c r="J772" s="19"/>
      <c r="K772" s="19"/>
      <c r="L772" s="229"/>
    </row>
    <row r="773">
      <c r="A773" s="536"/>
      <c r="B773" s="525"/>
      <c r="C773" s="526"/>
      <c r="D773" s="537"/>
      <c r="J773" s="19"/>
      <c r="K773" s="19"/>
      <c r="L773" s="229"/>
    </row>
    <row r="774">
      <c r="A774" s="536"/>
      <c r="B774" s="525"/>
      <c r="C774" s="526"/>
      <c r="D774" s="537"/>
      <c r="J774" s="19"/>
      <c r="K774" s="19"/>
      <c r="L774" s="229"/>
    </row>
    <row r="775">
      <c r="A775" s="536"/>
      <c r="B775" s="525"/>
      <c r="C775" s="526"/>
      <c r="D775" s="537"/>
      <c r="J775" s="19"/>
      <c r="K775" s="19"/>
      <c r="L775" s="229"/>
    </row>
    <row r="776">
      <c r="A776" s="536"/>
      <c r="B776" s="525"/>
      <c r="C776" s="526"/>
      <c r="D776" s="537"/>
      <c r="J776" s="19"/>
      <c r="K776" s="19"/>
      <c r="L776" s="229"/>
    </row>
    <row r="777">
      <c r="A777" s="536"/>
      <c r="B777" s="525"/>
      <c r="C777" s="526"/>
      <c r="D777" s="537"/>
      <c r="J777" s="19"/>
      <c r="K777" s="19"/>
      <c r="L777" s="229"/>
    </row>
    <row r="778">
      <c r="A778" s="536"/>
      <c r="B778" s="525"/>
      <c r="C778" s="526"/>
      <c r="D778" s="537"/>
      <c r="J778" s="19"/>
      <c r="K778" s="19"/>
      <c r="L778" s="229"/>
    </row>
    <row r="779">
      <c r="A779" s="536"/>
      <c r="B779" s="525"/>
      <c r="C779" s="526"/>
      <c r="D779" s="537"/>
      <c r="J779" s="19"/>
      <c r="K779" s="19"/>
      <c r="L779" s="229"/>
    </row>
    <row r="780">
      <c r="A780" s="536"/>
      <c r="B780" s="525"/>
      <c r="C780" s="526"/>
      <c r="D780" s="537"/>
      <c r="J780" s="19"/>
      <c r="K780" s="19"/>
      <c r="L780" s="229"/>
    </row>
    <row r="781">
      <c r="A781" s="536"/>
      <c r="B781" s="525"/>
      <c r="C781" s="526"/>
      <c r="D781" s="537"/>
      <c r="J781" s="19"/>
      <c r="K781" s="19"/>
      <c r="L781" s="229"/>
    </row>
    <row r="782">
      <c r="A782" s="536"/>
      <c r="B782" s="525"/>
      <c r="C782" s="526"/>
      <c r="D782" s="537"/>
      <c r="J782" s="19"/>
      <c r="K782" s="19"/>
      <c r="L782" s="229"/>
    </row>
    <row r="783">
      <c r="A783" s="536"/>
      <c r="B783" s="525"/>
      <c r="C783" s="526"/>
      <c r="D783" s="537"/>
      <c r="J783" s="19"/>
      <c r="K783" s="19"/>
      <c r="L783" s="229"/>
    </row>
    <row r="784">
      <c r="A784" s="536"/>
      <c r="B784" s="525"/>
      <c r="C784" s="526"/>
      <c r="D784" s="537"/>
      <c r="J784" s="19"/>
      <c r="K784" s="19"/>
      <c r="L784" s="229"/>
    </row>
    <row r="785">
      <c r="A785" s="536"/>
      <c r="B785" s="525"/>
      <c r="C785" s="526"/>
      <c r="D785" s="537"/>
      <c r="J785" s="19"/>
      <c r="K785" s="19"/>
      <c r="L785" s="229"/>
    </row>
    <row r="786">
      <c r="A786" s="536"/>
      <c r="B786" s="525"/>
      <c r="C786" s="526"/>
      <c r="D786" s="537"/>
      <c r="J786" s="19"/>
      <c r="K786" s="19"/>
      <c r="L786" s="229"/>
    </row>
    <row r="787">
      <c r="A787" s="536"/>
      <c r="B787" s="525"/>
      <c r="C787" s="526"/>
      <c r="D787" s="537"/>
      <c r="J787" s="19"/>
      <c r="K787" s="19"/>
      <c r="L787" s="229"/>
    </row>
    <row r="788">
      <c r="A788" s="536"/>
      <c r="B788" s="525"/>
      <c r="C788" s="526"/>
      <c r="D788" s="537"/>
      <c r="J788" s="19"/>
      <c r="K788" s="19"/>
      <c r="L788" s="229"/>
    </row>
    <row r="789">
      <c r="A789" s="536"/>
      <c r="B789" s="525"/>
      <c r="C789" s="526"/>
      <c r="D789" s="537"/>
      <c r="J789" s="19"/>
      <c r="K789" s="19"/>
      <c r="L789" s="229"/>
    </row>
    <row r="790">
      <c r="A790" s="536"/>
      <c r="B790" s="525"/>
      <c r="C790" s="526"/>
      <c r="D790" s="537"/>
      <c r="J790" s="19"/>
      <c r="K790" s="19"/>
      <c r="L790" s="229"/>
    </row>
    <row r="791">
      <c r="A791" s="536"/>
      <c r="B791" s="525"/>
      <c r="C791" s="526"/>
      <c r="D791" s="537"/>
      <c r="J791" s="19"/>
      <c r="K791" s="19"/>
      <c r="L791" s="229"/>
    </row>
    <row r="792">
      <c r="A792" s="536"/>
      <c r="B792" s="525"/>
      <c r="C792" s="526"/>
      <c r="D792" s="537"/>
      <c r="J792" s="19"/>
      <c r="K792" s="19"/>
      <c r="L792" s="229"/>
    </row>
    <row r="793">
      <c r="A793" s="536"/>
      <c r="B793" s="525"/>
      <c r="C793" s="526"/>
      <c r="D793" s="537"/>
      <c r="J793" s="19"/>
      <c r="K793" s="19"/>
      <c r="L793" s="229"/>
    </row>
    <row r="794">
      <c r="A794" s="536"/>
      <c r="B794" s="525"/>
      <c r="C794" s="526"/>
      <c r="D794" s="537"/>
      <c r="J794" s="19"/>
      <c r="K794" s="19"/>
      <c r="L794" s="229"/>
    </row>
    <row r="795">
      <c r="A795" s="536"/>
      <c r="B795" s="525"/>
      <c r="C795" s="526"/>
      <c r="D795" s="537"/>
      <c r="J795" s="19"/>
      <c r="K795" s="19"/>
      <c r="L795" s="229"/>
    </row>
    <row r="796">
      <c r="A796" s="536"/>
      <c r="B796" s="525"/>
      <c r="C796" s="526"/>
      <c r="D796" s="537"/>
      <c r="J796" s="19"/>
      <c r="K796" s="19"/>
      <c r="L796" s="229"/>
    </row>
    <row r="797">
      <c r="A797" s="536"/>
      <c r="B797" s="525"/>
      <c r="C797" s="526"/>
      <c r="D797" s="537"/>
      <c r="J797" s="19"/>
      <c r="K797" s="19"/>
      <c r="L797" s="229"/>
    </row>
    <row r="798">
      <c r="A798" s="536"/>
      <c r="B798" s="525"/>
      <c r="C798" s="526"/>
      <c r="D798" s="537"/>
      <c r="J798" s="19"/>
      <c r="K798" s="19"/>
      <c r="L798" s="229"/>
    </row>
    <row r="799">
      <c r="A799" s="536"/>
      <c r="B799" s="525"/>
      <c r="C799" s="526"/>
      <c r="D799" s="537"/>
      <c r="J799" s="19"/>
      <c r="K799" s="19"/>
      <c r="L799" s="229"/>
    </row>
    <row r="800">
      <c r="A800" s="536"/>
      <c r="B800" s="525"/>
      <c r="C800" s="526"/>
      <c r="D800" s="537"/>
      <c r="J800" s="19"/>
      <c r="K800" s="19"/>
      <c r="L800" s="229"/>
    </row>
    <row r="801">
      <c r="A801" s="536"/>
      <c r="B801" s="525"/>
      <c r="C801" s="526"/>
      <c r="D801" s="537"/>
      <c r="J801" s="19"/>
      <c r="K801" s="19"/>
      <c r="L801" s="229"/>
    </row>
    <row r="802">
      <c r="A802" s="536"/>
      <c r="B802" s="525"/>
      <c r="C802" s="526"/>
      <c r="D802" s="537"/>
      <c r="J802" s="19"/>
      <c r="K802" s="19"/>
      <c r="L802" s="229"/>
    </row>
    <row r="803">
      <c r="A803" s="536"/>
      <c r="B803" s="525"/>
      <c r="C803" s="526"/>
      <c r="D803" s="537"/>
      <c r="J803" s="19"/>
      <c r="K803" s="19"/>
      <c r="L803" s="229"/>
    </row>
    <row r="804">
      <c r="A804" s="536"/>
      <c r="B804" s="525"/>
      <c r="C804" s="526"/>
      <c r="D804" s="537"/>
      <c r="J804" s="19"/>
      <c r="K804" s="19"/>
      <c r="L804" s="229"/>
    </row>
    <row r="805">
      <c r="A805" s="536"/>
      <c r="B805" s="525"/>
      <c r="C805" s="526"/>
      <c r="D805" s="537"/>
      <c r="J805" s="19"/>
      <c r="K805" s="19"/>
      <c r="L805" s="229"/>
    </row>
    <row r="806">
      <c r="A806" s="536"/>
      <c r="B806" s="525"/>
      <c r="C806" s="526"/>
      <c r="D806" s="537"/>
      <c r="J806" s="19"/>
      <c r="K806" s="19"/>
      <c r="L806" s="229"/>
    </row>
    <row r="807">
      <c r="A807" s="536"/>
      <c r="B807" s="525"/>
      <c r="C807" s="526"/>
      <c r="D807" s="537"/>
      <c r="J807" s="19"/>
      <c r="K807" s="19"/>
      <c r="L807" s="229"/>
    </row>
    <row r="808">
      <c r="A808" s="536"/>
      <c r="B808" s="525"/>
      <c r="C808" s="526"/>
      <c r="D808" s="537"/>
      <c r="J808" s="19"/>
      <c r="K808" s="19"/>
      <c r="L808" s="229"/>
    </row>
    <row r="809">
      <c r="A809" s="536"/>
      <c r="B809" s="525"/>
      <c r="C809" s="526"/>
      <c r="D809" s="537"/>
      <c r="J809" s="19"/>
      <c r="K809" s="19"/>
      <c r="L809" s="229"/>
    </row>
    <row r="810">
      <c r="A810" s="536"/>
      <c r="B810" s="525"/>
      <c r="C810" s="526"/>
      <c r="D810" s="537"/>
      <c r="J810" s="19"/>
      <c r="K810" s="19"/>
      <c r="L810" s="229"/>
    </row>
    <row r="811">
      <c r="A811" s="536"/>
      <c r="B811" s="525"/>
      <c r="C811" s="526"/>
      <c r="D811" s="537"/>
      <c r="J811" s="19"/>
      <c r="K811" s="19"/>
      <c r="L811" s="229"/>
    </row>
    <row r="812">
      <c r="A812" s="536"/>
      <c r="B812" s="525"/>
      <c r="C812" s="526"/>
      <c r="D812" s="537"/>
      <c r="J812" s="19"/>
      <c r="K812" s="19"/>
      <c r="L812" s="229"/>
    </row>
    <row r="813">
      <c r="A813" s="536"/>
      <c r="B813" s="525"/>
      <c r="C813" s="526"/>
      <c r="D813" s="537"/>
      <c r="J813" s="19"/>
      <c r="K813" s="19"/>
      <c r="L813" s="229"/>
    </row>
    <row r="814">
      <c r="A814" s="536"/>
      <c r="B814" s="525"/>
      <c r="C814" s="526"/>
      <c r="D814" s="537"/>
      <c r="J814" s="19"/>
      <c r="K814" s="19"/>
      <c r="L814" s="229"/>
    </row>
    <row r="815">
      <c r="A815" s="536"/>
      <c r="B815" s="525"/>
      <c r="C815" s="526"/>
      <c r="D815" s="537"/>
      <c r="J815" s="19"/>
      <c r="K815" s="19"/>
      <c r="L815" s="229"/>
    </row>
    <row r="816">
      <c r="A816" s="536"/>
      <c r="B816" s="525"/>
      <c r="C816" s="526"/>
      <c r="D816" s="537"/>
      <c r="J816" s="19"/>
      <c r="K816" s="19"/>
      <c r="L816" s="229"/>
    </row>
    <row r="817">
      <c r="A817" s="536"/>
      <c r="B817" s="525"/>
      <c r="C817" s="526"/>
      <c r="D817" s="537"/>
      <c r="J817" s="19"/>
      <c r="K817" s="19"/>
      <c r="L817" s="229"/>
    </row>
    <row r="818">
      <c r="A818" s="536"/>
      <c r="B818" s="525"/>
      <c r="C818" s="526"/>
      <c r="D818" s="537"/>
      <c r="J818" s="19"/>
      <c r="K818" s="19"/>
      <c r="L818" s="229"/>
    </row>
    <row r="819">
      <c r="A819" s="536"/>
      <c r="B819" s="525"/>
      <c r="C819" s="526"/>
      <c r="D819" s="537"/>
      <c r="J819" s="19"/>
      <c r="K819" s="19"/>
      <c r="L819" s="229"/>
    </row>
    <row r="820">
      <c r="A820" s="536"/>
      <c r="B820" s="525"/>
      <c r="C820" s="526"/>
      <c r="D820" s="537"/>
      <c r="J820" s="19"/>
      <c r="K820" s="19"/>
      <c r="L820" s="229"/>
    </row>
    <row r="821">
      <c r="A821" s="536"/>
      <c r="B821" s="525"/>
      <c r="C821" s="526"/>
      <c r="D821" s="537"/>
      <c r="J821" s="19"/>
      <c r="K821" s="19"/>
      <c r="L821" s="229"/>
    </row>
    <row r="822">
      <c r="A822" s="536"/>
      <c r="B822" s="525"/>
      <c r="C822" s="526"/>
      <c r="D822" s="537"/>
      <c r="J822" s="19"/>
      <c r="K822" s="19"/>
      <c r="L822" s="229"/>
    </row>
    <row r="823">
      <c r="A823" s="536"/>
      <c r="B823" s="525"/>
      <c r="C823" s="526"/>
      <c r="D823" s="537"/>
      <c r="J823" s="19"/>
      <c r="K823" s="19"/>
      <c r="L823" s="229"/>
    </row>
    <row r="824">
      <c r="A824" s="536"/>
      <c r="B824" s="525"/>
      <c r="C824" s="526"/>
      <c r="D824" s="537"/>
      <c r="J824" s="19"/>
      <c r="K824" s="19"/>
      <c r="L824" s="229"/>
    </row>
    <row r="825">
      <c r="A825" s="536"/>
      <c r="B825" s="525"/>
      <c r="C825" s="526"/>
      <c r="D825" s="537"/>
      <c r="J825" s="19"/>
      <c r="K825" s="19"/>
      <c r="L825" s="229"/>
    </row>
    <row r="826">
      <c r="A826" s="536"/>
      <c r="B826" s="525"/>
      <c r="C826" s="526"/>
      <c r="D826" s="537"/>
      <c r="J826" s="19"/>
      <c r="K826" s="19"/>
      <c r="L826" s="229"/>
    </row>
    <row r="827">
      <c r="A827" s="536"/>
      <c r="B827" s="525"/>
      <c r="C827" s="526"/>
      <c r="D827" s="537"/>
      <c r="J827" s="19"/>
      <c r="K827" s="19"/>
      <c r="L827" s="229"/>
    </row>
    <row r="828">
      <c r="A828" s="536"/>
      <c r="B828" s="525"/>
      <c r="C828" s="526"/>
      <c r="D828" s="537"/>
      <c r="J828" s="19"/>
      <c r="K828" s="19"/>
      <c r="L828" s="229"/>
    </row>
    <row r="829">
      <c r="A829" s="536"/>
      <c r="B829" s="525"/>
      <c r="C829" s="526"/>
      <c r="D829" s="537"/>
      <c r="J829" s="19"/>
      <c r="K829" s="19"/>
      <c r="L829" s="229"/>
    </row>
    <row r="830">
      <c r="A830" s="536"/>
      <c r="B830" s="525"/>
      <c r="C830" s="526"/>
      <c r="D830" s="537"/>
      <c r="J830" s="19"/>
      <c r="K830" s="19"/>
      <c r="L830" s="229"/>
    </row>
    <row r="831">
      <c r="A831" s="536"/>
      <c r="B831" s="525"/>
      <c r="C831" s="526"/>
      <c r="D831" s="537"/>
      <c r="J831" s="19"/>
      <c r="K831" s="19"/>
      <c r="L831" s="229"/>
    </row>
    <row r="832">
      <c r="A832" s="536"/>
      <c r="B832" s="525"/>
      <c r="C832" s="526"/>
      <c r="D832" s="537"/>
      <c r="J832" s="19"/>
      <c r="K832" s="19"/>
      <c r="L832" s="229"/>
    </row>
    <row r="833">
      <c r="A833" s="536"/>
      <c r="B833" s="525"/>
      <c r="C833" s="526"/>
      <c r="D833" s="537"/>
      <c r="J833" s="19"/>
      <c r="K833" s="19"/>
      <c r="L833" s="229"/>
    </row>
    <row r="834">
      <c r="A834" s="536"/>
      <c r="B834" s="525"/>
      <c r="C834" s="526"/>
      <c r="D834" s="537"/>
      <c r="J834" s="19"/>
      <c r="K834" s="19"/>
      <c r="L834" s="229"/>
    </row>
    <row r="835">
      <c r="A835" s="536"/>
      <c r="B835" s="525"/>
      <c r="C835" s="526"/>
      <c r="D835" s="537"/>
      <c r="J835" s="19"/>
      <c r="K835" s="19"/>
      <c r="L835" s="229"/>
    </row>
    <row r="836">
      <c r="A836" s="536"/>
      <c r="B836" s="525"/>
      <c r="C836" s="526"/>
      <c r="D836" s="537"/>
      <c r="J836" s="19"/>
      <c r="K836" s="19"/>
      <c r="L836" s="229"/>
    </row>
    <row r="837">
      <c r="A837" s="536"/>
      <c r="B837" s="525"/>
      <c r="C837" s="526"/>
      <c r="D837" s="537"/>
      <c r="J837" s="19"/>
      <c r="K837" s="19"/>
      <c r="L837" s="229"/>
    </row>
    <row r="838">
      <c r="A838" s="536"/>
      <c r="B838" s="525"/>
      <c r="C838" s="526"/>
      <c r="D838" s="537"/>
      <c r="J838" s="19"/>
      <c r="K838" s="19"/>
      <c r="L838" s="229"/>
    </row>
    <row r="839">
      <c r="A839" s="536"/>
      <c r="B839" s="525"/>
      <c r="C839" s="526"/>
      <c r="D839" s="537"/>
      <c r="J839" s="19"/>
      <c r="K839" s="19"/>
      <c r="L839" s="229"/>
    </row>
    <row r="840">
      <c r="A840" s="536"/>
      <c r="B840" s="525"/>
      <c r="C840" s="526"/>
      <c r="D840" s="537"/>
      <c r="J840" s="19"/>
      <c r="K840" s="19"/>
      <c r="L840" s="229"/>
    </row>
    <row r="841">
      <c r="A841" s="536"/>
      <c r="B841" s="525"/>
      <c r="C841" s="526"/>
      <c r="D841" s="537"/>
      <c r="J841" s="19"/>
      <c r="K841" s="19"/>
      <c r="L841" s="229"/>
    </row>
    <row r="842">
      <c r="A842" s="536"/>
      <c r="B842" s="525"/>
      <c r="C842" s="526"/>
      <c r="D842" s="537"/>
      <c r="J842" s="19"/>
      <c r="K842" s="19"/>
      <c r="L842" s="229"/>
    </row>
    <row r="843">
      <c r="A843" s="536"/>
      <c r="B843" s="525"/>
      <c r="C843" s="526"/>
      <c r="D843" s="537"/>
      <c r="J843" s="19"/>
      <c r="K843" s="19"/>
      <c r="L843" s="229"/>
    </row>
    <row r="844">
      <c r="A844" s="536"/>
      <c r="B844" s="525"/>
      <c r="C844" s="526"/>
      <c r="D844" s="537"/>
      <c r="J844" s="19"/>
      <c r="K844" s="19"/>
      <c r="L844" s="229"/>
    </row>
    <row r="845">
      <c r="A845" s="536"/>
      <c r="B845" s="525"/>
      <c r="C845" s="526"/>
      <c r="D845" s="537"/>
      <c r="J845" s="19"/>
      <c r="K845" s="19"/>
      <c r="L845" s="229"/>
    </row>
    <row r="846">
      <c r="A846" s="536"/>
      <c r="B846" s="525"/>
      <c r="C846" s="526"/>
      <c r="D846" s="537"/>
      <c r="J846" s="19"/>
      <c r="K846" s="19"/>
      <c r="L846" s="229"/>
    </row>
    <row r="847">
      <c r="A847" s="536"/>
      <c r="B847" s="525"/>
      <c r="C847" s="526"/>
      <c r="D847" s="537"/>
      <c r="J847" s="19"/>
      <c r="K847" s="19"/>
      <c r="L847" s="229"/>
    </row>
    <row r="848">
      <c r="A848" s="536"/>
      <c r="B848" s="525"/>
      <c r="C848" s="526"/>
      <c r="D848" s="537"/>
      <c r="J848" s="19"/>
      <c r="K848" s="19"/>
      <c r="L848" s="229"/>
    </row>
    <row r="849">
      <c r="A849" s="536"/>
      <c r="B849" s="525"/>
      <c r="C849" s="526"/>
      <c r="D849" s="537"/>
      <c r="J849" s="19"/>
      <c r="K849" s="19"/>
      <c r="L849" s="229"/>
    </row>
    <row r="850">
      <c r="A850" s="536"/>
      <c r="B850" s="525"/>
      <c r="C850" s="526"/>
      <c r="D850" s="537"/>
      <c r="J850" s="19"/>
      <c r="K850" s="19"/>
      <c r="L850" s="229"/>
    </row>
    <row r="851">
      <c r="A851" s="536"/>
      <c r="B851" s="525"/>
      <c r="C851" s="526"/>
      <c r="D851" s="537"/>
      <c r="J851" s="19"/>
      <c r="K851" s="19"/>
      <c r="L851" s="229"/>
    </row>
    <row r="852">
      <c r="A852" s="536"/>
      <c r="B852" s="525"/>
      <c r="C852" s="526"/>
      <c r="D852" s="537"/>
      <c r="J852" s="19"/>
      <c r="K852" s="19"/>
      <c r="L852" s="229"/>
    </row>
    <row r="853">
      <c r="A853" s="536"/>
      <c r="B853" s="525"/>
      <c r="C853" s="526"/>
      <c r="D853" s="537"/>
      <c r="J853" s="19"/>
      <c r="K853" s="19"/>
      <c r="L853" s="229"/>
    </row>
    <row r="854">
      <c r="A854" s="536"/>
      <c r="B854" s="525"/>
      <c r="C854" s="526"/>
      <c r="D854" s="537"/>
      <c r="J854" s="19"/>
      <c r="K854" s="19"/>
      <c r="L854" s="229"/>
    </row>
    <row r="855">
      <c r="A855" s="536"/>
      <c r="B855" s="525"/>
      <c r="C855" s="526"/>
      <c r="D855" s="537"/>
      <c r="J855" s="19"/>
      <c r="K855" s="19"/>
      <c r="L855" s="229"/>
    </row>
    <row r="856">
      <c r="A856" s="536"/>
      <c r="B856" s="525"/>
      <c r="C856" s="526"/>
      <c r="D856" s="537"/>
      <c r="J856" s="19"/>
      <c r="K856" s="19"/>
      <c r="L856" s="229"/>
    </row>
    <row r="857">
      <c r="A857" s="536"/>
      <c r="B857" s="525"/>
      <c r="C857" s="526"/>
      <c r="D857" s="537"/>
      <c r="J857" s="19"/>
      <c r="K857" s="19"/>
      <c r="L857" s="229"/>
    </row>
    <row r="858">
      <c r="A858" s="536"/>
      <c r="B858" s="525"/>
      <c r="C858" s="526"/>
      <c r="D858" s="537"/>
      <c r="J858" s="19"/>
      <c r="K858" s="19"/>
      <c r="L858" s="229"/>
    </row>
    <row r="859">
      <c r="A859" s="536"/>
      <c r="B859" s="525"/>
      <c r="C859" s="526"/>
      <c r="D859" s="537"/>
      <c r="J859" s="19"/>
      <c r="K859" s="19"/>
      <c r="L859" s="229"/>
    </row>
    <row r="860">
      <c r="A860" s="536"/>
      <c r="B860" s="525"/>
      <c r="C860" s="526"/>
      <c r="D860" s="537"/>
      <c r="J860" s="19"/>
      <c r="K860" s="19"/>
      <c r="L860" s="229"/>
    </row>
    <row r="861">
      <c r="A861" s="536"/>
      <c r="B861" s="525"/>
      <c r="C861" s="526"/>
      <c r="D861" s="537"/>
      <c r="J861" s="19"/>
      <c r="K861" s="19"/>
      <c r="L861" s="229"/>
    </row>
    <row r="862">
      <c r="A862" s="536"/>
      <c r="B862" s="525"/>
      <c r="C862" s="526"/>
      <c r="D862" s="537"/>
      <c r="J862" s="19"/>
      <c r="K862" s="19"/>
      <c r="L862" s="229"/>
    </row>
    <row r="863">
      <c r="A863" s="536"/>
      <c r="B863" s="525"/>
      <c r="C863" s="526"/>
      <c r="D863" s="537"/>
      <c r="J863" s="19"/>
      <c r="K863" s="19"/>
      <c r="L863" s="229"/>
    </row>
    <row r="864">
      <c r="A864" s="536"/>
      <c r="B864" s="525"/>
      <c r="C864" s="526"/>
      <c r="D864" s="537"/>
      <c r="J864" s="19"/>
      <c r="K864" s="19"/>
      <c r="L864" s="229"/>
    </row>
    <row r="865">
      <c r="A865" s="536"/>
      <c r="B865" s="525"/>
      <c r="C865" s="526"/>
      <c r="D865" s="537"/>
      <c r="J865" s="19"/>
      <c r="K865" s="19"/>
      <c r="L865" s="229"/>
    </row>
    <row r="866">
      <c r="A866" s="536"/>
      <c r="B866" s="525"/>
      <c r="C866" s="526"/>
      <c r="D866" s="537"/>
      <c r="J866" s="19"/>
      <c r="K866" s="19"/>
      <c r="L866" s="229"/>
    </row>
    <row r="867">
      <c r="A867" s="536"/>
      <c r="B867" s="525"/>
      <c r="C867" s="526"/>
      <c r="D867" s="537"/>
      <c r="J867" s="19"/>
      <c r="K867" s="19"/>
      <c r="L867" s="229"/>
    </row>
    <row r="868">
      <c r="A868" s="536"/>
      <c r="B868" s="525"/>
      <c r="C868" s="526"/>
      <c r="D868" s="537"/>
      <c r="J868" s="19"/>
      <c r="K868" s="19"/>
      <c r="L868" s="229"/>
    </row>
    <row r="869">
      <c r="A869" s="536"/>
      <c r="B869" s="525"/>
      <c r="C869" s="526"/>
      <c r="D869" s="537"/>
      <c r="J869" s="19"/>
      <c r="K869" s="19"/>
      <c r="L869" s="229"/>
    </row>
    <row r="870">
      <c r="A870" s="536"/>
      <c r="B870" s="525"/>
      <c r="C870" s="526"/>
      <c r="D870" s="537"/>
      <c r="J870" s="19"/>
      <c r="K870" s="19"/>
      <c r="L870" s="229"/>
    </row>
    <row r="871">
      <c r="A871" s="536"/>
      <c r="B871" s="525"/>
      <c r="C871" s="526"/>
      <c r="D871" s="537"/>
      <c r="J871" s="19"/>
      <c r="K871" s="19"/>
      <c r="L871" s="229"/>
    </row>
    <row r="872">
      <c r="A872" s="536"/>
      <c r="B872" s="525"/>
      <c r="C872" s="526"/>
      <c r="D872" s="537"/>
      <c r="J872" s="19"/>
      <c r="K872" s="19"/>
      <c r="L872" s="229"/>
    </row>
    <row r="873">
      <c r="A873" s="536"/>
      <c r="B873" s="525"/>
      <c r="C873" s="526"/>
      <c r="D873" s="537"/>
      <c r="J873" s="19"/>
      <c r="K873" s="19"/>
      <c r="L873" s="229"/>
    </row>
    <row r="874">
      <c r="A874" s="536"/>
      <c r="B874" s="525"/>
      <c r="C874" s="526"/>
      <c r="D874" s="537"/>
      <c r="J874" s="19"/>
      <c r="K874" s="19"/>
      <c r="L874" s="229"/>
    </row>
    <row r="875">
      <c r="A875" s="536"/>
      <c r="B875" s="525"/>
      <c r="C875" s="526"/>
      <c r="D875" s="537"/>
      <c r="J875" s="19"/>
      <c r="K875" s="19"/>
      <c r="L875" s="229"/>
    </row>
    <row r="876">
      <c r="A876" s="536"/>
      <c r="B876" s="525"/>
      <c r="C876" s="526"/>
      <c r="D876" s="537"/>
      <c r="J876" s="19"/>
      <c r="K876" s="19"/>
      <c r="L876" s="229"/>
    </row>
    <row r="877">
      <c r="A877" s="536"/>
      <c r="B877" s="525"/>
      <c r="C877" s="526"/>
      <c r="D877" s="537"/>
      <c r="J877" s="19"/>
      <c r="K877" s="19"/>
      <c r="L877" s="229"/>
    </row>
    <row r="878">
      <c r="A878" s="536"/>
      <c r="B878" s="525"/>
      <c r="C878" s="526"/>
      <c r="D878" s="537"/>
      <c r="J878" s="19"/>
      <c r="K878" s="19"/>
      <c r="L878" s="229"/>
    </row>
    <row r="879">
      <c r="A879" s="536"/>
      <c r="B879" s="525"/>
      <c r="C879" s="526"/>
      <c r="D879" s="537"/>
      <c r="J879" s="19"/>
      <c r="K879" s="19"/>
      <c r="L879" s="229"/>
    </row>
    <row r="880">
      <c r="A880" s="536"/>
      <c r="B880" s="525"/>
      <c r="C880" s="526"/>
      <c r="D880" s="537"/>
      <c r="J880" s="19"/>
      <c r="K880" s="19"/>
      <c r="L880" s="229"/>
    </row>
    <row r="881">
      <c r="A881" s="536"/>
      <c r="B881" s="525"/>
      <c r="C881" s="526"/>
      <c r="D881" s="537"/>
      <c r="J881" s="19"/>
      <c r="K881" s="19"/>
      <c r="L881" s="229"/>
    </row>
    <row r="882">
      <c r="A882" s="536"/>
      <c r="B882" s="525"/>
      <c r="C882" s="526"/>
      <c r="D882" s="537"/>
      <c r="J882" s="19"/>
      <c r="K882" s="19"/>
      <c r="L882" s="229"/>
    </row>
    <row r="883">
      <c r="A883" s="536"/>
      <c r="B883" s="525"/>
      <c r="C883" s="526"/>
      <c r="D883" s="537"/>
      <c r="J883" s="19"/>
      <c r="K883" s="19"/>
      <c r="L883" s="229"/>
    </row>
    <row r="884">
      <c r="A884" s="536"/>
      <c r="B884" s="525"/>
      <c r="C884" s="526"/>
      <c r="D884" s="537"/>
      <c r="J884" s="19"/>
      <c r="K884" s="19"/>
      <c r="L884" s="229"/>
    </row>
    <row r="885">
      <c r="A885" s="536"/>
      <c r="B885" s="525"/>
      <c r="C885" s="526"/>
      <c r="D885" s="537"/>
      <c r="J885" s="19"/>
      <c r="K885" s="19"/>
      <c r="L885" s="229"/>
    </row>
    <row r="886">
      <c r="A886" s="536"/>
      <c r="B886" s="525"/>
      <c r="C886" s="526"/>
      <c r="D886" s="537"/>
      <c r="J886" s="19"/>
      <c r="K886" s="19"/>
      <c r="L886" s="229"/>
    </row>
    <row r="887">
      <c r="A887" s="536"/>
      <c r="B887" s="525"/>
      <c r="C887" s="526"/>
      <c r="D887" s="537"/>
      <c r="J887" s="19"/>
      <c r="K887" s="19"/>
      <c r="L887" s="229"/>
    </row>
    <row r="888">
      <c r="A888" s="536"/>
      <c r="B888" s="525"/>
      <c r="C888" s="526"/>
      <c r="D888" s="537"/>
      <c r="J888" s="19"/>
      <c r="K888" s="19"/>
      <c r="L888" s="229"/>
    </row>
    <row r="889">
      <c r="A889" s="536"/>
      <c r="B889" s="525"/>
      <c r="C889" s="526"/>
      <c r="D889" s="537"/>
      <c r="J889" s="19"/>
      <c r="K889" s="19"/>
      <c r="L889" s="229"/>
    </row>
    <row r="890">
      <c r="A890" s="536"/>
      <c r="B890" s="525"/>
      <c r="C890" s="526"/>
      <c r="D890" s="537"/>
      <c r="J890" s="19"/>
      <c r="K890" s="19"/>
      <c r="L890" s="229"/>
    </row>
    <row r="891">
      <c r="A891" s="536"/>
      <c r="B891" s="525"/>
      <c r="C891" s="526"/>
      <c r="D891" s="537"/>
      <c r="J891" s="19"/>
      <c r="K891" s="19"/>
      <c r="L891" s="229"/>
    </row>
    <row r="892">
      <c r="A892" s="536"/>
      <c r="B892" s="525"/>
      <c r="C892" s="526"/>
      <c r="D892" s="537"/>
      <c r="J892" s="19"/>
      <c r="K892" s="19"/>
      <c r="L892" s="229"/>
    </row>
    <row r="893">
      <c r="A893" s="536"/>
      <c r="B893" s="525"/>
      <c r="C893" s="526"/>
      <c r="D893" s="537"/>
      <c r="J893" s="19"/>
      <c r="K893" s="19"/>
      <c r="L893" s="229"/>
    </row>
    <row r="894">
      <c r="A894" s="536"/>
      <c r="B894" s="525"/>
      <c r="C894" s="526"/>
      <c r="D894" s="537"/>
      <c r="J894" s="19"/>
      <c r="K894" s="19"/>
      <c r="L894" s="229"/>
    </row>
    <row r="895">
      <c r="A895" s="536"/>
      <c r="B895" s="525"/>
      <c r="C895" s="526"/>
      <c r="D895" s="537"/>
      <c r="J895" s="19"/>
      <c r="K895" s="19"/>
      <c r="L895" s="229"/>
    </row>
    <row r="896">
      <c r="A896" s="536"/>
      <c r="B896" s="525"/>
      <c r="C896" s="526"/>
      <c r="D896" s="537"/>
      <c r="J896" s="19"/>
      <c r="K896" s="19"/>
      <c r="L896" s="229"/>
    </row>
    <row r="897">
      <c r="A897" s="536"/>
      <c r="B897" s="525"/>
      <c r="C897" s="526"/>
      <c r="D897" s="537"/>
      <c r="J897" s="19"/>
      <c r="K897" s="19"/>
      <c r="L897" s="229"/>
    </row>
    <row r="898">
      <c r="A898" s="536"/>
      <c r="B898" s="525"/>
      <c r="C898" s="526"/>
      <c r="D898" s="537"/>
      <c r="J898" s="19"/>
      <c r="K898" s="19"/>
      <c r="L898" s="229"/>
    </row>
    <row r="899">
      <c r="A899" s="536"/>
      <c r="B899" s="525"/>
      <c r="C899" s="526"/>
      <c r="D899" s="537"/>
      <c r="J899" s="19"/>
      <c r="K899" s="19"/>
      <c r="L899" s="229"/>
    </row>
    <row r="900">
      <c r="A900" s="536"/>
      <c r="B900" s="525"/>
      <c r="C900" s="526"/>
      <c r="D900" s="537"/>
      <c r="J900" s="19"/>
      <c r="K900" s="19"/>
      <c r="L900" s="229"/>
    </row>
    <row r="901">
      <c r="A901" s="536"/>
      <c r="B901" s="525"/>
      <c r="C901" s="526"/>
      <c r="D901" s="537"/>
      <c r="J901" s="19"/>
      <c r="K901" s="19"/>
      <c r="L901" s="229"/>
    </row>
    <row r="902">
      <c r="A902" s="536"/>
      <c r="B902" s="525"/>
      <c r="C902" s="526"/>
      <c r="D902" s="537"/>
      <c r="J902" s="19"/>
      <c r="K902" s="19"/>
      <c r="L902" s="229"/>
    </row>
    <row r="903">
      <c r="A903" s="536"/>
      <c r="B903" s="525"/>
      <c r="C903" s="526"/>
      <c r="D903" s="537"/>
      <c r="J903" s="19"/>
      <c r="K903" s="19"/>
      <c r="L903" s="229"/>
    </row>
    <row r="904">
      <c r="A904" s="536"/>
      <c r="B904" s="525"/>
      <c r="C904" s="526"/>
      <c r="D904" s="537"/>
      <c r="J904" s="19"/>
      <c r="K904" s="19"/>
      <c r="L904" s="229"/>
    </row>
    <row r="905">
      <c r="A905" s="536"/>
      <c r="B905" s="525"/>
      <c r="C905" s="526"/>
      <c r="D905" s="537"/>
      <c r="J905" s="19"/>
      <c r="K905" s="19"/>
      <c r="L905" s="229"/>
    </row>
    <row r="906">
      <c r="A906" s="536"/>
      <c r="B906" s="525"/>
      <c r="C906" s="526"/>
      <c r="D906" s="537"/>
      <c r="J906" s="19"/>
      <c r="K906" s="19"/>
      <c r="L906" s="229"/>
    </row>
    <row r="907">
      <c r="A907" s="536"/>
      <c r="B907" s="525"/>
      <c r="C907" s="526"/>
      <c r="D907" s="537"/>
      <c r="J907" s="19"/>
      <c r="K907" s="19"/>
      <c r="L907" s="229"/>
    </row>
    <row r="908">
      <c r="A908" s="536"/>
      <c r="B908" s="525"/>
      <c r="C908" s="526"/>
      <c r="D908" s="537"/>
      <c r="J908" s="19"/>
      <c r="K908" s="19"/>
      <c r="L908" s="229"/>
    </row>
    <row r="909">
      <c r="A909" s="536"/>
      <c r="B909" s="525"/>
      <c r="C909" s="526"/>
      <c r="D909" s="537"/>
      <c r="J909" s="19"/>
      <c r="K909" s="19"/>
      <c r="L909" s="229"/>
    </row>
    <row r="910">
      <c r="A910" s="536"/>
      <c r="B910" s="525"/>
      <c r="C910" s="526"/>
      <c r="D910" s="537"/>
      <c r="J910" s="19"/>
      <c r="K910" s="19"/>
      <c r="L910" s="229"/>
    </row>
    <row r="911">
      <c r="A911" s="536"/>
      <c r="B911" s="525"/>
      <c r="C911" s="526"/>
      <c r="D911" s="537"/>
      <c r="J911" s="19"/>
      <c r="K911" s="19"/>
      <c r="L911" s="229"/>
    </row>
    <row r="912">
      <c r="A912" s="536"/>
      <c r="B912" s="525"/>
      <c r="C912" s="526"/>
      <c r="D912" s="537"/>
      <c r="J912" s="19"/>
      <c r="K912" s="19"/>
      <c r="L912" s="229"/>
    </row>
    <row r="913">
      <c r="A913" s="536"/>
      <c r="B913" s="525"/>
      <c r="C913" s="526"/>
      <c r="D913" s="537"/>
      <c r="J913" s="19"/>
      <c r="K913" s="19"/>
      <c r="L913" s="229"/>
    </row>
    <row r="914">
      <c r="A914" s="536"/>
      <c r="B914" s="525"/>
      <c r="C914" s="526"/>
      <c r="D914" s="537"/>
      <c r="J914" s="19"/>
      <c r="K914" s="19"/>
      <c r="L914" s="229"/>
    </row>
    <row r="915">
      <c r="A915" s="536"/>
      <c r="B915" s="525"/>
      <c r="C915" s="526"/>
      <c r="D915" s="537"/>
      <c r="J915" s="19"/>
      <c r="K915" s="19"/>
      <c r="L915" s="229"/>
    </row>
    <row r="916">
      <c r="A916" s="536"/>
      <c r="B916" s="525"/>
      <c r="C916" s="526"/>
      <c r="D916" s="537"/>
      <c r="J916" s="19"/>
      <c r="K916" s="19"/>
      <c r="L916" s="229"/>
    </row>
    <row r="917">
      <c r="A917" s="536"/>
      <c r="B917" s="525"/>
      <c r="C917" s="526"/>
      <c r="D917" s="537"/>
      <c r="J917" s="19"/>
      <c r="K917" s="19"/>
      <c r="L917" s="229"/>
    </row>
    <row r="918">
      <c r="A918" s="536"/>
      <c r="B918" s="525"/>
      <c r="C918" s="526"/>
      <c r="D918" s="537"/>
      <c r="J918" s="19"/>
      <c r="K918" s="19"/>
      <c r="L918" s="229"/>
    </row>
    <row r="919">
      <c r="A919" s="536"/>
      <c r="B919" s="525"/>
      <c r="C919" s="526"/>
      <c r="D919" s="537"/>
      <c r="J919" s="19"/>
      <c r="K919" s="19"/>
      <c r="L919" s="229"/>
    </row>
    <row r="920">
      <c r="A920" s="536"/>
      <c r="B920" s="525"/>
      <c r="C920" s="526"/>
      <c r="D920" s="537"/>
      <c r="J920" s="19"/>
      <c r="K920" s="19"/>
      <c r="L920" s="229"/>
    </row>
    <row r="921">
      <c r="A921" s="536"/>
      <c r="B921" s="525"/>
      <c r="C921" s="526"/>
      <c r="D921" s="537"/>
      <c r="J921" s="19"/>
      <c r="K921" s="19"/>
      <c r="L921" s="229"/>
    </row>
    <row r="922">
      <c r="A922" s="536"/>
      <c r="B922" s="525"/>
      <c r="C922" s="526"/>
      <c r="D922" s="537"/>
      <c r="J922" s="19"/>
      <c r="K922" s="19"/>
      <c r="L922" s="229"/>
    </row>
    <row r="923">
      <c r="A923" s="536"/>
      <c r="B923" s="525"/>
      <c r="C923" s="526"/>
      <c r="D923" s="537"/>
      <c r="J923" s="19"/>
      <c r="K923" s="19"/>
      <c r="L923" s="229"/>
    </row>
    <row r="924">
      <c r="A924" s="536"/>
      <c r="B924" s="525"/>
      <c r="C924" s="526"/>
      <c r="D924" s="537"/>
      <c r="J924" s="19"/>
      <c r="K924" s="19"/>
      <c r="L924" s="229"/>
    </row>
    <row r="925">
      <c r="A925" s="536"/>
      <c r="B925" s="525"/>
      <c r="C925" s="526"/>
      <c r="D925" s="537"/>
      <c r="J925" s="19"/>
      <c r="K925" s="19"/>
      <c r="L925" s="229"/>
    </row>
    <row r="926">
      <c r="A926" s="536"/>
      <c r="B926" s="525"/>
      <c r="C926" s="526"/>
      <c r="D926" s="537"/>
      <c r="J926" s="19"/>
      <c r="K926" s="19"/>
      <c r="L926" s="229"/>
    </row>
    <row r="927">
      <c r="A927" s="536"/>
      <c r="B927" s="525"/>
      <c r="C927" s="526"/>
      <c r="D927" s="537"/>
      <c r="J927" s="19"/>
      <c r="K927" s="19"/>
      <c r="L927" s="229"/>
    </row>
    <row r="928">
      <c r="A928" s="536"/>
      <c r="B928" s="525"/>
      <c r="C928" s="526"/>
      <c r="D928" s="537"/>
      <c r="J928" s="19"/>
      <c r="K928" s="19"/>
      <c r="L928" s="229"/>
    </row>
    <row r="929">
      <c r="A929" s="536"/>
      <c r="B929" s="525"/>
      <c r="C929" s="526"/>
      <c r="D929" s="537"/>
      <c r="J929" s="19"/>
      <c r="K929" s="19"/>
      <c r="L929" s="229"/>
    </row>
    <row r="930">
      <c r="A930" s="536"/>
      <c r="B930" s="525"/>
      <c r="C930" s="526"/>
      <c r="D930" s="537"/>
      <c r="J930" s="19"/>
      <c r="K930" s="19"/>
      <c r="L930" s="229"/>
    </row>
    <row r="931">
      <c r="A931" s="536"/>
      <c r="B931" s="525"/>
      <c r="C931" s="526"/>
      <c r="D931" s="537"/>
      <c r="J931" s="19"/>
      <c r="K931" s="19"/>
      <c r="L931" s="229"/>
    </row>
    <row r="932">
      <c r="A932" s="536"/>
      <c r="B932" s="525"/>
      <c r="C932" s="526"/>
      <c r="D932" s="537"/>
      <c r="J932" s="19"/>
      <c r="K932" s="19"/>
      <c r="L932" s="229"/>
    </row>
    <row r="933">
      <c r="A933" s="536"/>
      <c r="B933" s="525"/>
      <c r="C933" s="526"/>
      <c r="D933" s="537"/>
      <c r="J933" s="19"/>
      <c r="K933" s="19"/>
      <c r="L933" s="229"/>
    </row>
    <row r="934">
      <c r="A934" s="536"/>
      <c r="B934" s="525"/>
      <c r="C934" s="526"/>
      <c r="D934" s="537"/>
      <c r="J934" s="19"/>
      <c r="K934" s="19"/>
      <c r="L934" s="229"/>
    </row>
    <row r="935">
      <c r="A935" s="536"/>
      <c r="B935" s="525"/>
      <c r="C935" s="526"/>
      <c r="D935" s="537"/>
      <c r="J935" s="19"/>
      <c r="K935" s="19"/>
      <c r="L935" s="229"/>
    </row>
    <row r="936">
      <c r="A936" s="536"/>
      <c r="B936" s="525"/>
      <c r="C936" s="526"/>
      <c r="D936" s="537"/>
      <c r="J936" s="19"/>
      <c r="K936" s="19"/>
      <c r="L936" s="229"/>
    </row>
    <row r="937">
      <c r="A937" s="536"/>
      <c r="B937" s="525"/>
      <c r="C937" s="526"/>
      <c r="D937" s="537"/>
      <c r="J937" s="19"/>
      <c r="K937" s="19"/>
      <c r="L937" s="229"/>
    </row>
    <row r="938">
      <c r="A938" s="536"/>
      <c r="B938" s="525"/>
      <c r="C938" s="526"/>
      <c r="D938" s="537"/>
      <c r="J938" s="19"/>
      <c r="K938" s="19"/>
      <c r="L938" s="229"/>
    </row>
    <row r="939">
      <c r="A939" s="536"/>
      <c r="B939" s="525"/>
      <c r="C939" s="526"/>
      <c r="D939" s="537"/>
      <c r="J939" s="19"/>
      <c r="K939" s="19"/>
      <c r="L939" s="229"/>
    </row>
    <row r="940">
      <c r="A940" s="536"/>
      <c r="B940" s="525"/>
      <c r="C940" s="526"/>
      <c r="D940" s="537"/>
      <c r="J940" s="19"/>
      <c r="K940" s="19"/>
      <c r="L940" s="229"/>
    </row>
    <row r="941">
      <c r="A941" s="536"/>
      <c r="B941" s="525"/>
      <c r="C941" s="526"/>
      <c r="D941" s="537"/>
      <c r="J941" s="19"/>
      <c r="K941" s="19"/>
      <c r="L941" s="229"/>
    </row>
    <row r="942">
      <c r="A942" s="536"/>
      <c r="B942" s="525"/>
      <c r="C942" s="526"/>
      <c r="D942" s="537"/>
      <c r="J942" s="19"/>
      <c r="K942" s="19"/>
      <c r="L942" s="229"/>
    </row>
    <row r="943">
      <c r="A943" s="536"/>
      <c r="B943" s="525"/>
      <c r="C943" s="526"/>
      <c r="D943" s="537"/>
      <c r="J943" s="19"/>
      <c r="K943" s="19"/>
      <c r="L943" s="229"/>
    </row>
    <row r="944">
      <c r="A944" s="536"/>
      <c r="B944" s="525"/>
      <c r="C944" s="526"/>
      <c r="D944" s="537"/>
      <c r="J944" s="19"/>
      <c r="K944" s="19"/>
      <c r="L944" s="229"/>
    </row>
    <row r="945">
      <c r="A945" s="536"/>
      <c r="B945" s="525"/>
      <c r="C945" s="526"/>
      <c r="D945" s="537"/>
      <c r="J945" s="19"/>
      <c r="K945" s="19"/>
      <c r="L945" s="229"/>
    </row>
    <row r="946">
      <c r="A946" s="536"/>
      <c r="B946" s="525"/>
      <c r="C946" s="526"/>
      <c r="D946" s="537"/>
      <c r="J946" s="19"/>
      <c r="K946" s="19"/>
      <c r="L946" s="229"/>
    </row>
    <row r="947">
      <c r="A947" s="536"/>
      <c r="B947" s="525"/>
      <c r="C947" s="526"/>
      <c r="D947" s="537"/>
      <c r="J947" s="19"/>
      <c r="K947" s="19"/>
      <c r="L947" s="229"/>
    </row>
    <row r="948">
      <c r="A948" s="536"/>
      <c r="B948" s="525"/>
      <c r="C948" s="526"/>
      <c r="D948" s="537"/>
      <c r="J948" s="19"/>
      <c r="K948" s="19"/>
      <c r="L948" s="229"/>
    </row>
    <row r="949">
      <c r="A949" s="536"/>
      <c r="B949" s="525"/>
      <c r="C949" s="526"/>
      <c r="D949" s="537"/>
      <c r="J949" s="19"/>
      <c r="K949" s="19"/>
      <c r="L949" s="229"/>
    </row>
    <row r="950">
      <c r="A950" s="536"/>
      <c r="B950" s="525"/>
      <c r="C950" s="526"/>
      <c r="D950" s="537"/>
      <c r="J950" s="19"/>
      <c r="K950" s="19"/>
      <c r="L950" s="229"/>
    </row>
    <row r="951">
      <c r="A951" s="536"/>
      <c r="B951" s="525"/>
      <c r="C951" s="526"/>
      <c r="D951" s="537"/>
      <c r="J951" s="19"/>
      <c r="K951" s="19"/>
      <c r="L951" s="229"/>
    </row>
    <row r="952">
      <c r="A952" s="536"/>
      <c r="B952" s="525"/>
      <c r="C952" s="526"/>
      <c r="D952" s="537"/>
      <c r="J952" s="19"/>
      <c r="K952" s="19"/>
      <c r="L952" s="229"/>
    </row>
    <row r="953">
      <c r="A953" s="536"/>
      <c r="B953" s="525"/>
      <c r="C953" s="526"/>
      <c r="D953" s="537"/>
      <c r="J953" s="19"/>
      <c r="K953" s="19"/>
      <c r="L953" s="229"/>
    </row>
    <row r="954">
      <c r="A954" s="536"/>
      <c r="B954" s="525"/>
      <c r="C954" s="526"/>
      <c r="D954" s="537"/>
      <c r="J954" s="19"/>
      <c r="K954" s="19"/>
      <c r="L954" s="229"/>
    </row>
    <row r="955">
      <c r="A955" s="536"/>
      <c r="B955" s="525"/>
      <c r="C955" s="526"/>
      <c r="D955" s="537"/>
      <c r="J955" s="19"/>
      <c r="K955" s="19"/>
      <c r="L955" s="229"/>
    </row>
    <row r="956">
      <c r="A956" s="536"/>
      <c r="B956" s="525"/>
      <c r="C956" s="526"/>
      <c r="D956" s="537"/>
      <c r="J956" s="19"/>
      <c r="K956" s="19"/>
      <c r="L956" s="229"/>
    </row>
    <row r="957">
      <c r="A957" s="536"/>
      <c r="B957" s="525"/>
      <c r="C957" s="526"/>
      <c r="D957" s="537"/>
      <c r="J957" s="19"/>
      <c r="K957" s="19"/>
      <c r="L957" s="229"/>
    </row>
    <row r="958">
      <c r="A958" s="536"/>
      <c r="B958" s="525"/>
      <c r="C958" s="526"/>
      <c r="D958" s="537"/>
      <c r="J958" s="19"/>
      <c r="K958" s="19"/>
      <c r="L958" s="229"/>
    </row>
    <row r="959">
      <c r="A959" s="536"/>
      <c r="B959" s="525"/>
      <c r="C959" s="526"/>
      <c r="D959" s="537"/>
      <c r="J959" s="19"/>
      <c r="K959" s="19"/>
      <c r="L959" s="229"/>
    </row>
    <row r="960">
      <c r="A960" s="536"/>
      <c r="B960" s="525"/>
      <c r="C960" s="526"/>
      <c r="D960" s="537"/>
      <c r="J960" s="19"/>
      <c r="K960" s="19"/>
      <c r="L960" s="229"/>
    </row>
    <row r="961">
      <c r="A961" s="536"/>
      <c r="B961" s="525"/>
      <c r="C961" s="526"/>
      <c r="D961" s="537"/>
      <c r="J961" s="19"/>
      <c r="K961" s="19"/>
      <c r="L961" s="229"/>
    </row>
    <row r="962">
      <c r="A962" s="536"/>
      <c r="B962" s="525"/>
      <c r="C962" s="526"/>
      <c r="D962" s="537"/>
      <c r="J962" s="19"/>
      <c r="K962" s="19"/>
      <c r="L962" s="229"/>
    </row>
    <row r="963">
      <c r="A963" s="536"/>
      <c r="B963" s="525"/>
      <c r="C963" s="526"/>
      <c r="D963" s="537"/>
      <c r="J963" s="19"/>
      <c r="K963" s="19"/>
      <c r="L963" s="229"/>
    </row>
    <row r="964">
      <c r="A964" s="536"/>
      <c r="B964" s="525"/>
      <c r="C964" s="526"/>
      <c r="D964" s="537"/>
      <c r="J964" s="19"/>
      <c r="K964" s="19"/>
      <c r="L964" s="229"/>
    </row>
    <row r="965">
      <c r="A965" s="536"/>
      <c r="B965" s="525"/>
      <c r="C965" s="526"/>
      <c r="D965" s="537"/>
      <c r="J965" s="19"/>
      <c r="K965" s="19"/>
      <c r="L965" s="229"/>
    </row>
    <row r="966">
      <c r="A966" s="536"/>
      <c r="B966" s="525"/>
      <c r="C966" s="526"/>
      <c r="D966" s="537"/>
      <c r="J966" s="19"/>
      <c r="K966" s="19"/>
      <c r="L966" s="229"/>
    </row>
    <row r="967">
      <c r="A967" s="536"/>
      <c r="B967" s="525"/>
      <c r="C967" s="526"/>
      <c r="D967" s="537"/>
      <c r="J967" s="19"/>
      <c r="K967" s="19"/>
      <c r="L967" s="229"/>
    </row>
    <row r="968">
      <c r="A968" s="536"/>
      <c r="B968" s="525"/>
      <c r="C968" s="526"/>
      <c r="D968" s="537"/>
      <c r="J968" s="19"/>
      <c r="K968" s="19"/>
      <c r="L968" s="229"/>
    </row>
    <row r="969">
      <c r="A969" s="536"/>
      <c r="B969" s="525"/>
      <c r="C969" s="526"/>
      <c r="D969" s="537"/>
      <c r="J969" s="19"/>
      <c r="K969" s="19"/>
      <c r="L969" s="229"/>
    </row>
    <row r="970">
      <c r="A970" s="536"/>
      <c r="B970" s="525"/>
      <c r="C970" s="526"/>
      <c r="D970" s="537"/>
      <c r="J970" s="19"/>
      <c r="K970" s="19"/>
      <c r="L970" s="229"/>
    </row>
    <row r="971">
      <c r="A971" s="536"/>
      <c r="B971" s="525"/>
      <c r="C971" s="526"/>
      <c r="D971" s="537"/>
      <c r="J971" s="19"/>
      <c r="K971" s="19"/>
      <c r="L971" s="229"/>
    </row>
    <row r="972">
      <c r="A972" s="536"/>
      <c r="B972" s="525"/>
      <c r="C972" s="526"/>
      <c r="D972" s="537"/>
      <c r="J972" s="19"/>
      <c r="K972" s="19"/>
      <c r="L972" s="229"/>
    </row>
    <row r="973">
      <c r="A973" s="536"/>
      <c r="B973" s="525"/>
      <c r="C973" s="526"/>
      <c r="D973" s="537"/>
      <c r="J973" s="19"/>
      <c r="K973" s="19"/>
      <c r="L973" s="229"/>
    </row>
    <row r="974">
      <c r="A974" s="536"/>
      <c r="B974" s="525"/>
      <c r="C974" s="526"/>
      <c r="D974" s="537"/>
      <c r="J974" s="19"/>
      <c r="K974" s="19"/>
      <c r="L974" s="229"/>
    </row>
    <row r="975">
      <c r="A975" s="536"/>
      <c r="B975" s="525"/>
      <c r="C975" s="526"/>
      <c r="D975" s="537"/>
      <c r="J975" s="19"/>
      <c r="K975" s="19"/>
      <c r="L975" s="229"/>
    </row>
    <row r="976">
      <c r="A976" s="536"/>
      <c r="B976" s="525"/>
      <c r="C976" s="526"/>
      <c r="D976" s="537"/>
      <c r="J976" s="19"/>
      <c r="K976" s="19"/>
      <c r="L976" s="229"/>
    </row>
    <row r="977">
      <c r="A977" s="536"/>
      <c r="B977" s="525"/>
      <c r="C977" s="526"/>
      <c r="D977" s="537"/>
      <c r="J977" s="19"/>
      <c r="K977" s="19"/>
      <c r="L977" s="229"/>
    </row>
    <row r="978">
      <c r="A978" s="536"/>
      <c r="B978" s="525"/>
      <c r="C978" s="526"/>
      <c r="D978" s="537"/>
      <c r="J978" s="19"/>
      <c r="K978" s="19"/>
      <c r="L978" s="229"/>
    </row>
    <row r="979">
      <c r="A979" s="536"/>
      <c r="B979" s="525"/>
      <c r="C979" s="526"/>
      <c r="D979" s="537"/>
      <c r="J979" s="19"/>
      <c r="K979" s="19"/>
      <c r="L979" s="229"/>
    </row>
    <row r="980">
      <c r="A980" s="536"/>
      <c r="B980" s="525"/>
      <c r="C980" s="526"/>
      <c r="D980" s="537"/>
      <c r="J980" s="19"/>
      <c r="K980" s="19"/>
      <c r="L980" s="229"/>
    </row>
    <row r="981">
      <c r="A981" s="536"/>
      <c r="B981" s="525"/>
      <c r="C981" s="526"/>
      <c r="D981" s="537"/>
      <c r="J981" s="19"/>
      <c r="K981" s="19"/>
      <c r="L981" s="229"/>
    </row>
    <row r="982">
      <c r="A982" s="536"/>
      <c r="B982" s="525"/>
      <c r="C982" s="526"/>
      <c r="D982" s="537"/>
      <c r="J982" s="19"/>
      <c r="K982" s="19"/>
      <c r="L982" s="229"/>
    </row>
    <row r="983">
      <c r="A983" s="536"/>
      <c r="B983" s="525"/>
      <c r="C983" s="526"/>
      <c r="D983" s="537"/>
      <c r="J983" s="19"/>
      <c r="K983" s="19"/>
      <c r="L983" s="229"/>
    </row>
    <row r="984">
      <c r="A984" s="536"/>
      <c r="B984" s="525"/>
      <c r="C984" s="526"/>
      <c r="D984" s="537"/>
      <c r="J984" s="19"/>
      <c r="K984" s="19"/>
      <c r="L984" s="229"/>
    </row>
    <row r="985">
      <c r="A985" s="536"/>
      <c r="B985" s="525"/>
      <c r="C985" s="526"/>
      <c r="D985" s="537"/>
      <c r="J985" s="19"/>
      <c r="K985" s="19"/>
      <c r="L985" s="229"/>
    </row>
    <row r="986">
      <c r="A986" s="536"/>
      <c r="B986" s="525"/>
      <c r="C986" s="526"/>
      <c r="D986" s="537"/>
      <c r="J986" s="19"/>
      <c r="K986" s="19"/>
      <c r="L986" s="229"/>
    </row>
    <row r="987">
      <c r="A987" s="536"/>
      <c r="B987" s="525"/>
      <c r="C987" s="526"/>
      <c r="D987" s="537"/>
      <c r="J987" s="19"/>
      <c r="K987" s="19"/>
      <c r="L987" s="229"/>
    </row>
    <row r="988">
      <c r="A988" s="536"/>
      <c r="B988" s="525"/>
      <c r="C988" s="526"/>
      <c r="D988" s="537"/>
      <c r="J988" s="19"/>
      <c r="K988" s="19"/>
      <c r="L988" s="229"/>
    </row>
    <row r="989">
      <c r="A989" s="536"/>
      <c r="B989" s="525"/>
      <c r="C989" s="526"/>
      <c r="D989" s="537"/>
      <c r="J989" s="19"/>
      <c r="K989" s="19"/>
      <c r="L989" s="229"/>
    </row>
    <row r="990">
      <c r="A990" s="536"/>
      <c r="B990" s="525"/>
      <c r="C990" s="526"/>
      <c r="D990" s="537"/>
      <c r="J990" s="19"/>
      <c r="K990" s="19"/>
      <c r="L990" s="229"/>
    </row>
    <row r="991">
      <c r="A991" s="536"/>
      <c r="B991" s="525"/>
      <c r="C991" s="526"/>
      <c r="D991" s="537"/>
      <c r="J991" s="19"/>
      <c r="K991" s="19"/>
      <c r="L991" s="229"/>
    </row>
    <row r="992">
      <c r="A992" s="536"/>
      <c r="B992" s="525"/>
      <c r="C992" s="526"/>
      <c r="D992" s="537"/>
      <c r="J992" s="19"/>
      <c r="K992" s="19"/>
      <c r="L992" s="229"/>
    </row>
    <row r="993">
      <c r="A993" s="536"/>
      <c r="B993" s="525"/>
      <c r="C993" s="526"/>
      <c r="D993" s="537"/>
      <c r="J993" s="19"/>
      <c r="K993" s="19"/>
      <c r="L993" s="229"/>
    </row>
    <row r="994">
      <c r="A994" s="536"/>
      <c r="B994" s="525"/>
      <c r="C994" s="526"/>
      <c r="D994" s="537"/>
      <c r="J994" s="19"/>
      <c r="K994" s="19"/>
      <c r="L994" s="229"/>
    </row>
    <row r="995">
      <c r="A995" s="536"/>
      <c r="B995" s="525"/>
      <c r="C995" s="526"/>
      <c r="D995" s="537"/>
      <c r="J995" s="19"/>
      <c r="K995" s="19"/>
      <c r="L995" s="229"/>
    </row>
    <row r="996">
      <c r="A996" s="536"/>
      <c r="B996" s="525"/>
      <c r="C996" s="526"/>
      <c r="D996" s="537"/>
      <c r="J996" s="19"/>
      <c r="K996" s="19"/>
      <c r="L996" s="229"/>
    </row>
    <row r="997">
      <c r="A997" s="536"/>
      <c r="B997" s="525"/>
      <c r="C997" s="526"/>
      <c r="D997" s="537"/>
      <c r="J997" s="19"/>
      <c r="K997" s="19"/>
      <c r="L997" s="229"/>
    </row>
    <row r="998">
      <c r="A998" s="536"/>
      <c r="B998" s="525"/>
      <c r="C998" s="526"/>
      <c r="D998" s="537"/>
      <c r="J998" s="19"/>
      <c r="K998" s="19"/>
      <c r="L998" s="229"/>
    </row>
    <row r="999">
      <c r="A999" s="536"/>
      <c r="B999" s="525"/>
      <c r="C999" s="526"/>
      <c r="D999" s="537"/>
      <c r="J999" s="19"/>
      <c r="K999" s="19"/>
      <c r="L999" s="229"/>
    </row>
    <row r="1000">
      <c r="A1000" s="536"/>
      <c r="B1000" s="525"/>
      <c r="C1000" s="526"/>
      <c r="D1000" s="537"/>
      <c r="J1000" s="19"/>
      <c r="K1000" s="19"/>
      <c r="L1000" s="229"/>
    </row>
    <row r="1001">
      <c r="A1001" s="536"/>
      <c r="B1001" s="525"/>
      <c r="C1001" s="526"/>
      <c r="D1001" s="537"/>
      <c r="J1001" s="19"/>
      <c r="K1001" s="19"/>
      <c r="L1001" s="229"/>
    </row>
    <row r="1002">
      <c r="A1002" s="536"/>
      <c r="B1002" s="525"/>
      <c r="C1002" s="526"/>
      <c r="D1002" s="537"/>
      <c r="J1002" s="19"/>
      <c r="K1002" s="19"/>
      <c r="L1002" s="229"/>
    </row>
    <row r="1003">
      <c r="A1003" s="536"/>
      <c r="B1003" s="525"/>
      <c r="C1003" s="526"/>
      <c r="D1003" s="537"/>
      <c r="J1003" s="19"/>
      <c r="K1003" s="19"/>
      <c r="L1003" s="229"/>
    </row>
    <row r="1004">
      <c r="A1004" s="536"/>
      <c r="B1004" s="525"/>
      <c r="C1004" s="526"/>
      <c r="D1004" s="537"/>
      <c r="J1004" s="19"/>
      <c r="K1004" s="19"/>
      <c r="L1004" s="229"/>
    </row>
  </sheetData>
  <mergeCells count="33">
    <mergeCell ref="J8:K8"/>
    <mergeCell ref="J9:K9"/>
    <mergeCell ref="J5:K5"/>
    <mergeCell ref="J4:K4"/>
    <mergeCell ref="J3:K3"/>
    <mergeCell ref="J6:K6"/>
    <mergeCell ref="J7:K7"/>
    <mergeCell ref="J12:K12"/>
    <mergeCell ref="J11:K11"/>
    <mergeCell ref="J15:K15"/>
    <mergeCell ref="J17:K17"/>
    <mergeCell ref="J16:K16"/>
    <mergeCell ref="J18:K18"/>
    <mergeCell ref="J19:K19"/>
    <mergeCell ref="J29:K29"/>
    <mergeCell ref="J34:K34"/>
    <mergeCell ref="J35:K35"/>
    <mergeCell ref="J30:K30"/>
    <mergeCell ref="J33:K33"/>
    <mergeCell ref="J31:K31"/>
    <mergeCell ref="J32:K32"/>
    <mergeCell ref="J27:K27"/>
    <mergeCell ref="J28:K28"/>
    <mergeCell ref="J20:K20"/>
    <mergeCell ref="J21:K21"/>
    <mergeCell ref="J10:K10"/>
    <mergeCell ref="J14:K14"/>
    <mergeCell ref="J13:K13"/>
    <mergeCell ref="J23:K23"/>
    <mergeCell ref="J25:K25"/>
    <mergeCell ref="J24:K24"/>
    <mergeCell ref="J26:K26"/>
    <mergeCell ref="J22:K22"/>
  </mergeCells>
  <conditionalFormatting sqref="E4:E120">
    <cfRule type="cellIs" dxfId="0" priority="1" operator="greaterThan">
      <formula>70%</formula>
    </cfRule>
  </conditionalFormatting>
  <conditionalFormatting sqref="E3:E200">
    <cfRule type="colorScale" priority="2">
      <colorScale>
        <cfvo type="formula" val="0"/>
        <cfvo type="percent" val="15"/>
        <cfvo type="percent" val="100"/>
        <color rgb="FFCCCCCC"/>
        <color rgb="FFE69138"/>
        <color rgb="FF990000"/>
      </colorScale>
    </cfRule>
  </conditionalFormatting>
  <conditionalFormatting sqref="D4:D120">
    <cfRule type="cellIs" dxfId="1" priority="3" operator="greaterThanOrEqual">
      <formula>70%</formula>
    </cfRule>
  </conditionalFormatting>
  <conditionalFormatting sqref="D4:D120">
    <cfRule type="colorScale" priority="4">
      <colorScale>
        <cfvo type="formula" val="0"/>
        <cfvo type="percent" val="15"/>
        <cfvo type="percent" val="100"/>
        <color rgb="FFCCCCCC"/>
        <color rgb="FF6AA84F"/>
        <color rgb="FF274E1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20.0"/>
    <col customWidth="1" min="3" max="3" width="18.14"/>
    <col customWidth="1" min="4" max="4" width="6.86"/>
    <col customWidth="1" min="6" max="6" width="6.43"/>
    <col customWidth="1" min="7" max="7" width="5.29"/>
    <col customWidth="1" min="8" max="8" width="2.0"/>
    <col customWidth="1" min="9" max="9" width="9.86"/>
    <col customWidth="1" min="10" max="10" width="13.57"/>
    <col customWidth="1" min="11" max="11" width="17.71"/>
    <col customWidth="1" min="12" max="12" width="4.29"/>
    <col customWidth="1" min="13" max="13" width="7.57"/>
    <col customWidth="1" min="14" max="14" width="5.43"/>
    <col customWidth="1" min="15" max="15" width="5.86"/>
    <col customWidth="1" min="16" max="16" width="2.0"/>
    <col customWidth="1" min="17" max="17" width="9.71"/>
    <col customWidth="1" min="20" max="20" width="5.29"/>
    <col customWidth="1" min="21" max="21" width="8.29"/>
    <col customWidth="1" min="22" max="22" width="7.14"/>
    <col customWidth="1" min="23" max="23" width="8.0"/>
  </cols>
  <sheetData>
    <row r="1">
      <c r="A1" s="8"/>
      <c r="B1" s="8"/>
      <c r="C1" s="8"/>
      <c r="D1" s="8"/>
      <c r="E1" s="538"/>
      <c r="F1" s="8"/>
      <c r="G1" s="8"/>
      <c r="H1" s="539"/>
      <c r="I1" s="8"/>
      <c r="J1" s="8"/>
      <c r="K1" s="8"/>
      <c r="L1" s="8"/>
      <c r="M1" s="8"/>
      <c r="N1" s="8"/>
      <c r="O1" s="8"/>
      <c r="P1" s="53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8"/>
      <c r="B2" s="8"/>
      <c r="C2" s="8"/>
      <c r="D2" s="8"/>
      <c r="E2" s="538"/>
      <c r="F2" s="8"/>
      <c r="G2" s="8"/>
      <c r="H2" s="539"/>
      <c r="I2" s="8"/>
      <c r="J2" s="8"/>
      <c r="K2" s="8"/>
      <c r="L2" s="8"/>
      <c r="M2" s="8"/>
      <c r="N2" s="8"/>
      <c r="O2" s="8"/>
      <c r="P2" s="539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8"/>
      <c r="B3" s="8"/>
      <c r="C3" s="8"/>
      <c r="D3" s="8"/>
      <c r="E3" s="538"/>
      <c r="F3" s="8"/>
      <c r="G3" s="8"/>
      <c r="H3" s="539"/>
      <c r="I3" s="8"/>
      <c r="J3" s="8"/>
      <c r="K3" s="8"/>
      <c r="L3" s="8"/>
      <c r="M3" s="8"/>
      <c r="N3" s="8"/>
      <c r="O3" s="8"/>
      <c r="P3" s="53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509"/>
      <c r="B4" s="509"/>
      <c r="C4" s="509"/>
      <c r="D4" s="509"/>
      <c r="E4" s="540"/>
      <c r="F4" s="509"/>
      <c r="G4" s="509"/>
      <c r="H4" s="541"/>
      <c r="I4" s="509"/>
      <c r="J4" s="509"/>
      <c r="K4" s="509"/>
      <c r="L4" s="8"/>
      <c r="M4" s="509"/>
      <c r="N4" s="8"/>
      <c r="O4" s="8"/>
      <c r="P4" s="539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8"/>
      <c r="B5" s="264"/>
      <c r="C5" s="509"/>
      <c r="D5" s="264"/>
      <c r="E5" s="542"/>
      <c r="F5" s="264"/>
      <c r="G5" s="264"/>
      <c r="H5" s="543"/>
      <c r="I5" s="264"/>
      <c r="J5" s="264"/>
      <c r="K5" s="264"/>
      <c r="L5" s="264"/>
      <c r="M5" s="264"/>
      <c r="N5" s="8"/>
      <c r="O5" s="8"/>
      <c r="P5" s="539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8"/>
      <c r="B6" s="264"/>
      <c r="C6" s="544"/>
      <c r="D6" s="544"/>
      <c r="E6" s="542"/>
      <c r="F6" s="544"/>
      <c r="G6" s="544"/>
      <c r="H6" s="545"/>
      <c r="I6" s="544"/>
      <c r="J6" s="544"/>
      <c r="K6" s="264"/>
      <c r="L6" s="264"/>
      <c r="M6" s="264"/>
      <c r="N6" s="8"/>
      <c r="O6" s="8"/>
      <c r="P6" s="53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9" t="s">
        <v>407</v>
      </c>
      <c r="B7" s="546" t="s">
        <v>408</v>
      </c>
      <c r="C7" s="547"/>
      <c r="D7" s="547"/>
      <c r="E7" s="548"/>
      <c r="F7" s="547"/>
      <c r="G7" s="547"/>
      <c r="H7" s="549"/>
      <c r="I7" s="547"/>
      <c r="J7" s="547"/>
      <c r="K7" s="547"/>
      <c r="L7" s="547"/>
      <c r="M7" s="547"/>
      <c r="N7" s="547"/>
      <c r="O7" s="547"/>
      <c r="P7" s="549"/>
      <c r="Q7" s="547"/>
      <c r="R7" s="547"/>
      <c r="S7" s="547"/>
      <c r="T7" s="547"/>
      <c r="U7" s="547"/>
      <c r="V7" s="547"/>
      <c r="W7" s="547"/>
      <c r="X7" s="547"/>
      <c r="Y7" s="547"/>
      <c r="Z7" s="547"/>
      <c r="AA7" s="547"/>
      <c r="AB7" s="547"/>
    </row>
    <row r="8">
      <c r="A8" s="509"/>
      <c r="E8" s="550"/>
      <c r="H8" s="541"/>
      <c r="I8" s="509"/>
      <c r="J8" s="509"/>
      <c r="K8" s="509"/>
      <c r="L8" s="509"/>
      <c r="M8" s="509"/>
      <c r="N8" s="509"/>
      <c r="O8" s="509"/>
      <c r="P8" s="53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551" t="s">
        <v>409</v>
      </c>
      <c r="B9" s="551" t="s">
        <v>19</v>
      </c>
      <c r="C9" s="551" t="s">
        <v>20</v>
      </c>
      <c r="D9" s="551" t="s">
        <v>410</v>
      </c>
      <c r="E9" s="552"/>
      <c r="F9" s="551"/>
      <c r="G9" s="551"/>
      <c r="H9" s="551"/>
      <c r="I9" s="551"/>
      <c r="J9" s="551" t="s">
        <v>19</v>
      </c>
      <c r="K9" s="551" t="s">
        <v>20</v>
      </c>
      <c r="L9" s="551"/>
      <c r="M9" s="551" t="s">
        <v>410</v>
      </c>
      <c r="N9" s="551"/>
      <c r="O9" s="551"/>
      <c r="P9" s="553"/>
      <c r="Q9" s="553"/>
      <c r="R9" s="551" t="s">
        <v>19</v>
      </c>
      <c r="S9" s="551" t="s">
        <v>20</v>
      </c>
      <c r="T9" s="553"/>
      <c r="U9" s="551" t="s">
        <v>410</v>
      </c>
      <c r="V9" s="553"/>
      <c r="W9" s="553"/>
      <c r="X9" s="553"/>
      <c r="Y9" s="553"/>
      <c r="Z9" s="553"/>
      <c r="AA9" s="553"/>
      <c r="AB9" s="553"/>
    </row>
    <row r="10">
      <c r="A10" s="92" t="s">
        <v>411</v>
      </c>
      <c r="B10" s="264" t="s">
        <v>32</v>
      </c>
      <c r="C10" s="264" t="s">
        <v>34</v>
      </c>
      <c r="D10" s="264" t="s">
        <v>246</v>
      </c>
      <c r="E10" s="542"/>
      <c r="F10" s="8"/>
      <c r="G10" s="8"/>
      <c r="H10" s="545"/>
      <c r="I10" s="264" t="s">
        <v>412</v>
      </c>
      <c r="J10" s="264" t="s">
        <v>32</v>
      </c>
      <c r="K10" s="264" t="s">
        <v>34</v>
      </c>
      <c r="L10" s="544"/>
      <c r="M10" s="544"/>
      <c r="N10" s="544"/>
      <c r="O10" s="544"/>
      <c r="P10" s="539"/>
      <c r="Q10" s="264" t="s">
        <v>413</v>
      </c>
      <c r="R10" s="264" t="s">
        <v>32</v>
      </c>
      <c r="S10" s="264" t="s">
        <v>34</v>
      </c>
      <c r="T10" s="8"/>
      <c r="U10" s="8"/>
      <c r="V10" s="8"/>
      <c r="W10" s="8"/>
      <c r="X10" s="8"/>
      <c r="Y10" s="8"/>
      <c r="Z10" s="8"/>
      <c r="AA10" s="8"/>
      <c r="AB10" s="8"/>
    </row>
    <row r="11">
      <c r="A11" s="140" t="s">
        <v>22</v>
      </c>
      <c r="B11" s="554" t="str">
        <f>HYPERLINK("http://www.dotabuff.com/matches/1663382647","1663382647")</f>
        <v>1663382647</v>
      </c>
      <c r="C11" s="8"/>
      <c r="D11" s="8"/>
      <c r="E11" s="538"/>
      <c r="F11" s="8"/>
      <c r="G11" s="8"/>
      <c r="H11" s="186"/>
      <c r="I11" s="509" t="s">
        <v>23</v>
      </c>
      <c r="J11" s="217"/>
      <c r="K11" s="264" t="s">
        <v>414</v>
      </c>
      <c r="L11" s="8"/>
      <c r="M11" s="538"/>
      <c r="N11" s="8"/>
      <c r="O11" s="8"/>
      <c r="P11" s="539"/>
      <c r="Q11" s="509" t="s">
        <v>24</v>
      </c>
      <c r="R11" s="217"/>
      <c r="S11" s="264" t="s">
        <v>414</v>
      </c>
      <c r="T11" s="8"/>
      <c r="U11" s="538"/>
      <c r="V11" s="8"/>
      <c r="W11" s="8"/>
      <c r="X11" s="8"/>
      <c r="Y11" s="8"/>
      <c r="Z11" s="8"/>
      <c r="AA11" s="8"/>
      <c r="AB11" s="8"/>
    </row>
    <row r="12">
      <c r="A12" s="264"/>
      <c r="B12" s="509" t="s">
        <v>415</v>
      </c>
      <c r="C12" s="509" t="s">
        <v>267</v>
      </c>
      <c r="D12" s="509" t="s">
        <v>416</v>
      </c>
      <c r="E12" s="540" t="s">
        <v>417</v>
      </c>
      <c r="F12" s="509" t="s">
        <v>418</v>
      </c>
      <c r="G12" s="509" t="s">
        <v>419</v>
      </c>
      <c r="H12" s="186"/>
      <c r="I12" s="264"/>
      <c r="J12" s="509" t="s">
        <v>415</v>
      </c>
      <c r="K12" s="509" t="s">
        <v>267</v>
      </c>
      <c r="L12" s="509" t="s">
        <v>420</v>
      </c>
      <c r="M12" s="540" t="s">
        <v>417</v>
      </c>
      <c r="N12" s="509" t="s">
        <v>418</v>
      </c>
      <c r="O12" s="509" t="s">
        <v>419</v>
      </c>
      <c r="P12" s="539"/>
      <c r="Q12" s="264"/>
      <c r="R12" s="509" t="s">
        <v>415</v>
      </c>
      <c r="S12" s="509" t="s">
        <v>267</v>
      </c>
      <c r="T12" s="509" t="s">
        <v>420</v>
      </c>
      <c r="U12" s="540" t="s">
        <v>417</v>
      </c>
      <c r="V12" s="509" t="s">
        <v>418</v>
      </c>
      <c r="W12" s="509" t="s">
        <v>419</v>
      </c>
      <c r="X12" s="8"/>
      <c r="Y12" s="8"/>
      <c r="Z12" s="8"/>
      <c r="AA12" s="8"/>
      <c r="AB12" s="8"/>
    </row>
    <row r="13">
      <c r="A13" s="264" t="s">
        <v>421</v>
      </c>
      <c r="B13" s="555" t="s">
        <v>422</v>
      </c>
      <c r="C13" s="555" t="s">
        <v>314</v>
      </c>
      <c r="D13" s="556">
        <v>18.0</v>
      </c>
      <c r="E13" s="557" t="s">
        <v>423</v>
      </c>
      <c r="F13" s="556">
        <v>242.0</v>
      </c>
      <c r="G13" s="556">
        <v>325.0</v>
      </c>
      <c r="H13" s="539"/>
      <c r="I13" s="264" t="s">
        <v>421</v>
      </c>
      <c r="J13" s="555"/>
      <c r="K13" s="555"/>
      <c r="L13" s="556"/>
      <c r="M13" s="557"/>
      <c r="N13" s="556"/>
      <c r="O13" s="556"/>
      <c r="P13" s="539"/>
      <c r="Q13" s="264" t="s">
        <v>421</v>
      </c>
      <c r="R13" s="555"/>
      <c r="S13" s="555"/>
      <c r="T13" s="556"/>
      <c r="U13" s="557"/>
      <c r="V13" s="556"/>
      <c r="W13" s="556"/>
      <c r="X13" s="8"/>
      <c r="Y13" s="8"/>
      <c r="Z13" s="8"/>
      <c r="AA13" s="8"/>
      <c r="AB13" s="8"/>
    </row>
    <row r="14">
      <c r="B14" s="555" t="s">
        <v>424</v>
      </c>
      <c r="C14" s="555" t="s">
        <v>376</v>
      </c>
      <c r="D14" s="556">
        <v>18.0</v>
      </c>
      <c r="E14" s="557" t="s">
        <v>425</v>
      </c>
      <c r="F14" s="556">
        <v>278.0</v>
      </c>
      <c r="G14" s="556">
        <v>317.0</v>
      </c>
      <c r="H14" s="539"/>
      <c r="J14" s="555"/>
      <c r="K14" s="555"/>
      <c r="L14" s="556"/>
      <c r="M14" s="557"/>
      <c r="N14" s="556"/>
      <c r="O14" s="556"/>
      <c r="P14" s="539"/>
      <c r="R14" s="555"/>
      <c r="S14" s="555"/>
      <c r="T14" s="556"/>
      <c r="U14" s="557"/>
      <c r="V14" s="556"/>
      <c r="W14" s="556"/>
      <c r="X14" s="8"/>
      <c r="Y14" s="8"/>
      <c r="Z14" s="8"/>
      <c r="AA14" s="8"/>
      <c r="AB14" s="8"/>
    </row>
    <row r="15">
      <c r="B15" s="555" t="s">
        <v>426</v>
      </c>
      <c r="C15" s="555" t="s">
        <v>373</v>
      </c>
      <c r="D15" s="556">
        <v>22.0</v>
      </c>
      <c r="E15" s="557" t="s">
        <v>427</v>
      </c>
      <c r="F15" s="556">
        <v>448.0</v>
      </c>
      <c r="G15" s="556">
        <v>482.0</v>
      </c>
      <c r="H15" s="539"/>
      <c r="J15" s="558"/>
      <c r="K15" s="558"/>
      <c r="L15" s="556"/>
      <c r="M15" s="557"/>
      <c r="N15" s="556"/>
      <c r="O15" s="556"/>
      <c r="P15" s="539"/>
      <c r="R15" s="558"/>
      <c r="S15" s="558"/>
      <c r="T15" s="556"/>
      <c r="U15" s="557"/>
      <c r="V15" s="556"/>
      <c r="W15" s="556"/>
      <c r="X15" s="8"/>
      <c r="Y15" s="8"/>
      <c r="Z15" s="8"/>
      <c r="AA15" s="8"/>
      <c r="AB15" s="8"/>
    </row>
    <row r="16">
      <c r="B16" s="555" t="s">
        <v>428</v>
      </c>
      <c r="C16" s="555" t="s">
        <v>308</v>
      </c>
      <c r="D16" s="556">
        <v>18.0</v>
      </c>
      <c r="E16" s="557" t="s">
        <v>429</v>
      </c>
      <c r="F16" s="556">
        <v>335.0</v>
      </c>
      <c r="G16" s="556">
        <v>319.0</v>
      </c>
      <c r="H16" s="539"/>
      <c r="J16" s="555"/>
      <c r="K16" s="555"/>
      <c r="L16" s="556"/>
      <c r="M16" s="557"/>
      <c r="N16" s="556"/>
      <c r="O16" s="556"/>
      <c r="P16" s="539"/>
      <c r="R16" s="555"/>
      <c r="S16" s="555"/>
      <c r="T16" s="556"/>
      <c r="U16" s="557"/>
      <c r="V16" s="556"/>
      <c r="W16" s="556"/>
      <c r="X16" s="8"/>
      <c r="Y16" s="8"/>
      <c r="Z16" s="8"/>
      <c r="AA16" s="8"/>
      <c r="AB16" s="8"/>
    </row>
    <row r="17">
      <c r="B17" s="555" t="s">
        <v>430</v>
      </c>
      <c r="C17" s="555" t="s">
        <v>326</v>
      </c>
      <c r="D17" s="556">
        <v>23.0</v>
      </c>
      <c r="E17" s="557" t="s">
        <v>431</v>
      </c>
      <c r="F17" s="556">
        <v>427.0</v>
      </c>
      <c r="G17" s="556">
        <v>494.0</v>
      </c>
      <c r="H17" s="539"/>
      <c r="J17" s="555"/>
      <c r="K17" s="555"/>
      <c r="L17" s="556"/>
      <c r="M17" s="557"/>
      <c r="N17" s="556"/>
      <c r="O17" s="556"/>
      <c r="P17" s="539"/>
      <c r="R17" s="555"/>
      <c r="S17" s="555"/>
      <c r="T17" s="556"/>
      <c r="U17" s="557"/>
      <c r="V17" s="556"/>
      <c r="W17" s="556"/>
      <c r="X17" s="8"/>
      <c r="Y17" s="8"/>
      <c r="Z17" s="8"/>
      <c r="AA17" s="8"/>
      <c r="AB17" s="8"/>
    </row>
    <row r="18">
      <c r="A18" s="8"/>
      <c r="B18" s="559"/>
      <c r="C18" s="559"/>
      <c r="D18" s="8"/>
      <c r="E18" s="538"/>
      <c r="F18" s="8"/>
      <c r="G18" s="8"/>
      <c r="H18" s="543"/>
      <c r="I18" s="8"/>
      <c r="J18" s="560"/>
      <c r="K18" s="561"/>
      <c r="L18" s="8"/>
      <c r="M18" s="538"/>
      <c r="N18" s="8"/>
      <c r="O18" s="8"/>
      <c r="P18" s="539"/>
      <c r="Q18" s="8"/>
      <c r="R18" s="560"/>
      <c r="S18" s="561"/>
      <c r="T18" s="8"/>
      <c r="U18" s="538"/>
      <c r="V18" s="8"/>
      <c r="W18" s="8"/>
      <c r="X18" s="8"/>
      <c r="Y18" s="8"/>
      <c r="Z18" s="8"/>
      <c r="AA18" s="8"/>
      <c r="AB18" s="8"/>
    </row>
    <row r="19">
      <c r="A19" s="264" t="s">
        <v>432</v>
      </c>
      <c r="B19" s="562" t="s">
        <v>433</v>
      </c>
      <c r="C19" s="562" t="s">
        <v>318</v>
      </c>
      <c r="D19" s="563">
        <v>18.0</v>
      </c>
      <c r="E19" s="564"/>
      <c r="F19" s="565"/>
      <c r="G19" s="565"/>
      <c r="H19" s="539"/>
      <c r="I19" s="264" t="s">
        <v>432</v>
      </c>
      <c r="J19" s="562"/>
      <c r="K19" s="562"/>
      <c r="L19" s="563"/>
      <c r="M19" s="566"/>
      <c r="N19" s="563"/>
      <c r="O19" s="563"/>
      <c r="P19" s="539"/>
      <c r="Q19" s="264" t="s">
        <v>432</v>
      </c>
      <c r="R19" s="562"/>
      <c r="S19" s="562"/>
      <c r="T19" s="563"/>
      <c r="U19" s="566"/>
      <c r="V19" s="563"/>
      <c r="W19" s="563"/>
      <c r="X19" s="8"/>
      <c r="Y19" s="8"/>
      <c r="Z19" s="8"/>
      <c r="AA19" s="8"/>
      <c r="AB19" s="8"/>
    </row>
    <row r="20">
      <c r="B20" s="567" t="s">
        <v>434</v>
      </c>
      <c r="C20" s="562" t="s">
        <v>381</v>
      </c>
      <c r="D20" s="563">
        <v>22.0</v>
      </c>
      <c r="E20" s="564"/>
      <c r="F20" s="565"/>
      <c r="G20" s="565"/>
      <c r="H20" s="539"/>
      <c r="J20" s="562"/>
      <c r="K20" s="562"/>
      <c r="L20" s="563"/>
      <c r="M20" s="566"/>
      <c r="N20" s="563"/>
      <c r="O20" s="563"/>
      <c r="P20" s="539"/>
      <c r="R20" s="562"/>
      <c r="S20" s="562"/>
      <c r="T20" s="563"/>
      <c r="U20" s="566"/>
      <c r="V20" s="563"/>
      <c r="W20" s="563"/>
      <c r="X20" s="8"/>
      <c r="Y20" s="8"/>
      <c r="Z20" s="8"/>
      <c r="AA20" s="8"/>
      <c r="AB20" s="8"/>
    </row>
    <row r="21">
      <c r="B21" s="562" t="s">
        <v>435</v>
      </c>
      <c r="C21" s="562" t="s">
        <v>394</v>
      </c>
      <c r="D21" s="563">
        <v>20.0</v>
      </c>
      <c r="E21" s="564"/>
      <c r="F21" s="565"/>
      <c r="G21" s="565"/>
      <c r="H21" s="539"/>
      <c r="J21" s="562"/>
      <c r="K21" s="562"/>
      <c r="L21" s="563"/>
      <c r="M21" s="566"/>
      <c r="N21" s="563"/>
      <c r="O21" s="563"/>
      <c r="P21" s="539"/>
      <c r="R21" s="562"/>
      <c r="S21" s="562"/>
      <c r="T21" s="563"/>
      <c r="U21" s="566"/>
      <c r="V21" s="563"/>
      <c r="W21" s="563"/>
      <c r="X21" s="8"/>
      <c r="Y21" s="8"/>
      <c r="Z21" s="8"/>
      <c r="AA21" s="8"/>
      <c r="AB21" s="8"/>
    </row>
    <row r="22">
      <c r="B22" s="562" t="s">
        <v>436</v>
      </c>
      <c r="C22" s="562" t="s">
        <v>321</v>
      </c>
      <c r="D22" s="563">
        <v>24.0</v>
      </c>
      <c r="E22" s="564"/>
      <c r="F22" s="565"/>
      <c r="G22" s="565"/>
      <c r="H22" s="539"/>
      <c r="J22" s="562"/>
      <c r="K22" s="562"/>
      <c r="L22" s="563"/>
      <c r="M22" s="566"/>
      <c r="N22" s="563"/>
      <c r="O22" s="563"/>
      <c r="P22" s="539"/>
      <c r="R22" s="562"/>
      <c r="S22" s="562"/>
      <c r="T22" s="563"/>
      <c r="U22" s="566"/>
      <c r="V22" s="563"/>
      <c r="W22" s="563"/>
      <c r="X22" s="8"/>
      <c r="Y22" s="8"/>
      <c r="Z22" s="8"/>
      <c r="AA22" s="8"/>
      <c r="AB22" s="8"/>
    </row>
    <row r="23">
      <c r="B23" s="562" t="s">
        <v>437</v>
      </c>
      <c r="C23" s="562" t="s">
        <v>326</v>
      </c>
      <c r="D23" s="563">
        <v>25.0</v>
      </c>
      <c r="E23" s="564"/>
      <c r="F23" s="565"/>
      <c r="G23" s="565"/>
      <c r="H23" s="539"/>
      <c r="J23" s="562"/>
      <c r="K23" s="562"/>
      <c r="L23" s="563"/>
      <c r="M23" s="566"/>
      <c r="N23" s="563"/>
      <c r="O23" s="563"/>
      <c r="P23" s="539"/>
      <c r="R23" s="562"/>
      <c r="S23" s="562"/>
      <c r="T23" s="563"/>
      <c r="U23" s="566"/>
      <c r="V23" s="563"/>
      <c r="W23" s="563"/>
      <c r="X23" s="8"/>
      <c r="Y23" s="8"/>
      <c r="Z23" s="8"/>
      <c r="AA23" s="8"/>
      <c r="AB23" s="8"/>
    </row>
    <row r="24">
      <c r="A24" s="264" t="s">
        <v>438</v>
      </c>
      <c r="B24" s="8"/>
      <c r="C24" s="8"/>
      <c r="D24" s="8"/>
      <c r="E24" s="538"/>
      <c r="F24" s="8"/>
      <c r="G24" s="8"/>
      <c r="H24" s="539"/>
      <c r="I24" s="264" t="s">
        <v>438</v>
      </c>
      <c r="J24" s="544"/>
      <c r="K24" s="8"/>
      <c r="L24" s="8"/>
      <c r="M24" s="538"/>
      <c r="N24" s="8"/>
      <c r="O24" s="8"/>
      <c r="P24" s="539"/>
      <c r="Q24" s="264" t="s">
        <v>438</v>
      </c>
      <c r="R24" s="544"/>
      <c r="S24" s="8"/>
      <c r="T24" s="8"/>
      <c r="U24" s="53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538"/>
      <c r="F25" s="8"/>
      <c r="G25" s="8"/>
      <c r="H25" s="541"/>
      <c r="I25" s="509"/>
      <c r="J25" s="509"/>
      <c r="K25" s="509"/>
      <c r="L25" s="509"/>
      <c r="M25" s="509"/>
      <c r="P25" s="53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551" t="s">
        <v>409</v>
      </c>
      <c r="B26" s="551" t="s">
        <v>19</v>
      </c>
      <c r="C26" s="551" t="s">
        <v>20</v>
      </c>
      <c r="D26" s="551" t="s">
        <v>410</v>
      </c>
      <c r="E26" s="551"/>
      <c r="F26" s="568"/>
      <c r="G26" s="551"/>
      <c r="H26" s="551"/>
      <c r="I26" s="551"/>
      <c r="J26" s="569" t="s">
        <v>19</v>
      </c>
      <c r="K26" s="569" t="s">
        <v>20</v>
      </c>
      <c r="L26" s="551"/>
      <c r="M26" s="551" t="s">
        <v>410</v>
      </c>
      <c r="N26" s="568"/>
      <c r="O26" s="568"/>
      <c r="P26" s="553"/>
      <c r="Q26" s="553"/>
      <c r="R26" s="570" t="s">
        <v>19</v>
      </c>
      <c r="S26" s="570" t="s">
        <v>20</v>
      </c>
      <c r="T26" s="553"/>
      <c r="U26" s="551" t="s">
        <v>410</v>
      </c>
      <c r="V26" s="553"/>
      <c r="W26" s="553"/>
      <c r="X26" s="553"/>
      <c r="Y26" s="553"/>
      <c r="Z26" s="553"/>
      <c r="AA26" s="553"/>
      <c r="AB26" s="553"/>
    </row>
    <row r="27">
      <c r="A27" s="92" t="s">
        <v>439</v>
      </c>
      <c r="B27" s="264" t="s">
        <v>37</v>
      </c>
      <c r="C27" s="264" t="s">
        <v>38</v>
      </c>
      <c r="D27" s="542" t="s">
        <v>246</v>
      </c>
      <c r="E27" s="264"/>
      <c r="G27" s="8"/>
      <c r="H27" s="545"/>
      <c r="I27" s="92" t="s">
        <v>440</v>
      </c>
      <c r="J27" s="571" t="s">
        <v>37</v>
      </c>
      <c r="K27" s="571" t="s">
        <v>38</v>
      </c>
      <c r="L27" s="544"/>
      <c r="M27" s="544"/>
      <c r="P27" s="539"/>
      <c r="Q27" s="92" t="s">
        <v>441</v>
      </c>
      <c r="R27" s="19" t="s">
        <v>37</v>
      </c>
      <c r="S27" s="19" t="s">
        <v>38</v>
      </c>
      <c r="T27" s="8"/>
      <c r="U27" s="8"/>
      <c r="V27" s="8"/>
      <c r="W27" s="8"/>
      <c r="X27" s="8"/>
      <c r="Y27" s="8"/>
      <c r="Z27" s="8"/>
      <c r="AA27" s="8"/>
      <c r="AB27" s="8"/>
    </row>
    <row r="28">
      <c r="A28" s="509" t="s">
        <v>22</v>
      </c>
      <c r="B28" s="194" t="str">
        <f>HYPERLINK("http://www.dotabuff.com/matches/1663365687","1663365687")</f>
        <v>1663365687</v>
      </c>
      <c r="C28" s="264" t="s">
        <v>414</v>
      </c>
      <c r="D28" s="8"/>
      <c r="E28" s="538"/>
      <c r="F28" s="8"/>
      <c r="G28" s="8"/>
      <c r="H28" s="186"/>
      <c r="I28" s="509" t="s">
        <v>23</v>
      </c>
      <c r="J28" s="217"/>
      <c r="K28" s="264" t="s">
        <v>414</v>
      </c>
      <c r="L28" s="8"/>
      <c r="M28" s="538"/>
      <c r="N28" s="8"/>
      <c r="O28" s="8"/>
      <c r="P28" s="539"/>
      <c r="Q28" s="509" t="s">
        <v>24</v>
      </c>
      <c r="R28" s="217"/>
      <c r="S28" s="264" t="s">
        <v>414</v>
      </c>
      <c r="T28" s="8"/>
      <c r="U28" s="538"/>
      <c r="V28" s="8"/>
      <c r="W28" s="8"/>
      <c r="X28" s="8"/>
      <c r="Y28" s="8"/>
      <c r="Z28" s="8"/>
      <c r="AA28" s="8"/>
      <c r="AB28" s="8"/>
    </row>
    <row r="29">
      <c r="A29" s="264"/>
      <c r="B29" s="509" t="s">
        <v>415</v>
      </c>
      <c r="C29" s="509" t="s">
        <v>267</v>
      </c>
      <c r="D29" s="509" t="s">
        <v>420</v>
      </c>
      <c r="E29" s="540" t="s">
        <v>417</v>
      </c>
      <c r="F29" s="509" t="s">
        <v>418</v>
      </c>
      <c r="G29" s="509" t="s">
        <v>419</v>
      </c>
      <c r="H29" s="539"/>
      <c r="I29" s="264"/>
      <c r="J29" s="509" t="s">
        <v>415</v>
      </c>
      <c r="K29" s="509" t="s">
        <v>267</v>
      </c>
      <c r="L29" s="509" t="s">
        <v>420</v>
      </c>
      <c r="M29" s="540" t="s">
        <v>417</v>
      </c>
      <c r="N29" s="509" t="s">
        <v>418</v>
      </c>
      <c r="O29" s="509" t="s">
        <v>419</v>
      </c>
      <c r="P29" s="539"/>
      <c r="Q29" s="264"/>
      <c r="R29" s="509" t="s">
        <v>415</v>
      </c>
      <c r="S29" s="509" t="s">
        <v>267</v>
      </c>
      <c r="T29" s="509" t="s">
        <v>420</v>
      </c>
      <c r="U29" s="540" t="s">
        <v>417</v>
      </c>
      <c r="V29" s="509" t="s">
        <v>418</v>
      </c>
      <c r="W29" s="509" t="s">
        <v>419</v>
      </c>
      <c r="X29" s="8"/>
      <c r="Y29" s="8"/>
      <c r="Z29" s="8"/>
      <c r="AA29" s="8"/>
      <c r="AB29" s="8"/>
    </row>
    <row r="30">
      <c r="A30" s="264" t="s">
        <v>421</v>
      </c>
      <c r="B30" s="555" t="s">
        <v>442</v>
      </c>
      <c r="C30" s="555" t="s">
        <v>394</v>
      </c>
      <c r="D30" s="556">
        <v>11.0</v>
      </c>
      <c r="E30" s="557" t="s">
        <v>443</v>
      </c>
      <c r="F30" s="556">
        <v>346.0</v>
      </c>
      <c r="G30" s="556">
        <v>332.0</v>
      </c>
      <c r="H30" s="539"/>
      <c r="I30" s="264" t="s">
        <v>421</v>
      </c>
      <c r="J30" s="555" t="s">
        <v>444</v>
      </c>
      <c r="K30" s="555" t="s">
        <v>358</v>
      </c>
      <c r="L30" s="556"/>
      <c r="M30" s="557"/>
      <c r="N30" s="556"/>
      <c r="O30" s="556"/>
      <c r="P30" s="539"/>
      <c r="Q30" s="264" t="s">
        <v>421</v>
      </c>
      <c r="R30" s="555"/>
      <c r="S30" s="555"/>
      <c r="T30" s="556"/>
      <c r="U30" s="557"/>
      <c r="V30" s="556"/>
      <c r="W30" s="556"/>
      <c r="X30" s="8"/>
      <c r="Y30" s="8"/>
      <c r="Z30" s="8"/>
      <c r="AA30" s="8"/>
      <c r="AB30" s="8"/>
    </row>
    <row r="31">
      <c r="B31" s="555" t="s">
        <v>445</v>
      </c>
      <c r="C31" s="555" t="s">
        <v>292</v>
      </c>
      <c r="D31" s="556">
        <v>10.0</v>
      </c>
      <c r="E31" s="557" t="s">
        <v>446</v>
      </c>
      <c r="F31" s="556">
        <v>270.0</v>
      </c>
      <c r="G31" s="556">
        <v>403.0</v>
      </c>
      <c r="H31" s="539"/>
      <c r="J31" s="555" t="s">
        <v>447</v>
      </c>
      <c r="K31" s="555" t="s">
        <v>382</v>
      </c>
      <c r="L31" s="556"/>
      <c r="M31" s="557"/>
      <c r="N31" s="556"/>
      <c r="O31" s="556"/>
      <c r="P31" s="539"/>
      <c r="R31" s="555"/>
      <c r="S31" s="555"/>
      <c r="T31" s="556"/>
      <c r="U31" s="557"/>
      <c r="V31" s="556"/>
      <c r="W31" s="556"/>
      <c r="X31" s="8"/>
      <c r="Y31" s="8"/>
      <c r="Z31" s="8"/>
      <c r="AA31" s="8"/>
      <c r="AB31" s="8"/>
    </row>
    <row r="32">
      <c r="B32" s="558" t="s">
        <v>448</v>
      </c>
      <c r="C32" s="558" t="s">
        <v>361</v>
      </c>
      <c r="D32" s="556">
        <v>13.0</v>
      </c>
      <c r="E32" s="557" t="s">
        <v>449</v>
      </c>
      <c r="F32" s="556">
        <v>426.0</v>
      </c>
      <c r="G32" s="556">
        <v>523.0</v>
      </c>
      <c r="H32" s="539"/>
      <c r="J32" s="555" t="s">
        <v>450</v>
      </c>
      <c r="K32" s="558" t="s">
        <v>370</v>
      </c>
      <c r="L32" s="556"/>
      <c r="M32" s="557"/>
      <c r="N32" s="556"/>
      <c r="O32" s="556"/>
      <c r="P32" s="539"/>
      <c r="R32" s="558"/>
      <c r="S32" s="558"/>
      <c r="T32" s="556"/>
      <c r="U32" s="557"/>
      <c r="V32" s="556"/>
      <c r="W32" s="556"/>
      <c r="X32" s="8"/>
      <c r="Y32" s="8"/>
      <c r="Z32" s="8"/>
      <c r="AA32" s="8"/>
      <c r="AB32" s="8"/>
    </row>
    <row r="33">
      <c r="B33" s="555" t="s">
        <v>451</v>
      </c>
      <c r="C33" s="555" t="s">
        <v>330</v>
      </c>
      <c r="D33" s="556">
        <v>14.0</v>
      </c>
      <c r="E33" s="557" t="s">
        <v>452</v>
      </c>
      <c r="F33" s="556">
        <v>526.0</v>
      </c>
      <c r="G33" s="556">
        <v>641.0</v>
      </c>
      <c r="H33" s="539"/>
      <c r="J33" s="555" t="s">
        <v>453</v>
      </c>
      <c r="K33" s="555" t="s">
        <v>393</v>
      </c>
      <c r="L33" s="556"/>
      <c r="M33" s="557"/>
      <c r="N33" s="556"/>
      <c r="O33" s="556"/>
      <c r="P33" s="539"/>
      <c r="R33" s="555"/>
      <c r="S33" s="555"/>
      <c r="T33" s="556"/>
      <c r="U33" s="557"/>
      <c r="V33" s="556"/>
      <c r="W33" s="556"/>
      <c r="X33" s="8"/>
      <c r="Y33" s="8"/>
      <c r="Z33" s="8"/>
      <c r="AA33" s="8"/>
      <c r="AB33" s="8"/>
    </row>
    <row r="34">
      <c r="B34" s="555" t="s">
        <v>454</v>
      </c>
      <c r="C34" s="555" t="s">
        <v>404</v>
      </c>
      <c r="D34" s="556">
        <v>9.0</v>
      </c>
      <c r="E34" s="557" t="s">
        <v>455</v>
      </c>
      <c r="F34" s="556">
        <v>207.0</v>
      </c>
      <c r="G34" s="556">
        <v>274.0</v>
      </c>
      <c r="H34" s="539"/>
      <c r="J34" s="555" t="s">
        <v>456</v>
      </c>
      <c r="K34" s="555" t="s">
        <v>330</v>
      </c>
      <c r="L34" s="556"/>
      <c r="M34" s="557"/>
      <c r="N34" s="556"/>
      <c r="O34" s="556"/>
      <c r="P34" s="539"/>
      <c r="R34" s="555"/>
      <c r="S34" s="555"/>
      <c r="T34" s="556"/>
      <c r="U34" s="557"/>
      <c r="V34" s="556"/>
      <c r="W34" s="556"/>
      <c r="X34" s="8"/>
      <c r="Y34" s="8"/>
      <c r="Z34" s="8"/>
      <c r="AA34" s="8"/>
      <c r="AB34" s="8"/>
    </row>
    <row r="35">
      <c r="A35" s="8"/>
      <c r="B35" s="560"/>
      <c r="C35" s="561"/>
      <c r="D35" s="8"/>
      <c r="E35" s="538"/>
      <c r="F35" s="8"/>
      <c r="G35" s="8"/>
      <c r="H35" s="543"/>
      <c r="I35" s="8"/>
      <c r="J35" s="560"/>
      <c r="K35" s="561"/>
      <c r="L35" s="8"/>
      <c r="M35" s="538"/>
      <c r="N35" s="8"/>
      <c r="O35" s="8"/>
      <c r="P35" s="539"/>
      <c r="Q35" s="8"/>
      <c r="R35" s="560"/>
      <c r="S35" s="561"/>
      <c r="T35" s="8"/>
      <c r="U35" s="538"/>
      <c r="V35" s="8"/>
      <c r="W35" s="8"/>
      <c r="X35" s="8"/>
      <c r="Y35" s="8"/>
      <c r="Z35" s="8"/>
      <c r="AA35" s="8"/>
      <c r="AB35" s="8"/>
    </row>
    <row r="36">
      <c r="A36" s="264" t="s">
        <v>432</v>
      </c>
      <c r="B36" s="562" t="s">
        <v>444</v>
      </c>
      <c r="C36" s="562" t="s">
        <v>403</v>
      </c>
      <c r="D36" s="563">
        <v>7.0</v>
      </c>
      <c r="E36" s="566" t="s">
        <v>457</v>
      </c>
      <c r="F36" s="563">
        <v>141.0</v>
      </c>
      <c r="G36" s="563">
        <v>187.0</v>
      </c>
      <c r="H36" s="186"/>
      <c r="I36" s="264" t="s">
        <v>432</v>
      </c>
      <c r="J36" s="562" t="s">
        <v>442</v>
      </c>
      <c r="K36" s="562" t="s">
        <v>308</v>
      </c>
      <c r="L36" s="563"/>
      <c r="M36" s="566"/>
      <c r="N36" s="563"/>
      <c r="O36" s="563"/>
      <c r="P36" s="539"/>
      <c r="Q36" s="264" t="s">
        <v>432</v>
      </c>
      <c r="R36" s="562"/>
      <c r="S36" s="562"/>
      <c r="T36" s="563"/>
      <c r="U36" s="566"/>
      <c r="V36" s="563"/>
      <c r="W36" s="563"/>
      <c r="X36" s="8"/>
      <c r="Y36" s="8"/>
      <c r="Z36" s="8"/>
      <c r="AA36" s="8"/>
      <c r="AB36" s="8"/>
    </row>
    <row r="37">
      <c r="B37" s="562" t="s">
        <v>447</v>
      </c>
      <c r="C37" s="562" t="s">
        <v>338</v>
      </c>
      <c r="D37" s="563">
        <v>11.0</v>
      </c>
      <c r="E37" s="566" t="s">
        <v>458</v>
      </c>
      <c r="F37" s="563">
        <v>315.0</v>
      </c>
      <c r="G37" s="563">
        <v>335.0</v>
      </c>
      <c r="H37" s="539"/>
      <c r="J37" s="562" t="s">
        <v>445</v>
      </c>
      <c r="K37" s="562" t="s">
        <v>336</v>
      </c>
      <c r="L37" s="563"/>
      <c r="M37" s="566"/>
      <c r="N37" s="563"/>
      <c r="O37" s="563"/>
      <c r="P37" s="539"/>
      <c r="R37" s="562"/>
      <c r="S37" s="562"/>
      <c r="T37" s="563"/>
      <c r="U37" s="566"/>
      <c r="V37" s="563"/>
      <c r="W37" s="563"/>
      <c r="X37" s="8"/>
      <c r="Y37" s="8"/>
      <c r="Z37" s="8"/>
      <c r="AA37" s="8"/>
      <c r="AB37" s="8"/>
    </row>
    <row r="38">
      <c r="B38" s="562" t="s">
        <v>450</v>
      </c>
      <c r="C38" s="562" t="s">
        <v>376</v>
      </c>
      <c r="D38" s="563">
        <v>7.0</v>
      </c>
      <c r="E38" s="566" t="s">
        <v>459</v>
      </c>
      <c r="F38" s="563">
        <v>126.0</v>
      </c>
      <c r="G38" s="563">
        <v>172.0</v>
      </c>
      <c r="H38" s="539"/>
      <c r="J38" s="567" t="s">
        <v>448</v>
      </c>
      <c r="K38" s="562" t="s">
        <v>367</v>
      </c>
      <c r="L38" s="563"/>
      <c r="M38" s="566"/>
      <c r="N38" s="563"/>
      <c r="O38" s="563"/>
      <c r="P38" s="539"/>
      <c r="R38" s="562"/>
      <c r="S38" s="562"/>
      <c r="T38" s="563"/>
      <c r="U38" s="566"/>
      <c r="V38" s="563"/>
      <c r="W38" s="563"/>
      <c r="X38" s="8"/>
      <c r="Y38" s="8"/>
      <c r="Z38" s="8"/>
      <c r="AA38" s="8"/>
      <c r="AB38" s="8"/>
    </row>
    <row r="39">
      <c r="B39" s="562" t="s">
        <v>453</v>
      </c>
      <c r="C39" s="562" t="s">
        <v>393</v>
      </c>
      <c r="D39" s="563">
        <v>8.0</v>
      </c>
      <c r="E39" s="566" t="s">
        <v>460</v>
      </c>
      <c r="F39" s="563">
        <v>171.0</v>
      </c>
      <c r="G39" s="563">
        <v>205.0</v>
      </c>
      <c r="H39" s="539"/>
      <c r="J39" s="562" t="s">
        <v>451</v>
      </c>
      <c r="K39" s="562" t="s">
        <v>280</v>
      </c>
      <c r="L39" s="563"/>
      <c r="M39" s="566"/>
      <c r="N39" s="563"/>
      <c r="O39" s="563"/>
      <c r="P39" s="539"/>
      <c r="R39" s="562"/>
      <c r="S39" s="562"/>
      <c r="T39" s="563"/>
      <c r="U39" s="566"/>
      <c r="V39" s="563"/>
      <c r="W39" s="563"/>
      <c r="X39" s="8"/>
      <c r="Y39" s="8"/>
      <c r="Z39" s="8"/>
      <c r="AA39" s="8"/>
      <c r="AB39" s="8"/>
    </row>
    <row r="40">
      <c r="B40" s="562" t="s">
        <v>456</v>
      </c>
      <c r="C40" s="562" t="s">
        <v>398</v>
      </c>
      <c r="D40" s="563">
        <v>11.0</v>
      </c>
      <c r="E40" s="566" t="s">
        <v>461</v>
      </c>
      <c r="F40" s="563">
        <v>319.0</v>
      </c>
      <c r="G40" s="563">
        <v>392.0</v>
      </c>
      <c r="H40" s="539"/>
      <c r="J40" s="562" t="s">
        <v>454</v>
      </c>
      <c r="K40" s="562" t="s">
        <v>372</v>
      </c>
      <c r="L40" s="563"/>
      <c r="M40" s="566"/>
      <c r="N40" s="563"/>
      <c r="O40" s="563"/>
      <c r="P40" s="539"/>
      <c r="R40" s="562"/>
      <c r="S40" s="562"/>
      <c r="T40" s="563"/>
      <c r="U40" s="566"/>
      <c r="V40" s="563"/>
      <c r="W40" s="563"/>
      <c r="X40" s="8"/>
      <c r="Y40" s="8"/>
      <c r="Z40" s="8"/>
      <c r="AA40" s="8"/>
      <c r="AB40" s="8"/>
    </row>
    <row r="41">
      <c r="A41" s="264" t="s">
        <v>438</v>
      </c>
      <c r="B41" s="544">
        <v>0.9</v>
      </c>
      <c r="C41" s="8"/>
      <c r="D41" s="8"/>
      <c r="E41" s="538"/>
      <c r="F41" s="8"/>
      <c r="G41" s="8"/>
      <c r="H41" s="539"/>
      <c r="I41" s="264" t="s">
        <v>438</v>
      </c>
      <c r="J41" s="544"/>
      <c r="K41" s="8"/>
      <c r="L41" s="8"/>
      <c r="M41" s="538"/>
      <c r="N41" s="8"/>
      <c r="O41" s="8"/>
      <c r="P41" s="539"/>
      <c r="Q41" s="264" t="s">
        <v>438</v>
      </c>
      <c r="R41" s="544"/>
      <c r="S41" s="8"/>
      <c r="T41" s="8"/>
      <c r="U41" s="53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538"/>
      <c r="F42" s="8"/>
      <c r="G42" s="8"/>
      <c r="H42" s="541"/>
      <c r="I42" s="509"/>
      <c r="J42" s="509"/>
      <c r="K42" s="509"/>
      <c r="L42" s="509"/>
      <c r="M42" s="509"/>
      <c r="N42" s="509"/>
      <c r="O42" s="509"/>
      <c r="P42" s="53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551" t="s">
        <v>409</v>
      </c>
      <c r="B43" s="551" t="s">
        <v>19</v>
      </c>
      <c r="C43" s="551" t="s">
        <v>20</v>
      </c>
      <c r="D43" s="551" t="s">
        <v>410</v>
      </c>
      <c r="E43" s="552"/>
      <c r="F43" s="551"/>
      <c r="G43" s="551"/>
      <c r="H43" s="541"/>
      <c r="I43" s="551"/>
      <c r="J43" s="551"/>
      <c r="K43" s="551"/>
      <c r="L43" s="551"/>
      <c r="M43" s="551" t="s">
        <v>410</v>
      </c>
      <c r="N43" s="551"/>
      <c r="O43" s="551"/>
      <c r="P43" s="539"/>
      <c r="Q43" s="553"/>
      <c r="R43" s="553"/>
      <c r="S43" s="553"/>
      <c r="T43" s="553"/>
      <c r="U43" s="551" t="s">
        <v>410</v>
      </c>
      <c r="V43" s="553"/>
      <c r="W43" s="553"/>
      <c r="X43" s="553"/>
      <c r="Y43" s="553"/>
      <c r="Z43" s="553"/>
      <c r="AA43" s="553"/>
      <c r="AB43" s="553"/>
    </row>
    <row r="44">
      <c r="A44" s="92" t="s">
        <v>462</v>
      </c>
      <c r="D44" s="8"/>
      <c r="E44" s="538"/>
      <c r="F44" s="264"/>
      <c r="G44" s="8"/>
      <c r="H44" s="200"/>
      <c r="I44" s="92" t="s">
        <v>463</v>
      </c>
      <c r="L44" s="8"/>
      <c r="M44" s="544"/>
      <c r="N44" s="264"/>
      <c r="O44" s="8"/>
      <c r="P44" s="539"/>
      <c r="Q44" s="92" t="s">
        <v>464</v>
      </c>
      <c r="T44" s="8"/>
      <c r="U44" s="544"/>
      <c r="V44" s="264"/>
      <c r="W44" s="8"/>
      <c r="X44" s="8"/>
      <c r="Y44" s="8"/>
      <c r="Z44" s="8"/>
      <c r="AA44" s="8"/>
      <c r="AB44" s="8"/>
    </row>
    <row r="45">
      <c r="A45" s="264"/>
      <c r="B45" s="8"/>
      <c r="C45" s="264" t="s">
        <v>414</v>
      </c>
      <c r="D45" s="8"/>
      <c r="E45" s="538"/>
      <c r="F45" s="8"/>
      <c r="G45" s="8"/>
      <c r="H45" s="186"/>
      <c r="I45" s="264"/>
      <c r="J45" s="8"/>
      <c r="K45" s="264" t="s">
        <v>414</v>
      </c>
      <c r="L45" s="8"/>
      <c r="M45" s="538"/>
      <c r="N45" s="8"/>
      <c r="O45" s="8"/>
      <c r="P45" s="539"/>
      <c r="Q45" s="264"/>
      <c r="R45" s="8"/>
      <c r="S45" s="264" t="s">
        <v>414</v>
      </c>
      <c r="T45" s="8"/>
      <c r="U45" s="538"/>
      <c r="V45" s="8"/>
      <c r="W45" s="8"/>
      <c r="X45" s="8"/>
      <c r="Y45" s="8"/>
      <c r="Z45" s="8"/>
      <c r="AA45" s="8"/>
      <c r="AB45" s="8"/>
    </row>
    <row r="46">
      <c r="A46" s="264"/>
      <c r="B46" s="509" t="s">
        <v>415</v>
      </c>
      <c r="C46" s="509" t="s">
        <v>267</v>
      </c>
      <c r="D46" s="509" t="s">
        <v>420</v>
      </c>
      <c r="E46" s="540" t="s">
        <v>417</v>
      </c>
      <c r="F46" s="509" t="s">
        <v>418</v>
      </c>
      <c r="G46" s="509" t="s">
        <v>419</v>
      </c>
      <c r="H46" s="539"/>
      <c r="I46" s="264"/>
      <c r="J46" s="509" t="s">
        <v>415</v>
      </c>
      <c r="K46" s="509" t="s">
        <v>267</v>
      </c>
      <c r="L46" s="509" t="s">
        <v>420</v>
      </c>
      <c r="M46" s="540" t="s">
        <v>417</v>
      </c>
      <c r="N46" s="509" t="s">
        <v>418</v>
      </c>
      <c r="O46" s="509" t="s">
        <v>419</v>
      </c>
      <c r="P46" s="539"/>
      <c r="Q46" s="264"/>
      <c r="R46" s="509" t="s">
        <v>415</v>
      </c>
      <c r="S46" s="509" t="s">
        <v>267</v>
      </c>
      <c r="T46" s="509" t="s">
        <v>420</v>
      </c>
      <c r="U46" s="540" t="s">
        <v>417</v>
      </c>
      <c r="V46" s="509" t="s">
        <v>418</v>
      </c>
      <c r="W46" s="509" t="s">
        <v>419</v>
      </c>
      <c r="X46" s="8"/>
      <c r="Y46" s="8"/>
      <c r="Z46" s="8"/>
      <c r="AA46" s="8"/>
      <c r="AB46" s="8"/>
    </row>
    <row r="47">
      <c r="A47" s="264" t="s">
        <v>421</v>
      </c>
      <c r="B47" s="572"/>
      <c r="C47" s="572"/>
      <c r="D47" s="572"/>
      <c r="E47" s="573"/>
      <c r="F47" s="572"/>
      <c r="G47" s="572"/>
      <c r="H47" s="539"/>
      <c r="I47" s="264" t="s">
        <v>421</v>
      </c>
      <c r="J47" s="572"/>
      <c r="K47" s="572"/>
      <c r="L47" s="572"/>
      <c r="M47" s="573"/>
      <c r="N47" s="572"/>
      <c r="O47" s="572"/>
      <c r="P47" s="539"/>
      <c r="Q47" s="264" t="s">
        <v>421</v>
      </c>
      <c r="R47" s="572"/>
      <c r="S47" s="572"/>
      <c r="T47" s="572"/>
      <c r="U47" s="573"/>
      <c r="V47" s="572"/>
      <c r="W47" s="572"/>
      <c r="X47" s="8"/>
      <c r="Y47" s="8"/>
      <c r="Z47" s="8"/>
      <c r="AA47" s="8"/>
      <c r="AB47" s="8"/>
    </row>
    <row r="48">
      <c r="B48" s="572"/>
      <c r="C48" s="572"/>
      <c r="D48" s="572"/>
      <c r="E48" s="573"/>
      <c r="F48" s="572"/>
      <c r="G48" s="572"/>
      <c r="H48" s="539"/>
      <c r="J48" s="572"/>
      <c r="K48" s="572"/>
      <c r="L48" s="572"/>
      <c r="M48" s="573"/>
      <c r="N48" s="572"/>
      <c r="O48" s="572"/>
      <c r="P48" s="539"/>
      <c r="R48" s="572"/>
      <c r="S48" s="572"/>
      <c r="T48" s="572"/>
      <c r="U48" s="573"/>
      <c r="V48" s="572"/>
      <c r="W48" s="572"/>
      <c r="X48" s="8"/>
      <c r="Y48" s="8"/>
      <c r="Z48" s="8"/>
      <c r="AA48" s="8"/>
      <c r="AB48" s="8"/>
    </row>
    <row r="49">
      <c r="B49" s="572"/>
      <c r="C49" s="572"/>
      <c r="D49" s="572"/>
      <c r="E49" s="573"/>
      <c r="F49" s="572"/>
      <c r="G49" s="572"/>
      <c r="H49" s="539"/>
      <c r="J49" s="572"/>
      <c r="K49" s="572"/>
      <c r="L49" s="572"/>
      <c r="M49" s="573"/>
      <c r="N49" s="572"/>
      <c r="O49" s="572"/>
      <c r="P49" s="539"/>
      <c r="R49" s="572"/>
      <c r="S49" s="572"/>
      <c r="T49" s="572"/>
      <c r="U49" s="573"/>
      <c r="V49" s="572"/>
      <c r="W49" s="572"/>
      <c r="X49" s="8"/>
      <c r="Y49" s="8"/>
      <c r="Z49" s="8"/>
      <c r="AA49" s="8"/>
      <c r="AB49" s="8"/>
    </row>
    <row r="50">
      <c r="B50" s="572"/>
      <c r="C50" s="572"/>
      <c r="D50" s="572"/>
      <c r="E50" s="573"/>
      <c r="F50" s="572"/>
      <c r="G50" s="572"/>
      <c r="H50" s="539"/>
      <c r="J50" s="572"/>
      <c r="K50" s="572"/>
      <c r="L50" s="572"/>
      <c r="M50" s="573"/>
      <c r="N50" s="572"/>
      <c r="O50" s="572"/>
      <c r="P50" s="539"/>
      <c r="R50" s="572"/>
      <c r="S50" s="572"/>
      <c r="T50" s="572"/>
      <c r="U50" s="573"/>
      <c r="V50" s="572"/>
      <c r="W50" s="572"/>
      <c r="X50" s="8"/>
      <c r="Y50" s="8"/>
      <c r="Z50" s="8"/>
      <c r="AA50" s="8"/>
      <c r="AB50" s="8"/>
    </row>
    <row r="51">
      <c r="B51" s="572"/>
      <c r="C51" s="572"/>
      <c r="D51" s="572"/>
      <c r="E51" s="573"/>
      <c r="F51" s="572"/>
      <c r="G51" s="572"/>
      <c r="H51" s="539"/>
      <c r="J51" s="572"/>
      <c r="K51" s="572"/>
      <c r="L51" s="572"/>
      <c r="M51" s="573"/>
      <c r="N51" s="572"/>
      <c r="O51" s="572"/>
      <c r="P51" s="539"/>
      <c r="R51" s="572"/>
      <c r="S51" s="572"/>
      <c r="T51" s="572"/>
      <c r="U51" s="573"/>
      <c r="V51" s="572"/>
      <c r="W51" s="572"/>
      <c r="X51" s="8"/>
      <c r="Y51" s="8"/>
      <c r="Z51" s="8"/>
      <c r="AA51" s="8"/>
      <c r="AB51" s="8"/>
    </row>
    <row r="52">
      <c r="A52" s="8"/>
      <c r="B52" s="8"/>
      <c r="C52" s="8"/>
      <c r="D52" s="8"/>
      <c r="E52" s="538"/>
      <c r="F52" s="8"/>
      <c r="G52" s="8"/>
      <c r="H52" s="539"/>
      <c r="I52" s="8"/>
      <c r="J52" s="8"/>
      <c r="K52" s="8"/>
      <c r="L52" s="8"/>
      <c r="M52" s="538"/>
      <c r="N52" s="8"/>
      <c r="O52" s="8"/>
      <c r="P52" s="539"/>
      <c r="Q52" s="8"/>
      <c r="R52" s="8"/>
      <c r="S52" s="8"/>
      <c r="T52" s="8"/>
      <c r="U52" s="538"/>
      <c r="V52" s="8"/>
      <c r="W52" s="8"/>
      <c r="X52" s="8"/>
      <c r="Y52" s="8"/>
      <c r="Z52" s="8"/>
      <c r="AA52" s="8"/>
      <c r="AB52" s="8"/>
    </row>
    <row r="53">
      <c r="A53" s="264" t="s">
        <v>432</v>
      </c>
      <c r="B53" s="565"/>
      <c r="C53" s="565"/>
      <c r="D53" s="565"/>
      <c r="E53" s="564"/>
      <c r="F53" s="565"/>
      <c r="G53" s="565"/>
      <c r="H53" s="539"/>
      <c r="I53" s="264" t="s">
        <v>432</v>
      </c>
      <c r="J53" s="565"/>
      <c r="K53" s="565"/>
      <c r="L53" s="565"/>
      <c r="M53" s="564"/>
      <c r="N53" s="565"/>
      <c r="O53" s="565"/>
      <c r="P53" s="539"/>
      <c r="Q53" s="264" t="s">
        <v>432</v>
      </c>
      <c r="R53" s="565"/>
      <c r="S53" s="565"/>
      <c r="T53" s="565"/>
      <c r="U53" s="564"/>
      <c r="V53" s="565"/>
      <c r="W53" s="565"/>
      <c r="X53" s="8"/>
      <c r="Y53" s="8"/>
      <c r="Z53" s="8"/>
      <c r="AA53" s="8"/>
      <c r="AB53" s="8"/>
    </row>
    <row r="54">
      <c r="B54" s="565"/>
      <c r="C54" s="565"/>
      <c r="D54" s="565"/>
      <c r="E54" s="564"/>
      <c r="F54" s="565"/>
      <c r="G54" s="565"/>
      <c r="H54" s="539"/>
      <c r="J54" s="565"/>
      <c r="K54" s="565"/>
      <c r="L54" s="565"/>
      <c r="M54" s="564"/>
      <c r="N54" s="565"/>
      <c r="O54" s="565"/>
      <c r="P54" s="539"/>
      <c r="R54" s="565"/>
      <c r="S54" s="565"/>
      <c r="T54" s="565"/>
      <c r="U54" s="564"/>
      <c r="V54" s="565"/>
      <c r="W54" s="565"/>
      <c r="X54" s="8"/>
      <c r="Y54" s="8"/>
      <c r="Z54" s="8"/>
      <c r="AA54" s="8"/>
      <c r="AB54" s="8"/>
    </row>
    <row r="55">
      <c r="B55" s="565"/>
      <c r="C55" s="565"/>
      <c r="D55" s="565"/>
      <c r="E55" s="564"/>
      <c r="F55" s="565"/>
      <c r="G55" s="565"/>
      <c r="H55" s="539"/>
      <c r="J55" s="565"/>
      <c r="K55" s="565"/>
      <c r="L55" s="565"/>
      <c r="M55" s="564"/>
      <c r="N55" s="565"/>
      <c r="O55" s="565"/>
      <c r="P55" s="539"/>
      <c r="R55" s="565"/>
      <c r="S55" s="565"/>
      <c r="T55" s="565"/>
      <c r="U55" s="564"/>
      <c r="V55" s="565"/>
      <c r="W55" s="565"/>
      <c r="X55" s="8"/>
      <c r="Y55" s="8"/>
      <c r="Z55" s="8"/>
      <c r="AA55" s="8"/>
      <c r="AB55" s="8"/>
    </row>
    <row r="56">
      <c r="B56" s="565"/>
      <c r="C56" s="565"/>
      <c r="D56" s="565"/>
      <c r="E56" s="564"/>
      <c r="F56" s="565"/>
      <c r="G56" s="565"/>
      <c r="H56" s="539"/>
      <c r="J56" s="565"/>
      <c r="K56" s="565"/>
      <c r="L56" s="565"/>
      <c r="M56" s="564"/>
      <c r="N56" s="565"/>
      <c r="O56" s="565"/>
      <c r="P56" s="539"/>
      <c r="R56" s="565"/>
      <c r="S56" s="565"/>
      <c r="T56" s="565"/>
      <c r="U56" s="564"/>
      <c r="V56" s="565"/>
      <c r="W56" s="565"/>
      <c r="X56" s="8"/>
      <c r="Y56" s="8"/>
      <c r="Z56" s="8"/>
      <c r="AA56" s="8"/>
      <c r="AB56" s="8"/>
    </row>
    <row r="57">
      <c r="B57" s="565"/>
      <c r="C57" s="565"/>
      <c r="D57" s="565"/>
      <c r="E57" s="564"/>
      <c r="F57" s="565"/>
      <c r="G57" s="565"/>
      <c r="H57" s="539"/>
      <c r="J57" s="565"/>
      <c r="K57" s="565"/>
      <c r="L57" s="565"/>
      <c r="M57" s="564"/>
      <c r="N57" s="565"/>
      <c r="O57" s="565"/>
      <c r="P57" s="539"/>
      <c r="R57" s="565"/>
      <c r="S57" s="565"/>
      <c r="T57" s="565"/>
      <c r="U57" s="564"/>
      <c r="V57" s="565"/>
      <c r="W57" s="565"/>
      <c r="X57" s="8"/>
      <c r="Y57" s="8"/>
      <c r="Z57" s="8"/>
      <c r="AA57" s="8"/>
      <c r="AB57" s="8"/>
    </row>
    <row r="58">
      <c r="A58" s="264" t="s">
        <v>438</v>
      </c>
      <c r="B58" s="8"/>
      <c r="C58" s="8"/>
      <c r="D58" s="8"/>
      <c r="E58" s="538"/>
      <c r="F58" s="8"/>
      <c r="G58" s="8"/>
      <c r="H58" s="539"/>
      <c r="I58" s="264" t="s">
        <v>438</v>
      </c>
      <c r="J58" s="8"/>
      <c r="K58" s="8"/>
      <c r="L58" s="8"/>
      <c r="M58" s="538"/>
      <c r="N58" s="8"/>
      <c r="O58" s="8"/>
      <c r="P58" s="539"/>
      <c r="Q58" s="264" t="s">
        <v>438</v>
      </c>
      <c r="R58" s="8"/>
      <c r="S58" s="8"/>
      <c r="T58" s="8"/>
      <c r="U58" s="53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538"/>
      <c r="F59" s="8"/>
      <c r="G59" s="8"/>
      <c r="H59" s="541"/>
      <c r="I59" s="8"/>
      <c r="J59" s="8"/>
      <c r="K59" s="8"/>
      <c r="L59" s="8"/>
      <c r="M59" s="538"/>
      <c r="N59" s="8"/>
      <c r="O59" s="8"/>
      <c r="P59" s="539"/>
      <c r="Q59" s="8"/>
      <c r="R59" s="8"/>
      <c r="S59" s="8"/>
      <c r="T59" s="8"/>
      <c r="U59" s="538"/>
      <c r="V59" s="8"/>
      <c r="W59" s="8"/>
      <c r="X59" s="8"/>
      <c r="Y59" s="8"/>
      <c r="Z59" s="8"/>
      <c r="AA59" s="8"/>
      <c r="AB59" s="8"/>
    </row>
    <row r="60">
      <c r="A60" s="551" t="s">
        <v>409</v>
      </c>
      <c r="B60" s="551" t="s">
        <v>19</v>
      </c>
      <c r="C60" s="551" t="s">
        <v>20</v>
      </c>
      <c r="D60" s="551" t="s">
        <v>410</v>
      </c>
      <c r="E60" s="552"/>
      <c r="F60" s="551"/>
      <c r="G60" s="551"/>
      <c r="H60" s="551"/>
      <c r="I60" s="551"/>
      <c r="J60" s="551" t="s">
        <v>19</v>
      </c>
      <c r="K60" s="551" t="s">
        <v>20</v>
      </c>
      <c r="L60" s="551"/>
      <c r="M60" s="551" t="s">
        <v>410</v>
      </c>
      <c r="N60" s="551"/>
      <c r="O60" s="551"/>
      <c r="P60" s="553"/>
      <c r="Q60" s="553"/>
      <c r="R60" s="551" t="s">
        <v>19</v>
      </c>
      <c r="S60" s="551" t="s">
        <v>20</v>
      </c>
      <c r="T60" s="553"/>
      <c r="U60" s="551" t="s">
        <v>410</v>
      </c>
      <c r="V60" s="553"/>
      <c r="W60" s="553"/>
      <c r="X60" s="553"/>
      <c r="Y60" s="553"/>
      <c r="Z60" s="553"/>
      <c r="AA60" s="553"/>
      <c r="AB60" s="553"/>
    </row>
    <row r="61">
      <c r="A61" s="92" t="s">
        <v>465</v>
      </c>
      <c r="B61" s="264"/>
      <c r="C61" s="264"/>
      <c r="D61" s="8"/>
      <c r="E61" s="542"/>
      <c r="F61" s="8"/>
      <c r="G61" s="8"/>
      <c r="H61" s="545"/>
      <c r="I61" s="264" t="s">
        <v>466</v>
      </c>
      <c r="J61" s="264"/>
      <c r="K61" s="264"/>
      <c r="L61" s="544"/>
      <c r="M61" s="544"/>
      <c r="N61" s="544"/>
      <c r="O61" s="544"/>
      <c r="P61" s="539"/>
      <c r="Q61" s="264" t="s">
        <v>467</v>
      </c>
      <c r="R61" s="264"/>
      <c r="S61" s="264"/>
      <c r="T61" s="8"/>
      <c r="U61" s="544"/>
      <c r="V61" s="8"/>
      <c r="W61" s="8"/>
      <c r="X61" s="8"/>
      <c r="Y61" s="8"/>
      <c r="Z61" s="8"/>
      <c r="AA61" s="8"/>
      <c r="AB61" s="8"/>
    </row>
    <row r="62">
      <c r="A62" s="140" t="s">
        <v>22</v>
      </c>
      <c r="B62" s="8"/>
      <c r="C62" s="8"/>
      <c r="D62" s="8"/>
      <c r="E62" s="538"/>
      <c r="F62" s="8"/>
      <c r="G62" s="8"/>
      <c r="H62" s="186"/>
      <c r="I62" s="509" t="s">
        <v>23</v>
      </c>
      <c r="J62" s="217"/>
      <c r="K62" s="264" t="s">
        <v>414</v>
      </c>
      <c r="L62" s="8"/>
      <c r="M62" s="538"/>
      <c r="N62" s="8"/>
      <c r="O62" s="8"/>
      <c r="P62" s="539"/>
      <c r="Q62" s="509" t="s">
        <v>24</v>
      </c>
      <c r="R62" s="217"/>
      <c r="S62" s="264" t="s">
        <v>414</v>
      </c>
      <c r="T62" s="8"/>
      <c r="U62" s="538"/>
      <c r="V62" s="8"/>
      <c r="W62" s="8"/>
      <c r="X62" s="8"/>
      <c r="Y62" s="8"/>
      <c r="Z62" s="8"/>
      <c r="AA62" s="8"/>
      <c r="AB62" s="8"/>
    </row>
    <row r="63">
      <c r="A63" s="264"/>
      <c r="B63" s="509" t="s">
        <v>415</v>
      </c>
      <c r="C63" s="509" t="s">
        <v>267</v>
      </c>
      <c r="D63" s="509" t="s">
        <v>420</v>
      </c>
      <c r="E63" s="540" t="s">
        <v>417</v>
      </c>
      <c r="F63" s="509" t="s">
        <v>418</v>
      </c>
      <c r="G63" s="509" t="s">
        <v>419</v>
      </c>
      <c r="H63" s="186"/>
      <c r="I63" s="264"/>
      <c r="J63" s="509" t="s">
        <v>415</v>
      </c>
      <c r="K63" s="509" t="s">
        <v>267</v>
      </c>
      <c r="L63" s="509" t="s">
        <v>420</v>
      </c>
      <c r="M63" s="540" t="s">
        <v>417</v>
      </c>
      <c r="N63" s="509" t="s">
        <v>418</v>
      </c>
      <c r="O63" s="509" t="s">
        <v>419</v>
      </c>
      <c r="P63" s="539"/>
      <c r="Q63" s="264"/>
      <c r="R63" s="509" t="s">
        <v>415</v>
      </c>
      <c r="S63" s="509" t="s">
        <v>267</v>
      </c>
      <c r="T63" s="509" t="s">
        <v>420</v>
      </c>
      <c r="U63" s="540" t="s">
        <v>417</v>
      </c>
      <c r="V63" s="509" t="s">
        <v>418</v>
      </c>
      <c r="W63" s="509" t="s">
        <v>419</v>
      </c>
      <c r="X63" s="8"/>
      <c r="Y63" s="8"/>
      <c r="Z63" s="8"/>
      <c r="AA63" s="8"/>
      <c r="AB63" s="8"/>
    </row>
    <row r="64">
      <c r="A64" s="264" t="s">
        <v>421</v>
      </c>
      <c r="B64" s="572"/>
      <c r="C64" s="572"/>
      <c r="D64" s="572"/>
      <c r="E64" s="573"/>
      <c r="F64" s="572"/>
      <c r="G64" s="572"/>
      <c r="H64" s="539"/>
      <c r="I64" s="264" t="s">
        <v>421</v>
      </c>
      <c r="J64" s="556"/>
      <c r="K64" s="556"/>
      <c r="L64" s="556"/>
      <c r="M64" s="557"/>
      <c r="N64" s="556"/>
      <c r="O64" s="556"/>
      <c r="P64" s="539"/>
      <c r="Q64" s="264" t="s">
        <v>421</v>
      </c>
      <c r="R64" s="556"/>
      <c r="S64" s="556"/>
      <c r="T64" s="556"/>
      <c r="U64" s="557"/>
      <c r="V64" s="556"/>
      <c r="W64" s="556"/>
      <c r="X64" s="8"/>
      <c r="Y64" s="8"/>
      <c r="Z64" s="8"/>
      <c r="AA64" s="8"/>
      <c r="AB64" s="8"/>
    </row>
    <row r="65">
      <c r="B65" s="572"/>
      <c r="C65" s="572"/>
      <c r="D65" s="572"/>
      <c r="E65" s="573"/>
      <c r="F65" s="572"/>
      <c r="G65" s="572"/>
      <c r="H65" s="539"/>
      <c r="J65" s="556"/>
      <c r="K65" s="556"/>
      <c r="L65" s="556"/>
      <c r="M65" s="557"/>
      <c r="N65" s="556"/>
      <c r="O65" s="556"/>
      <c r="P65" s="539"/>
      <c r="R65" s="556"/>
      <c r="S65" s="556"/>
      <c r="T65" s="556"/>
      <c r="U65" s="557"/>
      <c r="V65" s="556"/>
      <c r="W65" s="556"/>
      <c r="X65" s="8"/>
      <c r="Y65" s="8"/>
      <c r="Z65" s="8"/>
      <c r="AA65" s="8"/>
      <c r="AB65" s="8"/>
    </row>
    <row r="66">
      <c r="B66" s="572"/>
      <c r="C66" s="572"/>
      <c r="D66" s="572"/>
      <c r="E66" s="573"/>
      <c r="F66" s="572"/>
      <c r="G66" s="572"/>
      <c r="H66" s="539"/>
      <c r="J66" s="574"/>
      <c r="K66" s="574"/>
      <c r="L66" s="556"/>
      <c r="M66" s="557"/>
      <c r="N66" s="556"/>
      <c r="O66" s="556"/>
      <c r="P66" s="539"/>
      <c r="R66" s="574"/>
      <c r="S66" s="574"/>
      <c r="T66" s="556"/>
      <c r="U66" s="557"/>
      <c r="V66" s="556"/>
      <c r="W66" s="556"/>
      <c r="X66" s="8"/>
      <c r="Y66" s="8"/>
      <c r="Z66" s="8"/>
      <c r="AA66" s="8"/>
      <c r="AB66" s="8"/>
    </row>
    <row r="67">
      <c r="B67" s="572"/>
      <c r="C67" s="572"/>
      <c r="D67" s="572"/>
      <c r="E67" s="573"/>
      <c r="F67" s="572"/>
      <c r="G67" s="572"/>
      <c r="H67" s="539"/>
      <c r="J67" s="556"/>
      <c r="K67" s="556"/>
      <c r="L67" s="556"/>
      <c r="M67" s="557"/>
      <c r="N67" s="556"/>
      <c r="O67" s="556"/>
      <c r="P67" s="539"/>
      <c r="R67" s="556"/>
      <c r="S67" s="556"/>
      <c r="T67" s="556"/>
      <c r="U67" s="557"/>
      <c r="V67" s="556"/>
      <c r="W67" s="556"/>
      <c r="X67" s="8"/>
      <c r="Y67" s="8"/>
      <c r="Z67" s="8"/>
      <c r="AA67" s="8"/>
      <c r="AB67" s="8"/>
    </row>
    <row r="68">
      <c r="B68" s="572"/>
      <c r="C68" s="572"/>
      <c r="D68" s="572"/>
      <c r="E68" s="573"/>
      <c r="F68" s="572"/>
      <c r="G68" s="572"/>
      <c r="H68" s="539"/>
      <c r="J68" s="556"/>
      <c r="K68" s="556"/>
      <c r="L68" s="556"/>
      <c r="M68" s="557"/>
      <c r="N68" s="556"/>
      <c r="O68" s="556"/>
      <c r="P68" s="539"/>
      <c r="R68" s="556"/>
      <c r="S68" s="556"/>
      <c r="T68" s="556"/>
      <c r="U68" s="557"/>
      <c r="V68" s="556"/>
      <c r="W68" s="556"/>
      <c r="X68" s="8"/>
      <c r="Y68" s="8"/>
      <c r="Z68" s="8"/>
      <c r="AA68" s="8"/>
      <c r="AB68" s="8"/>
    </row>
    <row r="69">
      <c r="A69" s="8"/>
      <c r="B69" s="8"/>
      <c r="C69" s="8"/>
      <c r="D69" s="8"/>
      <c r="E69" s="538"/>
      <c r="F69" s="8"/>
      <c r="G69" s="8"/>
      <c r="H69" s="543"/>
      <c r="I69" s="8"/>
      <c r="J69" s="264"/>
      <c r="K69" s="544"/>
      <c r="L69" s="8"/>
      <c r="M69" s="538"/>
      <c r="N69" s="8"/>
      <c r="O69" s="8"/>
      <c r="P69" s="539"/>
      <c r="Q69" s="8"/>
      <c r="R69" s="264"/>
      <c r="S69" s="544"/>
      <c r="T69" s="8"/>
      <c r="U69" s="538"/>
      <c r="V69" s="8"/>
      <c r="W69" s="8"/>
      <c r="X69" s="8"/>
      <c r="Y69" s="8"/>
      <c r="Z69" s="8"/>
      <c r="AA69" s="8"/>
      <c r="AB69" s="8"/>
    </row>
    <row r="70">
      <c r="A70" s="264" t="s">
        <v>432</v>
      </c>
      <c r="B70" s="565"/>
      <c r="C70" s="565"/>
      <c r="D70" s="565"/>
      <c r="E70" s="564"/>
      <c r="F70" s="565"/>
      <c r="G70" s="565"/>
      <c r="H70" s="539"/>
      <c r="I70" s="264" t="s">
        <v>432</v>
      </c>
      <c r="J70" s="563"/>
      <c r="K70" s="563"/>
      <c r="L70" s="563"/>
      <c r="M70" s="566"/>
      <c r="N70" s="563"/>
      <c r="O70" s="563"/>
      <c r="P70" s="539"/>
      <c r="Q70" s="264" t="s">
        <v>432</v>
      </c>
      <c r="R70" s="563"/>
      <c r="S70" s="563"/>
      <c r="T70" s="563"/>
      <c r="U70" s="566"/>
      <c r="V70" s="563"/>
      <c r="W70" s="563"/>
      <c r="X70" s="8"/>
      <c r="Y70" s="8"/>
      <c r="Z70" s="8"/>
      <c r="AA70" s="8"/>
      <c r="AB70" s="8"/>
    </row>
    <row r="71">
      <c r="B71" s="565"/>
      <c r="C71" s="565"/>
      <c r="D71" s="565"/>
      <c r="E71" s="564"/>
      <c r="F71" s="565"/>
      <c r="G71" s="565"/>
      <c r="H71" s="539"/>
      <c r="J71" s="563"/>
      <c r="K71" s="563"/>
      <c r="L71" s="563"/>
      <c r="M71" s="566"/>
      <c r="N71" s="563"/>
      <c r="O71" s="563"/>
      <c r="P71" s="539"/>
      <c r="R71" s="563"/>
      <c r="S71" s="563"/>
      <c r="T71" s="563"/>
      <c r="U71" s="566"/>
      <c r="V71" s="563"/>
      <c r="W71" s="563"/>
      <c r="X71" s="8"/>
      <c r="Y71" s="8"/>
      <c r="Z71" s="8"/>
      <c r="AA71" s="8"/>
      <c r="AB71" s="8"/>
    </row>
    <row r="72">
      <c r="B72" s="565"/>
      <c r="C72" s="565"/>
      <c r="D72" s="565"/>
      <c r="E72" s="564"/>
      <c r="F72" s="565"/>
      <c r="G72" s="565"/>
      <c r="H72" s="539"/>
      <c r="J72" s="563"/>
      <c r="K72" s="563"/>
      <c r="L72" s="563"/>
      <c r="M72" s="566"/>
      <c r="N72" s="563"/>
      <c r="O72" s="563"/>
      <c r="P72" s="539"/>
      <c r="R72" s="563"/>
      <c r="S72" s="563"/>
      <c r="T72" s="563"/>
      <c r="U72" s="566"/>
      <c r="V72" s="563"/>
      <c r="W72" s="563"/>
      <c r="X72" s="8"/>
      <c r="Y72" s="8"/>
      <c r="Z72" s="8"/>
      <c r="AA72" s="8"/>
      <c r="AB72" s="8"/>
    </row>
    <row r="73">
      <c r="B73" s="565"/>
      <c r="C73" s="565"/>
      <c r="D73" s="565"/>
      <c r="E73" s="564"/>
      <c r="F73" s="565"/>
      <c r="G73" s="565"/>
      <c r="H73" s="539"/>
      <c r="J73" s="563"/>
      <c r="K73" s="563"/>
      <c r="L73" s="563"/>
      <c r="M73" s="566"/>
      <c r="N73" s="563"/>
      <c r="O73" s="563"/>
      <c r="P73" s="539"/>
      <c r="R73" s="563"/>
      <c r="S73" s="563"/>
      <c r="T73" s="563"/>
      <c r="U73" s="566"/>
      <c r="V73" s="563"/>
      <c r="W73" s="563"/>
      <c r="X73" s="8"/>
      <c r="Y73" s="8"/>
      <c r="Z73" s="8"/>
      <c r="AA73" s="8"/>
      <c r="AB73" s="8"/>
    </row>
    <row r="74">
      <c r="B74" s="565"/>
      <c r="C74" s="565"/>
      <c r="D74" s="565"/>
      <c r="E74" s="564"/>
      <c r="F74" s="565"/>
      <c r="G74" s="565"/>
      <c r="H74" s="539"/>
      <c r="J74" s="563"/>
      <c r="K74" s="563"/>
      <c r="L74" s="563"/>
      <c r="M74" s="566"/>
      <c r="N74" s="563"/>
      <c r="O74" s="563"/>
      <c r="P74" s="539"/>
      <c r="R74" s="563"/>
      <c r="S74" s="563"/>
      <c r="T74" s="563"/>
      <c r="U74" s="566"/>
      <c r="V74" s="563"/>
      <c r="W74" s="563"/>
      <c r="X74" s="8"/>
      <c r="Y74" s="8"/>
      <c r="Z74" s="8"/>
      <c r="AA74" s="8"/>
      <c r="AB74" s="8"/>
    </row>
    <row r="75">
      <c r="A75" s="264" t="s">
        <v>438</v>
      </c>
      <c r="B75" s="8"/>
      <c r="C75" s="8"/>
      <c r="D75" s="8"/>
      <c r="E75" s="538"/>
      <c r="F75" s="8"/>
      <c r="G75" s="8"/>
      <c r="H75" s="539"/>
      <c r="I75" s="264" t="s">
        <v>438</v>
      </c>
      <c r="J75" s="544"/>
      <c r="K75" s="8"/>
      <c r="L75" s="8"/>
      <c r="M75" s="538"/>
      <c r="N75" s="8"/>
      <c r="O75" s="8"/>
      <c r="P75" s="539"/>
      <c r="Q75" s="264" t="s">
        <v>438</v>
      </c>
      <c r="R75" s="544"/>
      <c r="S75" s="8"/>
      <c r="T75" s="8"/>
      <c r="U75" s="538"/>
      <c r="V75" s="8"/>
      <c r="W75" s="8"/>
      <c r="X75" s="8"/>
      <c r="Y75" s="8"/>
      <c r="Z75" s="8"/>
      <c r="AA75" s="8"/>
      <c r="AB75" s="8"/>
    </row>
    <row r="76">
      <c r="A76" s="509"/>
      <c r="B76" s="509"/>
      <c r="C76" s="509"/>
      <c r="D76" s="509"/>
      <c r="E76" s="540"/>
      <c r="F76" s="509"/>
      <c r="G76" s="509"/>
      <c r="H76" s="539"/>
      <c r="I76" s="509"/>
      <c r="J76" s="509"/>
      <c r="K76" s="509"/>
      <c r="L76" s="509"/>
      <c r="M76" s="509"/>
      <c r="N76" s="509"/>
      <c r="O76" s="509"/>
      <c r="P76" s="539"/>
      <c r="Q76" s="8"/>
      <c r="R76" s="509"/>
      <c r="S76" s="509"/>
      <c r="T76" s="8"/>
      <c r="U76" s="8"/>
      <c r="V76" s="8"/>
      <c r="W76" s="8"/>
      <c r="X76" s="8"/>
      <c r="Y76" s="8"/>
      <c r="Z76" s="8"/>
      <c r="AA76" s="8"/>
      <c r="AB76" s="8"/>
    </row>
    <row r="77">
      <c r="A77" s="551" t="s">
        <v>409</v>
      </c>
      <c r="B77" s="551" t="s">
        <v>19</v>
      </c>
      <c r="C77" s="551" t="s">
        <v>20</v>
      </c>
      <c r="D77" s="551" t="s">
        <v>410</v>
      </c>
      <c r="E77" s="552"/>
      <c r="F77" s="551"/>
      <c r="G77" s="551"/>
      <c r="H77" s="551"/>
      <c r="I77" s="551"/>
      <c r="J77" s="551" t="s">
        <v>19</v>
      </c>
      <c r="K77" s="551" t="s">
        <v>20</v>
      </c>
      <c r="L77" s="551"/>
      <c r="M77" s="551" t="s">
        <v>410</v>
      </c>
      <c r="N77" s="551"/>
      <c r="O77" s="551"/>
      <c r="P77" s="553"/>
      <c r="Q77" s="553"/>
      <c r="R77" s="551" t="s">
        <v>19</v>
      </c>
      <c r="S77" s="551" t="s">
        <v>20</v>
      </c>
      <c r="T77" s="553"/>
      <c r="U77" s="551" t="s">
        <v>410</v>
      </c>
      <c r="V77" s="553"/>
      <c r="W77" s="553"/>
      <c r="X77" s="553"/>
      <c r="Y77" s="553"/>
      <c r="Z77" s="553"/>
      <c r="AA77" s="553"/>
      <c r="AB77" s="553"/>
    </row>
    <row r="78">
      <c r="A78" s="92" t="s">
        <v>468</v>
      </c>
      <c r="B78" s="264"/>
      <c r="C78" s="264"/>
      <c r="D78" s="8"/>
      <c r="E78" s="542"/>
      <c r="F78" s="8"/>
      <c r="G78" s="8"/>
      <c r="H78" s="545"/>
      <c r="I78" s="264" t="s">
        <v>469</v>
      </c>
      <c r="J78" s="264"/>
      <c r="K78" s="264"/>
      <c r="L78" s="544"/>
      <c r="M78" s="544"/>
      <c r="N78" s="544"/>
      <c r="O78" s="544"/>
      <c r="P78" s="539"/>
      <c r="Q78" s="264" t="s">
        <v>470</v>
      </c>
      <c r="R78" s="264"/>
      <c r="S78" s="264"/>
      <c r="T78" s="8"/>
      <c r="U78" s="544"/>
      <c r="V78" s="8"/>
      <c r="W78" s="8"/>
      <c r="X78" s="8"/>
      <c r="Y78" s="8"/>
      <c r="Z78" s="8"/>
      <c r="AA78" s="8"/>
      <c r="AB78" s="8"/>
    </row>
    <row r="79">
      <c r="A79" s="140" t="s">
        <v>22</v>
      </c>
      <c r="B79" s="8"/>
      <c r="C79" s="8"/>
      <c r="D79" s="8"/>
      <c r="E79" s="538"/>
      <c r="F79" s="8"/>
      <c r="G79" s="8"/>
      <c r="H79" s="186"/>
      <c r="I79" s="509" t="s">
        <v>23</v>
      </c>
      <c r="J79" s="217"/>
      <c r="K79" s="264" t="s">
        <v>414</v>
      </c>
      <c r="L79" s="8"/>
      <c r="M79" s="538"/>
      <c r="N79" s="8"/>
      <c r="O79" s="8"/>
      <c r="P79" s="539"/>
      <c r="Q79" s="509" t="s">
        <v>24</v>
      </c>
      <c r="R79" s="217"/>
      <c r="S79" s="264" t="s">
        <v>414</v>
      </c>
      <c r="T79" s="8"/>
      <c r="U79" s="538"/>
      <c r="V79" s="8"/>
      <c r="W79" s="8"/>
      <c r="X79" s="8"/>
      <c r="Y79" s="8"/>
      <c r="Z79" s="8"/>
      <c r="AA79" s="8"/>
      <c r="AB79" s="8"/>
    </row>
    <row r="80">
      <c r="A80" s="264"/>
      <c r="B80" s="509" t="s">
        <v>415</v>
      </c>
      <c r="C80" s="509" t="s">
        <v>267</v>
      </c>
      <c r="D80" s="509" t="s">
        <v>416</v>
      </c>
      <c r="E80" s="540" t="s">
        <v>417</v>
      </c>
      <c r="F80" s="509" t="s">
        <v>418</v>
      </c>
      <c r="G80" s="509" t="s">
        <v>419</v>
      </c>
      <c r="H80" s="186"/>
      <c r="I80" s="264"/>
      <c r="J80" s="509" t="s">
        <v>415</v>
      </c>
      <c r="K80" s="509" t="s">
        <v>267</v>
      </c>
      <c r="L80" s="509" t="s">
        <v>420</v>
      </c>
      <c r="M80" s="540" t="s">
        <v>417</v>
      </c>
      <c r="N80" s="509" t="s">
        <v>418</v>
      </c>
      <c r="O80" s="509" t="s">
        <v>419</v>
      </c>
      <c r="P80" s="539"/>
      <c r="Q80" s="264"/>
      <c r="R80" s="509" t="s">
        <v>415</v>
      </c>
      <c r="S80" s="509" t="s">
        <v>267</v>
      </c>
      <c r="T80" s="509" t="s">
        <v>420</v>
      </c>
      <c r="U80" s="540" t="s">
        <v>417</v>
      </c>
      <c r="V80" s="509" t="s">
        <v>418</v>
      </c>
      <c r="W80" s="509" t="s">
        <v>419</v>
      </c>
      <c r="X80" s="8"/>
      <c r="Y80" s="8"/>
      <c r="Z80" s="8"/>
      <c r="AA80" s="8"/>
      <c r="AB80" s="8"/>
    </row>
    <row r="81">
      <c r="A81" s="264" t="s">
        <v>421</v>
      </c>
      <c r="B81" s="572"/>
      <c r="C81" s="572"/>
      <c r="D81" s="572"/>
      <c r="E81" s="573"/>
      <c r="F81" s="572"/>
      <c r="G81" s="572"/>
      <c r="H81" s="539"/>
      <c r="I81" s="264" t="s">
        <v>421</v>
      </c>
      <c r="J81" s="556"/>
      <c r="K81" s="556"/>
      <c r="L81" s="556"/>
      <c r="M81" s="557"/>
      <c r="N81" s="556"/>
      <c r="O81" s="556"/>
      <c r="P81" s="539"/>
      <c r="Q81" s="264" t="s">
        <v>421</v>
      </c>
      <c r="R81" s="556"/>
      <c r="S81" s="556"/>
      <c r="T81" s="556"/>
      <c r="U81" s="557"/>
      <c r="V81" s="556"/>
      <c r="W81" s="556"/>
      <c r="X81" s="8"/>
      <c r="Y81" s="8"/>
      <c r="Z81" s="8"/>
      <c r="AA81" s="8"/>
      <c r="AB81" s="8"/>
    </row>
    <row r="82">
      <c r="B82" s="572"/>
      <c r="C82" s="572"/>
      <c r="D82" s="572"/>
      <c r="E82" s="573"/>
      <c r="F82" s="572"/>
      <c r="G82" s="572"/>
      <c r="H82" s="539"/>
      <c r="J82" s="556"/>
      <c r="K82" s="556"/>
      <c r="L82" s="556"/>
      <c r="M82" s="557"/>
      <c r="N82" s="556"/>
      <c r="O82" s="556"/>
      <c r="P82" s="539"/>
      <c r="R82" s="556"/>
      <c r="S82" s="556"/>
      <c r="T82" s="556"/>
      <c r="U82" s="557"/>
      <c r="V82" s="556"/>
      <c r="W82" s="556"/>
      <c r="X82" s="8"/>
      <c r="Y82" s="8"/>
      <c r="Z82" s="8"/>
      <c r="AA82" s="8"/>
      <c r="AB82" s="8"/>
    </row>
    <row r="83">
      <c r="B83" s="572"/>
      <c r="C83" s="572"/>
      <c r="D83" s="572"/>
      <c r="E83" s="573"/>
      <c r="F83" s="572"/>
      <c r="G83" s="572"/>
      <c r="H83" s="539"/>
      <c r="J83" s="574"/>
      <c r="K83" s="574"/>
      <c r="L83" s="556"/>
      <c r="M83" s="557"/>
      <c r="N83" s="556"/>
      <c r="O83" s="556"/>
      <c r="P83" s="539"/>
      <c r="R83" s="574"/>
      <c r="S83" s="574"/>
      <c r="T83" s="556"/>
      <c r="U83" s="557"/>
      <c r="V83" s="556"/>
      <c r="W83" s="556"/>
      <c r="X83" s="8"/>
      <c r="Y83" s="8"/>
      <c r="Z83" s="8"/>
      <c r="AA83" s="8"/>
      <c r="AB83" s="8"/>
    </row>
    <row r="84">
      <c r="B84" s="572"/>
      <c r="C84" s="572"/>
      <c r="D84" s="572"/>
      <c r="E84" s="573"/>
      <c r="F84" s="572"/>
      <c r="G84" s="572"/>
      <c r="H84" s="539"/>
      <c r="J84" s="556"/>
      <c r="K84" s="556"/>
      <c r="L84" s="556"/>
      <c r="M84" s="557"/>
      <c r="N84" s="556"/>
      <c r="O84" s="556"/>
      <c r="P84" s="539"/>
      <c r="R84" s="556"/>
      <c r="S84" s="556"/>
      <c r="T84" s="556"/>
      <c r="U84" s="557"/>
      <c r="V84" s="556"/>
      <c r="W84" s="556"/>
      <c r="X84" s="8"/>
      <c r="Y84" s="8"/>
      <c r="Z84" s="8"/>
      <c r="AA84" s="8"/>
      <c r="AB84" s="8"/>
    </row>
    <row r="85">
      <c r="B85" s="572"/>
      <c r="C85" s="572"/>
      <c r="D85" s="572"/>
      <c r="E85" s="573"/>
      <c r="F85" s="572"/>
      <c r="G85" s="572"/>
      <c r="H85" s="539"/>
      <c r="J85" s="556"/>
      <c r="K85" s="556"/>
      <c r="L85" s="556"/>
      <c r="M85" s="557"/>
      <c r="N85" s="556"/>
      <c r="O85" s="556"/>
      <c r="P85" s="539"/>
      <c r="R85" s="556"/>
      <c r="S85" s="556"/>
      <c r="T85" s="556"/>
      <c r="U85" s="557"/>
      <c r="V85" s="556"/>
      <c r="W85" s="556"/>
      <c r="X85" s="8"/>
      <c r="Y85" s="8"/>
      <c r="Z85" s="8"/>
      <c r="AA85" s="8"/>
      <c r="AB85" s="8"/>
    </row>
    <row r="86">
      <c r="A86" s="8"/>
      <c r="B86" s="8"/>
      <c r="C86" s="8"/>
      <c r="D86" s="8"/>
      <c r="E86" s="538"/>
      <c r="F86" s="8"/>
      <c r="G86" s="8"/>
      <c r="H86" s="543"/>
      <c r="I86" s="8"/>
      <c r="J86" s="264"/>
      <c r="K86" s="544"/>
      <c r="L86" s="8"/>
      <c r="M86" s="538"/>
      <c r="N86" s="8"/>
      <c r="O86" s="8"/>
      <c r="P86" s="539"/>
      <c r="Q86" s="8"/>
      <c r="R86" s="264"/>
      <c r="S86" s="544"/>
      <c r="T86" s="8"/>
      <c r="U86" s="538"/>
      <c r="V86" s="8"/>
      <c r="W86" s="8"/>
      <c r="X86" s="8"/>
      <c r="Y86" s="8"/>
      <c r="Z86" s="8"/>
      <c r="AA86" s="8"/>
      <c r="AB86" s="8"/>
    </row>
    <row r="87">
      <c r="A87" s="264" t="s">
        <v>432</v>
      </c>
      <c r="B87" s="565"/>
      <c r="C87" s="565"/>
      <c r="D87" s="565"/>
      <c r="E87" s="564"/>
      <c r="F87" s="565"/>
      <c r="G87" s="565"/>
      <c r="H87" s="539"/>
      <c r="I87" s="264" t="s">
        <v>432</v>
      </c>
      <c r="J87" s="563"/>
      <c r="K87" s="563"/>
      <c r="L87" s="563"/>
      <c r="M87" s="566"/>
      <c r="N87" s="563"/>
      <c r="O87" s="563"/>
      <c r="P87" s="539"/>
      <c r="Q87" s="264" t="s">
        <v>432</v>
      </c>
      <c r="R87" s="563"/>
      <c r="S87" s="563"/>
      <c r="T87" s="563"/>
      <c r="U87" s="566"/>
      <c r="V87" s="563"/>
      <c r="W87" s="563"/>
      <c r="X87" s="8"/>
      <c r="Y87" s="8"/>
      <c r="Z87" s="8"/>
      <c r="AA87" s="8"/>
      <c r="AB87" s="8"/>
    </row>
    <row r="88">
      <c r="B88" s="565"/>
      <c r="C88" s="565"/>
      <c r="D88" s="565"/>
      <c r="E88" s="564"/>
      <c r="F88" s="565"/>
      <c r="G88" s="565"/>
      <c r="H88" s="539"/>
      <c r="J88" s="563"/>
      <c r="K88" s="563"/>
      <c r="L88" s="563"/>
      <c r="M88" s="566"/>
      <c r="N88" s="563"/>
      <c r="O88" s="563"/>
      <c r="P88" s="539"/>
      <c r="R88" s="563"/>
      <c r="S88" s="563"/>
      <c r="T88" s="563"/>
      <c r="U88" s="566"/>
      <c r="V88" s="563"/>
      <c r="W88" s="563"/>
      <c r="X88" s="8"/>
      <c r="Y88" s="8"/>
      <c r="Z88" s="8"/>
      <c r="AA88" s="8"/>
      <c r="AB88" s="8"/>
    </row>
    <row r="89">
      <c r="B89" s="565"/>
      <c r="C89" s="565"/>
      <c r="D89" s="565"/>
      <c r="E89" s="564"/>
      <c r="F89" s="565"/>
      <c r="G89" s="565"/>
      <c r="H89" s="539"/>
      <c r="J89" s="563"/>
      <c r="K89" s="563"/>
      <c r="L89" s="563"/>
      <c r="M89" s="566"/>
      <c r="N89" s="563"/>
      <c r="O89" s="563"/>
      <c r="P89" s="539"/>
      <c r="R89" s="563"/>
      <c r="S89" s="563"/>
      <c r="T89" s="563"/>
      <c r="U89" s="566"/>
      <c r="V89" s="563"/>
      <c r="W89" s="563"/>
      <c r="X89" s="8"/>
      <c r="Y89" s="8"/>
      <c r="Z89" s="8"/>
      <c r="AA89" s="8"/>
      <c r="AB89" s="8"/>
    </row>
    <row r="90">
      <c r="B90" s="565"/>
      <c r="C90" s="565"/>
      <c r="D90" s="565"/>
      <c r="E90" s="564"/>
      <c r="F90" s="565"/>
      <c r="G90" s="565"/>
      <c r="H90" s="539"/>
      <c r="J90" s="563"/>
      <c r="K90" s="563"/>
      <c r="L90" s="563"/>
      <c r="M90" s="566"/>
      <c r="N90" s="563"/>
      <c r="O90" s="563"/>
      <c r="P90" s="539"/>
      <c r="R90" s="563"/>
      <c r="S90" s="563"/>
      <c r="T90" s="563"/>
      <c r="U90" s="566"/>
      <c r="V90" s="563"/>
      <c r="W90" s="563"/>
      <c r="X90" s="8"/>
      <c r="Y90" s="8"/>
      <c r="Z90" s="8"/>
      <c r="AA90" s="8"/>
      <c r="AB90" s="8"/>
    </row>
    <row r="91">
      <c r="B91" s="565"/>
      <c r="C91" s="565"/>
      <c r="D91" s="565"/>
      <c r="E91" s="564"/>
      <c r="F91" s="565"/>
      <c r="G91" s="565"/>
      <c r="H91" s="539"/>
      <c r="J91" s="563"/>
      <c r="K91" s="563"/>
      <c r="L91" s="563"/>
      <c r="M91" s="566"/>
      <c r="N91" s="563"/>
      <c r="O91" s="563"/>
      <c r="P91" s="539"/>
      <c r="R91" s="563"/>
      <c r="S91" s="563"/>
      <c r="T91" s="563"/>
      <c r="U91" s="566"/>
      <c r="V91" s="563"/>
      <c r="W91" s="563"/>
      <c r="X91" s="8"/>
      <c r="Y91" s="8"/>
      <c r="Z91" s="8"/>
      <c r="AA91" s="8"/>
      <c r="AB91" s="8"/>
    </row>
    <row r="92">
      <c r="A92" s="264" t="s">
        <v>438</v>
      </c>
      <c r="B92" s="8"/>
      <c r="C92" s="8"/>
      <c r="D92" s="8"/>
      <c r="E92" s="538"/>
      <c r="F92" s="8"/>
      <c r="G92" s="8"/>
      <c r="H92" s="539"/>
      <c r="I92" s="264" t="s">
        <v>438</v>
      </c>
      <c r="J92" s="544"/>
      <c r="K92" s="8"/>
      <c r="L92" s="8"/>
      <c r="M92" s="538"/>
      <c r="N92" s="8"/>
      <c r="O92" s="8"/>
      <c r="P92" s="539"/>
      <c r="Q92" s="264" t="s">
        <v>438</v>
      </c>
      <c r="R92" s="544"/>
      <c r="S92" s="8"/>
      <c r="T92" s="8"/>
      <c r="U92" s="538"/>
      <c r="V92" s="8"/>
      <c r="W92" s="8"/>
      <c r="X92" s="8"/>
      <c r="Y92" s="8"/>
      <c r="Z92" s="8"/>
      <c r="AA92" s="8"/>
      <c r="AB92" s="8"/>
    </row>
    <row r="93">
      <c r="A93" s="264"/>
      <c r="B93" s="8"/>
      <c r="C93" s="8"/>
      <c r="D93" s="8"/>
      <c r="E93" s="538"/>
      <c r="F93" s="8"/>
      <c r="G93" s="8"/>
      <c r="H93" s="539"/>
      <c r="I93" s="264"/>
      <c r="J93" s="544"/>
      <c r="K93" s="8"/>
      <c r="L93" s="8"/>
      <c r="M93" s="538"/>
      <c r="N93" s="8"/>
      <c r="O93" s="8"/>
      <c r="P93" s="539"/>
      <c r="Q93" s="264"/>
      <c r="R93" s="544"/>
      <c r="S93" s="8"/>
      <c r="T93" s="8"/>
      <c r="U93" s="538"/>
      <c r="V93" s="8"/>
      <c r="W93" s="8"/>
      <c r="X93" s="8"/>
      <c r="Y93" s="8"/>
      <c r="Z93" s="8"/>
      <c r="AA93" s="8"/>
      <c r="AB93" s="8"/>
    </row>
    <row r="94">
      <c r="A94" s="539"/>
      <c r="B94" s="539"/>
      <c r="C94" s="539"/>
      <c r="D94" s="539"/>
      <c r="E94" s="575"/>
      <c r="F94" s="539"/>
      <c r="G94" s="539"/>
      <c r="H94" s="541"/>
      <c r="I94" s="541"/>
      <c r="J94" s="541"/>
      <c r="K94" s="541"/>
      <c r="L94" s="541"/>
      <c r="M94" s="541"/>
      <c r="N94" s="541"/>
      <c r="O94" s="541"/>
      <c r="P94" s="539"/>
      <c r="Q94" s="539"/>
      <c r="R94" s="539"/>
      <c r="S94" s="539"/>
      <c r="T94" s="539"/>
      <c r="U94" s="539"/>
      <c r="V94" s="539"/>
      <c r="W94" s="539"/>
      <c r="X94" s="539"/>
      <c r="Y94" s="539"/>
      <c r="Z94" s="539"/>
      <c r="AA94" s="539"/>
      <c r="AB94" s="539"/>
    </row>
    <row r="95">
      <c r="A95" s="539"/>
      <c r="B95" s="539"/>
      <c r="C95" s="539"/>
      <c r="D95" s="539"/>
      <c r="E95" s="575"/>
      <c r="F95" s="539"/>
      <c r="G95" s="539"/>
      <c r="H95" s="539"/>
      <c r="I95" s="539"/>
      <c r="J95" s="539"/>
      <c r="K95" s="539"/>
      <c r="L95" s="539"/>
      <c r="M95" s="539"/>
      <c r="N95" s="539"/>
      <c r="O95" s="539"/>
      <c r="P95" s="539"/>
      <c r="Q95" s="539"/>
      <c r="R95" s="539"/>
      <c r="S95" s="539"/>
      <c r="T95" s="539"/>
      <c r="U95" s="539"/>
      <c r="V95" s="539"/>
      <c r="W95" s="539"/>
      <c r="X95" s="539"/>
      <c r="Y95" s="539"/>
      <c r="Z95" s="539"/>
      <c r="AA95" s="539"/>
      <c r="AB95" s="539"/>
    </row>
    <row r="96">
      <c r="A96" s="8"/>
      <c r="B96" s="8"/>
      <c r="C96" s="8"/>
      <c r="D96" s="8"/>
      <c r="E96" s="538"/>
      <c r="F96" s="8"/>
      <c r="G96" s="8"/>
      <c r="H96" s="539"/>
      <c r="I96" s="8"/>
      <c r="J96" s="8"/>
      <c r="K96" s="8"/>
      <c r="L96" s="8"/>
      <c r="M96" s="8"/>
      <c r="N96" s="8"/>
      <c r="O96" s="8"/>
      <c r="P96" s="53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9" t="s">
        <v>471</v>
      </c>
      <c r="B97" s="546" t="s">
        <v>472</v>
      </c>
      <c r="C97" s="8"/>
      <c r="D97" s="8"/>
      <c r="E97" s="538"/>
      <c r="F97" s="8"/>
      <c r="G97" s="8"/>
      <c r="H97" s="539"/>
      <c r="I97" s="8"/>
      <c r="J97" s="8"/>
      <c r="K97" s="8"/>
      <c r="L97" s="8"/>
      <c r="M97" s="8"/>
      <c r="N97" s="8"/>
      <c r="O97" s="8"/>
      <c r="P97" s="53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538"/>
      <c r="F98" s="8"/>
      <c r="G98" s="8"/>
      <c r="H98" s="541"/>
      <c r="I98" s="509"/>
      <c r="J98" s="509"/>
      <c r="K98" s="509"/>
      <c r="L98" s="509"/>
      <c r="M98" s="509"/>
      <c r="N98" s="509"/>
      <c r="O98" s="509"/>
      <c r="P98" s="53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551" t="s">
        <v>409</v>
      </c>
      <c r="B99" s="551" t="s">
        <v>19</v>
      </c>
      <c r="C99" s="551" t="s">
        <v>20</v>
      </c>
      <c r="D99" s="551" t="s">
        <v>410</v>
      </c>
      <c r="E99" s="552"/>
      <c r="F99" s="551"/>
      <c r="G99" s="551"/>
      <c r="H99" s="551"/>
      <c r="I99" s="551"/>
      <c r="J99" s="551" t="s">
        <v>19</v>
      </c>
      <c r="K99" s="551" t="s">
        <v>20</v>
      </c>
      <c r="L99" s="551"/>
      <c r="M99" s="551" t="s">
        <v>410</v>
      </c>
      <c r="N99" s="551"/>
      <c r="O99" s="551"/>
      <c r="P99" s="553"/>
      <c r="Q99" s="553"/>
      <c r="R99" s="551" t="s">
        <v>19</v>
      </c>
      <c r="S99" s="551" t="s">
        <v>20</v>
      </c>
      <c r="T99" s="553"/>
      <c r="U99" s="551" t="s">
        <v>410</v>
      </c>
      <c r="V99" s="553"/>
      <c r="W99" s="553"/>
      <c r="X99" s="553"/>
      <c r="Y99" s="553"/>
      <c r="Z99" s="553"/>
      <c r="AA99" s="553"/>
      <c r="AB99" s="553"/>
    </row>
    <row r="100">
      <c r="A100" s="92"/>
      <c r="D100" s="8"/>
      <c r="E100" s="538"/>
      <c r="F100" s="264"/>
      <c r="G100" s="8"/>
      <c r="H100" s="541"/>
      <c r="I100" s="264"/>
      <c r="J100" s="264"/>
      <c r="K100" s="264"/>
      <c r="L100" s="544"/>
      <c r="M100" s="544"/>
      <c r="N100" s="544"/>
      <c r="O100" s="544"/>
      <c r="P100" s="539"/>
      <c r="Q100" s="264"/>
      <c r="R100" s="264"/>
      <c r="S100" s="264"/>
      <c r="T100" s="8"/>
      <c r="U100" s="544"/>
      <c r="V100" s="8"/>
      <c r="W100" s="8"/>
      <c r="X100" s="8"/>
      <c r="Y100" s="8"/>
      <c r="Z100" s="8"/>
      <c r="AA100" s="8"/>
      <c r="AB100" s="8"/>
    </row>
    <row r="101">
      <c r="A101" s="264"/>
      <c r="B101" s="8"/>
      <c r="C101" s="264" t="s">
        <v>414</v>
      </c>
      <c r="D101" s="8"/>
      <c r="E101" s="538"/>
      <c r="F101" s="8"/>
      <c r="G101" s="8"/>
      <c r="H101" s="545"/>
      <c r="I101" s="509" t="s">
        <v>23</v>
      </c>
      <c r="J101" s="217"/>
      <c r="K101" s="264" t="s">
        <v>414</v>
      </c>
      <c r="L101" s="8"/>
      <c r="M101" s="538"/>
      <c r="N101" s="8"/>
      <c r="O101" s="8"/>
      <c r="P101" s="539"/>
      <c r="Q101" s="509" t="s">
        <v>24</v>
      </c>
      <c r="R101" s="217"/>
      <c r="S101" s="264" t="s">
        <v>414</v>
      </c>
      <c r="T101" s="8"/>
      <c r="U101" s="538"/>
      <c r="V101" s="8"/>
      <c r="W101" s="8"/>
      <c r="X101" s="8"/>
      <c r="Y101" s="8"/>
      <c r="Z101" s="8"/>
      <c r="AA101" s="8"/>
      <c r="AB101" s="8"/>
    </row>
    <row r="102">
      <c r="A102" s="264"/>
      <c r="B102" s="509" t="s">
        <v>415</v>
      </c>
      <c r="C102" s="509" t="s">
        <v>267</v>
      </c>
      <c r="D102" s="509" t="s">
        <v>416</v>
      </c>
      <c r="E102" s="540" t="s">
        <v>417</v>
      </c>
      <c r="F102" s="509" t="s">
        <v>418</v>
      </c>
      <c r="G102" s="509" t="s">
        <v>419</v>
      </c>
      <c r="H102" s="539"/>
      <c r="I102" s="264"/>
      <c r="J102" s="509" t="s">
        <v>415</v>
      </c>
      <c r="K102" s="509" t="s">
        <v>267</v>
      </c>
      <c r="L102" s="509" t="s">
        <v>420</v>
      </c>
      <c r="M102" s="540" t="s">
        <v>417</v>
      </c>
      <c r="N102" s="509" t="s">
        <v>418</v>
      </c>
      <c r="O102" s="509" t="s">
        <v>419</v>
      </c>
      <c r="P102" s="539"/>
      <c r="Q102" s="264"/>
      <c r="R102" s="509" t="s">
        <v>415</v>
      </c>
      <c r="S102" s="509" t="s">
        <v>267</v>
      </c>
      <c r="T102" s="509" t="s">
        <v>420</v>
      </c>
      <c r="U102" s="540" t="s">
        <v>417</v>
      </c>
      <c r="V102" s="509" t="s">
        <v>418</v>
      </c>
      <c r="W102" s="509" t="s">
        <v>419</v>
      </c>
      <c r="X102" s="8"/>
      <c r="Y102" s="8"/>
      <c r="Z102" s="8"/>
      <c r="AA102" s="8"/>
      <c r="AB102" s="8"/>
    </row>
    <row r="103">
      <c r="A103" s="264" t="s">
        <v>421</v>
      </c>
      <c r="B103" s="572"/>
      <c r="C103" s="572"/>
      <c r="D103" s="572"/>
      <c r="E103" s="573"/>
      <c r="F103" s="572"/>
      <c r="G103" s="572"/>
      <c r="H103" s="539"/>
      <c r="I103" s="264" t="s">
        <v>421</v>
      </c>
      <c r="J103" s="556"/>
      <c r="K103" s="556"/>
      <c r="L103" s="556"/>
      <c r="M103" s="557"/>
      <c r="N103" s="556"/>
      <c r="O103" s="556"/>
      <c r="P103" s="539"/>
      <c r="Q103" s="264" t="s">
        <v>421</v>
      </c>
      <c r="R103" s="556"/>
      <c r="S103" s="556"/>
      <c r="T103" s="556"/>
      <c r="U103" s="557"/>
      <c r="V103" s="556"/>
      <c r="W103" s="556"/>
      <c r="X103" s="8"/>
      <c r="Y103" s="8"/>
      <c r="Z103" s="8"/>
      <c r="AA103" s="8"/>
      <c r="AB103" s="8"/>
    </row>
    <row r="104">
      <c r="B104" s="572"/>
      <c r="C104" s="572"/>
      <c r="D104" s="572"/>
      <c r="E104" s="573"/>
      <c r="F104" s="572"/>
      <c r="G104" s="572"/>
      <c r="H104" s="539"/>
      <c r="J104" s="556"/>
      <c r="K104" s="556"/>
      <c r="L104" s="556"/>
      <c r="M104" s="557"/>
      <c r="N104" s="556"/>
      <c r="O104" s="556"/>
      <c r="P104" s="539"/>
      <c r="R104" s="556"/>
      <c r="S104" s="556"/>
      <c r="T104" s="556"/>
      <c r="U104" s="557"/>
      <c r="V104" s="556"/>
      <c r="W104" s="556"/>
      <c r="X104" s="8"/>
      <c r="Y104" s="8"/>
      <c r="Z104" s="8"/>
      <c r="AA104" s="8"/>
      <c r="AB104" s="8"/>
    </row>
    <row r="105">
      <c r="B105" s="572"/>
      <c r="C105" s="572"/>
      <c r="D105" s="572"/>
      <c r="E105" s="573"/>
      <c r="F105" s="572"/>
      <c r="G105" s="572"/>
      <c r="H105" s="539"/>
      <c r="J105" s="574"/>
      <c r="K105" s="574"/>
      <c r="L105" s="556"/>
      <c r="M105" s="557"/>
      <c r="N105" s="556"/>
      <c r="O105" s="556"/>
      <c r="P105" s="539"/>
      <c r="R105" s="574"/>
      <c r="S105" s="574"/>
      <c r="T105" s="556"/>
      <c r="U105" s="557"/>
      <c r="V105" s="556"/>
      <c r="W105" s="556"/>
      <c r="X105" s="8"/>
      <c r="Y105" s="8"/>
      <c r="Z105" s="8"/>
      <c r="AA105" s="8"/>
      <c r="AB105" s="8"/>
    </row>
    <row r="106">
      <c r="B106" s="572"/>
      <c r="C106" s="572"/>
      <c r="D106" s="572"/>
      <c r="E106" s="573"/>
      <c r="F106" s="572"/>
      <c r="G106" s="572"/>
      <c r="H106" s="539"/>
      <c r="J106" s="556"/>
      <c r="K106" s="556"/>
      <c r="L106" s="556"/>
      <c r="M106" s="557"/>
      <c r="N106" s="556"/>
      <c r="O106" s="556"/>
      <c r="P106" s="539"/>
      <c r="R106" s="556"/>
      <c r="S106" s="556"/>
      <c r="T106" s="556"/>
      <c r="U106" s="557"/>
      <c r="V106" s="556"/>
      <c r="W106" s="556"/>
      <c r="X106" s="8"/>
      <c r="Y106" s="8"/>
      <c r="Z106" s="8"/>
      <c r="AA106" s="8"/>
      <c r="AB106" s="8"/>
    </row>
    <row r="107">
      <c r="B107" s="572"/>
      <c r="C107" s="572"/>
      <c r="D107" s="572"/>
      <c r="E107" s="573"/>
      <c r="F107" s="572"/>
      <c r="G107" s="572"/>
      <c r="H107" s="539"/>
      <c r="J107" s="556"/>
      <c r="K107" s="556"/>
      <c r="L107" s="556"/>
      <c r="M107" s="557"/>
      <c r="N107" s="556"/>
      <c r="O107" s="556"/>
      <c r="P107" s="539"/>
      <c r="R107" s="556"/>
      <c r="S107" s="556"/>
      <c r="T107" s="556"/>
      <c r="U107" s="557"/>
      <c r="V107" s="556"/>
      <c r="W107" s="556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538"/>
      <c r="F108" s="8"/>
      <c r="G108" s="8"/>
      <c r="H108" s="539"/>
      <c r="I108" s="8"/>
      <c r="J108" s="264"/>
      <c r="K108" s="544"/>
      <c r="L108" s="8"/>
      <c r="M108" s="538"/>
      <c r="N108" s="8"/>
      <c r="O108" s="8"/>
      <c r="P108" s="539"/>
      <c r="Q108" s="8"/>
      <c r="R108" s="264"/>
      <c r="S108" s="544"/>
      <c r="T108" s="8"/>
      <c r="U108" s="538"/>
      <c r="V108" s="8"/>
      <c r="W108" s="8"/>
      <c r="X108" s="8"/>
      <c r="Y108" s="8"/>
      <c r="Z108" s="8"/>
      <c r="AA108" s="8"/>
      <c r="AB108" s="8"/>
    </row>
    <row r="109">
      <c r="A109" s="264" t="s">
        <v>432</v>
      </c>
      <c r="B109" s="565"/>
      <c r="C109" s="565"/>
      <c r="D109" s="565"/>
      <c r="E109" s="564"/>
      <c r="F109" s="565"/>
      <c r="G109" s="565"/>
      <c r="H109" s="539"/>
      <c r="I109" s="264" t="s">
        <v>432</v>
      </c>
      <c r="J109" s="563"/>
      <c r="K109" s="563"/>
      <c r="L109" s="563"/>
      <c r="M109" s="566"/>
      <c r="N109" s="563"/>
      <c r="O109" s="563"/>
      <c r="P109" s="539"/>
      <c r="Q109" s="264" t="s">
        <v>432</v>
      </c>
      <c r="R109" s="563"/>
      <c r="S109" s="563"/>
      <c r="T109" s="563"/>
      <c r="U109" s="566"/>
      <c r="V109" s="563"/>
      <c r="W109" s="563"/>
      <c r="X109" s="8"/>
      <c r="Y109" s="8"/>
      <c r="Z109" s="8"/>
      <c r="AA109" s="8"/>
      <c r="AB109" s="8"/>
    </row>
    <row r="110">
      <c r="B110" s="565"/>
      <c r="C110" s="565"/>
      <c r="D110" s="565"/>
      <c r="E110" s="564"/>
      <c r="F110" s="565"/>
      <c r="G110" s="565"/>
      <c r="H110" s="539"/>
      <c r="J110" s="563"/>
      <c r="K110" s="563"/>
      <c r="L110" s="563"/>
      <c r="M110" s="566"/>
      <c r="N110" s="563"/>
      <c r="O110" s="563"/>
      <c r="P110" s="539"/>
      <c r="R110" s="563"/>
      <c r="S110" s="563"/>
      <c r="T110" s="563"/>
      <c r="U110" s="566"/>
      <c r="V110" s="563"/>
      <c r="W110" s="563"/>
      <c r="X110" s="8"/>
      <c r="Y110" s="8"/>
      <c r="Z110" s="8"/>
      <c r="AA110" s="8"/>
      <c r="AB110" s="8"/>
    </row>
    <row r="111">
      <c r="B111" s="565"/>
      <c r="C111" s="565"/>
      <c r="D111" s="565"/>
      <c r="E111" s="564"/>
      <c r="F111" s="565"/>
      <c r="G111" s="565"/>
      <c r="H111" s="539"/>
      <c r="J111" s="563"/>
      <c r="K111" s="563"/>
      <c r="L111" s="563"/>
      <c r="M111" s="566"/>
      <c r="N111" s="563"/>
      <c r="O111" s="563"/>
      <c r="P111" s="539"/>
      <c r="R111" s="563"/>
      <c r="S111" s="563"/>
      <c r="T111" s="563"/>
      <c r="U111" s="566"/>
      <c r="V111" s="563"/>
      <c r="W111" s="563"/>
      <c r="X111" s="8"/>
      <c r="Y111" s="8"/>
      <c r="Z111" s="8"/>
      <c r="AA111" s="8"/>
      <c r="AB111" s="8"/>
    </row>
    <row r="112">
      <c r="B112" s="565"/>
      <c r="C112" s="565"/>
      <c r="D112" s="565"/>
      <c r="E112" s="564"/>
      <c r="F112" s="565"/>
      <c r="G112" s="565"/>
      <c r="H112" s="539"/>
      <c r="J112" s="563"/>
      <c r="K112" s="563"/>
      <c r="L112" s="563"/>
      <c r="M112" s="566"/>
      <c r="N112" s="563"/>
      <c r="O112" s="563"/>
      <c r="P112" s="539"/>
      <c r="R112" s="563"/>
      <c r="S112" s="563"/>
      <c r="T112" s="563"/>
      <c r="U112" s="566"/>
      <c r="V112" s="563"/>
      <c r="W112" s="563"/>
      <c r="X112" s="8"/>
      <c r="Y112" s="8"/>
      <c r="Z112" s="8"/>
      <c r="AA112" s="8"/>
      <c r="AB112" s="8"/>
    </row>
    <row r="113">
      <c r="B113" s="565"/>
      <c r="C113" s="565"/>
      <c r="D113" s="565"/>
      <c r="E113" s="564"/>
      <c r="F113" s="565"/>
      <c r="G113" s="565"/>
      <c r="H113" s="539"/>
      <c r="J113" s="563"/>
      <c r="K113" s="563"/>
      <c r="L113" s="563"/>
      <c r="M113" s="566"/>
      <c r="N113" s="563"/>
      <c r="O113" s="563"/>
      <c r="P113" s="539"/>
      <c r="R113" s="563"/>
      <c r="S113" s="563"/>
      <c r="T113" s="563"/>
      <c r="U113" s="566"/>
      <c r="V113" s="563"/>
      <c r="W113" s="563"/>
      <c r="X113" s="8"/>
      <c r="Y113" s="8"/>
      <c r="Z113" s="8"/>
      <c r="AA113" s="8"/>
      <c r="AB113" s="8"/>
    </row>
    <row r="114">
      <c r="A114" s="264" t="s">
        <v>438</v>
      </c>
      <c r="B114" s="8"/>
      <c r="C114" s="8"/>
      <c r="D114" s="8"/>
      <c r="E114" s="538"/>
      <c r="F114" s="8"/>
      <c r="G114" s="8"/>
      <c r="H114" s="539"/>
      <c r="I114" s="264" t="s">
        <v>438</v>
      </c>
      <c r="J114" s="544"/>
      <c r="K114" s="8"/>
      <c r="L114" s="8"/>
      <c r="M114" s="538"/>
      <c r="N114" s="8"/>
      <c r="O114" s="8"/>
      <c r="P114" s="539"/>
      <c r="Q114" s="264" t="s">
        <v>438</v>
      </c>
      <c r="R114" s="544"/>
      <c r="S114" s="8"/>
      <c r="T114" s="8"/>
      <c r="U114" s="53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538"/>
      <c r="F115" s="8"/>
      <c r="G115" s="8"/>
      <c r="H115" s="541"/>
      <c r="I115" s="264"/>
      <c r="J115" s="544"/>
      <c r="K115" s="8"/>
      <c r="L115" s="8"/>
      <c r="M115" s="538"/>
      <c r="N115" s="8"/>
      <c r="O115" s="8"/>
      <c r="P115" s="539"/>
      <c r="Q115" s="264"/>
      <c r="R115" s="544"/>
      <c r="S115" s="8"/>
      <c r="T115" s="8"/>
      <c r="U115" s="538"/>
      <c r="V115" s="8"/>
      <c r="W115" s="8"/>
      <c r="X115" s="8"/>
      <c r="Y115" s="8"/>
      <c r="Z115" s="8"/>
      <c r="AA115" s="8"/>
      <c r="AB115" s="8"/>
    </row>
    <row r="116">
      <c r="A116" s="551" t="s">
        <v>409</v>
      </c>
      <c r="B116" s="551" t="s">
        <v>19</v>
      </c>
      <c r="C116" s="551" t="s">
        <v>20</v>
      </c>
      <c r="D116" s="551" t="s">
        <v>410</v>
      </c>
      <c r="E116" s="552"/>
      <c r="F116" s="551"/>
      <c r="G116" s="551"/>
      <c r="H116" s="551"/>
      <c r="I116" s="551"/>
      <c r="J116" s="551" t="s">
        <v>19</v>
      </c>
      <c r="K116" s="551" t="s">
        <v>20</v>
      </c>
      <c r="L116" s="551"/>
      <c r="M116" s="551" t="s">
        <v>410</v>
      </c>
      <c r="N116" s="551"/>
      <c r="O116" s="551"/>
      <c r="P116" s="553"/>
      <c r="Q116" s="553"/>
      <c r="R116" s="551" t="s">
        <v>19</v>
      </c>
      <c r="S116" s="551" t="s">
        <v>20</v>
      </c>
      <c r="T116" s="553"/>
      <c r="U116" s="551" t="s">
        <v>410</v>
      </c>
      <c r="V116" s="553"/>
      <c r="W116" s="553"/>
      <c r="X116" s="553"/>
      <c r="Y116" s="553"/>
      <c r="Z116" s="553"/>
      <c r="AA116" s="553"/>
      <c r="AB116" s="553"/>
    </row>
    <row r="117">
      <c r="A117" s="92"/>
      <c r="D117" s="8"/>
      <c r="E117" s="538"/>
      <c r="F117" s="264"/>
      <c r="G117" s="8"/>
      <c r="H117" s="541"/>
      <c r="I117" s="264"/>
      <c r="J117" s="264"/>
      <c r="K117" s="264"/>
      <c r="L117" s="544"/>
      <c r="M117" s="544"/>
      <c r="N117" s="544"/>
      <c r="O117" s="544"/>
      <c r="P117" s="539"/>
      <c r="Q117" s="264"/>
      <c r="R117" s="264"/>
      <c r="S117" s="264"/>
      <c r="T117" s="8"/>
      <c r="U117" s="544"/>
      <c r="V117" s="8"/>
      <c r="W117" s="8"/>
      <c r="X117" s="8"/>
      <c r="Y117" s="8"/>
      <c r="Z117" s="8"/>
      <c r="AA117" s="8"/>
      <c r="AB117" s="8"/>
    </row>
    <row r="118">
      <c r="A118" s="264"/>
      <c r="B118" s="8"/>
      <c r="C118" s="264" t="s">
        <v>414</v>
      </c>
      <c r="D118" s="8"/>
      <c r="E118" s="538"/>
      <c r="F118" s="8"/>
      <c r="G118" s="8"/>
      <c r="H118" s="545"/>
      <c r="I118" s="509" t="s">
        <v>23</v>
      </c>
      <c r="J118" s="217"/>
      <c r="K118" s="264" t="s">
        <v>414</v>
      </c>
      <c r="L118" s="8"/>
      <c r="M118" s="538"/>
      <c r="N118" s="8"/>
      <c r="O118" s="8"/>
      <c r="P118" s="539"/>
      <c r="Q118" s="509" t="s">
        <v>24</v>
      </c>
      <c r="R118" s="217"/>
      <c r="S118" s="264" t="s">
        <v>414</v>
      </c>
      <c r="T118" s="8"/>
      <c r="U118" s="538"/>
      <c r="V118" s="8"/>
      <c r="W118" s="8"/>
      <c r="X118" s="8"/>
      <c r="Y118" s="8"/>
      <c r="Z118" s="8"/>
      <c r="AA118" s="8"/>
      <c r="AB118" s="8"/>
    </row>
    <row r="119">
      <c r="A119" s="264"/>
      <c r="B119" s="509" t="s">
        <v>415</v>
      </c>
      <c r="C119" s="509" t="s">
        <v>267</v>
      </c>
      <c r="D119" s="509" t="s">
        <v>416</v>
      </c>
      <c r="E119" s="540" t="s">
        <v>417</v>
      </c>
      <c r="F119" s="509" t="s">
        <v>418</v>
      </c>
      <c r="G119" s="509" t="s">
        <v>419</v>
      </c>
      <c r="H119" s="539"/>
      <c r="I119" s="264"/>
      <c r="J119" s="509" t="s">
        <v>415</v>
      </c>
      <c r="K119" s="509" t="s">
        <v>267</v>
      </c>
      <c r="L119" s="509" t="s">
        <v>420</v>
      </c>
      <c r="M119" s="540" t="s">
        <v>417</v>
      </c>
      <c r="N119" s="509" t="s">
        <v>418</v>
      </c>
      <c r="O119" s="509" t="s">
        <v>419</v>
      </c>
      <c r="P119" s="539"/>
      <c r="Q119" s="264"/>
      <c r="R119" s="509" t="s">
        <v>415</v>
      </c>
      <c r="S119" s="509" t="s">
        <v>267</v>
      </c>
      <c r="T119" s="509" t="s">
        <v>420</v>
      </c>
      <c r="U119" s="540" t="s">
        <v>417</v>
      </c>
      <c r="V119" s="509" t="s">
        <v>418</v>
      </c>
      <c r="W119" s="509" t="s">
        <v>419</v>
      </c>
      <c r="X119" s="8"/>
      <c r="Y119" s="8"/>
      <c r="Z119" s="8"/>
      <c r="AA119" s="8"/>
      <c r="AB119" s="8"/>
    </row>
    <row r="120">
      <c r="A120" s="264" t="s">
        <v>421</v>
      </c>
      <c r="B120" s="572"/>
      <c r="C120" s="572"/>
      <c r="D120" s="572"/>
      <c r="E120" s="573"/>
      <c r="F120" s="572"/>
      <c r="G120" s="572"/>
      <c r="H120" s="539"/>
      <c r="I120" s="264" t="s">
        <v>421</v>
      </c>
      <c r="J120" s="556"/>
      <c r="K120" s="556"/>
      <c r="L120" s="556"/>
      <c r="M120" s="557"/>
      <c r="N120" s="556"/>
      <c r="O120" s="556"/>
      <c r="P120" s="539"/>
      <c r="Q120" s="264" t="s">
        <v>421</v>
      </c>
      <c r="R120" s="556"/>
      <c r="S120" s="556"/>
      <c r="T120" s="556"/>
      <c r="U120" s="557"/>
      <c r="V120" s="556"/>
      <c r="W120" s="556"/>
      <c r="X120" s="8"/>
      <c r="Y120" s="8"/>
      <c r="Z120" s="8"/>
      <c r="AA120" s="8"/>
      <c r="AB120" s="8"/>
    </row>
    <row r="121">
      <c r="B121" s="572"/>
      <c r="C121" s="572"/>
      <c r="D121" s="572"/>
      <c r="E121" s="573"/>
      <c r="F121" s="572"/>
      <c r="G121" s="572"/>
      <c r="H121" s="539"/>
      <c r="J121" s="556"/>
      <c r="K121" s="556"/>
      <c r="L121" s="556"/>
      <c r="M121" s="557"/>
      <c r="N121" s="556"/>
      <c r="O121" s="556"/>
      <c r="P121" s="539"/>
      <c r="R121" s="556"/>
      <c r="S121" s="556"/>
      <c r="T121" s="556"/>
      <c r="U121" s="557"/>
      <c r="V121" s="556"/>
      <c r="W121" s="556"/>
      <c r="X121" s="8"/>
      <c r="Y121" s="8"/>
      <c r="Z121" s="8"/>
      <c r="AA121" s="8"/>
      <c r="AB121" s="8"/>
    </row>
    <row r="122">
      <c r="B122" s="572"/>
      <c r="C122" s="572"/>
      <c r="D122" s="572"/>
      <c r="E122" s="573"/>
      <c r="F122" s="572"/>
      <c r="G122" s="572"/>
      <c r="H122" s="539"/>
      <c r="J122" s="574"/>
      <c r="K122" s="574"/>
      <c r="L122" s="556"/>
      <c r="M122" s="557"/>
      <c r="N122" s="556"/>
      <c r="O122" s="556"/>
      <c r="P122" s="539"/>
      <c r="R122" s="574"/>
      <c r="S122" s="574"/>
      <c r="T122" s="556"/>
      <c r="U122" s="557"/>
      <c r="V122" s="556"/>
      <c r="W122" s="556"/>
      <c r="X122" s="8"/>
      <c r="Y122" s="8"/>
      <c r="Z122" s="8"/>
      <c r="AA122" s="8"/>
      <c r="AB122" s="8"/>
    </row>
    <row r="123">
      <c r="B123" s="572"/>
      <c r="C123" s="572"/>
      <c r="D123" s="572"/>
      <c r="E123" s="573"/>
      <c r="F123" s="572"/>
      <c r="G123" s="572"/>
      <c r="H123" s="539"/>
      <c r="J123" s="556"/>
      <c r="K123" s="556"/>
      <c r="L123" s="556"/>
      <c r="M123" s="557"/>
      <c r="N123" s="556"/>
      <c r="O123" s="556"/>
      <c r="P123" s="539"/>
      <c r="R123" s="556"/>
      <c r="S123" s="556"/>
      <c r="T123" s="556"/>
      <c r="U123" s="557"/>
      <c r="V123" s="556"/>
      <c r="W123" s="556"/>
      <c r="X123" s="8"/>
      <c r="Y123" s="8"/>
      <c r="Z123" s="8"/>
      <c r="AA123" s="8"/>
      <c r="AB123" s="8"/>
    </row>
    <row r="124">
      <c r="B124" s="572"/>
      <c r="C124" s="572"/>
      <c r="D124" s="572"/>
      <c r="E124" s="573"/>
      <c r="F124" s="572"/>
      <c r="G124" s="572"/>
      <c r="H124" s="539"/>
      <c r="J124" s="556"/>
      <c r="K124" s="556"/>
      <c r="L124" s="556"/>
      <c r="M124" s="557"/>
      <c r="N124" s="556"/>
      <c r="O124" s="556"/>
      <c r="P124" s="539"/>
      <c r="R124" s="556"/>
      <c r="S124" s="556"/>
      <c r="T124" s="556"/>
      <c r="U124" s="557"/>
      <c r="V124" s="556"/>
      <c r="W124" s="556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538"/>
      <c r="F125" s="8"/>
      <c r="G125" s="8"/>
      <c r="H125" s="539"/>
      <c r="I125" s="8"/>
      <c r="J125" s="264"/>
      <c r="K125" s="544"/>
      <c r="L125" s="8"/>
      <c r="M125" s="538"/>
      <c r="N125" s="8"/>
      <c r="O125" s="8"/>
      <c r="P125" s="539"/>
      <c r="Q125" s="8"/>
      <c r="R125" s="264"/>
      <c r="S125" s="544"/>
      <c r="T125" s="8"/>
      <c r="U125" s="538"/>
      <c r="V125" s="8"/>
      <c r="W125" s="8"/>
      <c r="X125" s="8"/>
      <c r="Y125" s="8"/>
      <c r="Z125" s="8"/>
      <c r="AA125" s="8"/>
      <c r="AB125" s="8"/>
    </row>
    <row r="126">
      <c r="A126" s="264" t="s">
        <v>432</v>
      </c>
      <c r="B126" s="565"/>
      <c r="C126" s="565"/>
      <c r="D126" s="565"/>
      <c r="E126" s="564"/>
      <c r="F126" s="565"/>
      <c r="G126" s="565"/>
      <c r="H126" s="539"/>
      <c r="I126" s="264" t="s">
        <v>432</v>
      </c>
      <c r="J126" s="563"/>
      <c r="K126" s="563"/>
      <c r="L126" s="563"/>
      <c r="M126" s="566"/>
      <c r="N126" s="563"/>
      <c r="O126" s="563"/>
      <c r="P126" s="539"/>
      <c r="Q126" s="264" t="s">
        <v>432</v>
      </c>
      <c r="R126" s="563"/>
      <c r="S126" s="563"/>
      <c r="T126" s="563"/>
      <c r="U126" s="566"/>
      <c r="V126" s="563"/>
      <c r="W126" s="563"/>
      <c r="X126" s="8"/>
      <c r="Y126" s="8"/>
      <c r="Z126" s="8"/>
      <c r="AA126" s="8"/>
      <c r="AB126" s="8"/>
    </row>
    <row r="127">
      <c r="B127" s="565"/>
      <c r="C127" s="565"/>
      <c r="D127" s="565"/>
      <c r="E127" s="564"/>
      <c r="F127" s="565"/>
      <c r="G127" s="565"/>
      <c r="H127" s="539"/>
      <c r="J127" s="563"/>
      <c r="K127" s="563"/>
      <c r="L127" s="563"/>
      <c r="M127" s="566"/>
      <c r="N127" s="563"/>
      <c r="O127" s="563"/>
      <c r="P127" s="539"/>
      <c r="R127" s="563"/>
      <c r="S127" s="563"/>
      <c r="T127" s="563"/>
      <c r="U127" s="566"/>
      <c r="V127" s="563"/>
      <c r="W127" s="563"/>
      <c r="X127" s="8"/>
      <c r="Y127" s="8"/>
      <c r="Z127" s="8"/>
      <c r="AA127" s="8"/>
      <c r="AB127" s="8"/>
    </row>
    <row r="128">
      <c r="B128" s="565"/>
      <c r="C128" s="565"/>
      <c r="D128" s="565"/>
      <c r="E128" s="564"/>
      <c r="F128" s="565"/>
      <c r="G128" s="565"/>
      <c r="H128" s="539"/>
      <c r="J128" s="563"/>
      <c r="K128" s="563"/>
      <c r="L128" s="563"/>
      <c r="M128" s="566"/>
      <c r="N128" s="563"/>
      <c r="O128" s="563"/>
      <c r="P128" s="539"/>
      <c r="R128" s="563"/>
      <c r="S128" s="563"/>
      <c r="T128" s="563"/>
      <c r="U128" s="566"/>
      <c r="V128" s="563"/>
      <c r="W128" s="563"/>
      <c r="X128" s="8"/>
      <c r="Y128" s="8"/>
      <c r="Z128" s="8"/>
      <c r="AA128" s="8"/>
      <c r="AB128" s="8"/>
    </row>
    <row r="129">
      <c r="B129" s="565"/>
      <c r="C129" s="565"/>
      <c r="D129" s="565"/>
      <c r="E129" s="564"/>
      <c r="F129" s="565"/>
      <c r="G129" s="565"/>
      <c r="H129" s="539"/>
      <c r="J129" s="563"/>
      <c r="K129" s="563"/>
      <c r="L129" s="563"/>
      <c r="M129" s="566"/>
      <c r="N129" s="563"/>
      <c r="O129" s="563"/>
      <c r="P129" s="539"/>
      <c r="R129" s="563"/>
      <c r="S129" s="563"/>
      <c r="T129" s="563"/>
      <c r="U129" s="566"/>
      <c r="V129" s="563"/>
      <c r="W129" s="563"/>
      <c r="X129" s="8"/>
      <c r="Y129" s="8"/>
      <c r="Z129" s="8"/>
      <c r="AA129" s="8"/>
      <c r="AB129" s="8"/>
    </row>
    <row r="130">
      <c r="B130" s="565"/>
      <c r="C130" s="565"/>
      <c r="D130" s="565"/>
      <c r="E130" s="564"/>
      <c r="F130" s="565"/>
      <c r="G130" s="565"/>
      <c r="H130" s="539"/>
      <c r="J130" s="563"/>
      <c r="K130" s="563"/>
      <c r="L130" s="563"/>
      <c r="M130" s="566"/>
      <c r="N130" s="563"/>
      <c r="O130" s="563"/>
      <c r="P130" s="539"/>
      <c r="R130" s="563"/>
      <c r="S130" s="563"/>
      <c r="T130" s="563"/>
      <c r="U130" s="566"/>
      <c r="V130" s="563"/>
      <c r="W130" s="563"/>
      <c r="X130" s="8"/>
      <c r="Y130" s="8"/>
      <c r="Z130" s="8"/>
      <c r="AA130" s="8"/>
      <c r="AB130" s="8"/>
    </row>
    <row r="131">
      <c r="A131" s="264" t="s">
        <v>438</v>
      </c>
      <c r="B131" s="8"/>
      <c r="C131" s="8"/>
      <c r="D131" s="8"/>
      <c r="E131" s="538"/>
      <c r="F131" s="8"/>
      <c r="G131" s="8"/>
      <c r="H131" s="539"/>
      <c r="I131" s="264" t="s">
        <v>438</v>
      </c>
      <c r="J131" s="544"/>
      <c r="K131" s="8"/>
      <c r="L131" s="8"/>
      <c r="M131" s="538"/>
      <c r="N131" s="8"/>
      <c r="O131" s="8"/>
      <c r="P131" s="539"/>
      <c r="Q131" s="264" t="s">
        <v>438</v>
      </c>
      <c r="R131" s="544"/>
      <c r="S131" s="8"/>
      <c r="T131" s="8"/>
      <c r="U131" s="53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538"/>
      <c r="F132" s="8"/>
      <c r="G132" s="8"/>
      <c r="H132" s="541"/>
      <c r="I132" s="264"/>
      <c r="J132" s="544"/>
      <c r="K132" s="8"/>
      <c r="L132" s="8"/>
      <c r="M132" s="538"/>
      <c r="N132" s="8"/>
      <c r="O132" s="8"/>
      <c r="P132" s="539"/>
      <c r="Q132" s="264"/>
      <c r="R132" s="544"/>
      <c r="S132" s="8"/>
      <c r="T132" s="8"/>
      <c r="U132" s="538"/>
      <c r="V132" s="8"/>
      <c r="W132" s="8"/>
      <c r="X132" s="8"/>
      <c r="Y132" s="8"/>
      <c r="Z132" s="8"/>
      <c r="AA132" s="8"/>
      <c r="AB132" s="8"/>
    </row>
    <row r="133">
      <c r="A133" s="551" t="s">
        <v>409</v>
      </c>
      <c r="B133" s="551" t="s">
        <v>19</v>
      </c>
      <c r="C133" s="551" t="s">
        <v>20</v>
      </c>
      <c r="D133" s="551" t="s">
        <v>410</v>
      </c>
      <c r="E133" s="552" t="s">
        <v>473</v>
      </c>
      <c r="F133" s="551" t="s">
        <v>474</v>
      </c>
      <c r="G133" s="551" t="s">
        <v>414</v>
      </c>
      <c r="H133" s="551"/>
      <c r="I133" s="551"/>
      <c r="J133" s="551"/>
      <c r="K133" s="551"/>
      <c r="L133" s="551"/>
      <c r="M133" s="551"/>
      <c r="N133" s="551"/>
      <c r="O133" s="551"/>
      <c r="P133" s="553"/>
      <c r="Q133" s="553"/>
      <c r="R133" s="553"/>
      <c r="S133" s="553"/>
      <c r="T133" s="553"/>
      <c r="U133" s="553"/>
      <c r="V133" s="553"/>
      <c r="W133" s="553"/>
      <c r="X133" s="553"/>
      <c r="Y133" s="553"/>
      <c r="Z133" s="553"/>
      <c r="AA133" s="553"/>
      <c r="AB133" s="553"/>
    </row>
    <row r="134">
      <c r="A134" s="551" t="s">
        <v>409</v>
      </c>
      <c r="B134" s="551" t="s">
        <v>19</v>
      </c>
      <c r="C134" s="551" t="s">
        <v>20</v>
      </c>
      <c r="D134" s="551" t="s">
        <v>410</v>
      </c>
      <c r="E134" s="552"/>
      <c r="F134" s="551"/>
      <c r="G134" s="551"/>
      <c r="H134" s="551"/>
      <c r="I134" s="551"/>
      <c r="J134" s="551" t="s">
        <v>19</v>
      </c>
      <c r="K134" s="551" t="s">
        <v>20</v>
      </c>
      <c r="L134" s="551"/>
      <c r="M134" s="551" t="s">
        <v>410</v>
      </c>
      <c r="N134" s="551"/>
      <c r="O134" s="551"/>
      <c r="P134" s="553"/>
      <c r="Q134" s="553"/>
      <c r="R134" s="551" t="s">
        <v>19</v>
      </c>
      <c r="S134" s="551" t="s">
        <v>20</v>
      </c>
      <c r="T134" s="553"/>
      <c r="U134" s="551" t="s">
        <v>410</v>
      </c>
      <c r="V134" s="553"/>
      <c r="W134" s="553"/>
      <c r="X134" s="8"/>
      <c r="Y134" s="8"/>
      <c r="Z134" s="8"/>
      <c r="AA134" s="8"/>
      <c r="AB134" s="8"/>
    </row>
    <row r="135">
      <c r="A135" s="92"/>
      <c r="D135" s="8"/>
      <c r="E135" s="538"/>
      <c r="F135" s="264"/>
      <c r="G135" s="8"/>
      <c r="H135" s="541"/>
      <c r="I135" s="264"/>
      <c r="J135" s="264"/>
      <c r="K135" s="264"/>
      <c r="L135" s="544"/>
      <c r="M135" s="544"/>
      <c r="N135" s="544"/>
      <c r="O135" s="544"/>
      <c r="P135" s="539"/>
      <c r="Q135" s="264"/>
      <c r="R135" s="264"/>
      <c r="S135" s="264"/>
      <c r="T135" s="8"/>
      <c r="U135" s="544"/>
      <c r="V135" s="8"/>
      <c r="W135" s="8"/>
      <c r="X135" s="8"/>
      <c r="Y135" s="8"/>
      <c r="Z135" s="8"/>
      <c r="AA135" s="8"/>
      <c r="AB135" s="8"/>
    </row>
    <row r="136">
      <c r="A136" s="264"/>
      <c r="B136" s="8"/>
      <c r="C136" s="264" t="s">
        <v>414</v>
      </c>
      <c r="D136" s="8"/>
      <c r="E136" s="538"/>
      <c r="F136" s="8"/>
      <c r="G136" s="8"/>
      <c r="H136" s="545"/>
      <c r="I136" s="509" t="s">
        <v>23</v>
      </c>
      <c r="J136" s="217"/>
      <c r="K136" s="264" t="s">
        <v>414</v>
      </c>
      <c r="L136" s="8"/>
      <c r="M136" s="538"/>
      <c r="N136" s="8"/>
      <c r="O136" s="8"/>
      <c r="P136" s="539"/>
      <c r="Q136" s="509" t="s">
        <v>24</v>
      </c>
      <c r="R136" s="217"/>
      <c r="S136" s="264" t="s">
        <v>414</v>
      </c>
      <c r="T136" s="8"/>
      <c r="U136" s="538"/>
      <c r="V136" s="8"/>
      <c r="W136" s="8"/>
      <c r="X136" s="8"/>
      <c r="Y136" s="8"/>
      <c r="Z136" s="8"/>
      <c r="AA136" s="8"/>
      <c r="AB136" s="8"/>
    </row>
    <row r="137">
      <c r="A137" s="264"/>
      <c r="B137" s="509" t="s">
        <v>415</v>
      </c>
      <c r="C137" s="509" t="s">
        <v>267</v>
      </c>
      <c r="D137" s="509" t="s">
        <v>416</v>
      </c>
      <c r="E137" s="540" t="s">
        <v>417</v>
      </c>
      <c r="F137" s="509" t="s">
        <v>418</v>
      </c>
      <c r="G137" s="509" t="s">
        <v>419</v>
      </c>
      <c r="H137" s="539"/>
      <c r="I137" s="264"/>
      <c r="J137" s="509" t="s">
        <v>415</v>
      </c>
      <c r="K137" s="509" t="s">
        <v>267</v>
      </c>
      <c r="L137" s="509" t="s">
        <v>420</v>
      </c>
      <c r="M137" s="540" t="s">
        <v>417</v>
      </c>
      <c r="N137" s="509" t="s">
        <v>418</v>
      </c>
      <c r="O137" s="509" t="s">
        <v>419</v>
      </c>
      <c r="P137" s="539"/>
      <c r="Q137" s="264"/>
      <c r="R137" s="509" t="s">
        <v>415</v>
      </c>
      <c r="S137" s="509" t="s">
        <v>267</v>
      </c>
      <c r="T137" s="509" t="s">
        <v>420</v>
      </c>
      <c r="U137" s="540" t="s">
        <v>417</v>
      </c>
      <c r="V137" s="509" t="s">
        <v>418</v>
      </c>
      <c r="W137" s="509" t="s">
        <v>419</v>
      </c>
      <c r="X137" s="8"/>
      <c r="Y137" s="8"/>
      <c r="Z137" s="8"/>
      <c r="AA137" s="8"/>
      <c r="AB137" s="8"/>
    </row>
    <row r="138">
      <c r="A138" s="264" t="s">
        <v>421</v>
      </c>
      <c r="B138" s="572"/>
      <c r="C138" s="572"/>
      <c r="D138" s="572"/>
      <c r="E138" s="573"/>
      <c r="F138" s="572"/>
      <c r="G138" s="572"/>
      <c r="H138" s="539"/>
      <c r="I138" s="264" t="s">
        <v>421</v>
      </c>
      <c r="J138" s="556"/>
      <c r="K138" s="556"/>
      <c r="L138" s="556"/>
      <c r="M138" s="557"/>
      <c r="N138" s="556"/>
      <c r="O138" s="556"/>
      <c r="P138" s="539"/>
      <c r="Q138" s="264" t="s">
        <v>421</v>
      </c>
      <c r="R138" s="556"/>
      <c r="S138" s="556"/>
      <c r="T138" s="556"/>
      <c r="U138" s="557"/>
      <c r="V138" s="556"/>
      <c r="W138" s="556"/>
      <c r="X138" s="8"/>
      <c r="Y138" s="8"/>
      <c r="Z138" s="8"/>
      <c r="AA138" s="8"/>
      <c r="AB138" s="8"/>
    </row>
    <row r="139">
      <c r="B139" s="572"/>
      <c r="C139" s="572"/>
      <c r="D139" s="572"/>
      <c r="E139" s="573"/>
      <c r="F139" s="572"/>
      <c r="G139" s="572"/>
      <c r="H139" s="539"/>
      <c r="J139" s="556"/>
      <c r="K139" s="556"/>
      <c r="L139" s="556"/>
      <c r="M139" s="557"/>
      <c r="N139" s="556"/>
      <c r="O139" s="556"/>
      <c r="P139" s="539"/>
      <c r="R139" s="556"/>
      <c r="S139" s="556"/>
      <c r="T139" s="556"/>
      <c r="U139" s="557"/>
      <c r="V139" s="556"/>
      <c r="W139" s="556"/>
      <c r="X139" s="8"/>
      <c r="Y139" s="8"/>
      <c r="Z139" s="8"/>
      <c r="AA139" s="8"/>
      <c r="AB139" s="8"/>
    </row>
    <row r="140">
      <c r="B140" s="572"/>
      <c r="C140" s="572"/>
      <c r="D140" s="572"/>
      <c r="E140" s="573"/>
      <c r="F140" s="572"/>
      <c r="G140" s="572"/>
      <c r="H140" s="539"/>
      <c r="J140" s="574"/>
      <c r="K140" s="574"/>
      <c r="L140" s="556"/>
      <c r="M140" s="557"/>
      <c r="N140" s="556"/>
      <c r="O140" s="556"/>
      <c r="P140" s="539"/>
      <c r="R140" s="574"/>
      <c r="S140" s="574"/>
      <c r="T140" s="556"/>
      <c r="U140" s="557"/>
      <c r="V140" s="556"/>
      <c r="W140" s="556"/>
      <c r="X140" s="8"/>
      <c r="Y140" s="8"/>
      <c r="Z140" s="8"/>
      <c r="AA140" s="8"/>
      <c r="AB140" s="8"/>
    </row>
    <row r="141">
      <c r="B141" s="572"/>
      <c r="C141" s="572"/>
      <c r="D141" s="572"/>
      <c r="E141" s="573"/>
      <c r="F141" s="572"/>
      <c r="G141" s="572"/>
      <c r="H141" s="539"/>
      <c r="J141" s="556"/>
      <c r="K141" s="556"/>
      <c r="L141" s="556"/>
      <c r="M141" s="557"/>
      <c r="N141" s="556"/>
      <c r="O141" s="556"/>
      <c r="P141" s="539"/>
      <c r="R141" s="556"/>
      <c r="S141" s="556"/>
      <c r="T141" s="556"/>
      <c r="U141" s="557"/>
      <c r="V141" s="556"/>
      <c r="W141" s="556"/>
      <c r="X141" s="8"/>
      <c r="Y141" s="8"/>
      <c r="Z141" s="8"/>
      <c r="AA141" s="8"/>
      <c r="AB141" s="8"/>
    </row>
    <row r="142">
      <c r="B142" s="572"/>
      <c r="C142" s="572"/>
      <c r="D142" s="572"/>
      <c r="E142" s="573"/>
      <c r="F142" s="572"/>
      <c r="G142" s="572"/>
      <c r="H142" s="539"/>
      <c r="J142" s="556"/>
      <c r="K142" s="556"/>
      <c r="L142" s="556"/>
      <c r="M142" s="557"/>
      <c r="N142" s="556"/>
      <c r="O142" s="556"/>
      <c r="P142" s="539"/>
      <c r="R142" s="556"/>
      <c r="S142" s="556"/>
      <c r="T142" s="556"/>
      <c r="U142" s="557"/>
      <c r="V142" s="556"/>
      <c r="W142" s="556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538"/>
      <c r="F143" s="8"/>
      <c r="G143" s="8"/>
      <c r="H143" s="539"/>
      <c r="I143" s="8"/>
      <c r="J143" s="264"/>
      <c r="K143" s="544"/>
      <c r="L143" s="8"/>
      <c r="M143" s="538"/>
      <c r="N143" s="8"/>
      <c r="O143" s="8"/>
      <c r="P143" s="539"/>
      <c r="Q143" s="8"/>
      <c r="R143" s="264"/>
      <c r="S143" s="544"/>
      <c r="T143" s="8"/>
      <c r="U143" s="538"/>
      <c r="V143" s="8"/>
      <c r="W143" s="8"/>
      <c r="X143" s="8"/>
      <c r="Y143" s="8"/>
      <c r="Z143" s="8"/>
      <c r="AA143" s="8"/>
      <c r="AB143" s="8"/>
    </row>
    <row r="144">
      <c r="A144" s="264" t="s">
        <v>432</v>
      </c>
      <c r="B144" s="565"/>
      <c r="C144" s="565"/>
      <c r="D144" s="565"/>
      <c r="E144" s="564"/>
      <c r="F144" s="565"/>
      <c r="G144" s="565"/>
      <c r="H144" s="539"/>
      <c r="I144" s="264" t="s">
        <v>432</v>
      </c>
      <c r="J144" s="563"/>
      <c r="K144" s="563"/>
      <c r="L144" s="563"/>
      <c r="M144" s="566"/>
      <c r="N144" s="563"/>
      <c r="O144" s="563"/>
      <c r="P144" s="539"/>
      <c r="Q144" s="264" t="s">
        <v>432</v>
      </c>
      <c r="R144" s="563"/>
      <c r="S144" s="563"/>
      <c r="T144" s="563"/>
      <c r="U144" s="566"/>
      <c r="V144" s="563"/>
      <c r="W144" s="563"/>
      <c r="X144" s="8"/>
      <c r="Y144" s="8"/>
      <c r="Z144" s="8"/>
      <c r="AA144" s="8"/>
      <c r="AB144" s="8"/>
    </row>
    <row r="145">
      <c r="B145" s="565"/>
      <c r="C145" s="565"/>
      <c r="D145" s="565"/>
      <c r="E145" s="564"/>
      <c r="F145" s="565"/>
      <c r="G145" s="565"/>
      <c r="H145" s="539"/>
      <c r="J145" s="563"/>
      <c r="K145" s="563"/>
      <c r="L145" s="563"/>
      <c r="M145" s="566"/>
      <c r="N145" s="563"/>
      <c r="O145" s="563"/>
      <c r="P145" s="539"/>
      <c r="R145" s="563"/>
      <c r="S145" s="563"/>
      <c r="T145" s="563"/>
      <c r="U145" s="566"/>
      <c r="V145" s="563"/>
      <c r="W145" s="563"/>
      <c r="X145" s="8"/>
      <c r="Y145" s="8"/>
      <c r="Z145" s="8"/>
      <c r="AA145" s="8"/>
      <c r="AB145" s="8"/>
    </row>
    <row r="146">
      <c r="B146" s="565"/>
      <c r="C146" s="565"/>
      <c r="D146" s="565"/>
      <c r="E146" s="564"/>
      <c r="F146" s="565"/>
      <c r="G146" s="565"/>
      <c r="H146" s="539"/>
      <c r="J146" s="563"/>
      <c r="K146" s="563"/>
      <c r="L146" s="563"/>
      <c r="M146" s="566"/>
      <c r="N146" s="563"/>
      <c r="O146" s="563"/>
      <c r="P146" s="539"/>
      <c r="R146" s="563"/>
      <c r="S146" s="563"/>
      <c r="T146" s="563"/>
      <c r="U146" s="566"/>
      <c r="V146" s="563"/>
      <c r="W146" s="563"/>
      <c r="X146" s="8"/>
      <c r="Y146" s="8"/>
      <c r="Z146" s="8"/>
      <c r="AA146" s="8"/>
      <c r="AB146" s="8"/>
    </row>
    <row r="147">
      <c r="B147" s="565"/>
      <c r="C147" s="565"/>
      <c r="D147" s="565"/>
      <c r="E147" s="564"/>
      <c r="F147" s="565"/>
      <c r="G147" s="565"/>
      <c r="H147" s="539"/>
      <c r="J147" s="563"/>
      <c r="K147" s="563"/>
      <c r="L147" s="563"/>
      <c r="M147" s="566"/>
      <c r="N147" s="563"/>
      <c r="O147" s="563"/>
      <c r="P147" s="539"/>
      <c r="R147" s="563"/>
      <c r="S147" s="563"/>
      <c r="T147" s="563"/>
      <c r="U147" s="566"/>
      <c r="V147" s="563"/>
      <c r="W147" s="563"/>
      <c r="X147" s="8"/>
      <c r="Y147" s="8"/>
      <c r="Z147" s="8"/>
      <c r="AA147" s="8"/>
      <c r="AB147" s="8"/>
    </row>
    <row r="148">
      <c r="B148" s="565"/>
      <c r="C148" s="565"/>
      <c r="D148" s="565"/>
      <c r="E148" s="564"/>
      <c r="F148" s="565"/>
      <c r="G148" s="565"/>
      <c r="H148" s="539"/>
      <c r="J148" s="563"/>
      <c r="K148" s="563"/>
      <c r="L148" s="563"/>
      <c r="M148" s="566"/>
      <c r="N148" s="563"/>
      <c r="O148" s="563"/>
      <c r="P148" s="539"/>
      <c r="R148" s="563"/>
      <c r="S148" s="563"/>
      <c r="T148" s="563"/>
      <c r="U148" s="566"/>
      <c r="V148" s="563"/>
      <c r="W148" s="563"/>
      <c r="X148" s="8"/>
      <c r="Y148" s="8"/>
      <c r="Z148" s="8"/>
      <c r="AA148" s="8"/>
      <c r="AB148" s="8"/>
    </row>
    <row r="149">
      <c r="A149" s="264" t="s">
        <v>438</v>
      </c>
      <c r="B149" s="8"/>
      <c r="C149" s="8"/>
      <c r="D149" s="8"/>
      <c r="E149" s="538"/>
      <c r="F149" s="8"/>
      <c r="G149" s="8"/>
      <c r="H149" s="539"/>
      <c r="I149" s="264" t="s">
        <v>438</v>
      </c>
      <c r="J149" s="544"/>
      <c r="K149" s="8"/>
      <c r="L149" s="8"/>
      <c r="M149" s="538"/>
      <c r="N149" s="8"/>
      <c r="O149" s="8"/>
      <c r="P149" s="539"/>
      <c r="Q149" s="264" t="s">
        <v>438</v>
      </c>
      <c r="R149" s="544"/>
      <c r="S149" s="8"/>
      <c r="T149" s="8"/>
      <c r="U149" s="53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538"/>
      <c r="F150" s="8"/>
      <c r="G150" s="8"/>
      <c r="H150" s="541"/>
      <c r="I150" s="264"/>
      <c r="J150" s="544"/>
      <c r="K150" s="8"/>
      <c r="L150" s="8"/>
      <c r="M150" s="538"/>
      <c r="N150" s="8"/>
      <c r="O150" s="8"/>
      <c r="P150" s="539"/>
      <c r="Q150" s="264"/>
      <c r="R150" s="544"/>
      <c r="S150" s="8"/>
      <c r="T150" s="8"/>
      <c r="U150" s="538"/>
      <c r="V150" s="8"/>
      <c r="W150" s="8"/>
      <c r="X150" s="8"/>
      <c r="Y150" s="8"/>
      <c r="Z150" s="8"/>
      <c r="AA150" s="8"/>
      <c r="AB150" s="8"/>
    </row>
    <row r="151">
      <c r="A151" s="551" t="s">
        <v>409</v>
      </c>
      <c r="B151" s="551" t="s">
        <v>19</v>
      </c>
      <c r="C151" s="551" t="s">
        <v>20</v>
      </c>
      <c r="D151" s="551" t="s">
        <v>410</v>
      </c>
      <c r="E151" s="552"/>
      <c r="F151" s="551"/>
      <c r="G151" s="551"/>
      <c r="H151" s="551"/>
      <c r="I151" s="551"/>
      <c r="J151" s="551" t="s">
        <v>19</v>
      </c>
      <c r="K151" s="551" t="s">
        <v>20</v>
      </c>
      <c r="L151" s="551"/>
      <c r="M151" s="551" t="s">
        <v>410</v>
      </c>
      <c r="N151" s="551"/>
      <c r="O151" s="551"/>
      <c r="P151" s="553"/>
      <c r="Q151" s="553"/>
      <c r="R151" s="551" t="s">
        <v>19</v>
      </c>
      <c r="S151" s="551" t="s">
        <v>20</v>
      </c>
      <c r="T151" s="553"/>
      <c r="U151" s="551" t="s">
        <v>410</v>
      </c>
      <c r="V151" s="553"/>
      <c r="W151" s="553"/>
      <c r="X151" s="8"/>
      <c r="Y151" s="8"/>
      <c r="Z151" s="8"/>
      <c r="AA151" s="8"/>
      <c r="AB151" s="8"/>
    </row>
    <row r="152">
      <c r="A152" s="92"/>
      <c r="D152" s="8"/>
      <c r="E152" s="538"/>
      <c r="F152" s="264"/>
      <c r="G152" s="8"/>
      <c r="H152" s="541"/>
      <c r="I152" s="264"/>
      <c r="J152" s="264"/>
      <c r="K152" s="264"/>
      <c r="L152" s="544"/>
      <c r="M152" s="544"/>
      <c r="N152" s="544"/>
      <c r="O152" s="544"/>
      <c r="P152" s="539"/>
      <c r="Q152" s="264"/>
      <c r="R152" s="264"/>
      <c r="S152" s="264"/>
      <c r="T152" s="8"/>
      <c r="U152" s="544"/>
      <c r="V152" s="8"/>
      <c r="W152" s="8"/>
      <c r="X152" s="8"/>
      <c r="Y152" s="8"/>
      <c r="Z152" s="8"/>
      <c r="AA152" s="8"/>
      <c r="AB152" s="8"/>
    </row>
    <row r="153">
      <c r="A153" s="264"/>
      <c r="B153" s="8"/>
      <c r="C153" s="264" t="s">
        <v>414</v>
      </c>
      <c r="D153" s="8"/>
      <c r="E153" s="538"/>
      <c r="F153" s="8"/>
      <c r="G153" s="8"/>
      <c r="H153" s="545"/>
      <c r="I153" s="509" t="s">
        <v>23</v>
      </c>
      <c r="J153" s="217"/>
      <c r="K153" s="264" t="s">
        <v>414</v>
      </c>
      <c r="L153" s="8"/>
      <c r="M153" s="538"/>
      <c r="N153" s="8"/>
      <c r="O153" s="8"/>
      <c r="P153" s="539"/>
      <c r="Q153" s="509" t="s">
        <v>24</v>
      </c>
      <c r="R153" s="217"/>
      <c r="S153" s="264" t="s">
        <v>414</v>
      </c>
      <c r="T153" s="8"/>
      <c r="U153" s="538"/>
      <c r="V153" s="8"/>
      <c r="W153" s="8"/>
      <c r="X153" s="8"/>
      <c r="Y153" s="8"/>
      <c r="Z153" s="8"/>
      <c r="AA153" s="8"/>
      <c r="AB153" s="8"/>
    </row>
    <row r="154">
      <c r="A154" s="264"/>
      <c r="B154" s="509" t="s">
        <v>415</v>
      </c>
      <c r="C154" s="509" t="s">
        <v>267</v>
      </c>
      <c r="D154" s="509" t="s">
        <v>416</v>
      </c>
      <c r="E154" s="540" t="s">
        <v>417</v>
      </c>
      <c r="F154" s="509" t="s">
        <v>418</v>
      </c>
      <c r="G154" s="509" t="s">
        <v>419</v>
      </c>
      <c r="H154" s="539"/>
      <c r="I154" s="264"/>
      <c r="J154" s="509" t="s">
        <v>415</v>
      </c>
      <c r="K154" s="509" t="s">
        <v>267</v>
      </c>
      <c r="L154" s="509" t="s">
        <v>420</v>
      </c>
      <c r="M154" s="540" t="s">
        <v>417</v>
      </c>
      <c r="N154" s="509" t="s">
        <v>418</v>
      </c>
      <c r="O154" s="509" t="s">
        <v>419</v>
      </c>
      <c r="P154" s="539"/>
      <c r="Q154" s="264"/>
      <c r="R154" s="509" t="s">
        <v>415</v>
      </c>
      <c r="S154" s="509" t="s">
        <v>267</v>
      </c>
      <c r="T154" s="509" t="s">
        <v>420</v>
      </c>
      <c r="U154" s="540" t="s">
        <v>417</v>
      </c>
      <c r="V154" s="509" t="s">
        <v>418</v>
      </c>
      <c r="W154" s="509" t="s">
        <v>419</v>
      </c>
      <c r="X154" s="8"/>
      <c r="Y154" s="8"/>
      <c r="Z154" s="8"/>
      <c r="AA154" s="8"/>
      <c r="AB154" s="8"/>
    </row>
    <row r="155">
      <c r="A155" s="264" t="s">
        <v>421</v>
      </c>
      <c r="B155" s="572"/>
      <c r="C155" s="572"/>
      <c r="D155" s="572"/>
      <c r="E155" s="573"/>
      <c r="F155" s="572"/>
      <c r="G155" s="572"/>
      <c r="H155" s="539"/>
      <c r="I155" s="264" t="s">
        <v>421</v>
      </c>
      <c r="J155" s="556"/>
      <c r="K155" s="556"/>
      <c r="L155" s="556"/>
      <c r="M155" s="557"/>
      <c r="N155" s="556"/>
      <c r="O155" s="556"/>
      <c r="P155" s="539"/>
      <c r="Q155" s="264" t="s">
        <v>421</v>
      </c>
      <c r="R155" s="556"/>
      <c r="S155" s="556"/>
      <c r="T155" s="556"/>
      <c r="U155" s="557"/>
      <c r="V155" s="556"/>
      <c r="W155" s="556"/>
      <c r="X155" s="8"/>
      <c r="Y155" s="8"/>
      <c r="Z155" s="8"/>
      <c r="AA155" s="8"/>
      <c r="AB155" s="8"/>
    </row>
    <row r="156">
      <c r="B156" s="572"/>
      <c r="C156" s="572"/>
      <c r="D156" s="572"/>
      <c r="E156" s="573"/>
      <c r="F156" s="572"/>
      <c r="G156" s="572"/>
      <c r="H156" s="539"/>
      <c r="J156" s="556"/>
      <c r="K156" s="556"/>
      <c r="L156" s="556"/>
      <c r="M156" s="557"/>
      <c r="N156" s="556"/>
      <c r="O156" s="556"/>
      <c r="P156" s="539"/>
      <c r="R156" s="556"/>
      <c r="S156" s="556"/>
      <c r="T156" s="556"/>
      <c r="U156" s="557"/>
      <c r="V156" s="556"/>
      <c r="W156" s="556"/>
      <c r="X156" s="8"/>
      <c r="Y156" s="8"/>
      <c r="Z156" s="8"/>
      <c r="AA156" s="8"/>
      <c r="AB156" s="8"/>
    </row>
    <row r="157">
      <c r="B157" s="572"/>
      <c r="C157" s="572"/>
      <c r="D157" s="572"/>
      <c r="E157" s="573"/>
      <c r="F157" s="572"/>
      <c r="G157" s="572"/>
      <c r="H157" s="539"/>
      <c r="J157" s="574"/>
      <c r="K157" s="574"/>
      <c r="L157" s="556"/>
      <c r="M157" s="557"/>
      <c r="N157" s="556"/>
      <c r="O157" s="556"/>
      <c r="P157" s="539"/>
      <c r="R157" s="574"/>
      <c r="S157" s="574"/>
      <c r="T157" s="556"/>
      <c r="U157" s="557"/>
      <c r="V157" s="556"/>
      <c r="W157" s="556"/>
      <c r="X157" s="8"/>
      <c r="Y157" s="8"/>
      <c r="Z157" s="8"/>
      <c r="AA157" s="8"/>
      <c r="AB157" s="8"/>
    </row>
    <row r="158">
      <c r="B158" s="572"/>
      <c r="C158" s="572"/>
      <c r="D158" s="572"/>
      <c r="E158" s="573"/>
      <c r="F158" s="572"/>
      <c r="G158" s="572"/>
      <c r="H158" s="539"/>
      <c r="J158" s="556"/>
      <c r="K158" s="556"/>
      <c r="L158" s="556"/>
      <c r="M158" s="557"/>
      <c r="N158" s="556"/>
      <c r="O158" s="556"/>
      <c r="P158" s="539"/>
      <c r="R158" s="556"/>
      <c r="S158" s="556"/>
      <c r="T158" s="556"/>
      <c r="U158" s="557"/>
      <c r="V158" s="556"/>
      <c r="W158" s="556"/>
      <c r="X158" s="8"/>
      <c r="Y158" s="8"/>
      <c r="Z158" s="8"/>
      <c r="AA158" s="8"/>
      <c r="AB158" s="8"/>
    </row>
    <row r="159">
      <c r="B159" s="572"/>
      <c r="C159" s="572"/>
      <c r="D159" s="572"/>
      <c r="E159" s="573"/>
      <c r="F159" s="572"/>
      <c r="G159" s="572"/>
      <c r="H159" s="539"/>
      <c r="J159" s="556"/>
      <c r="K159" s="556"/>
      <c r="L159" s="556"/>
      <c r="M159" s="557"/>
      <c r="N159" s="556"/>
      <c r="O159" s="556"/>
      <c r="P159" s="539"/>
      <c r="R159" s="556"/>
      <c r="S159" s="556"/>
      <c r="T159" s="556"/>
      <c r="U159" s="557"/>
      <c r="V159" s="556"/>
      <c r="W159" s="556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538"/>
      <c r="F160" s="8"/>
      <c r="G160" s="8"/>
      <c r="H160" s="539"/>
      <c r="I160" s="8"/>
      <c r="J160" s="264"/>
      <c r="K160" s="544"/>
      <c r="L160" s="8"/>
      <c r="M160" s="538"/>
      <c r="N160" s="8"/>
      <c r="O160" s="8"/>
      <c r="P160" s="539"/>
      <c r="Q160" s="8"/>
      <c r="R160" s="264"/>
      <c r="S160" s="544"/>
      <c r="T160" s="8"/>
      <c r="U160" s="538"/>
      <c r="V160" s="8"/>
      <c r="W160" s="8"/>
      <c r="X160" s="8"/>
      <c r="Y160" s="8"/>
      <c r="Z160" s="8"/>
      <c r="AA160" s="8"/>
      <c r="AB160" s="8"/>
    </row>
    <row r="161">
      <c r="A161" s="264" t="s">
        <v>432</v>
      </c>
      <c r="B161" s="565"/>
      <c r="C161" s="565"/>
      <c r="D161" s="565"/>
      <c r="E161" s="564"/>
      <c r="F161" s="565"/>
      <c r="G161" s="565"/>
      <c r="H161" s="539"/>
      <c r="I161" s="264" t="s">
        <v>432</v>
      </c>
      <c r="J161" s="563"/>
      <c r="K161" s="563"/>
      <c r="L161" s="563"/>
      <c r="M161" s="566"/>
      <c r="N161" s="563"/>
      <c r="O161" s="563"/>
      <c r="P161" s="539"/>
      <c r="Q161" s="264" t="s">
        <v>432</v>
      </c>
      <c r="R161" s="563"/>
      <c r="S161" s="563"/>
      <c r="T161" s="563"/>
      <c r="U161" s="566"/>
      <c r="V161" s="563"/>
      <c r="W161" s="563"/>
      <c r="X161" s="8"/>
      <c r="Y161" s="8"/>
      <c r="Z161" s="8"/>
      <c r="AA161" s="8"/>
      <c r="AB161" s="8"/>
    </row>
    <row r="162">
      <c r="B162" s="565"/>
      <c r="C162" s="565"/>
      <c r="D162" s="565"/>
      <c r="E162" s="564"/>
      <c r="F162" s="565"/>
      <c r="G162" s="565"/>
      <c r="H162" s="539"/>
      <c r="J162" s="563"/>
      <c r="K162" s="563"/>
      <c r="L162" s="563"/>
      <c r="M162" s="566"/>
      <c r="N162" s="563"/>
      <c r="O162" s="563"/>
      <c r="P162" s="539"/>
      <c r="R162" s="563"/>
      <c r="S162" s="563"/>
      <c r="T162" s="563"/>
      <c r="U162" s="566"/>
      <c r="V162" s="563"/>
      <c r="W162" s="563"/>
      <c r="X162" s="8"/>
      <c r="Y162" s="8"/>
      <c r="Z162" s="8"/>
      <c r="AA162" s="8"/>
      <c r="AB162" s="8"/>
    </row>
    <row r="163">
      <c r="B163" s="565"/>
      <c r="C163" s="565"/>
      <c r="D163" s="565"/>
      <c r="E163" s="564"/>
      <c r="F163" s="565"/>
      <c r="G163" s="565"/>
      <c r="H163" s="539"/>
      <c r="J163" s="563"/>
      <c r="K163" s="563"/>
      <c r="L163" s="563"/>
      <c r="M163" s="566"/>
      <c r="N163" s="563"/>
      <c r="O163" s="563"/>
      <c r="P163" s="539"/>
      <c r="R163" s="563"/>
      <c r="S163" s="563"/>
      <c r="T163" s="563"/>
      <c r="U163" s="566"/>
      <c r="V163" s="563"/>
      <c r="W163" s="563"/>
      <c r="X163" s="8"/>
      <c r="Y163" s="8"/>
      <c r="Z163" s="8"/>
      <c r="AA163" s="8"/>
      <c r="AB163" s="8"/>
    </row>
    <row r="164">
      <c r="B164" s="565"/>
      <c r="C164" s="565"/>
      <c r="D164" s="565"/>
      <c r="E164" s="564"/>
      <c r="F164" s="565"/>
      <c r="G164" s="565"/>
      <c r="H164" s="539"/>
      <c r="J164" s="563"/>
      <c r="K164" s="563"/>
      <c r="L164" s="563"/>
      <c r="M164" s="566"/>
      <c r="N164" s="563"/>
      <c r="O164" s="563"/>
      <c r="P164" s="539"/>
      <c r="R164" s="563"/>
      <c r="S164" s="563"/>
      <c r="T164" s="563"/>
      <c r="U164" s="566"/>
      <c r="V164" s="563"/>
      <c r="W164" s="563"/>
      <c r="X164" s="8"/>
      <c r="Y164" s="8"/>
      <c r="Z164" s="8"/>
      <c r="AA164" s="8"/>
      <c r="AB164" s="8"/>
    </row>
    <row r="165">
      <c r="B165" s="565"/>
      <c r="C165" s="565"/>
      <c r="D165" s="565"/>
      <c r="E165" s="564"/>
      <c r="F165" s="565"/>
      <c r="G165" s="565"/>
      <c r="H165" s="539"/>
      <c r="J165" s="563"/>
      <c r="K165" s="563"/>
      <c r="L165" s="563"/>
      <c r="M165" s="566"/>
      <c r="N165" s="563"/>
      <c r="O165" s="563"/>
      <c r="P165" s="539"/>
      <c r="R165" s="563"/>
      <c r="S165" s="563"/>
      <c r="T165" s="563"/>
      <c r="U165" s="566"/>
      <c r="V165" s="563"/>
      <c r="W165" s="563"/>
      <c r="X165" s="8"/>
      <c r="Y165" s="8"/>
      <c r="Z165" s="8"/>
      <c r="AA165" s="8"/>
      <c r="AB165" s="8"/>
    </row>
    <row r="166">
      <c r="A166" s="264" t="s">
        <v>438</v>
      </c>
      <c r="B166" s="8"/>
      <c r="C166" s="8"/>
      <c r="D166" s="8"/>
      <c r="E166" s="538"/>
      <c r="F166" s="8"/>
      <c r="G166" s="8"/>
      <c r="H166" s="539"/>
      <c r="I166" s="264" t="s">
        <v>438</v>
      </c>
      <c r="J166" s="544"/>
      <c r="K166" s="8"/>
      <c r="L166" s="8"/>
      <c r="M166" s="538"/>
      <c r="N166" s="8"/>
      <c r="O166" s="8"/>
      <c r="P166" s="539"/>
      <c r="Q166" s="264" t="s">
        <v>438</v>
      </c>
      <c r="R166" s="544"/>
      <c r="S166" s="8"/>
      <c r="T166" s="8"/>
      <c r="U166" s="53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538"/>
      <c r="F167" s="8"/>
      <c r="G167" s="8"/>
      <c r="H167" s="541"/>
      <c r="I167" s="264"/>
      <c r="J167" s="544"/>
      <c r="K167" s="8"/>
      <c r="L167" s="8"/>
      <c r="M167" s="538"/>
      <c r="N167" s="8"/>
      <c r="O167" s="8"/>
      <c r="P167" s="539"/>
      <c r="Q167" s="264"/>
      <c r="R167" s="544"/>
      <c r="S167" s="8"/>
      <c r="T167" s="8"/>
      <c r="U167" s="538"/>
      <c r="V167" s="8"/>
      <c r="W167" s="8"/>
      <c r="X167" s="8"/>
      <c r="Y167" s="8"/>
      <c r="Z167" s="8"/>
      <c r="AA167" s="8"/>
      <c r="AB167" s="8"/>
    </row>
    <row r="168">
      <c r="A168" s="551" t="s">
        <v>409</v>
      </c>
      <c r="B168" s="551" t="s">
        <v>19</v>
      </c>
      <c r="C168" s="551" t="s">
        <v>20</v>
      </c>
      <c r="D168" s="551" t="s">
        <v>410</v>
      </c>
      <c r="E168" s="552"/>
      <c r="F168" s="551"/>
      <c r="G168" s="551"/>
      <c r="H168" s="551"/>
      <c r="I168" s="551"/>
      <c r="J168" s="551" t="s">
        <v>19</v>
      </c>
      <c r="K168" s="551" t="s">
        <v>20</v>
      </c>
      <c r="L168" s="551"/>
      <c r="M168" s="551" t="s">
        <v>410</v>
      </c>
      <c r="N168" s="551"/>
      <c r="O168" s="551"/>
      <c r="P168" s="553"/>
      <c r="Q168" s="553"/>
      <c r="R168" s="551" t="s">
        <v>19</v>
      </c>
      <c r="S168" s="551" t="s">
        <v>20</v>
      </c>
      <c r="T168" s="553"/>
      <c r="U168" s="551" t="s">
        <v>410</v>
      </c>
      <c r="V168" s="553"/>
      <c r="W168" s="553"/>
      <c r="X168" s="8"/>
      <c r="Y168" s="8"/>
      <c r="Z168" s="8"/>
      <c r="AA168" s="8"/>
      <c r="AB168" s="8"/>
    </row>
    <row r="169">
      <c r="A169" s="92"/>
      <c r="D169" s="8"/>
      <c r="E169" s="538"/>
      <c r="F169" s="264"/>
      <c r="G169" s="8"/>
      <c r="H169" s="541"/>
      <c r="I169" s="264"/>
      <c r="J169" s="264"/>
      <c r="K169" s="264"/>
      <c r="L169" s="544"/>
      <c r="M169" s="544"/>
      <c r="N169" s="544"/>
      <c r="O169" s="544"/>
      <c r="P169" s="539"/>
      <c r="Q169" s="264"/>
      <c r="R169" s="264"/>
      <c r="S169" s="264"/>
      <c r="T169" s="8"/>
      <c r="U169" s="544"/>
      <c r="V169" s="8"/>
      <c r="W169" s="8"/>
      <c r="X169" s="8"/>
      <c r="Y169" s="8"/>
      <c r="Z169" s="8"/>
      <c r="AA169" s="8"/>
      <c r="AB169" s="8"/>
    </row>
    <row r="170">
      <c r="A170" s="264"/>
      <c r="B170" s="8"/>
      <c r="C170" s="264" t="s">
        <v>414</v>
      </c>
      <c r="D170" s="8"/>
      <c r="E170" s="538"/>
      <c r="F170" s="8"/>
      <c r="G170" s="8"/>
      <c r="H170" s="545"/>
      <c r="I170" s="509" t="s">
        <v>23</v>
      </c>
      <c r="J170" s="217"/>
      <c r="K170" s="264" t="s">
        <v>414</v>
      </c>
      <c r="L170" s="8"/>
      <c r="M170" s="538"/>
      <c r="N170" s="8"/>
      <c r="O170" s="8"/>
      <c r="P170" s="539"/>
      <c r="Q170" s="509" t="s">
        <v>24</v>
      </c>
      <c r="R170" s="217"/>
      <c r="S170" s="264" t="s">
        <v>414</v>
      </c>
      <c r="T170" s="8"/>
      <c r="U170" s="538"/>
      <c r="V170" s="8"/>
      <c r="W170" s="8"/>
      <c r="X170" s="8"/>
      <c r="Y170" s="8"/>
      <c r="Z170" s="8"/>
      <c r="AA170" s="8"/>
      <c r="AB170" s="8"/>
    </row>
    <row r="171">
      <c r="A171" s="264"/>
      <c r="B171" s="509" t="s">
        <v>415</v>
      </c>
      <c r="C171" s="509" t="s">
        <v>267</v>
      </c>
      <c r="D171" s="509" t="s">
        <v>416</v>
      </c>
      <c r="E171" s="540" t="s">
        <v>417</v>
      </c>
      <c r="F171" s="509" t="s">
        <v>418</v>
      </c>
      <c r="G171" s="509" t="s">
        <v>419</v>
      </c>
      <c r="H171" s="539"/>
      <c r="I171" s="264"/>
      <c r="J171" s="509" t="s">
        <v>415</v>
      </c>
      <c r="K171" s="509" t="s">
        <v>267</v>
      </c>
      <c r="L171" s="509" t="s">
        <v>420</v>
      </c>
      <c r="M171" s="540" t="s">
        <v>417</v>
      </c>
      <c r="N171" s="509" t="s">
        <v>418</v>
      </c>
      <c r="O171" s="509" t="s">
        <v>419</v>
      </c>
      <c r="P171" s="539"/>
      <c r="Q171" s="264"/>
      <c r="R171" s="509" t="s">
        <v>415</v>
      </c>
      <c r="S171" s="509" t="s">
        <v>267</v>
      </c>
      <c r="T171" s="509" t="s">
        <v>420</v>
      </c>
      <c r="U171" s="540" t="s">
        <v>417</v>
      </c>
      <c r="V171" s="509" t="s">
        <v>418</v>
      </c>
      <c r="W171" s="509" t="s">
        <v>419</v>
      </c>
      <c r="X171" s="8"/>
      <c r="Y171" s="8"/>
      <c r="Z171" s="8"/>
      <c r="AA171" s="8"/>
      <c r="AB171" s="8"/>
    </row>
    <row r="172">
      <c r="A172" s="264" t="s">
        <v>421</v>
      </c>
      <c r="B172" s="572"/>
      <c r="C172" s="572"/>
      <c r="D172" s="572"/>
      <c r="E172" s="573"/>
      <c r="F172" s="572"/>
      <c r="G172" s="572"/>
      <c r="H172" s="539"/>
      <c r="I172" s="264" t="s">
        <v>421</v>
      </c>
      <c r="J172" s="556"/>
      <c r="K172" s="556"/>
      <c r="L172" s="556"/>
      <c r="M172" s="557"/>
      <c r="N172" s="556"/>
      <c r="O172" s="556"/>
      <c r="P172" s="539"/>
      <c r="Q172" s="264" t="s">
        <v>421</v>
      </c>
      <c r="R172" s="556"/>
      <c r="S172" s="556"/>
      <c r="T172" s="556"/>
      <c r="U172" s="557"/>
      <c r="V172" s="556"/>
      <c r="W172" s="556"/>
      <c r="X172" s="8"/>
      <c r="Y172" s="8"/>
      <c r="Z172" s="8"/>
      <c r="AA172" s="8"/>
      <c r="AB172" s="8"/>
    </row>
    <row r="173">
      <c r="B173" s="572"/>
      <c r="C173" s="572"/>
      <c r="D173" s="572"/>
      <c r="E173" s="573"/>
      <c r="F173" s="572"/>
      <c r="G173" s="572"/>
      <c r="H173" s="539"/>
      <c r="J173" s="556"/>
      <c r="K173" s="556"/>
      <c r="L173" s="556"/>
      <c r="M173" s="557"/>
      <c r="N173" s="556"/>
      <c r="O173" s="556"/>
      <c r="P173" s="539"/>
      <c r="R173" s="556"/>
      <c r="S173" s="556"/>
      <c r="T173" s="556"/>
      <c r="U173" s="557"/>
      <c r="V173" s="556"/>
      <c r="W173" s="556"/>
      <c r="X173" s="8"/>
      <c r="Y173" s="8"/>
      <c r="Z173" s="8"/>
      <c r="AA173" s="8"/>
      <c r="AB173" s="8"/>
    </row>
    <row r="174">
      <c r="B174" s="572"/>
      <c r="C174" s="572"/>
      <c r="D174" s="572"/>
      <c r="E174" s="573"/>
      <c r="F174" s="572"/>
      <c r="G174" s="572"/>
      <c r="H174" s="539"/>
      <c r="J174" s="574"/>
      <c r="K174" s="574"/>
      <c r="L174" s="556"/>
      <c r="M174" s="557"/>
      <c r="N174" s="556"/>
      <c r="O174" s="556"/>
      <c r="P174" s="539"/>
      <c r="R174" s="574"/>
      <c r="S174" s="574"/>
      <c r="T174" s="556"/>
      <c r="U174" s="557"/>
      <c r="V174" s="556"/>
      <c r="W174" s="556"/>
      <c r="X174" s="8"/>
      <c r="Y174" s="8"/>
      <c r="Z174" s="8"/>
      <c r="AA174" s="8"/>
      <c r="AB174" s="8"/>
    </row>
    <row r="175">
      <c r="B175" s="572"/>
      <c r="C175" s="572"/>
      <c r="D175" s="572"/>
      <c r="E175" s="573"/>
      <c r="F175" s="572"/>
      <c r="G175" s="572"/>
      <c r="H175" s="539"/>
      <c r="J175" s="556"/>
      <c r="K175" s="556"/>
      <c r="L175" s="556"/>
      <c r="M175" s="557"/>
      <c r="N175" s="556"/>
      <c r="O175" s="556"/>
      <c r="P175" s="539"/>
      <c r="R175" s="556"/>
      <c r="S175" s="556"/>
      <c r="T175" s="556"/>
      <c r="U175" s="557"/>
      <c r="V175" s="556"/>
      <c r="W175" s="556"/>
      <c r="X175" s="8"/>
      <c r="Y175" s="8"/>
      <c r="Z175" s="8"/>
      <c r="AA175" s="8"/>
      <c r="AB175" s="8"/>
    </row>
    <row r="176">
      <c r="B176" s="572"/>
      <c r="C176" s="572"/>
      <c r="D176" s="572"/>
      <c r="E176" s="573"/>
      <c r="F176" s="572"/>
      <c r="G176" s="572"/>
      <c r="H176" s="539"/>
      <c r="J176" s="556"/>
      <c r="K176" s="556"/>
      <c r="L176" s="556"/>
      <c r="M176" s="557"/>
      <c r="N176" s="556"/>
      <c r="O176" s="556"/>
      <c r="P176" s="539"/>
      <c r="R176" s="556"/>
      <c r="S176" s="556"/>
      <c r="T176" s="556"/>
      <c r="U176" s="557"/>
      <c r="V176" s="556"/>
      <c r="W176" s="556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538"/>
      <c r="F177" s="8"/>
      <c r="G177" s="8"/>
      <c r="H177" s="539"/>
      <c r="I177" s="8"/>
      <c r="J177" s="264"/>
      <c r="K177" s="544"/>
      <c r="L177" s="8"/>
      <c r="M177" s="538"/>
      <c r="N177" s="8"/>
      <c r="O177" s="8"/>
      <c r="P177" s="539"/>
      <c r="Q177" s="8"/>
      <c r="R177" s="264"/>
      <c r="S177" s="544"/>
      <c r="T177" s="8"/>
      <c r="U177" s="538"/>
      <c r="V177" s="8"/>
      <c r="W177" s="8"/>
      <c r="X177" s="8"/>
      <c r="Y177" s="8"/>
      <c r="Z177" s="8"/>
      <c r="AA177" s="8"/>
      <c r="AB177" s="8"/>
    </row>
    <row r="178">
      <c r="A178" s="264" t="s">
        <v>432</v>
      </c>
      <c r="B178" s="565"/>
      <c r="C178" s="565"/>
      <c r="D178" s="565"/>
      <c r="E178" s="564"/>
      <c r="F178" s="565"/>
      <c r="G178" s="565"/>
      <c r="H178" s="539"/>
      <c r="I178" s="264" t="s">
        <v>432</v>
      </c>
      <c r="J178" s="563"/>
      <c r="K178" s="563"/>
      <c r="L178" s="563"/>
      <c r="M178" s="566"/>
      <c r="N178" s="563"/>
      <c r="O178" s="563"/>
      <c r="P178" s="539"/>
      <c r="Q178" s="264" t="s">
        <v>432</v>
      </c>
      <c r="R178" s="563"/>
      <c r="S178" s="563"/>
      <c r="T178" s="563"/>
      <c r="U178" s="566"/>
      <c r="V178" s="563"/>
      <c r="W178" s="563"/>
      <c r="X178" s="8"/>
      <c r="Y178" s="8"/>
      <c r="Z178" s="8"/>
      <c r="AA178" s="8"/>
      <c r="AB178" s="8"/>
    </row>
    <row r="179">
      <c r="B179" s="565"/>
      <c r="C179" s="565"/>
      <c r="D179" s="565"/>
      <c r="E179" s="564"/>
      <c r="F179" s="565"/>
      <c r="G179" s="565"/>
      <c r="H179" s="539"/>
      <c r="J179" s="563"/>
      <c r="K179" s="563"/>
      <c r="L179" s="563"/>
      <c r="M179" s="566"/>
      <c r="N179" s="563"/>
      <c r="O179" s="563"/>
      <c r="P179" s="539"/>
      <c r="R179" s="563"/>
      <c r="S179" s="563"/>
      <c r="T179" s="563"/>
      <c r="U179" s="566"/>
      <c r="V179" s="563"/>
      <c r="W179" s="563"/>
      <c r="X179" s="8"/>
      <c r="Y179" s="8"/>
      <c r="Z179" s="8"/>
      <c r="AA179" s="8"/>
      <c r="AB179" s="8"/>
    </row>
    <row r="180">
      <c r="B180" s="565"/>
      <c r="C180" s="565"/>
      <c r="D180" s="565"/>
      <c r="E180" s="564"/>
      <c r="F180" s="565"/>
      <c r="G180" s="565"/>
      <c r="H180" s="539"/>
      <c r="J180" s="563"/>
      <c r="K180" s="563"/>
      <c r="L180" s="563"/>
      <c r="M180" s="566"/>
      <c r="N180" s="563"/>
      <c r="O180" s="563"/>
      <c r="P180" s="539"/>
      <c r="R180" s="563"/>
      <c r="S180" s="563"/>
      <c r="T180" s="563"/>
      <c r="U180" s="566"/>
      <c r="V180" s="563"/>
      <c r="W180" s="563"/>
      <c r="X180" s="8"/>
      <c r="Y180" s="8"/>
      <c r="Z180" s="8"/>
      <c r="AA180" s="8"/>
      <c r="AB180" s="8"/>
    </row>
    <row r="181">
      <c r="B181" s="565"/>
      <c r="C181" s="565"/>
      <c r="D181" s="565"/>
      <c r="E181" s="564"/>
      <c r="F181" s="565"/>
      <c r="G181" s="565"/>
      <c r="H181" s="539"/>
      <c r="J181" s="563"/>
      <c r="K181" s="563"/>
      <c r="L181" s="563"/>
      <c r="M181" s="566"/>
      <c r="N181" s="563"/>
      <c r="O181" s="563"/>
      <c r="P181" s="539"/>
      <c r="R181" s="563"/>
      <c r="S181" s="563"/>
      <c r="T181" s="563"/>
      <c r="U181" s="566"/>
      <c r="V181" s="563"/>
      <c r="W181" s="563"/>
      <c r="X181" s="8"/>
      <c r="Y181" s="8"/>
      <c r="Z181" s="8"/>
      <c r="AA181" s="8"/>
      <c r="AB181" s="8"/>
    </row>
    <row r="182">
      <c r="B182" s="565"/>
      <c r="C182" s="565"/>
      <c r="D182" s="565"/>
      <c r="E182" s="564"/>
      <c r="F182" s="565"/>
      <c r="G182" s="565"/>
      <c r="H182" s="539"/>
      <c r="J182" s="563"/>
      <c r="K182" s="563"/>
      <c r="L182" s="563"/>
      <c r="M182" s="566"/>
      <c r="N182" s="563"/>
      <c r="O182" s="563"/>
      <c r="P182" s="539"/>
      <c r="R182" s="563"/>
      <c r="S182" s="563"/>
      <c r="T182" s="563"/>
      <c r="U182" s="566"/>
      <c r="V182" s="563"/>
      <c r="W182" s="563"/>
      <c r="X182" s="8"/>
      <c r="Y182" s="8"/>
      <c r="Z182" s="8"/>
      <c r="AA182" s="8"/>
      <c r="AB182" s="8"/>
    </row>
    <row r="183">
      <c r="A183" s="264" t="s">
        <v>438</v>
      </c>
      <c r="B183" s="8"/>
      <c r="C183" s="8"/>
      <c r="D183" s="8"/>
      <c r="E183" s="538"/>
      <c r="F183" s="8"/>
      <c r="G183" s="8"/>
      <c r="H183" s="539"/>
      <c r="I183" s="264" t="s">
        <v>438</v>
      </c>
      <c r="J183" s="544"/>
      <c r="K183" s="8"/>
      <c r="L183" s="8"/>
      <c r="M183" s="538"/>
      <c r="N183" s="8"/>
      <c r="O183" s="8"/>
      <c r="P183" s="539"/>
      <c r="Q183" s="264" t="s">
        <v>438</v>
      </c>
      <c r="R183" s="544"/>
      <c r="S183" s="8"/>
      <c r="T183" s="8"/>
      <c r="U183" s="53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538"/>
      <c r="F184" s="8"/>
      <c r="G184" s="8"/>
      <c r="H184" s="541"/>
      <c r="I184" s="264"/>
      <c r="J184" s="544"/>
      <c r="K184" s="8"/>
      <c r="L184" s="8"/>
      <c r="M184" s="538"/>
      <c r="N184" s="8"/>
      <c r="O184" s="8"/>
      <c r="P184" s="539"/>
      <c r="Q184" s="264"/>
      <c r="R184" s="544"/>
      <c r="S184" s="8"/>
      <c r="T184" s="8"/>
      <c r="U184" s="538"/>
      <c r="V184" s="8"/>
      <c r="W184" s="8"/>
      <c r="X184" s="8"/>
      <c r="Y184" s="8"/>
      <c r="Z184" s="8"/>
      <c r="AA184" s="8"/>
      <c r="AB184" s="8"/>
    </row>
    <row r="185">
      <c r="A185" s="551" t="s">
        <v>409</v>
      </c>
      <c r="B185" s="551" t="s">
        <v>19</v>
      </c>
      <c r="C185" s="551" t="s">
        <v>20</v>
      </c>
      <c r="D185" s="551" t="s">
        <v>410</v>
      </c>
      <c r="E185" s="552"/>
      <c r="F185" s="551"/>
      <c r="G185" s="551"/>
      <c r="H185" s="551"/>
      <c r="I185" s="551"/>
      <c r="J185" s="551" t="s">
        <v>19</v>
      </c>
      <c r="K185" s="551" t="s">
        <v>20</v>
      </c>
      <c r="L185" s="551"/>
      <c r="M185" s="551" t="s">
        <v>410</v>
      </c>
      <c r="N185" s="551"/>
      <c r="O185" s="551"/>
      <c r="P185" s="553"/>
      <c r="Q185" s="553"/>
      <c r="R185" s="551" t="s">
        <v>19</v>
      </c>
      <c r="S185" s="551" t="s">
        <v>20</v>
      </c>
      <c r="T185" s="553"/>
      <c r="U185" s="551" t="s">
        <v>410</v>
      </c>
      <c r="V185" s="553"/>
      <c r="W185" s="553"/>
      <c r="X185" s="8"/>
      <c r="Y185" s="8"/>
      <c r="Z185" s="8"/>
      <c r="AA185" s="8"/>
      <c r="AB185" s="8"/>
    </row>
    <row r="186">
      <c r="A186" s="92"/>
      <c r="D186" s="8"/>
      <c r="E186" s="538"/>
      <c r="F186" s="264"/>
      <c r="G186" s="8"/>
      <c r="H186" s="541"/>
      <c r="I186" s="264"/>
      <c r="J186" s="264"/>
      <c r="K186" s="264"/>
      <c r="L186" s="544"/>
      <c r="M186" s="544"/>
      <c r="N186" s="544"/>
      <c r="O186" s="544"/>
      <c r="P186" s="539"/>
      <c r="Q186" s="264"/>
      <c r="R186" s="264"/>
      <c r="S186" s="264"/>
      <c r="T186" s="8"/>
      <c r="U186" s="544"/>
      <c r="V186" s="8"/>
      <c r="W186" s="8"/>
      <c r="X186" s="8"/>
      <c r="Y186" s="8"/>
      <c r="Z186" s="8"/>
      <c r="AA186" s="8"/>
      <c r="AB186" s="8"/>
    </row>
    <row r="187">
      <c r="A187" s="264"/>
      <c r="B187" s="8"/>
      <c r="C187" s="264" t="s">
        <v>414</v>
      </c>
      <c r="D187" s="8"/>
      <c r="E187" s="538"/>
      <c r="F187" s="8"/>
      <c r="G187" s="8"/>
      <c r="H187" s="545"/>
      <c r="I187" s="509" t="s">
        <v>23</v>
      </c>
      <c r="J187" s="217"/>
      <c r="K187" s="264" t="s">
        <v>414</v>
      </c>
      <c r="L187" s="8"/>
      <c r="M187" s="538"/>
      <c r="N187" s="8"/>
      <c r="O187" s="8"/>
      <c r="P187" s="539"/>
      <c r="Q187" s="509" t="s">
        <v>24</v>
      </c>
      <c r="R187" s="217"/>
      <c r="S187" s="264" t="s">
        <v>414</v>
      </c>
      <c r="T187" s="8"/>
      <c r="U187" s="538"/>
      <c r="V187" s="8"/>
      <c r="W187" s="8"/>
      <c r="X187" s="8"/>
      <c r="Y187" s="8"/>
      <c r="Z187" s="8"/>
      <c r="AA187" s="8"/>
      <c r="AB187" s="8"/>
    </row>
    <row r="188">
      <c r="A188" s="264"/>
      <c r="B188" s="509" t="s">
        <v>415</v>
      </c>
      <c r="C188" s="509" t="s">
        <v>267</v>
      </c>
      <c r="D188" s="509" t="s">
        <v>416</v>
      </c>
      <c r="E188" s="540" t="s">
        <v>417</v>
      </c>
      <c r="F188" s="509" t="s">
        <v>418</v>
      </c>
      <c r="G188" s="509" t="s">
        <v>419</v>
      </c>
      <c r="H188" s="539"/>
      <c r="I188" s="264"/>
      <c r="J188" s="509" t="s">
        <v>415</v>
      </c>
      <c r="K188" s="509" t="s">
        <v>267</v>
      </c>
      <c r="L188" s="509" t="s">
        <v>420</v>
      </c>
      <c r="M188" s="540" t="s">
        <v>417</v>
      </c>
      <c r="N188" s="509" t="s">
        <v>418</v>
      </c>
      <c r="O188" s="509" t="s">
        <v>419</v>
      </c>
      <c r="P188" s="539"/>
      <c r="Q188" s="264"/>
      <c r="R188" s="509" t="s">
        <v>415</v>
      </c>
      <c r="S188" s="509" t="s">
        <v>267</v>
      </c>
      <c r="T188" s="509" t="s">
        <v>420</v>
      </c>
      <c r="U188" s="540" t="s">
        <v>417</v>
      </c>
      <c r="V188" s="509" t="s">
        <v>418</v>
      </c>
      <c r="W188" s="509" t="s">
        <v>419</v>
      </c>
      <c r="X188" s="8"/>
      <c r="Y188" s="8"/>
      <c r="Z188" s="8"/>
      <c r="AA188" s="8"/>
      <c r="AB188" s="8"/>
    </row>
    <row r="189">
      <c r="A189" s="264" t="s">
        <v>421</v>
      </c>
      <c r="B189" s="572"/>
      <c r="C189" s="572"/>
      <c r="D189" s="572"/>
      <c r="E189" s="573"/>
      <c r="F189" s="572"/>
      <c r="G189" s="572"/>
      <c r="H189" s="539"/>
      <c r="I189" s="264" t="s">
        <v>421</v>
      </c>
      <c r="J189" s="556"/>
      <c r="K189" s="556"/>
      <c r="L189" s="556"/>
      <c r="M189" s="557"/>
      <c r="N189" s="556"/>
      <c r="O189" s="556"/>
      <c r="P189" s="539"/>
      <c r="Q189" s="264" t="s">
        <v>421</v>
      </c>
      <c r="R189" s="556"/>
      <c r="S189" s="556"/>
      <c r="T189" s="556"/>
      <c r="U189" s="557"/>
      <c r="V189" s="556"/>
      <c r="W189" s="556"/>
      <c r="X189" s="8"/>
      <c r="Y189" s="8"/>
      <c r="Z189" s="8"/>
      <c r="AA189" s="8"/>
      <c r="AB189" s="8"/>
    </row>
    <row r="190">
      <c r="B190" s="572"/>
      <c r="C190" s="572"/>
      <c r="D190" s="572"/>
      <c r="E190" s="573"/>
      <c r="F190" s="572"/>
      <c r="G190" s="572"/>
      <c r="H190" s="539"/>
      <c r="J190" s="556"/>
      <c r="K190" s="556"/>
      <c r="L190" s="556"/>
      <c r="M190" s="557"/>
      <c r="N190" s="556"/>
      <c r="O190" s="556"/>
      <c r="P190" s="539"/>
      <c r="R190" s="556"/>
      <c r="S190" s="556"/>
      <c r="T190" s="556"/>
      <c r="U190" s="557"/>
      <c r="V190" s="556"/>
      <c r="W190" s="556"/>
      <c r="X190" s="8"/>
      <c r="Y190" s="8"/>
      <c r="Z190" s="8"/>
      <c r="AA190" s="8"/>
      <c r="AB190" s="8"/>
    </row>
    <row r="191">
      <c r="B191" s="572"/>
      <c r="C191" s="572"/>
      <c r="D191" s="572"/>
      <c r="E191" s="573"/>
      <c r="F191" s="572"/>
      <c r="G191" s="572"/>
      <c r="H191" s="539"/>
      <c r="J191" s="574"/>
      <c r="K191" s="574"/>
      <c r="L191" s="556"/>
      <c r="M191" s="557"/>
      <c r="N191" s="556"/>
      <c r="O191" s="556"/>
      <c r="P191" s="539"/>
      <c r="R191" s="574"/>
      <c r="S191" s="574"/>
      <c r="T191" s="556"/>
      <c r="U191" s="557"/>
      <c r="V191" s="556"/>
      <c r="W191" s="556"/>
      <c r="X191" s="8"/>
      <c r="Y191" s="8"/>
      <c r="Z191" s="8"/>
      <c r="AA191" s="8"/>
      <c r="AB191" s="8"/>
    </row>
    <row r="192">
      <c r="B192" s="572"/>
      <c r="C192" s="572"/>
      <c r="D192" s="572"/>
      <c r="E192" s="573"/>
      <c r="F192" s="572"/>
      <c r="G192" s="572"/>
      <c r="H192" s="539"/>
      <c r="J192" s="556"/>
      <c r="K192" s="556"/>
      <c r="L192" s="556"/>
      <c r="M192" s="557"/>
      <c r="N192" s="556"/>
      <c r="O192" s="556"/>
      <c r="P192" s="539"/>
      <c r="R192" s="556"/>
      <c r="S192" s="556"/>
      <c r="T192" s="556"/>
      <c r="U192" s="557"/>
      <c r="V192" s="556"/>
      <c r="W192" s="556"/>
      <c r="X192" s="8"/>
      <c r="Y192" s="8"/>
      <c r="Z192" s="8"/>
      <c r="AA192" s="8"/>
      <c r="AB192" s="8"/>
    </row>
    <row r="193">
      <c r="B193" s="572"/>
      <c r="C193" s="572"/>
      <c r="D193" s="572"/>
      <c r="E193" s="573"/>
      <c r="F193" s="572"/>
      <c r="G193" s="572"/>
      <c r="H193" s="539"/>
      <c r="J193" s="556"/>
      <c r="K193" s="556"/>
      <c r="L193" s="556"/>
      <c r="M193" s="557"/>
      <c r="N193" s="556"/>
      <c r="O193" s="556"/>
      <c r="P193" s="539"/>
      <c r="R193" s="556"/>
      <c r="S193" s="556"/>
      <c r="T193" s="556"/>
      <c r="U193" s="557"/>
      <c r="V193" s="556"/>
      <c r="W193" s="556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538"/>
      <c r="F194" s="8"/>
      <c r="G194" s="8"/>
      <c r="H194" s="539"/>
      <c r="I194" s="8"/>
      <c r="J194" s="264"/>
      <c r="K194" s="544"/>
      <c r="L194" s="8"/>
      <c r="M194" s="538"/>
      <c r="N194" s="8"/>
      <c r="O194" s="8"/>
      <c r="P194" s="539"/>
      <c r="Q194" s="8"/>
      <c r="R194" s="264"/>
      <c r="S194" s="544"/>
      <c r="T194" s="8"/>
      <c r="U194" s="538"/>
      <c r="V194" s="8"/>
      <c r="W194" s="8"/>
      <c r="X194" s="8"/>
      <c r="Y194" s="8"/>
      <c r="Z194" s="8"/>
      <c r="AA194" s="8"/>
      <c r="AB194" s="8"/>
    </row>
    <row r="195">
      <c r="A195" s="264" t="s">
        <v>432</v>
      </c>
      <c r="B195" s="565"/>
      <c r="C195" s="565"/>
      <c r="D195" s="565"/>
      <c r="E195" s="564"/>
      <c r="F195" s="565"/>
      <c r="G195" s="565"/>
      <c r="H195" s="539"/>
      <c r="I195" s="264" t="s">
        <v>432</v>
      </c>
      <c r="J195" s="563"/>
      <c r="K195" s="563"/>
      <c r="L195" s="563"/>
      <c r="M195" s="566"/>
      <c r="N195" s="563"/>
      <c r="O195" s="563"/>
      <c r="P195" s="539"/>
      <c r="Q195" s="264" t="s">
        <v>432</v>
      </c>
      <c r="R195" s="563"/>
      <c r="S195" s="563"/>
      <c r="T195" s="563"/>
      <c r="U195" s="566"/>
      <c r="V195" s="563"/>
      <c r="W195" s="563"/>
      <c r="X195" s="8"/>
      <c r="Y195" s="8"/>
      <c r="Z195" s="8"/>
      <c r="AA195" s="8"/>
      <c r="AB195" s="8"/>
    </row>
    <row r="196">
      <c r="B196" s="565"/>
      <c r="C196" s="565"/>
      <c r="D196" s="565"/>
      <c r="E196" s="564"/>
      <c r="F196" s="565"/>
      <c r="G196" s="565"/>
      <c r="H196" s="539"/>
      <c r="J196" s="563"/>
      <c r="K196" s="563"/>
      <c r="L196" s="563"/>
      <c r="M196" s="566"/>
      <c r="N196" s="563"/>
      <c r="O196" s="563"/>
      <c r="P196" s="539"/>
      <c r="R196" s="563"/>
      <c r="S196" s="563"/>
      <c r="T196" s="563"/>
      <c r="U196" s="566"/>
      <c r="V196" s="563"/>
      <c r="W196" s="563"/>
      <c r="X196" s="8"/>
      <c r="Y196" s="8"/>
      <c r="Z196" s="8"/>
      <c r="AA196" s="8"/>
      <c r="AB196" s="8"/>
    </row>
    <row r="197">
      <c r="B197" s="565"/>
      <c r="C197" s="565"/>
      <c r="D197" s="565"/>
      <c r="E197" s="564"/>
      <c r="F197" s="565"/>
      <c r="G197" s="565"/>
      <c r="H197" s="539"/>
      <c r="J197" s="563"/>
      <c r="K197" s="563"/>
      <c r="L197" s="563"/>
      <c r="M197" s="566"/>
      <c r="N197" s="563"/>
      <c r="O197" s="563"/>
      <c r="P197" s="539"/>
      <c r="R197" s="563"/>
      <c r="S197" s="563"/>
      <c r="T197" s="563"/>
      <c r="U197" s="566"/>
      <c r="V197" s="563"/>
      <c r="W197" s="563"/>
      <c r="X197" s="8"/>
      <c r="Y197" s="8"/>
      <c r="Z197" s="8"/>
      <c r="AA197" s="8"/>
      <c r="AB197" s="8"/>
    </row>
    <row r="198">
      <c r="B198" s="565"/>
      <c r="C198" s="565"/>
      <c r="D198" s="565"/>
      <c r="E198" s="564"/>
      <c r="F198" s="565"/>
      <c r="G198" s="565"/>
      <c r="H198" s="539"/>
      <c r="J198" s="563"/>
      <c r="K198" s="563"/>
      <c r="L198" s="563"/>
      <c r="M198" s="566"/>
      <c r="N198" s="563"/>
      <c r="O198" s="563"/>
      <c r="P198" s="539"/>
      <c r="R198" s="563"/>
      <c r="S198" s="563"/>
      <c r="T198" s="563"/>
      <c r="U198" s="566"/>
      <c r="V198" s="563"/>
      <c r="W198" s="563"/>
      <c r="X198" s="8"/>
      <c r="Y198" s="8"/>
      <c r="Z198" s="8"/>
      <c r="AA198" s="8"/>
      <c r="AB198" s="8"/>
    </row>
    <row r="199">
      <c r="B199" s="565"/>
      <c r="C199" s="565"/>
      <c r="D199" s="565"/>
      <c r="E199" s="564"/>
      <c r="F199" s="565"/>
      <c r="G199" s="565"/>
      <c r="H199" s="539"/>
      <c r="J199" s="563"/>
      <c r="K199" s="563"/>
      <c r="L199" s="563"/>
      <c r="M199" s="566"/>
      <c r="N199" s="563"/>
      <c r="O199" s="563"/>
      <c r="P199" s="539"/>
      <c r="R199" s="563"/>
      <c r="S199" s="563"/>
      <c r="T199" s="563"/>
      <c r="U199" s="566"/>
      <c r="V199" s="563"/>
      <c r="W199" s="563"/>
      <c r="X199" s="8"/>
      <c r="Y199" s="8"/>
      <c r="Z199" s="8"/>
      <c r="AA199" s="8"/>
      <c r="AB199" s="8"/>
    </row>
    <row r="200">
      <c r="A200" s="264" t="s">
        <v>438</v>
      </c>
      <c r="B200" s="8"/>
      <c r="C200" s="8"/>
      <c r="D200" s="8"/>
      <c r="E200" s="538"/>
      <c r="F200" s="8"/>
      <c r="G200" s="8"/>
      <c r="H200" s="539"/>
      <c r="I200" s="264" t="s">
        <v>438</v>
      </c>
      <c r="J200" s="544"/>
      <c r="K200" s="8"/>
      <c r="L200" s="8"/>
      <c r="M200" s="538"/>
      <c r="N200" s="8"/>
      <c r="O200" s="8"/>
      <c r="P200" s="539"/>
      <c r="Q200" s="264" t="s">
        <v>438</v>
      </c>
      <c r="R200" s="544"/>
      <c r="S200" s="8"/>
      <c r="T200" s="8"/>
      <c r="U200" s="53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538"/>
      <c r="F201" s="8"/>
      <c r="G201" s="8"/>
      <c r="H201" s="541"/>
      <c r="I201" s="264"/>
      <c r="J201" s="544"/>
      <c r="K201" s="8"/>
      <c r="L201" s="8"/>
      <c r="M201" s="538"/>
      <c r="N201" s="8"/>
      <c r="O201" s="8"/>
      <c r="P201" s="539"/>
      <c r="Q201" s="264"/>
      <c r="R201" s="544"/>
      <c r="S201" s="8"/>
      <c r="T201" s="8"/>
      <c r="U201" s="538"/>
      <c r="V201" s="8"/>
      <c r="W201" s="8"/>
      <c r="X201" s="8"/>
      <c r="Y201" s="8"/>
      <c r="Z201" s="8"/>
      <c r="AA201" s="8"/>
      <c r="AB201" s="8"/>
    </row>
    <row r="202">
      <c r="A202" s="551" t="s">
        <v>409</v>
      </c>
      <c r="B202" s="551" t="s">
        <v>19</v>
      </c>
      <c r="C202" s="551" t="s">
        <v>20</v>
      </c>
      <c r="D202" s="551" t="s">
        <v>410</v>
      </c>
      <c r="E202" s="552"/>
      <c r="F202" s="551"/>
      <c r="G202" s="551"/>
      <c r="H202" s="551"/>
      <c r="I202" s="551"/>
      <c r="J202" s="551" t="s">
        <v>19</v>
      </c>
      <c r="K202" s="551" t="s">
        <v>20</v>
      </c>
      <c r="L202" s="551"/>
      <c r="M202" s="551" t="s">
        <v>410</v>
      </c>
      <c r="N202" s="551"/>
      <c r="O202" s="551"/>
      <c r="P202" s="553"/>
      <c r="Q202" s="553"/>
      <c r="R202" s="551" t="s">
        <v>19</v>
      </c>
      <c r="S202" s="551" t="s">
        <v>20</v>
      </c>
      <c r="T202" s="553"/>
      <c r="U202" s="551" t="s">
        <v>410</v>
      </c>
      <c r="V202" s="553"/>
      <c r="W202" s="553"/>
      <c r="X202" s="8"/>
      <c r="Y202" s="8"/>
      <c r="Z202" s="8"/>
      <c r="AA202" s="8"/>
      <c r="AB202" s="8"/>
    </row>
    <row r="203">
      <c r="A203" s="92"/>
      <c r="D203" s="8"/>
      <c r="E203" s="538"/>
      <c r="F203" s="264"/>
      <c r="G203" s="8"/>
      <c r="H203" s="541"/>
      <c r="I203" s="264"/>
      <c r="J203" s="264"/>
      <c r="K203" s="264"/>
      <c r="L203" s="544"/>
      <c r="M203" s="544"/>
      <c r="N203" s="544"/>
      <c r="O203" s="544"/>
      <c r="P203" s="539"/>
      <c r="Q203" s="264"/>
      <c r="R203" s="264"/>
      <c r="S203" s="264"/>
      <c r="T203" s="8"/>
      <c r="U203" s="544"/>
      <c r="V203" s="8"/>
      <c r="W203" s="8"/>
      <c r="X203" s="8"/>
      <c r="Y203" s="8"/>
      <c r="Z203" s="8"/>
      <c r="AA203" s="8"/>
      <c r="AB203" s="8"/>
    </row>
    <row r="204">
      <c r="A204" s="264"/>
      <c r="B204" s="8"/>
      <c r="C204" s="264" t="s">
        <v>414</v>
      </c>
      <c r="D204" s="8"/>
      <c r="E204" s="538"/>
      <c r="F204" s="8"/>
      <c r="G204" s="8"/>
      <c r="H204" s="545"/>
      <c r="I204" s="509" t="s">
        <v>23</v>
      </c>
      <c r="J204" s="217"/>
      <c r="K204" s="264" t="s">
        <v>414</v>
      </c>
      <c r="L204" s="8"/>
      <c r="M204" s="538"/>
      <c r="N204" s="8"/>
      <c r="O204" s="8"/>
      <c r="P204" s="539"/>
      <c r="Q204" s="509" t="s">
        <v>24</v>
      </c>
      <c r="R204" s="217"/>
      <c r="S204" s="264" t="s">
        <v>414</v>
      </c>
      <c r="T204" s="8"/>
      <c r="U204" s="538"/>
      <c r="V204" s="8"/>
      <c r="W204" s="8"/>
      <c r="X204" s="8"/>
      <c r="Y204" s="8"/>
      <c r="Z204" s="8"/>
      <c r="AA204" s="8"/>
      <c r="AB204" s="8"/>
    </row>
    <row r="205">
      <c r="A205" s="264"/>
      <c r="B205" s="509" t="s">
        <v>415</v>
      </c>
      <c r="C205" s="509" t="s">
        <v>267</v>
      </c>
      <c r="D205" s="509" t="s">
        <v>416</v>
      </c>
      <c r="E205" s="540" t="s">
        <v>417</v>
      </c>
      <c r="F205" s="509" t="s">
        <v>418</v>
      </c>
      <c r="G205" s="509" t="s">
        <v>419</v>
      </c>
      <c r="H205" s="539"/>
      <c r="I205" s="264"/>
      <c r="J205" s="509" t="s">
        <v>415</v>
      </c>
      <c r="K205" s="509" t="s">
        <v>267</v>
      </c>
      <c r="L205" s="509" t="s">
        <v>420</v>
      </c>
      <c r="M205" s="540" t="s">
        <v>417</v>
      </c>
      <c r="N205" s="509" t="s">
        <v>418</v>
      </c>
      <c r="O205" s="509" t="s">
        <v>419</v>
      </c>
      <c r="P205" s="539"/>
      <c r="Q205" s="264"/>
      <c r="R205" s="509" t="s">
        <v>415</v>
      </c>
      <c r="S205" s="509" t="s">
        <v>267</v>
      </c>
      <c r="T205" s="509" t="s">
        <v>420</v>
      </c>
      <c r="U205" s="540" t="s">
        <v>417</v>
      </c>
      <c r="V205" s="509" t="s">
        <v>418</v>
      </c>
      <c r="W205" s="509" t="s">
        <v>419</v>
      </c>
      <c r="X205" s="8"/>
      <c r="Y205" s="8"/>
      <c r="Z205" s="8"/>
      <c r="AA205" s="8"/>
      <c r="AB205" s="8"/>
    </row>
    <row r="206">
      <c r="A206" s="264" t="s">
        <v>421</v>
      </c>
      <c r="B206" s="572"/>
      <c r="C206" s="572"/>
      <c r="D206" s="572"/>
      <c r="E206" s="573"/>
      <c r="F206" s="572"/>
      <c r="G206" s="572"/>
      <c r="H206" s="539"/>
      <c r="I206" s="264" t="s">
        <v>421</v>
      </c>
      <c r="J206" s="556"/>
      <c r="K206" s="556"/>
      <c r="L206" s="556"/>
      <c r="M206" s="557"/>
      <c r="N206" s="556"/>
      <c r="O206" s="556"/>
      <c r="P206" s="539"/>
      <c r="Q206" s="264" t="s">
        <v>421</v>
      </c>
      <c r="R206" s="556"/>
      <c r="S206" s="556"/>
      <c r="T206" s="556"/>
      <c r="U206" s="557"/>
      <c r="V206" s="556"/>
      <c r="W206" s="556"/>
      <c r="X206" s="8"/>
      <c r="Y206" s="8"/>
      <c r="Z206" s="8"/>
      <c r="AA206" s="8"/>
      <c r="AB206" s="8"/>
    </row>
    <row r="207">
      <c r="B207" s="572"/>
      <c r="C207" s="572"/>
      <c r="D207" s="572"/>
      <c r="E207" s="573"/>
      <c r="F207" s="572"/>
      <c r="G207" s="572"/>
      <c r="H207" s="539"/>
      <c r="J207" s="556"/>
      <c r="K207" s="556"/>
      <c r="L207" s="556"/>
      <c r="M207" s="557"/>
      <c r="N207" s="556"/>
      <c r="O207" s="556"/>
      <c r="P207" s="539"/>
      <c r="R207" s="556"/>
      <c r="S207" s="556"/>
      <c r="T207" s="556"/>
      <c r="U207" s="557"/>
      <c r="V207" s="556"/>
      <c r="W207" s="556"/>
      <c r="X207" s="8"/>
      <c r="Y207" s="8"/>
      <c r="Z207" s="8"/>
      <c r="AA207" s="8"/>
      <c r="AB207" s="8"/>
    </row>
    <row r="208">
      <c r="B208" s="572"/>
      <c r="C208" s="572"/>
      <c r="D208" s="572"/>
      <c r="E208" s="573"/>
      <c r="F208" s="572"/>
      <c r="G208" s="572"/>
      <c r="H208" s="539"/>
      <c r="J208" s="574"/>
      <c r="K208" s="574"/>
      <c r="L208" s="556"/>
      <c r="M208" s="557"/>
      <c r="N208" s="556"/>
      <c r="O208" s="556"/>
      <c r="P208" s="539"/>
      <c r="R208" s="574"/>
      <c r="S208" s="574"/>
      <c r="T208" s="556"/>
      <c r="U208" s="557"/>
      <c r="V208" s="556"/>
      <c r="W208" s="556"/>
      <c r="X208" s="8"/>
      <c r="Y208" s="8"/>
      <c r="Z208" s="8"/>
      <c r="AA208" s="8"/>
      <c r="AB208" s="8"/>
    </row>
    <row r="209">
      <c r="B209" s="572"/>
      <c r="C209" s="572"/>
      <c r="D209" s="572"/>
      <c r="E209" s="573"/>
      <c r="F209" s="572"/>
      <c r="G209" s="572"/>
      <c r="H209" s="539"/>
      <c r="J209" s="556"/>
      <c r="K209" s="556"/>
      <c r="L209" s="556"/>
      <c r="M209" s="557"/>
      <c r="N209" s="556"/>
      <c r="O209" s="556"/>
      <c r="P209" s="539"/>
      <c r="R209" s="556"/>
      <c r="S209" s="556"/>
      <c r="T209" s="556"/>
      <c r="U209" s="557"/>
      <c r="V209" s="556"/>
      <c r="W209" s="556"/>
      <c r="X209" s="8"/>
      <c r="Y209" s="8"/>
      <c r="Z209" s="8"/>
      <c r="AA209" s="8"/>
      <c r="AB209" s="8"/>
    </row>
    <row r="210">
      <c r="B210" s="572"/>
      <c r="C210" s="572"/>
      <c r="D210" s="572"/>
      <c r="E210" s="573"/>
      <c r="F210" s="572"/>
      <c r="G210" s="572"/>
      <c r="H210" s="539"/>
      <c r="J210" s="556"/>
      <c r="K210" s="556"/>
      <c r="L210" s="556"/>
      <c r="M210" s="557"/>
      <c r="N210" s="556"/>
      <c r="O210" s="556"/>
      <c r="P210" s="539"/>
      <c r="R210" s="556"/>
      <c r="S210" s="556"/>
      <c r="T210" s="556"/>
      <c r="U210" s="557"/>
      <c r="V210" s="556"/>
      <c r="W210" s="556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538"/>
      <c r="F211" s="8"/>
      <c r="G211" s="8"/>
      <c r="H211" s="539"/>
      <c r="I211" s="8"/>
      <c r="J211" s="264"/>
      <c r="K211" s="544"/>
      <c r="L211" s="8"/>
      <c r="M211" s="538"/>
      <c r="N211" s="8"/>
      <c r="O211" s="8"/>
      <c r="P211" s="539"/>
      <c r="Q211" s="8"/>
      <c r="R211" s="264"/>
      <c r="S211" s="544"/>
      <c r="T211" s="8"/>
      <c r="U211" s="538"/>
      <c r="V211" s="8"/>
      <c r="W211" s="8"/>
      <c r="X211" s="8"/>
      <c r="Y211" s="8"/>
      <c r="Z211" s="8"/>
      <c r="AA211" s="8"/>
      <c r="AB211" s="8"/>
    </row>
    <row r="212">
      <c r="A212" s="264" t="s">
        <v>432</v>
      </c>
      <c r="B212" s="565"/>
      <c r="C212" s="565"/>
      <c r="D212" s="565"/>
      <c r="E212" s="564"/>
      <c r="F212" s="565"/>
      <c r="G212" s="565"/>
      <c r="H212" s="539"/>
      <c r="I212" s="264" t="s">
        <v>432</v>
      </c>
      <c r="J212" s="563"/>
      <c r="K212" s="563"/>
      <c r="L212" s="563"/>
      <c r="M212" s="566"/>
      <c r="N212" s="563"/>
      <c r="O212" s="563"/>
      <c r="P212" s="539"/>
      <c r="Q212" s="264" t="s">
        <v>432</v>
      </c>
      <c r="R212" s="563"/>
      <c r="S212" s="563"/>
      <c r="T212" s="563"/>
      <c r="U212" s="566"/>
      <c r="V212" s="563"/>
      <c r="W212" s="563"/>
      <c r="X212" s="8"/>
      <c r="Y212" s="8"/>
      <c r="Z212" s="8"/>
      <c r="AA212" s="8"/>
      <c r="AB212" s="8"/>
    </row>
    <row r="213">
      <c r="B213" s="565"/>
      <c r="C213" s="565"/>
      <c r="D213" s="565"/>
      <c r="E213" s="564"/>
      <c r="F213" s="565"/>
      <c r="G213" s="565"/>
      <c r="H213" s="539"/>
      <c r="J213" s="563"/>
      <c r="K213" s="563"/>
      <c r="L213" s="563"/>
      <c r="M213" s="566"/>
      <c r="N213" s="563"/>
      <c r="O213" s="563"/>
      <c r="P213" s="539"/>
      <c r="R213" s="563"/>
      <c r="S213" s="563"/>
      <c r="T213" s="563"/>
      <c r="U213" s="566"/>
      <c r="V213" s="563"/>
      <c r="W213" s="563"/>
      <c r="X213" s="8"/>
      <c r="Y213" s="8"/>
      <c r="Z213" s="8"/>
      <c r="AA213" s="8"/>
      <c r="AB213" s="8"/>
    </row>
    <row r="214">
      <c r="B214" s="565"/>
      <c r="C214" s="565"/>
      <c r="D214" s="565"/>
      <c r="E214" s="564"/>
      <c r="F214" s="565"/>
      <c r="G214" s="565"/>
      <c r="H214" s="539"/>
      <c r="J214" s="563"/>
      <c r="K214" s="563"/>
      <c r="L214" s="563"/>
      <c r="M214" s="566"/>
      <c r="N214" s="563"/>
      <c r="O214" s="563"/>
      <c r="P214" s="539"/>
      <c r="R214" s="563"/>
      <c r="S214" s="563"/>
      <c r="T214" s="563"/>
      <c r="U214" s="566"/>
      <c r="V214" s="563"/>
      <c r="W214" s="563"/>
      <c r="X214" s="8"/>
      <c r="Y214" s="8"/>
      <c r="Z214" s="8"/>
      <c r="AA214" s="8"/>
      <c r="AB214" s="8"/>
    </row>
    <row r="215">
      <c r="B215" s="565"/>
      <c r="C215" s="565"/>
      <c r="D215" s="565"/>
      <c r="E215" s="564"/>
      <c r="F215" s="565"/>
      <c r="G215" s="565"/>
      <c r="H215" s="539"/>
      <c r="J215" s="563"/>
      <c r="K215" s="563"/>
      <c r="L215" s="563"/>
      <c r="M215" s="566"/>
      <c r="N215" s="563"/>
      <c r="O215" s="563"/>
      <c r="P215" s="539"/>
      <c r="R215" s="563"/>
      <c r="S215" s="563"/>
      <c r="T215" s="563"/>
      <c r="U215" s="566"/>
      <c r="V215" s="563"/>
      <c r="W215" s="563"/>
      <c r="X215" s="8"/>
      <c r="Y215" s="8"/>
      <c r="Z215" s="8"/>
      <c r="AA215" s="8"/>
      <c r="AB215" s="8"/>
    </row>
    <row r="216">
      <c r="B216" s="565"/>
      <c r="C216" s="565"/>
      <c r="D216" s="565"/>
      <c r="E216" s="564"/>
      <c r="F216" s="565"/>
      <c r="G216" s="565"/>
      <c r="H216" s="539"/>
      <c r="J216" s="563"/>
      <c r="K216" s="563"/>
      <c r="L216" s="563"/>
      <c r="M216" s="566"/>
      <c r="N216" s="563"/>
      <c r="O216" s="563"/>
      <c r="P216" s="539"/>
      <c r="R216" s="563"/>
      <c r="S216" s="563"/>
      <c r="T216" s="563"/>
      <c r="U216" s="566"/>
      <c r="V216" s="563"/>
      <c r="W216" s="563"/>
      <c r="X216" s="8"/>
      <c r="Y216" s="8"/>
      <c r="Z216" s="8"/>
      <c r="AA216" s="8"/>
      <c r="AB216" s="8"/>
    </row>
    <row r="217">
      <c r="A217" s="264" t="s">
        <v>438</v>
      </c>
      <c r="B217" s="8"/>
      <c r="C217" s="8"/>
      <c r="D217" s="8"/>
      <c r="E217" s="538"/>
      <c r="F217" s="8"/>
      <c r="G217" s="8"/>
      <c r="H217" s="539"/>
      <c r="I217" s="264" t="s">
        <v>438</v>
      </c>
      <c r="J217" s="544"/>
      <c r="K217" s="8"/>
      <c r="L217" s="8"/>
      <c r="M217" s="538"/>
      <c r="N217" s="8"/>
      <c r="O217" s="8"/>
      <c r="P217" s="539"/>
      <c r="Q217" s="264" t="s">
        <v>438</v>
      </c>
      <c r="R217" s="544"/>
      <c r="S217" s="8"/>
      <c r="T217" s="8"/>
      <c r="U217" s="53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538"/>
      <c r="F218" s="8"/>
      <c r="G218" s="8"/>
      <c r="H218" s="541"/>
      <c r="I218" s="264"/>
      <c r="J218" s="544"/>
      <c r="K218" s="8"/>
      <c r="L218" s="8"/>
      <c r="M218" s="538"/>
      <c r="N218" s="8"/>
      <c r="O218" s="8"/>
      <c r="P218" s="539"/>
      <c r="Q218" s="264"/>
      <c r="R218" s="544"/>
      <c r="S218" s="8"/>
      <c r="T218" s="8"/>
      <c r="U218" s="538"/>
      <c r="V218" s="8"/>
      <c r="W218" s="8"/>
      <c r="X218" s="8"/>
      <c r="Y218" s="8"/>
      <c r="Z218" s="8"/>
      <c r="AA218" s="8"/>
      <c r="AB218" s="8"/>
    </row>
    <row r="219">
      <c r="A219" s="551" t="s">
        <v>409</v>
      </c>
      <c r="B219" s="551" t="s">
        <v>19</v>
      </c>
      <c r="C219" s="551" t="s">
        <v>20</v>
      </c>
      <c r="D219" s="551" t="s">
        <v>410</v>
      </c>
      <c r="E219" s="552"/>
      <c r="F219" s="551"/>
      <c r="G219" s="551"/>
      <c r="H219" s="551"/>
      <c r="I219" s="551"/>
      <c r="J219" s="551" t="s">
        <v>19</v>
      </c>
      <c r="K219" s="551" t="s">
        <v>20</v>
      </c>
      <c r="L219" s="551"/>
      <c r="M219" s="551" t="s">
        <v>410</v>
      </c>
      <c r="N219" s="551"/>
      <c r="O219" s="551"/>
      <c r="P219" s="553"/>
      <c r="Q219" s="553"/>
      <c r="R219" s="551" t="s">
        <v>19</v>
      </c>
      <c r="S219" s="551" t="s">
        <v>20</v>
      </c>
      <c r="T219" s="553"/>
      <c r="U219" s="551" t="s">
        <v>410</v>
      </c>
      <c r="V219" s="553"/>
      <c r="W219" s="553"/>
      <c r="X219" s="8"/>
      <c r="Y219" s="8"/>
      <c r="Z219" s="8"/>
      <c r="AA219" s="8"/>
      <c r="AB219" s="8"/>
    </row>
    <row r="220">
      <c r="A220" s="92"/>
      <c r="D220" s="8"/>
      <c r="E220" s="538"/>
      <c r="F220" s="264"/>
      <c r="G220" s="8"/>
      <c r="H220" s="541"/>
      <c r="I220" s="264"/>
      <c r="J220" s="264"/>
      <c r="K220" s="264"/>
      <c r="L220" s="544"/>
      <c r="M220" s="544"/>
      <c r="N220" s="544"/>
      <c r="O220" s="544"/>
      <c r="P220" s="539"/>
      <c r="Q220" s="264"/>
      <c r="R220" s="264"/>
      <c r="S220" s="264"/>
      <c r="T220" s="8"/>
      <c r="U220" s="544"/>
      <c r="V220" s="8"/>
      <c r="W220" s="8"/>
      <c r="X220" s="8"/>
      <c r="Y220" s="8"/>
      <c r="Z220" s="8"/>
      <c r="AA220" s="8"/>
      <c r="AB220" s="8"/>
    </row>
    <row r="221">
      <c r="A221" s="264"/>
      <c r="B221" s="8"/>
      <c r="C221" s="264" t="s">
        <v>414</v>
      </c>
      <c r="D221" s="8"/>
      <c r="E221" s="538"/>
      <c r="F221" s="8"/>
      <c r="G221" s="8"/>
      <c r="H221" s="545"/>
      <c r="I221" s="509" t="s">
        <v>23</v>
      </c>
      <c r="J221" s="217"/>
      <c r="K221" s="264" t="s">
        <v>414</v>
      </c>
      <c r="L221" s="8"/>
      <c r="M221" s="538"/>
      <c r="N221" s="8"/>
      <c r="O221" s="8"/>
      <c r="P221" s="539"/>
      <c r="Q221" s="509" t="s">
        <v>24</v>
      </c>
      <c r="R221" s="217"/>
      <c r="S221" s="264" t="s">
        <v>414</v>
      </c>
      <c r="T221" s="8"/>
      <c r="U221" s="538"/>
      <c r="V221" s="8"/>
      <c r="W221" s="8"/>
      <c r="X221" s="8"/>
      <c r="Y221" s="8"/>
      <c r="Z221" s="8"/>
      <c r="AA221" s="8"/>
      <c r="AB221" s="8"/>
    </row>
    <row r="222">
      <c r="A222" s="264"/>
      <c r="B222" s="509" t="s">
        <v>415</v>
      </c>
      <c r="C222" s="509" t="s">
        <v>267</v>
      </c>
      <c r="D222" s="509" t="s">
        <v>416</v>
      </c>
      <c r="E222" s="540" t="s">
        <v>417</v>
      </c>
      <c r="F222" s="509" t="s">
        <v>418</v>
      </c>
      <c r="G222" s="509" t="s">
        <v>419</v>
      </c>
      <c r="H222" s="539"/>
      <c r="I222" s="264"/>
      <c r="J222" s="509" t="s">
        <v>415</v>
      </c>
      <c r="K222" s="509" t="s">
        <v>267</v>
      </c>
      <c r="L222" s="509" t="s">
        <v>420</v>
      </c>
      <c r="M222" s="540" t="s">
        <v>417</v>
      </c>
      <c r="N222" s="509" t="s">
        <v>418</v>
      </c>
      <c r="O222" s="509" t="s">
        <v>419</v>
      </c>
      <c r="P222" s="539"/>
      <c r="Q222" s="264"/>
      <c r="R222" s="509" t="s">
        <v>415</v>
      </c>
      <c r="S222" s="509" t="s">
        <v>267</v>
      </c>
      <c r="T222" s="509" t="s">
        <v>420</v>
      </c>
      <c r="U222" s="540" t="s">
        <v>417</v>
      </c>
      <c r="V222" s="509" t="s">
        <v>418</v>
      </c>
      <c r="W222" s="509" t="s">
        <v>419</v>
      </c>
      <c r="X222" s="8"/>
      <c r="Y222" s="8"/>
      <c r="Z222" s="8"/>
      <c r="AA222" s="8"/>
      <c r="AB222" s="8"/>
    </row>
    <row r="223">
      <c r="A223" s="264" t="s">
        <v>421</v>
      </c>
      <c r="B223" s="572"/>
      <c r="C223" s="572"/>
      <c r="D223" s="572"/>
      <c r="E223" s="573"/>
      <c r="F223" s="572"/>
      <c r="G223" s="572"/>
      <c r="H223" s="539"/>
      <c r="I223" s="264" t="s">
        <v>421</v>
      </c>
      <c r="J223" s="556"/>
      <c r="K223" s="556"/>
      <c r="L223" s="556"/>
      <c r="M223" s="557"/>
      <c r="N223" s="556"/>
      <c r="O223" s="556"/>
      <c r="P223" s="539"/>
      <c r="Q223" s="264" t="s">
        <v>421</v>
      </c>
      <c r="R223" s="556"/>
      <c r="S223" s="556"/>
      <c r="T223" s="556"/>
      <c r="U223" s="557"/>
      <c r="V223" s="556"/>
      <c r="W223" s="556"/>
      <c r="X223" s="8"/>
      <c r="Y223" s="8"/>
      <c r="Z223" s="8"/>
      <c r="AA223" s="8"/>
      <c r="AB223" s="8"/>
    </row>
    <row r="224">
      <c r="B224" s="572"/>
      <c r="C224" s="572"/>
      <c r="D224" s="572"/>
      <c r="E224" s="573"/>
      <c r="F224" s="572"/>
      <c r="G224" s="572"/>
      <c r="H224" s="539"/>
      <c r="J224" s="556"/>
      <c r="K224" s="556"/>
      <c r="L224" s="556"/>
      <c r="M224" s="557"/>
      <c r="N224" s="556"/>
      <c r="O224" s="556"/>
      <c r="P224" s="539"/>
      <c r="R224" s="556"/>
      <c r="S224" s="556"/>
      <c r="T224" s="556"/>
      <c r="U224" s="557"/>
      <c r="V224" s="556"/>
      <c r="W224" s="556"/>
      <c r="X224" s="8"/>
      <c r="Y224" s="8"/>
      <c r="Z224" s="8"/>
      <c r="AA224" s="8"/>
      <c r="AB224" s="8"/>
    </row>
    <row r="225">
      <c r="B225" s="572"/>
      <c r="C225" s="572"/>
      <c r="D225" s="572"/>
      <c r="E225" s="573"/>
      <c r="F225" s="572"/>
      <c r="G225" s="572"/>
      <c r="H225" s="539"/>
      <c r="J225" s="574"/>
      <c r="K225" s="574"/>
      <c r="L225" s="556"/>
      <c r="M225" s="557"/>
      <c r="N225" s="556"/>
      <c r="O225" s="556"/>
      <c r="P225" s="539"/>
      <c r="R225" s="574"/>
      <c r="S225" s="574"/>
      <c r="T225" s="556"/>
      <c r="U225" s="557"/>
      <c r="V225" s="556"/>
      <c r="W225" s="556"/>
      <c r="X225" s="8"/>
      <c r="Y225" s="8"/>
      <c r="Z225" s="8"/>
      <c r="AA225" s="8"/>
      <c r="AB225" s="8"/>
    </row>
    <row r="226">
      <c r="B226" s="572"/>
      <c r="C226" s="572"/>
      <c r="D226" s="572"/>
      <c r="E226" s="573"/>
      <c r="F226" s="572"/>
      <c r="G226" s="572"/>
      <c r="H226" s="539"/>
      <c r="J226" s="556"/>
      <c r="K226" s="556"/>
      <c r="L226" s="556"/>
      <c r="M226" s="557"/>
      <c r="N226" s="556"/>
      <c r="O226" s="556"/>
      <c r="P226" s="539"/>
      <c r="R226" s="556"/>
      <c r="S226" s="556"/>
      <c r="T226" s="556"/>
      <c r="U226" s="557"/>
      <c r="V226" s="556"/>
      <c r="W226" s="556"/>
      <c r="X226" s="8"/>
      <c r="Y226" s="8"/>
      <c r="Z226" s="8"/>
      <c r="AA226" s="8"/>
      <c r="AB226" s="8"/>
    </row>
    <row r="227">
      <c r="B227" s="572"/>
      <c r="C227" s="572"/>
      <c r="D227" s="572"/>
      <c r="E227" s="573"/>
      <c r="F227" s="572"/>
      <c r="G227" s="572"/>
      <c r="H227" s="539"/>
      <c r="J227" s="556"/>
      <c r="K227" s="556"/>
      <c r="L227" s="556"/>
      <c r="M227" s="557"/>
      <c r="N227" s="556"/>
      <c r="O227" s="556"/>
      <c r="P227" s="539"/>
      <c r="R227" s="556"/>
      <c r="S227" s="556"/>
      <c r="T227" s="556"/>
      <c r="U227" s="557"/>
      <c r="V227" s="556"/>
      <c r="W227" s="556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538"/>
      <c r="F228" s="8"/>
      <c r="G228" s="8"/>
      <c r="H228" s="539"/>
      <c r="I228" s="8"/>
      <c r="J228" s="264"/>
      <c r="K228" s="544"/>
      <c r="L228" s="8"/>
      <c r="M228" s="538"/>
      <c r="N228" s="8"/>
      <c r="O228" s="8"/>
      <c r="P228" s="539"/>
      <c r="Q228" s="8"/>
      <c r="R228" s="264"/>
      <c r="S228" s="544"/>
      <c r="T228" s="8"/>
      <c r="U228" s="538"/>
      <c r="V228" s="8"/>
      <c r="W228" s="8"/>
      <c r="X228" s="8"/>
      <c r="Y228" s="8"/>
      <c r="Z228" s="8"/>
      <c r="AA228" s="8"/>
      <c r="AB228" s="8"/>
    </row>
    <row r="229">
      <c r="A229" s="264" t="s">
        <v>432</v>
      </c>
      <c r="B229" s="565"/>
      <c r="C229" s="565"/>
      <c r="D229" s="565"/>
      <c r="E229" s="564"/>
      <c r="F229" s="565"/>
      <c r="G229" s="565"/>
      <c r="H229" s="539"/>
      <c r="I229" s="264" t="s">
        <v>432</v>
      </c>
      <c r="J229" s="563"/>
      <c r="K229" s="563"/>
      <c r="L229" s="563"/>
      <c r="M229" s="566"/>
      <c r="N229" s="563"/>
      <c r="O229" s="563"/>
      <c r="P229" s="539"/>
      <c r="Q229" s="264" t="s">
        <v>432</v>
      </c>
      <c r="R229" s="563"/>
      <c r="S229" s="563"/>
      <c r="T229" s="563"/>
      <c r="U229" s="566"/>
      <c r="V229" s="563"/>
      <c r="W229" s="563"/>
      <c r="X229" s="8"/>
      <c r="Y229" s="8"/>
      <c r="Z229" s="8"/>
      <c r="AA229" s="8"/>
      <c r="AB229" s="8"/>
    </row>
    <row r="230">
      <c r="B230" s="565"/>
      <c r="C230" s="565"/>
      <c r="D230" s="565"/>
      <c r="E230" s="564"/>
      <c r="F230" s="565"/>
      <c r="G230" s="565"/>
      <c r="H230" s="539"/>
      <c r="J230" s="563"/>
      <c r="K230" s="563"/>
      <c r="L230" s="563"/>
      <c r="M230" s="566"/>
      <c r="N230" s="563"/>
      <c r="O230" s="563"/>
      <c r="P230" s="539"/>
      <c r="R230" s="563"/>
      <c r="S230" s="563"/>
      <c r="T230" s="563"/>
      <c r="U230" s="566"/>
      <c r="V230" s="563"/>
      <c r="W230" s="563"/>
      <c r="X230" s="8"/>
      <c r="Y230" s="8"/>
      <c r="Z230" s="8"/>
      <c r="AA230" s="8"/>
      <c r="AB230" s="8"/>
    </row>
    <row r="231">
      <c r="B231" s="565"/>
      <c r="C231" s="565"/>
      <c r="D231" s="565"/>
      <c r="E231" s="564"/>
      <c r="F231" s="565"/>
      <c r="G231" s="565"/>
      <c r="H231" s="539"/>
      <c r="J231" s="563"/>
      <c r="K231" s="563"/>
      <c r="L231" s="563"/>
      <c r="M231" s="566"/>
      <c r="N231" s="563"/>
      <c r="O231" s="563"/>
      <c r="P231" s="539"/>
      <c r="R231" s="563"/>
      <c r="S231" s="563"/>
      <c r="T231" s="563"/>
      <c r="U231" s="566"/>
      <c r="V231" s="563"/>
      <c r="W231" s="563"/>
      <c r="X231" s="8"/>
      <c r="Y231" s="8"/>
      <c r="Z231" s="8"/>
      <c r="AA231" s="8"/>
      <c r="AB231" s="8"/>
    </row>
    <row r="232">
      <c r="B232" s="565"/>
      <c r="C232" s="565"/>
      <c r="D232" s="565"/>
      <c r="E232" s="564"/>
      <c r="F232" s="565"/>
      <c r="G232" s="565"/>
      <c r="H232" s="539"/>
      <c r="J232" s="563"/>
      <c r="K232" s="563"/>
      <c r="L232" s="563"/>
      <c r="M232" s="566"/>
      <c r="N232" s="563"/>
      <c r="O232" s="563"/>
      <c r="P232" s="539"/>
      <c r="R232" s="563"/>
      <c r="S232" s="563"/>
      <c r="T232" s="563"/>
      <c r="U232" s="566"/>
      <c r="V232" s="563"/>
      <c r="W232" s="563"/>
      <c r="X232" s="8"/>
      <c r="Y232" s="8"/>
      <c r="Z232" s="8"/>
      <c r="AA232" s="8"/>
      <c r="AB232" s="8"/>
    </row>
    <row r="233">
      <c r="B233" s="565"/>
      <c r="C233" s="565"/>
      <c r="D233" s="565"/>
      <c r="E233" s="564"/>
      <c r="F233" s="565"/>
      <c r="G233" s="565"/>
      <c r="H233" s="539"/>
      <c r="J233" s="563"/>
      <c r="K233" s="563"/>
      <c r="L233" s="563"/>
      <c r="M233" s="566"/>
      <c r="N233" s="563"/>
      <c r="O233" s="563"/>
      <c r="P233" s="539"/>
      <c r="R233" s="563"/>
      <c r="S233" s="563"/>
      <c r="T233" s="563"/>
      <c r="U233" s="566"/>
      <c r="V233" s="563"/>
      <c r="W233" s="563"/>
      <c r="X233" s="8"/>
      <c r="Y233" s="8"/>
      <c r="Z233" s="8"/>
      <c r="AA233" s="8"/>
      <c r="AB233" s="8"/>
    </row>
    <row r="234">
      <c r="A234" s="264" t="s">
        <v>438</v>
      </c>
      <c r="B234" s="8"/>
      <c r="C234" s="8"/>
      <c r="D234" s="8"/>
      <c r="E234" s="538"/>
      <c r="F234" s="8"/>
      <c r="G234" s="8"/>
      <c r="H234" s="539"/>
      <c r="I234" s="264" t="s">
        <v>438</v>
      </c>
      <c r="J234" s="544"/>
      <c r="K234" s="8"/>
      <c r="L234" s="8"/>
      <c r="M234" s="538"/>
      <c r="N234" s="8"/>
      <c r="O234" s="8"/>
      <c r="P234" s="539"/>
      <c r="Q234" s="264" t="s">
        <v>438</v>
      </c>
      <c r="R234" s="544"/>
      <c r="S234" s="8"/>
      <c r="T234" s="8"/>
      <c r="U234" s="53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538"/>
      <c r="F235" s="8"/>
      <c r="G235" s="8"/>
      <c r="H235" s="541"/>
      <c r="I235" s="264"/>
      <c r="J235" s="544"/>
      <c r="K235" s="8"/>
      <c r="L235" s="8"/>
      <c r="M235" s="538"/>
      <c r="N235" s="8"/>
      <c r="O235" s="8"/>
      <c r="P235" s="539"/>
      <c r="Q235" s="264"/>
      <c r="R235" s="544"/>
      <c r="S235" s="8"/>
      <c r="T235" s="8"/>
      <c r="U235" s="538"/>
      <c r="V235" s="8"/>
      <c r="W235" s="8"/>
      <c r="X235" s="8"/>
      <c r="Y235" s="8"/>
      <c r="Z235" s="8"/>
      <c r="AA235" s="8"/>
      <c r="AB235" s="8"/>
    </row>
    <row r="236">
      <c r="A236" s="551" t="s">
        <v>409</v>
      </c>
      <c r="B236" s="551" t="s">
        <v>19</v>
      </c>
      <c r="C236" s="551" t="s">
        <v>20</v>
      </c>
      <c r="D236" s="551" t="s">
        <v>410</v>
      </c>
      <c r="E236" s="552"/>
      <c r="F236" s="551"/>
      <c r="G236" s="551"/>
      <c r="H236" s="551"/>
      <c r="I236" s="551"/>
      <c r="J236" s="551" t="s">
        <v>19</v>
      </c>
      <c r="K236" s="551" t="s">
        <v>20</v>
      </c>
      <c r="L236" s="551"/>
      <c r="M236" s="551" t="s">
        <v>410</v>
      </c>
      <c r="N236" s="551"/>
      <c r="O236" s="551"/>
      <c r="P236" s="553"/>
      <c r="Q236" s="553"/>
      <c r="R236" s="551" t="s">
        <v>19</v>
      </c>
      <c r="S236" s="551" t="s">
        <v>20</v>
      </c>
      <c r="T236" s="553"/>
      <c r="U236" s="551" t="s">
        <v>410</v>
      </c>
      <c r="V236" s="553"/>
      <c r="W236" s="553"/>
      <c r="X236" s="8"/>
      <c r="Y236" s="8"/>
      <c r="Z236" s="8"/>
      <c r="AA236" s="8"/>
      <c r="AB236" s="8"/>
    </row>
    <row r="237">
      <c r="A237" s="92"/>
      <c r="D237" s="8"/>
      <c r="E237" s="538"/>
      <c r="F237" s="264"/>
      <c r="G237" s="8"/>
      <c r="H237" s="541"/>
      <c r="I237" s="264"/>
      <c r="J237" s="264"/>
      <c r="K237" s="264"/>
      <c r="L237" s="544"/>
      <c r="M237" s="544"/>
      <c r="N237" s="544"/>
      <c r="O237" s="544"/>
      <c r="P237" s="539"/>
      <c r="Q237" s="264"/>
      <c r="R237" s="264"/>
      <c r="S237" s="264"/>
      <c r="T237" s="8"/>
      <c r="U237" s="544"/>
      <c r="V237" s="8"/>
      <c r="W237" s="8"/>
      <c r="X237" s="8"/>
      <c r="Y237" s="8"/>
      <c r="Z237" s="8"/>
      <c r="AA237" s="8"/>
      <c r="AB237" s="8"/>
    </row>
    <row r="238">
      <c r="A238" s="264"/>
      <c r="B238" s="8"/>
      <c r="C238" s="264" t="s">
        <v>414</v>
      </c>
      <c r="D238" s="8"/>
      <c r="E238" s="538"/>
      <c r="F238" s="8"/>
      <c r="G238" s="8"/>
      <c r="H238" s="545"/>
      <c r="I238" s="509" t="s">
        <v>23</v>
      </c>
      <c r="J238" s="217"/>
      <c r="K238" s="264" t="s">
        <v>414</v>
      </c>
      <c r="L238" s="8"/>
      <c r="M238" s="538"/>
      <c r="N238" s="8"/>
      <c r="O238" s="8"/>
      <c r="P238" s="539"/>
      <c r="Q238" s="509" t="s">
        <v>24</v>
      </c>
      <c r="R238" s="217"/>
      <c r="S238" s="264" t="s">
        <v>414</v>
      </c>
      <c r="T238" s="8"/>
      <c r="U238" s="538"/>
      <c r="V238" s="8"/>
      <c r="W238" s="8"/>
      <c r="X238" s="8"/>
      <c r="Y238" s="8"/>
      <c r="Z238" s="8"/>
      <c r="AA238" s="8"/>
      <c r="AB238" s="8"/>
    </row>
    <row r="239">
      <c r="A239" s="264"/>
      <c r="B239" s="509" t="s">
        <v>415</v>
      </c>
      <c r="C239" s="509" t="s">
        <v>267</v>
      </c>
      <c r="D239" s="509" t="s">
        <v>416</v>
      </c>
      <c r="E239" s="540" t="s">
        <v>417</v>
      </c>
      <c r="F239" s="509" t="s">
        <v>418</v>
      </c>
      <c r="G239" s="509" t="s">
        <v>419</v>
      </c>
      <c r="H239" s="539"/>
      <c r="I239" s="264"/>
      <c r="J239" s="509" t="s">
        <v>415</v>
      </c>
      <c r="K239" s="509" t="s">
        <v>267</v>
      </c>
      <c r="L239" s="509" t="s">
        <v>420</v>
      </c>
      <c r="M239" s="540" t="s">
        <v>417</v>
      </c>
      <c r="N239" s="509" t="s">
        <v>418</v>
      </c>
      <c r="O239" s="509" t="s">
        <v>419</v>
      </c>
      <c r="P239" s="539"/>
      <c r="Q239" s="264"/>
      <c r="R239" s="509" t="s">
        <v>415</v>
      </c>
      <c r="S239" s="509" t="s">
        <v>267</v>
      </c>
      <c r="T239" s="509" t="s">
        <v>420</v>
      </c>
      <c r="U239" s="540" t="s">
        <v>417</v>
      </c>
      <c r="V239" s="509" t="s">
        <v>418</v>
      </c>
      <c r="W239" s="509" t="s">
        <v>419</v>
      </c>
      <c r="X239" s="8"/>
      <c r="Y239" s="8"/>
      <c r="Z239" s="8"/>
      <c r="AA239" s="8"/>
      <c r="AB239" s="8"/>
    </row>
    <row r="240">
      <c r="A240" s="264" t="s">
        <v>421</v>
      </c>
      <c r="B240" s="572"/>
      <c r="C240" s="572"/>
      <c r="D240" s="572"/>
      <c r="E240" s="573"/>
      <c r="F240" s="572"/>
      <c r="G240" s="572"/>
      <c r="H240" s="539"/>
      <c r="I240" s="264" t="s">
        <v>421</v>
      </c>
      <c r="J240" s="556"/>
      <c r="K240" s="556"/>
      <c r="L240" s="556"/>
      <c r="M240" s="557"/>
      <c r="N240" s="556"/>
      <c r="O240" s="556"/>
      <c r="P240" s="539"/>
      <c r="Q240" s="264" t="s">
        <v>421</v>
      </c>
      <c r="R240" s="556"/>
      <c r="S240" s="556"/>
      <c r="T240" s="556"/>
      <c r="U240" s="557"/>
      <c r="V240" s="556"/>
      <c r="W240" s="556"/>
      <c r="X240" s="8"/>
      <c r="Y240" s="8"/>
      <c r="Z240" s="8"/>
      <c r="AA240" s="8"/>
      <c r="AB240" s="8"/>
    </row>
    <row r="241">
      <c r="B241" s="572"/>
      <c r="C241" s="572"/>
      <c r="D241" s="572"/>
      <c r="E241" s="573"/>
      <c r="F241" s="572"/>
      <c r="G241" s="572"/>
      <c r="H241" s="539"/>
      <c r="J241" s="556"/>
      <c r="K241" s="556"/>
      <c r="L241" s="556"/>
      <c r="M241" s="557"/>
      <c r="N241" s="556"/>
      <c r="O241" s="556"/>
      <c r="P241" s="539"/>
      <c r="R241" s="556"/>
      <c r="S241" s="556"/>
      <c r="T241" s="556"/>
      <c r="U241" s="557"/>
      <c r="V241" s="556"/>
      <c r="W241" s="556"/>
      <c r="X241" s="8"/>
      <c r="Y241" s="8"/>
      <c r="Z241" s="8"/>
      <c r="AA241" s="8"/>
      <c r="AB241" s="8"/>
    </row>
    <row r="242">
      <c r="B242" s="572"/>
      <c r="C242" s="572"/>
      <c r="D242" s="572"/>
      <c r="E242" s="573"/>
      <c r="F242" s="572"/>
      <c r="G242" s="572"/>
      <c r="H242" s="539"/>
      <c r="J242" s="574"/>
      <c r="K242" s="574"/>
      <c r="L242" s="556"/>
      <c r="M242" s="557"/>
      <c r="N242" s="556"/>
      <c r="O242" s="556"/>
      <c r="P242" s="539"/>
      <c r="R242" s="574"/>
      <c r="S242" s="574"/>
      <c r="T242" s="556"/>
      <c r="U242" s="557"/>
      <c r="V242" s="556"/>
      <c r="W242" s="556"/>
      <c r="X242" s="8"/>
      <c r="Y242" s="8"/>
      <c r="Z242" s="8"/>
      <c r="AA242" s="8"/>
      <c r="AB242" s="8"/>
    </row>
    <row r="243">
      <c r="B243" s="572"/>
      <c r="C243" s="572"/>
      <c r="D243" s="572"/>
      <c r="E243" s="573"/>
      <c r="F243" s="572"/>
      <c r="G243" s="572"/>
      <c r="H243" s="539"/>
      <c r="J243" s="556"/>
      <c r="K243" s="556"/>
      <c r="L243" s="556"/>
      <c r="M243" s="557"/>
      <c r="N243" s="556"/>
      <c r="O243" s="556"/>
      <c r="P243" s="539"/>
      <c r="R243" s="556"/>
      <c r="S243" s="556"/>
      <c r="T243" s="556"/>
      <c r="U243" s="557"/>
      <c r="V243" s="556"/>
      <c r="W243" s="556"/>
      <c r="X243" s="8"/>
      <c r="Y243" s="8"/>
      <c r="Z243" s="8"/>
      <c r="AA243" s="8"/>
      <c r="AB243" s="8"/>
    </row>
    <row r="244">
      <c r="B244" s="572"/>
      <c r="C244" s="572"/>
      <c r="D244" s="572"/>
      <c r="E244" s="573"/>
      <c r="F244" s="572"/>
      <c r="G244" s="572"/>
      <c r="H244" s="539"/>
      <c r="J244" s="556"/>
      <c r="K244" s="556"/>
      <c r="L244" s="556"/>
      <c r="M244" s="557"/>
      <c r="N244" s="556"/>
      <c r="O244" s="556"/>
      <c r="P244" s="539"/>
      <c r="R244" s="556"/>
      <c r="S244" s="556"/>
      <c r="T244" s="556"/>
      <c r="U244" s="557"/>
      <c r="V244" s="556"/>
      <c r="W244" s="556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538"/>
      <c r="F245" s="8"/>
      <c r="G245" s="8"/>
      <c r="H245" s="539"/>
      <c r="I245" s="8"/>
      <c r="J245" s="264"/>
      <c r="K245" s="544"/>
      <c r="L245" s="8"/>
      <c r="M245" s="538"/>
      <c r="N245" s="8"/>
      <c r="O245" s="8"/>
      <c r="P245" s="539"/>
      <c r="Q245" s="8"/>
      <c r="R245" s="264"/>
      <c r="S245" s="544"/>
      <c r="T245" s="8"/>
      <c r="U245" s="538"/>
      <c r="V245" s="8"/>
      <c r="W245" s="8"/>
      <c r="X245" s="8"/>
      <c r="Y245" s="8"/>
      <c r="Z245" s="8"/>
      <c r="AA245" s="8"/>
      <c r="AB245" s="8"/>
    </row>
    <row r="246">
      <c r="A246" s="264" t="s">
        <v>432</v>
      </c>
      <c r="B246" s="565"/>
      <c r="C246" s="565"/>
      <c r="D246" s="565"/>
      <c r="E246" s="564"/>
      <c r="F246" s="565"/>
      <c r="G246" s="565"/>
      <c r="H246" s="539"/>
      <c r="I246" s="264" t="s">
        <v>432</v>
      </c>
      <c r="J246" s="563"/>
      <c r="K246" s="563"/>
      <c r="L246" s="563"/>
      <c r="M246" s="566"/>
      <c r="N246" s="563"/>
      <c r="O246" s="563"/>
      <c r="P246" s="539"/>
      <c r="Q246" s="264" t="s">
        <v>432</v>
      </c>
      <c r="R246" s="563"/>
      <c r="S246" s="563"/>
      <c r="T246" s="563"/>
      <c r="U246" s="566"/>
      <c r="V246" s="563"/>
      <c r="W246" s="563"/>
      <c r="X246" s="8"/>
      <c r="Y246" s="8"/>
      <c r="Z246" s="8"/>
      <c r="AA246" s="8"/>
      <c r="AB246" s="8"/>
    </row>
    <row r="247">
      <c r="B247" s="565"/>
      <c r="C247" s="565"/>
      <c r="D247" s="565"/>
      <c r="E247" s="564"/>
      <c r="F247" s="565"/>
      <c r="G247" s="565"/>
      <c r="H247" s="539"/>
      <c r="J247" s="563"/>
      <c r="K247" s="563"/>
      <c r="L247" s="563"/>
      <c r="M247" s="566"/>
      <c r="N247" s="563"/>
      <c r="O247" s="563"/>
      <c r="P247" s="539"/>
      <c r="R247" s="563"/>
      <c r="S247" s="563"/>
      <c r="T247" s="563"/>
      <c r="U247" s="566"/>
      <c r="V247" s="563"/>
      <c r="W247" s="563"/>
      <c r="X247" s="8"/>
      <c r="Y247" s="8"/>
      <c r="Z247" s="8"/>
      <c r="AA247" s="8"/>
      <c r="AB247" s="8"/>
    </row>
    <row r="248">
      <c r="B248" s="565"/>
      <c r="C248" s="565"/>
      <c r="D248" s="565"/>
      <c r="E248" s="564"/>
      <c r="F248" s="565"/>
      <c r="G248" s="565"/>
      <c r="H248" s="539"/>
      <c r="J248" s="563"/>
      <c r="K248" s="563"/>
      <c r="L248" s="563"/>
      <c r="M248" s="566"/>
      <c r="N248" s="563"/>
      <c r="O248" s="563"/>
      <c r="P248" s="539"/>
      <c r="R248" s="563"/>
      <c r="S248" s="563"/>
      <c r="T248" s="563"/>
      <c r="U248" s="566"/>
      <c r="V248" s="563"/>
      <c r="W248" s="563"/>
      <c r="X248" s="8"/>
      <c r="Y248" s="8"/>
      <c r="Z248" s="8"/>
      <c r="AA248" s="8"/>
      <c r="AB248" s="8"/>
    </row>
    <row r="249">
      <c r="B249" s="565"/>
      <c r="C249" s="565"/>
      <c r="D249" s="565"/>
      <c r="E249" s="564"/>
      <c r="F249" s="565"/>
      <c r="G249" s="565"/>
      <c r="H249" s="539"/>
      <c r="J249" s="563"/>
      <c r="K249" s="563"/>
      <c r="L249" s="563"/>
      <c r="M249" s="566"/>
      <c r="N249" s="563"/>
      <c r="O249" s="563"/>
      <c r="P249" s="539"/>
      <c r="R249" s="563"/>
      <c r="S249" s="563"/>
      <c r="T249" s="563"/>
      <c r="U249" s="566"/>
      <c r="V249" s="563"/>
      <c r="W249" s="563"/>
      <c r="X249" s="8"/>
      <c r="Y249" s="8"/>
      <c r="Z249" s="8"/>
      <c r="AA249" s="8"/>
      <c r="AB249" s="8"/>
    </row>
    <row r="250">
      <c r="B250" s="565"/>
      <c r="C250" s="565"/>
      <c r="D250" s="565"/>
      <c r="E250" s="564"/>
      <c r="F250" s="565"/>
      <c r="G250" s="565"/>
      <c r="H250" s="539"/>
      <c r="J250" s="563"/>
      <c r="K250" s="563"/>
      <c r="L250" s="563"/>
      <c r="M250" s="566"/>
      <c r="N250" s="563"/>
      <c r="O250" s="563"/>
      <c r="P250" s="539"/>
      <c r="R250" s="563"/>
      <c r="S250" s="563"/>
      <c r="T250" s="563"/>
      <c r="U250" s="566"/>
      <c r="V250" s="563"/>
      <c r="W250" s="563"/>
      <c r="X250" s="8"/>
      <c r="Y250" s="8"/>
      <c r="Z250" s="8"/>
      <c r="AA250" s="8"/>
      <c r="AB250" s="8"/>
    </row>
    <row r="251">
      <c r="A251" s="264" t="s">
        <v>438</v>
      </c>
      <c r="B251" s="8"/>
      <c r="C251" s="8"/>
      <c r="D251" s="8"/>
      <c r="E251" s="538"/>
      <c r="F251" s="8"/>
      <c r="G251" s="8"/>
      <c r="H251" s="539"/>
      <c r="I251" s="264" t="s">
        <v>438</v>
      </c>
      <c r="J251" s="544"/>
      <c r="K251" s="8"/>
      <c r="L251" s="8"/>
      <c r="M251" s="538"/>
      <c r="N251" s="8"/>
      <c r="O251" s="8"/>
      <c r="P251" s="539"/>
      <c r="Q251" s="264" t="s">
        <v>438</v>
      </c>
      <c r="R251" s="544"/>
      <c r="S251" s="8"/>
      <c r="T251" s="8"/>
      <c r="U251" s="53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538"/>
      <c r="F252" s="8"/>
      <c r="G252" s="8"/>
      <c r="H252" s="541"/>
      <c r="I252" s="264"/>
      <c r="J252" s="544"/>
      <c r="K252" s="8"/>
      <c r="L252" s="8"/>
      <c r="M252" s="538"/>
      <c r="N252" s="8"/>
      <c r="O252" s="8"/>
      <c r="P252" s="539"/>
      <c r="Q252" s="264"/>
      <c r="R252" s="544"/>
      <c r="S252" s="8"/>
      <c r="T252" s="8"/>
      <c r="U252" s="538"/>
      <c r="V252" s="8"/>
      <c r="W252" s="8"/>
      <c r="X252" s="8"/>
      <c r="Y252" s="8"/>
      <c r="Z252" s="8"/>
      <c r="AA252" s="8"/>
      <c r="AB252" s="8"/>
    </row>
    <row r="253">
      <c r="A253" s="551" t="s">
        <v>409</v>
      </c>
      <c r="B253" s="551" t="s">
        <v>19</v>
      </c>
      <c r="C253" s="551" t="s">
        <v>20</v>
      </c>
      <c r="D253" s="551" t="s">
        <v>410</v>
      </c>
      <c r="E253" s="552"/>
      <c r="F253" s="551"/>
      <c r="G253" s="551"/>
      <c r="H253" s="551"/>
      <c r="I253" s="551"/>
      <c r="J253" s="551" t="s">
        <v>19</v>
      </c>
      <c r="K253" s="551" t="s">
        <v>20</v>
      </c>
      <c r="L253" s="551"/>
      <c r="M253" s="551" t="s">
        <v>410</v>
      </c>
      <c r="N253" s="551"/>
      <c r="O253" s="551"/>
      <c r="P253" s="553"/>
      <c r="Q253" s="553"/>
      <c r="R253" s="551" t="s">
        <v>19</v>
      </c>
      <c r="S253" s="551" t="s">
        <v>20</v>
      </c>
      <c r="T253" s="553"/>
      <c r="U253" s="551" t="s">
        <v>410</v>
      </c>
      <c r="V253" s="553"/>
      <c r="W253" s="553"/>
      <c r="X253" s="8"/>
      <c r="Y253" s="8"/>
      <c r="Z253" s="8"/>
      <c r="AA253" s="8"/>
      <c r="AB253" s="8"/>
    </row>
    <row r="254">
      <c r="A254" s="92"/>
      <c r="D254" s="8"/>
      <c r="E254" s="538"/>
      <c r="F254" s="264"/>
      <c r="G254" s="8"/>
      <c r="H254" s="541"/>
      <c r="I254" s="264"/>
      <c r="J254" s="264"/>
      <c r="K254" s="264"/>
      <c r="L254" s="544"/>
      <c r="M254" s="544"/>
      <c r="N254" s="544"/>
      <c r="O254" s="544"/>
      <c r="P254" s="539"/>
      <c r="Q254" s="264"/>
      <c r="R254" s="264"/>
      <c r="S254" s="264"/>
      <c r="T254" s="8"/>
      <c r="U254" s="544"/>
      <c r="V254" s="8"/>
      <c r="W254" s="8"/>
      <c r="X254" s="8"/>
      <c r="Y254" s="8"/>
      <c r="Z254" s="8"/>
      <c r="AA254" s="8"/>
      <c r="AB254" s="8"/>
    </row>
    <row r="255">
      <c r="A255" s="264"/>
      <c r="B255" s="8"/>
      <c r="C255" s="264" t="s">
        <v>414</v>
      </c>
      <c r="D255" s="8"/>
      <c r="E255" s="538"/>
      <c r="F255" s="8"/>
      <c r="G255" s="8"/>
      <c r="H255" s="545"/>
      <c r="I255" s="509" t="s">
        <v>23</v>
      </c>
      <c r="J255" s="217"/>
      <c r="K255" s="264" t="s">
        <v>414</v>
      </c>
      <c r="L255" s="8"/>
      <c r="M255" s="538"/>
      <c r="N255" s="8"/>
      <c r="O255" s="8"/>
      <c r="P255" s="539"/>
      <c r="Q255" s="509" t="s">
        <v>24</v>
      </c>
      <c r="R255" s="217"/>
      <c r="S255" s="264" t="s">
        <v>414</v>
      </c>
      <c r="T255" s="8"/>
      <c r="U255" s="538"/>
      <c r="V255" s="8"/>
      <c r="W255" s="8"/>
      <c r="X255" s="8"/>
      <c r="Y255" s="8"/>
      <c r="Z255" s="8"/>
      <c r="AA255" s="8"/>
      <c r="AB255" s="8"/>
    </row>
    <row r="256">
      <c r="A256" s="264"/>
      <c r="B256" s="509" t="s">
        <v>415</v>
      </c>
      <c r="C256" s="509" t="s">
        <v>267</v>
      </c>
      <c r="D256" s="509" t="s">
        <v>416</v>
      </c>
      <c r="E256" s="540" t="s">
        <v>417</v>
      </c>
      <c r="F256" s="509" t="s">
        <v>418</v>
      </c>
      <c r="G256" s="509" t="s">
        <v>419</v>
      </c>
      <c r="H256" s="539"/>
      <c r="I256" s="264"/>
      <c r="J256" s="509" t="s">
        <v>415</v>
      </c>
      <c r="K256" s="509" t="s">
        <v>267</v>
      </c>
      <c r="L256" s="509" t="s">
        <v>420</v>
      </c>
      <c r="M256" s="540" t="s">
        <v>417</v>
      </c>
      <c r="N256" s="509" t="s">
        <v>418</v>
      </c>
      <c r="O256" s="509" t="s">
        <v>419</v>
      </c>
      <c r="P256" s="539"/>
      <c r="Q256" s="264"/>
      <c r="R256" s="509" t="s">
        <v>415</v>
      </c>
      <c r="S256" s="509" t="s">
        <v>267</v>
      </c>
      <c r="T256" s="509" t="s">
        <v>420</v>
      </c>
      <c r="U256" s="540" t="s">
        <v>417</v>
      </c>
      <c r="V256" s="509" t="s">
        <v>418</v>
      </c>
      <c r="W256" s="509" t="s">
        <v>419</v>
      </c>
      <c r="X256" s="8"/>
      <c r="Y256" s="8"/>
      <c r="Z256" s="8"/>
      <c r="AA256" s="8"/>
      <c r="AB256" s="8"/>
    </row>
    <row r="257">
      <c r="A257" s="264" t="s">
        <v>421</v>
      </c>
      <c r="B257" s="572"/>
      <c r="C257" s="572"/>
      <c r="D257" s="572"/>
      <c r="E257" s="573"/>
      <c r="F257" s="572"/>
      <c r="G257" s="572"/>
      <c r="H257" s="539"/>
      <c r="I257" s="264" t="s">
        <v>421</v>
      </c>
      <c r="J257" s="556"/>
      <c r="K257" s="556"/>
      <c r="L257" s="556"/>
      <c r="M257" s="557"/>
      <c r="N257" s="556"/>
      <c r="O257" s="556"/>
      <c r="P257" s="539"/>
      <c r="Q257" s="264" t="s">
        <v>421</v>
      </c>
      <c r="R257" s="556"/>
      <c r="S257" s="556"/>
      <c r="T257" s="556"/>
      <c r="U257" s="557"/>
      <c r="V257" s="556"/>
      <c r="W257" s="556"/>
      <c r="X257" s="8"/>
      <c r="Y257" s="8"/>
      <c r="Z257" s="8"/>
      <c r="AA257" s="8"/>
      <c r="AB257" s="8"/>
    </row>
    <row r="258">
      <c r="B258" s="572"/>
      <c r="C258" s="572"/>
      <c r="D258" s="572"/>
      <c r="E258" s="573"/>
      <c r="F258" s="572"/>
      <c r="G258" s="572"/>
      <c r="H258" s="539"/>
      <c r="J258" s="556"/>
      <c r="K258" s="556"/>
      <c r="L258" s="556"/>
      <c r="M258" s="557"/>
      <c r="N258" s="556"/>
      <c r="O258" s="556"/>
      <c r="P258" s="539"/>
      <c r="R258" s="556"/>
      <c r="S258" s="556"/>
      <c r="T258" s="556"/>
      <c r="U258" s="557"/>
      <c r="V258" s="556"/>
      <c r="W258" s="556"/>
      <c r="X258" s="8"/>
      <c r="Y258" s="8"/>
      <c r="Z258" s="8"/>
      <c r="AA258" s="8"/>
      <c r="AB258" s="8"/>
    </row>
    <row r="259">
      <c r="B259" s="572"/>
      <c r="C259" s="572"/>
      <c r="D259" s="572"/>
      <c r="E259" s="573"/>
      <c r="F259" s="572"/>
      <c r="G259" s="572"/>
      <c r="H259" s="539"/>
      <c r="J259" s="574"/>
      <c r="K259" s="574"/>
      <c r="L259" s="556"/>
      <c r="M259" s="557"/>
      <c r="N259" s="556"/>
      <c r="O259" s="556"/>
      <c r="P259" s="539"/>
      <c r="R259" s="574"/>
      <c r="S259" s="574"/>
      <c r="T259" s="556"/>
      <c r="U259" s="557"/>
      <c r="V259" s="556"/>
      <c r="W259" s="556"/>
      <c r="X259" s="8"/>
      <c r="Y259" s="8"/>
      <c r="Z259" s="8"/>
      <c r="AA259" s="8"/>
      <c r="AB259" s="8"/>
    </row>
    <row r="260">
      <c r="B260" s="572"/>
      <c r="C260" s="572"/>
      <c r="D260" s="572"/>
      <c r="E260" s="573"/>
      <c r="F260" s="572"/>
      <c r="G260" s="572"/>
      <c r="H260" s="539"/>
      <c r="J260" s="556"/>
      <c r="K260" s="556"/>
      <c r="L260" s="556"/>
      <c r="M260" s="557"/>
      <c r="N260" s="556"/>
      <c r="O260" s="556"/>
      <c r="P260" s="539"/>
      <c r="R260" s="556"/>
      <c r="S260" s="556"/>
      <c r="T260" s="556"/>
      <c r="U260" s="557"/>
      <c r="V260" s="556"/>
      <c r="W260" s="556"/>
      <c r="X260" s="8"/>
      <c r="Y260" s="8"/>
      <c r="Z260" s="8"/>
      <c r="AA260" s="8"/>
      <c r="AB260" s="8"/>
    </row>
    <row r="261">
      <c r="B261" s="572"/>
      <c r="C261" s="572"/>
      <c r="D261" s="572"/>
      <c r="E261" s="573"/>
      <c r="F261" s="572"/>
      <c r="G261" s="572"/>
      <c r="H261" s="539"/>
      <c r="J261" s="556"/>
      <c r="K261" s="556"/>
      <c r="L261" s="556"/>
      <c r="M261" s="557"/>
      <c r="N261" s="556"/>
      <c r="O261" s="556"/>
      <c r="P261" s="539"/>
      <c r="R261" s="556"/>
      <c r="S261" s="556"/>
      <c r="T261" s="556"/>
      <c r="U261" s="557"/>
      <c r="V261" s="556"/>
      <c r="W261" s="556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538"/>
      <c r="F262" s="8"/>
      <c r="G262" s="8"/>
      <c r="H262" s="539"/>
      <c r="I262" s="8"/>
      <c r="J262" s="264"/>
      <c r="K262" s="544"/>
      <c r="L262" s="8"/>
      <c r="M262" s="538"/>
      <c r="N262" s="8"/>
      <c r="O262" s="8"/>
      <c r="P262" s="539"/>
      <c r="Q262" s="8"/>
      <c r="R262" s="264"/>
      <c r="S262" s="544"/>
      <c r="T262" s="8"/>
      <c r="U262" s="538"/>
      <c r="V262" s="8"/>
      <c r="W262" s="8"/>
      <c r="X262" s="8"/>
      <c r="Y262" s="8"/>
      <c r="Z262" s="8"/>
      <c r="AA262" s="8"/>
      <c r="AB262" s="8"/>
    </row>
    <row r="263">
      <c r="A263" s="264" t="s">
        <v>432</v>
      </c>
      <c r="B263" s="565"/>
      <c r="C263" s="565"/>
      <c r="D263" s="565"/>
      <c r="E263" s="564"/>
      <c r="F263" s="565"/>
      <c r="G263" s="565"/>
      <c r="H263" s="539"/>
      <c r="I263" s="264" t="s">
        <v>432</v>
      </c>
      <c r="J263" s="563"/>
      <c r="K263" s="563"/>
      <c r="L263" s="563"/>
      <c r="M263" s="566"/>
      <c r="N263" s="563"/>
      <c r="O263" s="563"/>
      <c r="P263" s="539"/>
      <c r="Q263" s="264" t="s">
        <v>432</v>
      </c>
      <c r="R263" s="563"/>
      <c r="S263" s="563"/>
      <c r="T263" s="563"/>
      <c r="U263" s="566"/>
      <c r="V263" s="563"/>
      <c r="W263" s="563"/>
      <c r="X263" s="8"/>
      <c r="Y263" s="8"/>
      <c r="Z263" s="8"/>
      <c r="AA263" s="8"/>
      <c r="AB263" s="8"/>
    </row>
    <row r="264">
      <c r="B264" s="565"/>
      <c r="C264" s="565"/>
      <c r="D264" s="565"/>
      <c r="E264" s="564"/>
      <c r="F264" s="565"/>
      <c r="G264" s="565"/>
      <c r="H264" s="539"/>
      <c r="J264" s="563"/>
      <c r="K264" s="563"/>
      <c r="L264" s="563"/>
      <c r="M264" s="566"/>
      <c r="N264" s="563"/>
      <c r="O264" s="563"/>
      <c r="P264" s="539"/>
      <c r="R264" s="563"/>
      <c r="S264" s="563"/>
      <c r="T264" s="563"/>
      <c r="U264" s="566"/>
      <c r="V264" s="563"/>
      <c r="W264" s="563"/>
      <c r="X264" s="8"/>
      <c r="Y264" s="8"/>
      <c r="Z264" s="8"/>
      <c r="AA264" s="8"/>
      <c r="AB264" s="8"/>
    </row>
    <row r="265">
      <c r="B265" s="565"/>
      <c r="C265" s="565"/>
      <c r="D265" s="565"/>
      <c r="E265" s="564"/>
      <c r="F265" s="565"/>
      <c r="G265" s="565"/>
      <c r="H265" s="539"/>
      <c r="J265" s="563"/>
      <c r="K265" s="563"/>
      <c r="L265" s="563"/>
      <c r="M265" s="566"/>
      <c r="N265" s="563"/>
      <c r="O265" s="563"/>
      <c r="P265" s="539"/>
      <c r="R265" s="563"/>
      <c r="S265" s="563"/>
      <c r="T265" s="563"/>
      <c r="U265" s="566"/>
      <c r="V265" s="563"/>
      <c r="W265" s="563"/>
      <c r="X265" s="8"/>
      <c r="Y265" s="8"/>
      <c r="Z265" s="8"/>
      <c r="AA265" s="8"/>
      <c r="AB265" s="8"/>
    </row>
    <row r="266">
      <c r="B266" s="565"/>
      <c r="C266" s="565"/>
      <c r="D266" s="565"/>
      <c r="E266" s="564"/>
      <c r="F266" s="565"/>
      <c r="G266" s="565"/>
      <c r="H266" s="539"/>
      <c r="J266" s="563"/>
      <c r="K266" s="563"/>
      <c r="L266" s="563"/>
      <c r="M266" s="566"/>
      <c r="N266" s="563"/>
      <c r="O266" s="563"/>
      <c r="P266" s="539"/>
      <c r="R266" s="563"/>
      <c r="S266" s="563"/>
      <c r="T266" s="563"/>
      <c r="U266" s="566"/>
      <c r="V266" s="563"/>
      <c r="W266" s="563"/>
      <c r="X266" s="8"/>
      <c r="Y266" s="8"/>
      <c r="Z266" s="8"/>
      <c r="AA266" s="8"/>
      <c r="AB266" s="8"/>
    </row>
    <row r="267">
      <c r="B267" s="565"/>
      <c r="C267" s="565"/>
      <c r="D267" s="565"/>
      <c r="E267" s="564"/>
      <c r="F267" s="565"/>
      <c r="G267" s="565"/>
      <c r="H267" s="539"/>
      <c r="J267" s="563"/>
      <c r="K267" s="563"/>
      <c r="L267" s="563"/>
      <c r="M267" s="566"/>
      <c r="N267" s="563"/>
      <c r="O267" s="563"/>
      <c r="P267" s="539"/>
      <c r="R267" s="563"/>
      <c r="S267" s="563"/>
      <c r="T267" s="563"/>
      <c r="U267" s="566"/>
      <c r="V267" s="563"/>
      <c r="W267" s="563"/>
      <c r="X267" s="8"/>
      <c r="Y267" s="8"/>
      <c r="Z267" s="8"/>
      <c r="AA267" s="8"/>
      <c r="AB267" s="8"/>
    </row>
    <row r="268">
      <c r="A268" s="264" t="s">
        <v>438</v>
      </c>
      <c r="B268" s="8"/>
      <c r="C268" s="8"/>
      <c r="D268" s="8"/>
      <c r="E268" s="538"/>
      <c r="F268" s="8"/>
      <c r="G268" s="8"/>
      <c r="H268" s="539"/>
      <c r="I268" s="264" t="s">
        <v>438</v>
      </c>
      <c r="J268" s="544"/>
      <c r="K268" s="8"/>
      <c r="L268" s="8"/>
      <c r="M268" s="538"/>
      <c r="N268" s="8"/>
      <c r="O268" s="8"/>
      <c r="P268" s="539"/>
      <c r="Q268" s="264" t="s">
        <v>438</v>
      </c>
      <c r="R268" s="544"/>
      <c r="S268" s="8"/>
      <c r="T268" s="8"/>
      <c r="U268" s="53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538"/>
      <c r="F269" s="8"/>
      <c r="G269" s="8"/>
      <c r="H269" s="541"/>
      <c r="I269" s="264"/>
      <c r="J269" s="544"/>
      <c r="K269" s="8"/>
      <c r="L269" s="8"/>
      <c r="M269" s="538"/>
      <c r="N269" s="8"/>
      <c r="O269" s="8"/>
      <c r="P269" s="539"/>
      <c r="Q269" s="264"/>
      <c r="R269" s="544"/>
      <c r="S269" s="8"/>
      <c r="T269" s="8"/>
      <c r="U269" s="538"/>
      <c r="V269" s="8"/>
      <c r="W269" s="8"/>
      <c r="X269" s="8"/>
      <c r="Y269" s="8"/>
      <c r="Z269" s="8"/>
      <c r="AA269" s="8"/>
      <c r="AB269" s="8"/>
    </row>
    <row r="270">
      <c r="A270" s="551" t="s">
        <v>409</v>
      </c>
      <c r="B270" s="551" t="s">
        <v>19</v>
      </c>
      <c r="C270" s="551" t="s">
        <v>20</v>
      </c>
      <c r="D270" s="551" t="s">
        <v>410</v>
      </c>
      <c r="E270" s="552"/>
      <c r="F270" s="551"/>
      <c r="G270" s="551"/>
      <c r="H270" s="551"/>
      <c r="I270" s="551"/>
      <c r="J270" s="551" t="s">
        <v>19</v>
      </c>
      <c r="K270" s="551" t="s">
        <v>20</v>
      </c>
      <c r="L270" s="551"/>
      <c r="M270" s="551" t="s">
        <v>410</v>
      </c>
      <c r="N270" s="551"/>
      <c r="O270" s="551"/>
      <c r="P270" s="553"/>
      <c r="Q270" s="553"/>
      <c r="R270" s="551" t="s">
        <v>19</v>
      </c>
      <c r="S270" s="551" t="s">
        <v>20</v>
      </c>
      <c r="T270" s="553"/>
      <c r="U270" s="551" t="s">
        <v>410</v>
      </c>
      <c r="V270" s="553"/>
      <c r="W270" s="553"/>
      <c r="X270" s="8"/>
      <c r="Y270" s="8"/>
      <c r="Z270" s="8"/>
      <c r="AA270" s="8"/>
      <c r="AB270" s="8"/>
    </row>
    <row r="271">
      <c r="A271" s="92"/>
      <c r="D271" s="8"/>
      <c r="E271" s="538"/>
      <c r="F271" s="264"/>
      <c r="G271" s="8"/>
      <c r="H271" s="541"/>
      <c r="I271" s="264"/>
      <c r="J271" s="264"/>
      <c r="K271" s="264"/>
      <c r="L271" s="544"/>
      <c r="M271" s="544"/>
      <c r="N271" s="544"/>
      <c r="O271" s="544"/>
      <c r="P271" s="539"/>
      <c r="Q271" s="264"/>
      <c r="R271" s="264"/>
      <c r="S271" s="264"/>
      <c r="T271" s="8"/>
      <c r="U271" s="544"/>
      <c r="V271" s="8"/>
      <c r="W271" s="8"/>
      <c r="X271" s="8"/>
      <c r="Y271" s="8"/>
      <c r="Z271" s="8"/>
      <c r="AA271" s="8"/>
      <c r="AB271" s="8"/>
    </row>
    <row r="272">
      <c r="A272" s="264"/>
      <c r="B272" s="8"/>
      <c r="C272" s="264" t="s">
        <v>414</v>
      </c>
      <c r="D272" s="8"/>
      <c r="E272" s="538"/>
      <c r="F272" s="8"/>
      <c r="G272" s="8"/>
      <c r="H272" s="545"/>
      <c r="I272" s="509" t="s">
        <v>23</v>
      </c>
      <c r="J272" s="217"/>
      <c r="K272" s="264" t="s">
        <v>414</v>
      </c>
      <c r="L272" s="8"/>
      <c r="M272" s="538"/>
      <c r="N272" s="8"/>
      <c r="O272" s="8"/>
      <c r="P272" s="539"/>
      <c r="Q272" s="509" t="s">
        <v>24</v>
      </c>
      <c r="R272" s="217"/>
      <c r="S272" s="264" t="s">
        <v>414</v>
      </c>
      <c r="T272" s="8"/>
      <c r="U272" s="538"/>
      <c r="V272" s="8"/>
      <c r="W272" s="8"/>
      <c r="X272" s="8"/>
      <c r="Y272" s="8"/>
      <c r="Z272" s="8"/>
      <c r="AA272" s="8"/>
      <c r="AB272" s="8"/>
    </row>
    <row r="273">
      <c r="A273" s="264"/>
      <c r="B273" s="509" t="s">
        <v>415</v>
      </c>
      <c r="C273" s="509" t="s">
        <v>267</v>
      </c>
      <c r="D273" s="509" t="s">
        <v>416</v>
      </c>
      <c r="E273" s="540" t="s">
        <v>417</v>
      </c>
      <c r="F273" s="509" t="s">
        <v>418</v>
      </c>
      <c r="G273" s="509" t="s">
        <v>419</v>
      </c>
      <c r="H273" s="539"/>
      <c r="I273" s="264"/>
      <c r="J273" s="509" t="s">
        <v>415</v>
      </c>
      <c r="K273" s="509" t="s">
        <v>267</v>
      </c>
      <c r="L273" s="509" t="s">
        <v>420</v>
      </c>
      <c r="M273" s="540" t="s">
        <v>417</v>
      </c>
      <c r="N273" s="509" t="s">
        <v>418</v>
      </c>
      <c r="O273" s="509" t="s">
        <v>419</v>
      </c>
      <c r="P273" s="539"/>
      <c r="Q273" s="264"/>
      <c r="R273" s="509" t="s">
        <v>415</v>
      </c>
      <c r="S273" s="509" t="s">
        <v>267</v>
      </c>
      <c r="T273" s="509" t="s">
        <v>420</v>
      </c>
      <c r="U273" s="540" t="s">
        <v>417</v>
      </c>
      <c r="V273" s="509" t="s">
        <v>418</v>
      </c>
      <c r="W273" s="509" t="s">
        <v>419</v>
      </c>
      <c r="X273" s="8"/>
      <c r="Y273" s="8"/>
      <c r="Z273" s="8"/>
      <c r="AA273" s="8"/>
      <c r="AB273" s="8"/>
    </row>
    <row r="274">
      <c r="A274" s="264" t="s">
        <v>421</v>
      </c>
      <c r="B274" s="572"/>
      <c r="C274" s="572"/>
      <c r="D274" s="572"/>
      <c r="E274" s="573"/>
      <c r="F274" s="572"/>
      <c r="G274" s="572"/>
      <c r="H274" s="539"/>
      <c r="I274" s="264" t="s">
        <v>421</v>
      </c>
      <c r="J274" s="556"/>
      <c r="K274" s="556"/>
      <c r="L274" s="556"/>
      <c r="M274" s="557"/>
      <c r="N274" s="556"/>
      <c r="O274" s="556"/>
      <c r="P274" s="539"/>
      <c r="Q274" s="264" t="s">
        <v>421</v>
      </c>
      <c r="R274" s="556"/>
      <c r="S274" s="556"/>
      <c r="T274" s="556"/>
      <c r="U274" s="557"/>
      <c r="V274" s="556"/>
      <c r="W274" s="556"/>
      <c r="X274" s="8"/>
      <c r="Y274" s="8"/>
      <c r="Z274" s="8"/>
      <c r="AA274" s="8"/>
      <c r="AB274" s="8"/>
    </row>
    <row r="275">
      <c r="B275" s="572"/>
      <c r="C275" s="572"/>
      <c r="D275" s="572"/>
      <c r="E275" s="573"/>
      <c r="F275" s="572"/>
      <c r="G275" s="572"/>
      <c r="H275" s="539"/>
      <c r="J275" s="556"/>
      <c r="K275" s="556"/>
      <c r="L275" s="556"/>
      <c r="M275" s="557"/>
      <c r="N275" s="556"/>
      <c r="O275" s="556"/>
      <c r="P275" s="539"/>
      <c r="R275" s="556"/>
      <c r="S275" s="556"/>
      <c r="T275" s="556"/>
      <c r="U275" s="557"/>
      <c r="V275" s="556"/>
      <c r="W275" s="556"/>
      <c r="X275" s="8"/>
      <c r="Y275" s="8"/>
      <c r="Z275" s="8"/>
      <c r="AA275" s="8"/>
      <c r="AB275" s="8"/>
    </row>
    <row r="276">
      <c r="B276" s="572"/>
      <c r="C276" s="572"/>
      <c r="D276" s="572"/>
      <c r="E276" s="573"/>
      <c r="F276" s="572"/>
      <c r="G276" s="572"/>
      <c r="H276" s="539"/>
      <c r="J276" s="574"/>
      <c r="K276" s="574"/>
      <c r="L276" s="556"/>
      <c r="M276" s="557"/>
      <c r="N276" s="556"/>
      <c r="O276" s="556"/>
      <c r="P276" s="539"/>
      <c r="R276" s="574"/>
      <c r="S276" s="574"/>
      <c r="T276" s="556"/>
      <c r="U276" s="557"/>
      <c r="V276" s="556"/>
      <c r="W276" s="556"/>
      <c r="X276" s="8"/>
      <c r="Y276" s="8"/>
      <c r="Z276" s="8"/>
      <c r="AA276" s="8"/>
      <c r="AB276" s="8"/>
    </row>
    <row r="277">
      <c r="B277" s="572"/>
      <c r="C277" s="572"/>
      <c r="D277" s="572"/>
      <c r="E277" s="573"/>
      <c r="F277" s="572"/>
      <c r="G277" s="572"/>
      <c r="H277" s="539"/>
      <c r="J277" s="556"/>
      <c r="K277" s="556"/>
      <c r="L277" s="556"/>
      <c r="M277" s="557"/>
      <c r="N277" s="556"/>
      <c r="O277" s="556"/>
      <c r="P277" s="539"/>
      <c r="R277" s="556"/>
      <c r="S277" s="556"/>
      <c r="T277" s="556"/>
      <c r="U277" s="557"/>
      <c r="V277" s="556"/>
      <c r="W277" s="556"/>
      <c r="X277" s="8"/>
      <c r="Y277" s="8"/>
      <c r="Z277" s="8"/>
      <c r="AA277" s="8"/>
      <c r="AB277" s="8"/>
    </row>
    <row r="278">
      <c r="B278" s="572"/>
      <c r="C278" s="572"/>
      <c r="D278" s="572"/>
      <c r="E278" s="573"/>
      <c r="F278" s="572"/>
      <c r="G278" s="572"/>
      <c r="H278" s="539"/>
      <c r="J278" s="556"/>
      <c r="K278" s="556"/>
      <c r="L278" s="556"/>
      <c r="M278" s="557"/>
      <c r="N278" s="556"/>
      <c r="O278" s="556"/>
      <c r="P278" s="539"/>
      <c r="R278" s="556"/>
      <c r="S278" s="556"/>
      <c r="T278" s="556"/>
      <c r="U278" s="557"/>
      <c r="V278" s="556"/>
      <c r="W278" s="556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538"/>
      <c r="F279" s="8"/>
      <c r="G279" s="8"/>
      <c r="H279" s="539"/>
      <c r="I279" s="8"/>
      <c r="J279" s="264"/>
      <c r="K279" s="544"/>
      <c r="L279" s="8"/>
      <c r="M279" s="538"/>
      <c r="N279" s="8"/>
      <c r="O279" s="8"/>
      <c r="P279" s="539"/>
      <c r="Q279" s="8"/>
      <c r="R279" s="264"/>
      <c r="S279" s="544"/>
      <c r="T279" s="8"/>
      <c r="U279" s="538"/>
      <c r="V279" s="8"/>
      <c r="W279" s="8"/>
      <c r="X279" s="8"/>
      <c r="Y279" s="8"/>
      <c r="Z279" s="8"/>
      <c r="AA279" s="8"/>
      <c r="AB279" s="8"/>
    </row>
    <row r="280">
      <c r="A280" s="264" t="s">
        <v>432</v>
      </c>
      <c r="B280" s="565"/>
      <c r="C280" s="565"/>
      <c r="D280" s="565"/>
      <c r="E280" s="564"/>
      <c r="F280" s="565"/>
      <c r="G280" s="565"/>
      <c r="H280" s="539"/>
      <c r="I280" s="264" t="s">
        <v>432</v>
      </c>
      <c r="J280" s="563"/>
      <c r="K280" s="563"/>
      <c r="L280" s="563"/>
      <c r="M280" s="566"/>
      <c r="N280" s="563"/>
      <c r="O280" s="563"/>
      <c r="P280" s="539"/>
      <c r="Q280" s="264" t="s">
        <v>432</v>
      </c>
      <c r="R280" s="563"/>
      <c r="S280" s="563"/>
      <c r="T280" s="563"/>
      <c r="U280" s="566"/>
      <c r="V280" s="563"/>
      <c r="W280" s="563"/>
      <c r="X280" s="8"/>
      <c r="Y280" s="8"/>
      <c r="Z280" s="8"/>
      <c r="AA280" s="8"/>
      <c r="AB280" s="8"/>
    </row>
    <row r="281">
      <c r="B281" s="565"/>
      <c r="C281" s="565"/>
      <c r="D281" s="565"/>
      <c r="E281" s="564"/>
      <c r="F281" s="565"/>
      <c r="G281" s="565"/>
      <c r="H281" s="539"/>
      <c r="J281" s="563"/>
      <c r="K281" s="563"/>
      <c r="L281" s="563"/>
      <c r="M281" s="566"/>
      <c r="N281" s="563"/>
      <c r="O281" s="563"/>
      <c r="P281" s="539"/>
      <c r="R281" s="563"/>
      <c r="S281" s="563"/>
      <c r="T281" s="563"/>
      <c r="U281" s="566"/>
      <c r="V281" s="563"/>
      <c r="W281" s="563"/>
      <c r="X281" s="8"/>
      <c r="Y281" s="8"/>
      <c r="Z281" s="8"/>
      <c r="AA281" s="8"/>
      <c r="AB281" s="8"/>
    </row>
    <row r="282">
      <c r="B282" s="565"/>
      <c r="C282" s="565"/>
      <c r="D282" s="565"/>
      <c r="E282" s="564"/>
      <c r="F282" s="565"/>
      <c r="G282" s="565"/>
      <c r="H282" s="539"/>
      <c r="J282" s="563"/>
      <c r="K282" s="563"/>
      <c r="L282" s="563"/>
      <c r="M282" s="566"/>
      <c r="N282" s="563"/>
      <c r="O282" s="563"/>
      <c r="P282" s="539"/>
      <c r="R282" s="563"/>
      <c r="S282" s="563"/>
      <c r="T282" s="563"/>
      <c r="U282" s="566"/>
      <c r="V282" s="563"/>
      <c r="W282" s="563"/>
      <c r="X282" s="8"/>
      <c r="Y282" s="8"/>
      <c r="Z282" s="8"/>
      <c r="AA282" s="8"/>
      <c r="AB282" s="8"/>
    </row>
    <row r="283">
      <c r="B283" s="565"/>
      <c r="C283" s="565"/>
      <c r="D283" s="565"/>
      <c r="E283" s="564"/>
      <c r="F283" s="565"/>
      <c r="G283" s="565"/>
      <c r="H283" s="539"/>
      <c r="J283" s="563"/>
      <c r="K283" s="563"/>
      <c r="L283" s="563"/>
      <c r="M283" s="566"/>
      <c r="N283" s="563"/>
      <c r="O283" s="563"/>
      <c r="P283" s="539"/>
      <c r="R283" s="563"/>
      <c r="S283" s="563"/>
      <c r="T283" s="563"/>
      <c r="U283" s="566"/>
      <c r="V283" s="563"/>
      <c r="W283" s="563"/>
      <c r="X283" s="8"/>
      <c r="Y283" s="8"/>
      <c r="Z283" s="8"/>
      <c r="AA283" s="8"/>
      <c r="AB283" s="8"/>
    </row>
    <row r="284">
      <c r="B284" s="565"/>
      <c r="C284" s="565"/>
      <c r="D284" s="565"/>
      <c r="E284" s="564"/>
      <c r="F284" s="565"/>
      <c r="G284" s="565"/>
      <c r="H284" s="539"/>
      <c r="J284" s="563"/>
      <c r="K284" s="563"/>
      <c r="L284" s="563"/>
      <c r="M284" s="566"/>
      <c r="N284" s="563"/>
      <c r="O284" s="563"/>
      <c r="P284" s="539"/>
      <c r="R284" s="563"/>
      <c r="S284" s="563"/>
      <c r="T284" s="563"/>
      <c r="U284" s="566"/>
      <c r="V284" s="563"/>
      <c r="W284" s="563"/>
      <c r="X284" s="8"/>
      <c r="Y284" s="8"/>
      <c r="Z284" s="8"/>
      <c r="AA284" s="8"/>
      <c r="AB284" s="8"/>
    </row>
    <row r="285">
      <c r="A285" s="264" t="s">
        <v>438</v>
      </c>
      <c r="B285" s="8"/>
      <c r="C285" s="8"/>
      <c r="D285" s="8"/>
      <c r="E285" s="538"/>
      <c r="F285" s="8"/>
      <c r="G285" s="8"/>
      <c r="H285" s="539"/>
      <c r="I285" s="264" t="s">
        <v>438</v>
      </c>
      <c r="J285" s="544"/>
      <c r="K285" s="8"/>
      <c r="L285" s="8"/>
      <c r="M285" s="538"/>
      <c r="N285" s="8"/>
      <c r="O285" s="8"/>
      <c r="P285" s="539"/>
      <c r="Q285" s="264" t="s">
        <v>438</v>
      </c>
      <c r="R285" s="544"/>
      <c r="S285" s="8"/>
      <c r="T285" s="8"/>
      <c r="U285" s="53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538"/>
      <c r="F286" s="8"/>
      <c r="G286" s="8"/>
      <c r="H286" s="541"/>
      <c r="I286" s="264"/>
      <c r="J286" s="544"/>
      <c r="K286" s="8"/>
      <c r="L286" s="8"/>
      <c r="M286" s="538"/>
      <c r="N286" s="8"/>
      <c r="O286" s="8"/>
      <c r="P286" s="539"/>
      <c r="Q286" s="264"/>
      <c r="R286" s="544"/>
      <c r="S286" s="8"/>
      <c r="T286" s="8"/>
      <c r="U286" s="538"/>
      <c r="V286" s="8"/>
      <c r="W286" s="8"/>
      <c r="X286" s="8"/>
      <c r="Y286" s="8"/>
      <c r="Z286" s="8"/>
      <c r="AA286" s="8"/>
      <c r="AB286" s="8"/>
    </row>
    <row r="287">
      <c r="A287" s="551" t="s">
        <v>409</v>
      </c>
      <c r="B287" s="551" t="s">
        <v>19</v>
      </c>
      <c r="C287" s="551" t="s">
        <v>20</v>
      </c>
      <c r="D287" s="551" t="s">
        <v>410</v>
      </c>
      <c r="E287" s="552"/>
      <c r="F287" s="551"/>
      <c r="G287" s="551"/>
      <c r="H287" s="551"/>
      <c r="I287" s="551"/>
      <c r="J287" s="551" t="s">
        <v>19</v>
      </c>
      <c r="K287" s="551" t="s">
        <v>20</v>
      </c>
      <c r="L287" s="551"/>
      <c r="M287" s="551" t="s">
        <v>410</v>
      </c>
      <c r="N287" s="551"/>
      <c r="O287" s="551"/>
      <c r="P287" s="553"/>
      <c r="Q287" s="553"/>
      <c r="R287" s="551" t="s">
        <v>19</v>
      </c>
      <c r="S287" s="551" t="s">
        <v>20</v>
      </c>
      <c r="T287" s="553"/>
      <c r="U287" s="551" t="s">
        <v>410</v>
      </c>
      <c r="V287" s="553"/>
      <c r="W287" s="553"/>
      <c r="X287" s="8"/>
      <c r="Y287" s="8"/>
      <c r="Z287" s="8"/>
      <c r="AA287" s="8"/>
      <c r="AB287" s="8"/>
    </row>
    <row r="288">
      <c r="A288" s="92"/>
      <c r="D288" s="8"/>
      <c r="E288" s="538"/>
      <c r="F288" s="264"/>
      <c r="G288" s="8"/>
      <c r="H288" s="541"/>
      <c r="I288" s="264"/>
      <c r="J288" s="264"/>
      <c r="K288" s="264"/>
      <c r="L288" s="544"/>
      <c r="M288" s="544"/>
      <c r="N288" s="544"/>
      <c r="O288" s="544"/>
      <c r="P288" s="539"/>
      <c r="Q288" s="264"/>
      <c r="R288" s="264"/>
      <c r="S288" s="264"/>
      <c r="T288" s="8"/>
      <c r="U288" s="544"/>
      <c r="V288" s="8"/>
      <c r="W288" s="8"/>
      <c r="X288" s="8"/>
      <c r="Y288" s="8"/>
      <c r="Z288" s="8"/>
      <c r="AA288" s="8"/>
      <c r="AB288" s="8"/>
    </row>
    <row r="289">
      <c r="A289" s="264"/>
      <c r="B289" s="8"/>
      <c r="C289" s="264" t="s">
        <v>414</v>
      </c>
      <c r="D289" s="8"/>
      <c r="E289" s="538"/>
      <c r="F289" s="8"/>
      <c r="G289" s="8"/>
      <c r="H289" s="545"/>
      <c r="I289" s="509" t="s">
        <v>23</v>
      </c>
      <c r="J289" s="217"/>
      <c r="K289" s="264" t="s">
        <v>414</v>
      </c>
      <c r="L289" s="8"/>
      <c r="M289" s="538"/>
      <c r="N289" s="8"/>
      <c r="O289" s="8"/>
      <c r="P289" s="539"/>
      <c r="Q289" s="509" t="s">
        <v>24</v>
      </c>
      <c r="R289" s="217"/>
      <c r="S289" s="264" t="s">
        <v>414</v>
      </c>
      <c r="T289" s="8"/>
      <c r="U289" s="538"/>
      <c r="V289" s="8"/>
      <c r="W289" s="8"/>
      <c r="X289" s="8"/>
      <c r="Y289" s="8"/>
      <c r="Z289" s="8"/>
      <c r="AA289" s="8"/>
      <c r="AB289" s="8"/>
    </row>
    <row r="290">
      <c r="A290" s="264"/>
      <c r="B290" s="509" t="s">
        <v>415</v>
      </c>
      <c r="C290" s="509" t="s">
        <v>267</v>
      </c>
      <c r="D290" s="509" t="s">
        <v>416</v>
      </c>
      <c r="E290" s="540" t="s">
        <v>417</v>
      </c>
      <c r="F290" s="509" t="s">
        <v>418</v>
      </c>
      <c r="G290" s="509" t="s">
        <v>419</v>
      </c>
      <c r="H290" s="539"/>
      <c r="I290" s="264"/>
      <c r="J290" s="509" t="s">
        <v>415</v>
      </c>
      <c r="K290" s="509" t="s">
        <v>267</v>
      </c>
      <c r="L290" s="509" t="s">
        <v>420</v>
      </c>
      <c r="M290" s="540" t="s">
        <v>417</v>
      </c>
      <c r="N290" s="509" t="s">
        <v>418</v>
      </c>
      <c r="O290" s="509" t="s">
        <v>419</v>
      </c>
      <c r="P290" s="539"/>
      <c r="Q290" s="264"/>
      <c r="R290" s="509" t="s">
        <v>415</v>
      </c>
      <c r="S290" s="509" t="s">
        <v>267</v>
      </c>
      <c r="T290" s="509" t="s">
        <v>420</v>
      </c>
      <c r="U290" s="540" t="s">
        <v>417</v>
      </c>
      <c r="V290" s="509" t="s">
        <v>418</v>
      </c>
      <c r="W290" s="509" t="s">
        <v>419</v>
      </c>
      <c r="X290" s="8"/>
      <c r="Y290" s="8"/>
      <c r="Z290" s="8"/>
      <c r="AA290" s="8"/>
      <c r="AB290" s="8"/>
    </row>
    <row r="291">
      <c r="A291" s="264" t="s">
        <v>421</v>
      </c>
      <c r="B291" s="572"/>
      <c r="C291" s="572"/>
      <c r="D291" s="572"/>
      <c r="E291" s="573"/>
      <c r="F291" s="572"/>
      <c r="G291" s="572"/>
      <c r="H291" s="539"/>
      <c r="I291" s="264" t="s">
        <v>421</v>
      </c>
      <c r="J291" s="556"/>
      <c r="K291" s="556"/>
      <c r="L291" s="556"/>
      <c r="M291" s="557"/>
      <c r="N291" s="556"/>
      <c r="O291" s="556"/>
      <c r="P291" s="539"/>
      <c r="Q291" s="264" t="s">
        <v>421</v>
      </c>
      <c r="R291" s="556"/>
      <c r="S291" s="556"/>
      <c r="T291" s="556"/>
      <c r="U291" s="557"/>
      <c r="V291" s="556"/>
      <c r="W291" s="556"/>
      <c r="X291" s="8"/>
      <c r="Y291" s="8"/>
      <c r="Z291" s="8"/>
      <c r="AA291" s="8"/>
      <c r="AB291" s="8"/>
    </row>
    <row r="292">
      <c r="B292" s="572"/>
      <c r="C292" s="572"/>
      <c r="D292" s="572"/>
      <c r="E292" s="573"/>
      <c r="F292" s="572"/>
      <c r="G292" s="572"/>
      <c r="H292" s="539"/>
      <c r="J292" s="556"/>
      <c r="K292" s="556"/>
      <c r="L292" s="556"/>
      <c r="M292" s="557"/>
      <c r="N292" s="556"/>
      <c r="O292" s="556"/>
      <c r="P292" s="539"/>
      <c r="R292" s="556"/>
      <c r="S292" s="556"/>
      <c r="T292" s="556"/>
      <c r="U292" s="557"/>
      <c r="V292" s="556"/>
      <c r="W292" s="556"/>
      <c r="X292" s="8"/>
      <c r="Y292" s="8"/>
      <c r="Z292" s="8"/>
      <c r="AA292" s="8"/>
      <c r="AB292" s="8"/>
    </row>
    <row r="293">
      <c r="B293" s="572"/>
      <c r="C293" s="572"/>
      <c r="D293" s="572"/>
      <c r="E293" s="573"/>
      <c r="F293" s="572"/>
      <c r="G293" s="572"/>
      <c r="H293" s="539"/>
      <c r="J293" s="574"/>
      <c r="K293" s="574"/>
      <c r="L293" s="556"/>
      <c r="M293" s="557"/>
      <c r="N293" s="556"/>
      <c r="O293" s="556"/>
      <c r="P293" s="539"/>
      <c r="R293" s="574"/>
      <c r="S293" s="574"/>
      <c r="T293" s="556"/>
      <c r="U293" s="557"/>
      <c r="V293" s="556"/>
      <c r="W293" s="556"/>
      <c r="X293" s="8"/>
      <c r="Y293" s="8"/>
      <c r="Z293" s="8"/>
      <c r="AA293" s="8"/>
      <c r="AB293" s="8"/>
    </row>
    <row r="294">
      <c r="B294" s="572"/>
      <c r="C294" s="572"/>
      <c r="D294" s="572"/>
      <c r="E294" s="573"/>
      <c r="F294" s="572"/>
      <c r="G294" s="572"/>
      <c r="H294" s="539"/>
      <c r="J294" s="556"/>
      <c r="K294" s="556"/>
      <c r="L294" s="556"/>
      <c r="M294" s="557"/>
      <c r="N294" s="556"/>
      <c r="O294" s="556"/>
      <c r="P294" s="539"/>
      <c r="R294" s="556"/>
      <c r="S294" s="556"/>
      <c r="T294" s="556"/>
      <c r="U294" s="557"/>
      <c r="V294" s="556"/>
      <c r="W294" s="556"/>
      <c r="X294" s="8"/>
      <c r="Y294" s="8"/>
      <c r="Z294" s="8"/>
      <c r="AA294" s="8"/>
      <c r="AB294" s="8"/>
    </row>
    <row r="295">
      <c r="B295" s="572"/>
      <c r="C295" s="572"/>
      <c r="D295" s="572"/>
      <c r="E295" s="573"/>
      <c r="F295" s="572"/>
      <c r="G295" s="572"/>
      <c r="H295" s="539"/>
      <c r="J295" s="556"/>
      <c r="K295" s="556"/>
      <c r="L295" s="556"/>
      <c r="M295" s="557"/>
      <c r="N295" s="556"/>
      <c r="O295" s="556"/>
      <c r="P295" s="539"/>
      <c r="R295" s="556"/>
      <c r="S295" s="556"/>
      <c r="T295" s="556"/>
      <c r="U295" s="557"/>
      <c r="V295" s="556"/>
      <c r="W295" s="556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538"/>
      <c r="F296" s="8"/>
      <c r="G296" s="8"/>
      <c r="H296" s="539"/>
      <c r="I296" s="8"/>
      <c r="J296" s="264"/>
      <c r="K296" s="544"/>
      <c r="L296" s="8"/>
      <c r="M296" s="538"/>
      <c r="N296" s="8"/>
      <c r="O296" s="8"/>
      <c r="P296" s="539"/>
      <c r="Q296" s="8"/>
      <c r="R296" s="264"/>
      <c r="S296" s="544"/>
      <c r="T296" s="8"/>
      <c r="U296" s="538"/>
      <c r="V296" s="8"/>
      <c r="W296" s="8"/>
      <c r="X296" s="8"/>
      <c r="Y296" s="8"/>
      <c r="Z296" s="8"/>
      <c r="AA296" s="8"/>
      <c r="AB296" s="8"/>
    </row>
    <row r="297">
      <c r="A297" s="264" t="s">
        <v>432</v>
      </c>
      <c r="B297" s="565"/>
      <c r="C297" s="565"/>
      <c r="D297" s="565"/>
      <c r="E297" s="564"/>
      <c r="F297" s="565"/>
      <c r="G297" s="565"/>
      <c r="H297" s="539"/>
      <c r="I297" s="264" t="s">
        <v>432</v>
      </c>
      <c r="J297" s="563"/>
      <c r="K297" s="563"/>
      <c r="L297" s="563"/>
      <c r="M297" s="566"/>
      <c r="N297" s="563"/>
      <c r="O297" s="563"/>
      <c r="P297" s="539"/>
      <c r="Q297" s="264" t="s">
        <v>432</v>
      </c>
      <c r="R297" s="563"/>
      <c r="S297" s="563"/>
      <c r="T297" s="563"/>
      <c r="U297" s="566"/>
      <c r="V297" s="563"/>
      <c r="W297" s="563"/>
      <c r="X297" s="8"/>
      <c r="Y297" s="8"/>
      <c r="Z297" s="8"/>
      <c r="AA297" s="8"/>
      <c r="AB297" s="8"/>
    </row>
    <row r="298">
      <c r="B298" s="565"/>
      <c r="C298" s="565"/>
      <c r="D298" s="565"/>
      <c r="E298" s="564"/>
      <c r="F298" s="565"/>
      <c r="G298" s="565"/>
      <c r="H298" s="539"/>
      <c r="J298" s="563"/>
      <c r="K298" s="563"/>
      <c r="L298" s="563"/>
      <c r="M298" s="566"/>
      <c r="N298" s="563"/>
      <c r="O298" s="563"/>
      <c r="P298" s="539"/>
      <c r="R298" s="563"/>
      <c r="S298" s="563"/>
      <c r="T298" s="563"/>
      <c r="U298" s="566"/>
      <c r="V298" s="563"/>
      <c r="W298" s="563"/>
      <c r="X298" s="8"/>
      <c r="Y298" s="8"/>
      <c r="Z298" s="8"/>
      <c r="AA298" s="8"/>
      <c r="AB298" s="8"/>
    </row>
    <row r="299">
      <c r="B299" s="565"/>
      <c r="C299" s="565"/>
      <c r="D299" s="565"/>
      <c r="E299" s="564"/>
      <c r="F299" s="565"/>
      <c r="G299" s="565"/>
      <c r="H299" s="539"/>
      <c r="J299" s="563"/>
      <c r="K299" s="563"/>
      <c r="L299" s="563"/>
      <c r="M299" s="566"/>
      <c r="N299" s="563"/>
      <c r="O299" s="563"/>
      <c r="P299" s="539"/>
      <c r="R299" s="563"/>
      <c r="S299" s="563"/>
      <c r="T299" s="563"/>
      <c r="U299" s="566"/>
      <c r="V299" s="563"/>
      <c r="W299" s="563"/>
      <c r="X299" s="8"/>
      <c r="Y299" s="8"/>
      <c r="Z299" s="8"/>
      <c r="AA299" s="8"/>
      <c r="AB299" s="8"/>
    </row>
    <row r="300">
      <c r="B300" s="565"/>
      <c r="C300" s="565"/>
      <c r="D300" s="565"/>
      <c r="E300" s="564"/>
      <c r="F300" s="565"/>
      <c r="G300" s="565"/>
      <c r="H300" s="539"/>
      <c r="J300" s="563"/>
      <c r="K300" s="563"/>
      <c r="L300" s="563"/>
      <c r="M300" s="566"/>
      <c r="N300" s="563"/>
      <c r="O300" s="563"/>
      <c r="P300" s="539"/>
      <c r="R300" s="563"/>
      <c r="S300" s="563"/>
      <c r="T300" s="563"/>
      <c r="U300" s="566"/>
      <c r="V300" s="563"/>
      <c r="W300" s="563"/>
      <c r="X300" s="8"/>
      <c r="Y300" s="8"/>
      <c r="Z300" s="8"/>
      <c r="AA300" s="8"/>
      <c r="AB300" s="8"/>
    </row>
    <row r="301">
      <c r="B301" s="565"/>
      <c r="C301" s="565"/>
      <c r="D301" s="565"/>
      <c r="E301" s="564"/>
      <c r="F301" s="565"/>
      <c r="G301" s="565"/>
      <c r="H301" s="539"/>
      <c r="J301" s="563"/>
      <c r="K301" s="563"/>
      <c r="L301" s="563"/>
      <c r="M301" s="566"/>
      <c r="N301" s="563"/>
      <c r="O301" s="563"/>
      <c r="P301" s="539"/>
      <c r="R301" s="563"/>
      <c r="S301" s="563"/>
      <c r="T301" s="563"/>
      <c r="U301" s="566"/>
      <c r="V301" s="563"/>
      <c r="W301" s="563"/>
      <c r="X301" s="8"/>
      <c r="Y301" s="8"/>
      <c r="Z301" s="8"/>
      <c r="AA301" s="8"/>
      <c r="AB301" s="8"/>
    </row>
    <row r="302">
      <c r="A302" s="264" t="s">
        <v>438</v>
      </c>
      <c r="B302" s="8"/>
      <c r="C302" s="8"/>
      <c r="D302" s="8"/>
      <c r="E302" s="538"/>
      <c r="F302" s="8"/>
      <c r="G302" s="8"/>
      <c r="H302" s="539"/>
      <c r="I302" s="264" t="s">
        <v>438</v>
      </c>
      <c r="J302" s="544"/>
      <c r="K302" s="8"/>
      <c r="L302" s="8"/>
      <c r="M302" s="538"/>
      <c r="N302" s="8"/>
      <c r="O302" s="8"/>
      <c r="P302" s="539"/>
      <c r="Q302" s="264" t="s">
        <v>438</v>
      </c>
      <c r="R302" s="544"/>
      <c r="S302" s="8"/>
      <c r="T302" s="8"/>
      <c r="U302" s="53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538"/>
      <c r="F303" s="8"/>
      <c r="G303" s="8"/>
      <c r="H303" s="541"/>
      <c r="I303" s="264"/>
      <c r="J303" s="544"/>
      <c r="K303" s="8"/>
      <c r="L303" s="8"/>
      <c r="M303" s="538"/>
      <c r="N303" s="8"/>
      <c r="O303" s="8"/>
      <c r="P303" s="539"/>
      <c r="Q303" s="264"/>
      <c r="R303" s="544"/>
      <c r="S303" s="8"/>
      <c r="T303" s="8"/>
      <c r="U303" s="538"/>
      <c r="V303" s="8"/>
      <c r="W303" s="8"/>
      <c r="X303" s="8"/>
      <c r="Y303" s="8"/>
      <c r="Z303" s="8"/>
      <c r="AA303" s="8"/>
      <c r="AB303" s="8"/>
    </row>
    <row r="304">
      <c r="A304" s="551" t="s">
        <v>409</v>
      </c>
      <c r="B304" s="551" t="s">
        <v>19</v>
      </c>
      <c r="C304" s="551" t="s">
        <v>20</v>
      </c>
      <c r="D304" s="551" t="s">
        <v>410</v>
      </c>
      <c r="E304" s="552"/>
      <c r="F304" s="551"/>
      <c r="G304" s="551"/>
      <c r="H304" s="551"/>
      <c r="I304" s="551"/>
      <c r="J304" s="551" t="s">
        <v>19</v>
      </c>
      <c r="K304" s="551" t="s">
        <v>20</v>
      </c>
      <c r="L304" s="551"/>
      <c r="M304" s="551" t="s">
        <v>410</v>
      </c>
      <c r="N304" s="551"/>
      <c r="O304" s="551"/>
      <c r="P304" s="553"/>
      <c r="Q304" s="553"/>
      <c r="R304" s="551" t="s">
        <v>19</v>
      </c>
      <c r="S304" s="551" t="s">
        <v>20</v>
      </c>
      <c r="T304" s="553"/>
      <c r="U304" s="551" t="s">
        <v>410</v>
      </c>
      <c r="V304" s="553"/>
      <c r="W304" s="553"/>
      <c r="X304" s="8"/>
      <c r="Y304" s="8"/>
      <c r="Z304" s="8"/>
      <c r="AA304" s="8"/>
      <c r="AB304" s="8"/>
    </row>
    <row r="305">
      <c r="A305" s="92"/>
      <c r="D305" s="8"/>
      <c r="E305" s="538"/>
      <c r="F305" s="264"/>
      <c r="G305" s="8"/>
      <c r="H305" s="541"/>
      <c r="I305" s="264"/>
      <c r="J305" s="264"/>
      <c r="K305" s="264"/>
      <c r="L305" s="544"/>
      <c r="M305" s="544"/>
      <c r="N305" s="544"/>
      <c r="O305" s="544"/>
      <c r="P305" s="539"/>
      <c r="Q305" s="264"/>
      <c r="R305" s="264"/>
      <c r="S305" s="264"/>
      <c r="T305" s="8"/>
      <c r="U305" s="544"/>
      <c r="V305" s="8"/>
      <c r="W305" s="8"/>
      <c r="X305" s="8"/>
      <c r="Y305" s="8"/>
      <c r="Z305" s="8"/>
      <c r="AA305" s="8"/>
      <c r="AB305" s="8"/>
    </row>
    <row r="306">
      <c r="A306" s="264"/>
      <c r="B306" s="8"/>
      <c r="C306" s="264" t="s">
        <v>414</v>
      </c>
      <c r="D306" s="8"/>
      <c r="E306" s="538"/>
      <c r="F306" s="8"/>
      <c r="G306" s="8"/>
      <c r="H306" s="545"/>
      <c r="I306" s="509" t="s">
        <v>23</v>
      </c>
      <c r="J306" s="217"/>
      <c r="K306" s="264" t="s">
        <v>414</v>
      </c>
      <c r="L306" s="8"/>
      <c r="M306" s="538"/>
      <c r="N306" s="8"/>
      <c r="O306" s="8"/>
      <c r="P306" s="539"/>
      <c r="Q306" s="509" t="s">
        <v>24</v>
      </c>
      <c r="R306" s="217"/>
      <c r="S306" s="264" t="s">
        <v>414</v>
      </c>
      <c r="T306" s="8"/>
      <c r="U306" s="538"/>
      <c r="V306" s="8"/>
      <c r="W306" s="8"/>
      <c r="X306" s="8"/>
      <c r="Y306" s="8"/>
      <c r="Z306" s="8"/>
      <c r="AA306" s="8"/>
      <c r="AB306" s="8"/>
    </row>
    <row r="307">
      <c r="A307" s="264"/>
      <c r="B307" s="509" t="s">
        <v>415</v>
      </c>
      <c r="C307" s="509" t="s">
        <v>267</v>
      </c>
      <c r="D307" s="509" t="s">
        <v>416</v>
      </c>
      <c r="E307" s="540" t="s">
        <v>417</v>
      </c>
      <c r="F307" s="509" t="s">
        <v>418</v>
      </c>
      <c r="G307" s="509" t="s">
        <v>419</v>
      </c>
      <c r="H307" s="539"/>
      <c r="I307" s="264"/>
      <c r="J307" s="509" t="s">
        <v>415</v>
      </c>
      <c r="K307" s="509" t="s">
        <v>267</v>
      </c>
      <c r="L307" s="509" t="s">
        <v>420</v>
      </c>
      <c r="M307" s="540" t="s">
        <v>417</v>
      </c>
      <c r="N307" s="509" t="s">
        <v>418</v>
      </c>
      <c r="O307" s="509" t="s">
        <v>419</v>
      </c>
      <c r="P307" s="539"/>
      <c r="Q307" s="264"/>
      <c r="R307" s="509" t="s">
        <v>415</v>
      </c>
      <c r="S307" s="509" t="s">
        <v>267</v>
      </c>
      <c r="T307" s="509" t="s">
        <v>420</v>
      </c>
      <c r="U307" s="540" t="s">
        <v>417</v>
      </c>
      <c r="V307" s="509" t="s">
        <v>418</v>
      </c>
      <c r="W307" s="509" t="s">
        <v>419</v>
      </c>
      <c r="X307" s="8"/>
      <c r="Y307" s="8"/>
      <c r="Z307" s="8"/>
      <c r="AA307" s="8"/>
      <c r="AB307" s="8"/>
    </row>
    <row r="308">
      <c r="A308" s="264" t="s">
        <v>421</v>
      </c>
      <c r="B308" s="572"/>
      <c r="C308" s="572"/>
      <c r="D308" s="572"/>
      <c r="E308" s="573"/>
      <c r="F308" s="572"/>
      <c r="G308" s="572"/>
      <c r="H308" s="539"/>
      <c r="I308" s="264" t="s">
        <v>421</v>
      </c>
      <c r="J308" s="556"/>
      <c r="K308" s="556"/>
      <c r="L308" s="556"/>
      <c r="M308" s="557"/>
      <c r="N308" s="556"/>
      <c r="O308" s="556"/>
      <c r="P308" s="539"/>
      <c r="Q308" s="264" t="s">
        <v>421</v>
      </c>
      <c r="R308" s="556"/>
      <c r="S308" s="556"/>
      <c r="T308" s="556"/>
      <c r="U308" s="557"/>
      <c r="V308" s="556"/>
      <c r="W308" s="556"/>
      <c r="X308" s="8"/>
      <c r="Y308" s="8"/>
      <c r="Z308" s="8"/>
      <c r="AA308" s="8"/>
      <c r="AB308" s="8"/>
    </row>
    <row r="309">
      <c r="B309" s="572"/>
      <c r="C309" s="572"/>
      <c r="D309" s="572"/>
      <c r="E309" s="573"/>
      <c r="F309" s="572"/>
      <c r="G309" s="572"/>
      <c r="H309" s="539"/>
      <c r="J309" s="556"/>
      <c r="K309" s="556"/>
      <c r="L309" s="556"/>
      <c r="M309" s="557"/>
      <c r="N309" s="556"/>
      <c r="O309" s="556"/>
      <c r="P309" s="539"/>
      <c r="R309" s="556"/>
      <c r="S309" s="556"/>
      <c r="T309" s="556"/>
      <c r="U309" s="557"/>
      <c r="V309" s="556"/>
      <c r="W309" s="556"/>
      <c r="X309" s="8"/>
      <c r="Y309" s="8"/>
      <c r="Z309" s="8"/>
      <c r="AA309" s="8"/>
      <c r="AB309" s="8"/>
    </row>
    <row r="310">
      <c r="B310" s="572"/>
      <c r="C310" s="572"/>
      <c r="D310" s="572"/>
      <c r="E310" s="573"/>
      <c r="F310" s="572"/>
      <c r="G310" s="572"/>
      <c r="H310" s="539"/>
      <c r="J310" s="574"/>
      <c r="K310" s="574"/>
      <c r="L310" s="556"/>
      <c r="M310" s="557"/>
      <c r="N310" s="556"/>
      <c r="O310" s="556"/>
      <c r="P310" s="539"/>
      <c r="R310" s="574"/>
      <c r="S310" s="574"/>
      <c r="T310" s="556"/>
      <c r="U310" s="557"/>
      <c r="V310" s="556"/>
      <c r="W310" s="556"/>
      <c r="X310" s="8"/>
      <c r="Y310" s="8"/>
      <c r="Z310" s="8"/>
      <c r="AA310" s="8"/>
      <c r="AB310" s="8"/>
    </row>
    <row r="311">
      <c r="B311" s="572"/>
      <c r="C311" s="572"/>
      <c r="D311" s="572"/>
      <c r="E311" s="573"/>
      <c r="F311" s="572"/>
      <c r="G311" s="572"/>
      <c r="H311" s="539"/>
      <c r="J311" s="556"/>
      <c r="K311" s="556"/>
      <c r="L311" s="556"/>
      <c r="M311" s="557"/>
      <c r="N311" s="556"/>
      <c r="O311" s="556"/>
      <c r="P311" s="539"/>
      <c r="R311" s="556"/>
      <c r="S311" s="556"/>
      <c r="T311" s="556"/>
      <c r="U311" s="557"/>
      <c r="V311" s="556"/>
      <c r="W311" s="556"/>
      <c r="X311" s="8"/>
      <c r="Y311" s="8"/>
      <c r="Z311" s="8"/>
      <c r="AA311" s="8"/>
      <c r="AB311" s="8"/>
    </row>
    <row r="312">
      <c r="B312" s="572"/>
      <c r="C312" s="572"/>
      <c r="D312" s="572"/>
      <c r="E312" s="573"/>
      <c r="F312" s="572"/>
      <c r="G312" s="572"/>
      <c r="H312" s="539"/>
      <c r="J312" s="556"/>
      <c r="K312" s="556"/>
      <c r="L312" s="556"/>
      <c r="M312" s="557"/>
      <c r="N312" s="556"/>
      <c r="O312" s="556"/>
      <c r="P312" s="539"/>
      <c r="R312" s="556"/>
      <c r="S312" s="556"/>
      <c r="T312" s="556"/>
      <c r="U312" s="557"/>
      <c r="V312" s="556"/>
      <c r="W312" s="556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538"/>
      <c r="F313" s="8"/>
      <c r="G313" s="8"/>
      <c r="H313" s="539"/>
      <c r="I313" s="8"/>
      <c r="J313" s="264"/>
      <c r="K313" s="544"/>
      <c r="L313" s="8"/>
      <c r="M313" s="538"/>
      <c r="N313" s="8"/>
      <c r="O313" s="8"/>
      <c r="P313" s="539"/>
      <c r="Q313" s="8"/>
      <c r="R313" s="264"/>
      <c r="S313" s="544"/>
      <c r="T313" s="8"/>
      <c r="U313" s="538"/>
      <c r="V313" s="8"/>
      <c r="W313" s="8"/>
      <c r="X313" s="8"/>
      <c r="Y313" s="8"/>
      <c r="Z313" s="8"/>
      <c r="AA313" s="8"/>
      <c r="AB313" s="8"/>
    </row>
    <row r="314">
      <c r="A314" s="264" t="s">
        <v>432</v>
      </c>
      <c r="B314" s="565"/>
      <c r="C314" s="565"/>
      <c r="D314" s="565"/>
      <c r="E314" s="564"/>
      <c r="F314" s="565"/>
      <c r="G314" s="565"/>
      <c r="H314" s="539"/>
      <c r="I314" s="264" t="s">
        <v>432</v>
      </c>
      <c r="J314" s="563"/>
      <c r="K314" s="563"/>
      <c r="L314" s="563"/>
      <c r="M314" s="566"/>
      <c r="N314" s="563"/>
      <c r="O314" s="563"/>
      <c r="P314" s="539"/>
      <c r="Q314" s="264" t="s">
        <v>432</v>
      </c>
      <c r="R314" s="563"/>
      <c r="S314" s="563"/>
      <c r="T314" s="563"/>
      <c r="U314" s="566"/>
      <c r="V314" s="563"/>
      <c r="W314" s="563"/>
      <c r="X314" s="8"/>
      <c r="Y314" s="8"/>
      <c r="Z314" s="8"/>
      <c r="AA314" s="8"/>
      <c r="AB314" s="8"/>
    </row>
    <row r="315">
      <c r="B315" s="565"/>
      <c r="C315" s="565"/>
      <c r="D315" s="565"/>
      <c r="E315" s="564"/>
      <c r="F315" s="565"/>
      <c r="G315" s="565"/>
      <c r="H315" s="539"/>
      <c r="J315" s="563"/>
      <c r="K315" s="563"/>
      <c r="L315" s="563"/>
      <c r="M315" s="566"/>
      <c r="N315" s="563"/>
      <c r="O315" s="563"/>
      <c r="P315" s="539"/>
      <c r="R315" s="563"/>
      <c r="S315" s="563"/>
      <c r="T315" s="563"/>
      <c r="U315" s="566"/>
      <c r="V315" s="563"/>
      <c r="W315" s="563"/>
      <c r="X315" s="8"/>
      <c r="Y315" s="8"/>
      <c r="Z315" s="8"/>
      <c r="AA315" s="8"/>
      <c r="AB315" s="8"/>
    </row>
    <row r="316">
      <c r="B316" s="565"/>
      <c r="C316" s="565"/>
      <c r="D316" s="565"/>
      <c r="E316" s="564"/>
      <c r="F316" s="565"/>
      <c r="G316" s="565"/>
      <c r="H316" s="539"/>
      <c r="J316" s="563"/>
      <c r="K316" s="563"/>
      <c r="L316" s="563"/>
      <c r="M316" s="566"/>
      <c r="N316" s="563"/>
      <c r="O316" s="563"/>
      <c r="P316" s="539"/>
      <c r="R316" s="563"/>
      <c r="S316" s="563"/>
      <c r="T316" s="563"/>
      <c r="U316" s="566"/>
      <c r="V316" s="563"/>
      <c r="W316" s="563"/>
      <c r="X316" s="8"/>
      <c r="Y316" s="8"/>
      <c r="Z316" s="8"/>
      <c r="AA316" s="8"/>
      <c r="AB316" s="8"/>
    </row>
    <row r="317">
      <c r="B317" s="565"/>
      <c r="C317" s="565"/>
      <c r="D317" s="565"/>
      <c r="E317" s="564"/>
      <c r="F317" s="565"/>
      <c r="G317" s="565"/>
      <c r="H317" s="539"/>
      <c r="J317" s="563"/>
      <c r="K317" s="563"/>
      <c r="L317" s="563"/>
      <c r="M317" s="566"/>
      <c r="N317" s="563"/>
      <c r="O317" s="563"/>
      <c r="P317" s="539"/>
      <c r="R317" s="563"/>
      <c r="S317" s="563"/>
      <c r="T317" s="563"/>
      <c r="U317" s="566"/>
      <c r="V317" s="563"/>
      <c r="W317" s="563"/>
      <c r="X317" s="8"/>
      <c r="Y317" s="8"/>
      <c r="Z317" s="8"/>
      <c r="AA317" s="8"/>
      <c r="AB317" s="8"/>
    </row>
    <row r="318">
      <c r="B318" s="565"/>
      <c r="C318" s="565"/>
      <c r="D318" s="565"/>
      <c r="E318" s="564"/>
      <c r="F318" s="565"/>
      <c r="G318" s="565"/>
      <c r="H318" s="539"/>
      <c r="J318" s="563"/>
      <c r="K318" s="563"/>
      <c r="L318" s="563"/>
      <c r="M318" s="566"/>
      <c r="N318" s="563"/>
      <c r="O318" s="563"/>
      <c r="P318" s="539"/>
      <c r="R318" s="563"/>
      <c r="S318" s="563"/>
      <c r="T318" s="563"/>
      <c r="U318" s="566"/>
      <c r="V318" s="563"/>
      <c r="W318" s="563"/>
      <c r="X318" s="8"/>
      <c r="Y318" s="8"/>
      <c r="Z318" s="8"/>
      <c r="AA318" s="8"/>
      <c r="AB318" s="8"/>
    </row>
    <row r="319">
      <c r="A319" s="264" t="s">
        <v>438</v>
      </c>
      <c r="B319" s="8"/>
      <c r="C319" s="8"/>
      <c r="D319" s="8"/>
      <c r="E319" s="538"/>
      <c r="F319" s="8"/>
      <c r="G319" s="8"/>
      <c r="H319" s="539"/>
      <c r="I319" s="264" t="s">
        <v>438</v>
      </c>
      <c r="J319" s="544"/>
      <c r="K319" s="8"/>
      <c r="L319" s="8"/>
      <c r="M319" s="538"/>
      <c r="N319" s="8"/>
      <c r="O319" s="8"/>
      <c r="P319" s="539"/>
      <c r="Q319" s="264" t="s">
        <v>438</v>
      </c>
      <c r="R319" s="544"/>
      <c r="S319" s="8"/>
      <c r="T319" s="8"/>
      <c r="U319" s="53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538"/>
      <c r="F320" s="8"/>
      <c r="G320" s="8"/>
      <c r="H320" s="541"/>
      <c r="I320" s="264"/>
      <c r="J320" s="544"/>
      <c r="K320" s="8"/>
      <c r="L320" s="8"/>
      <c r="M320" s="538"/>
      <c r="N320" s="8"/>
      <c r="O320" s="8"/>
      <c r="P320" s="539"/>
      <c r="Q320" s="264"/>
      <c r="R320" s="544"/>
      <c r="S320" s="8"/>
      <c r="T320" s="8"/>
      <c r="U320" s="538"/>
      <c r="V320" s="8"/>
      <c r="W320" s="8"/>
      <c r="X320" s="8"/>
      <c r="Y320" s="8"/>
      <c r="Z320" s="8"/>
      <c r="AA320" s="8"/>
      <c r="AB320" s="8"/>
    </row>
    <row r="321">
      <c r="A321" s="551" t="s">
        <v>409</v>
      </c>
      <c r="B321" s="551" t="s">
        <v>19</v>
      </c>
      <c r="C321" s="551" t="s">
        <v>20</v>
      </c>
      <c r="D321" s="551" t="s">
        <v>410</v>
      </c>
      <c r="E321" s="552"/>
      <c r="F321" s="551"/>
      <c r="G321" s="551"/>
      <c r="H321" s="551"/>
      <c r="I321" s="551"/>
      <c r="J321" s="551" t="s">
        <v>19</v>
      </c>
      <c r="K321" s="551" t="s">
        <v>20</v>
      </c>
      <c r="L321" s="551"/>
      <c r="M321" s="551" t="s">
        <v>410</v>
      </c>
      <c r="N321" s="551"/>
      <c r="O321" s="551"/>
      <c r="P321" s="553"/>
      <c r="Q321" s="553"/>
      <c r="R321" s="551" t="s">
        <v>19</v>
      </c>
      <c r="S321" s="551" t="s">
        <v>20</v>
      </c>
      <c r="T321" s="553"/>
      <c r="U321" s="551" t="s">
        <v>410</v>
      </c>
      <c r="V321" s="553"/>
      <c r="W321" s="553"/>
      <c r="X321" s="8"/>
      <c r="Y321" s="8"/>
      <c r="Z321" s="8"/>
      <c r="AA321" s="8"/>
      <c r="AB321" s="8"/>
    </row>
    <row r="322">
      <c r="A322" s="92"/>
      <c r="D322" s="8"/>
      <c r="E322" s="538"/>
      <c r="F322" s="264"/>
      <c r="G322" s="8"/>
      <c r="H322" s="541"/>
      <c r="I322" s="264"/>
      <c r="J322" s="264"/>
      <c r="K322" s="264"/>
      <c r="L322" s="544"/>
      <c r="M322" s="544"/>
      <c r="N322" s="544"/>
      <c r="O322" s="544"/>
      <c r="P322" s="539"/>
      <c r="Q322" s="264"/>
      <c r="R322" s="264"/>
      <c r="S322" s="264"/>
      <c r="T322" s="8"/>
      <c r="U322" s="544"/>
      <c r="V322" s="8"/>
      <c r="W322" s="8"/>
      <c r="X322" s="8"/>
      <c r="Y322" s="8"/>
      <c r="Z322" s="8"/>
      <c r="AA322" s="8"/>
      <c r="AB322" s="8"/>
    </row>
    <row r="323">
      <c r="A323" s="264"/>
      <c r="B323" s="8"/>
      <c r="C323" s="264" t="s">
        <v>414</v>
      </c>
      <c r="D323" s="8"/>
      <c r="E323" s="538"/>
      <c r="F323" s="8"/>
      <c r="G323" s="8"/>
      <c r="H323" s="545"/>
      <c r="I323" s="509" t="s">
        <v>23</v>
      </c>
      <c r="J323" s="217"/>
      <c r="K323" s="264" t="s">
        <v>414</v>
      </c>
      <c r="L323" s="8"/>
      <c r="M323" s="538"/>
      <c r="N323" s="8"/>
      <c r="O323" s="8"/>
      <c r="P323" s="539"/>
      <c r="Q323" s="509" t="s">
        <v>24</v>
      </c>
      <c r="R323" s="217"/>
      <c r="S323" s="264" t="s">
        <v>414</v>
      </c>
      <c r="T323" s="8"/>
      <c r="U323" s="538"/>
      <c r="V323" s="8"/>
      <c r="W323" s="8"/>
      <c r="X323" s="8"/>
      <c r="Y323" s="8"/>
      <c r="Z323" s="8"/>
      <c r="AA323" s="8"/>
      <c r="AB323" s="8"/>
    </row>
    <row r="324">
      <c r="A324" s="264"/>
      <c r="B324" s="509" t="s">
        <v>415</v>
      </c>
      <c r="C324" s="509" t="s">
        <v>267</v>
      </c>
      <c r="D324" s="509" t="s">
        <v>416</v>
      </c>
      <c r="E324" s="540" t="s">
        <v>417</v>
      </c>
      <c r="F324" s="509" t="s">
        <v>418</v>
      </c>
      <c r="G324" s="509" t="s">
        <v>419</v>
      </c>
      <c r="H324" s="539"/>
      <c r="I324" s="264"/>
      <c r="J324" s="509" t="s">
        <v>415</v>
      </c>
      <c r="K324" s="509" t="s">
        <v>267</v>
      </c>
      <c r="L324" s="509" t="s">
        <v>420</v>
      </c>
      <c r="M324" s="540" t="s">
        <v>417</v>
      </c>
      <c r="N324" s="509" t="s">
        <v>418</v>
      </c>
      <c r="O324" s="509" t="s">
        <v>419</v>
      </c>
      <c r="P324" s="539"/>
      <c r="Q324" s="264"/>
      <c r="R324" s="509" t="s">
        <v>415</v>
      </c>
      <c r="S324" s="509" t="s">
        <v>267</v>
      </c>
      <c r="T324" s="509" t="s">
        <v>420</v>
      </c>
      <c r="U324" s="540" t="s">
        <v>417</v>
      </c>
      <c r="V324" s="509" t="s">
        <v>418</v>
      </c>
      <c r="W324" s="509" t="s">
        <v>419</v>
      </c>
      <c r="X324" s="8"/>
      <c r="Y324" s="8"/>
      <c r="Z324" s="8"/>
      <c r="AA324" s="8"/>
      <c r="AB324" s="8"/>
    </row>
    <row r="325">
      <c r="A325" s="264" t="s">
        <v>421</v>
      </c>
      <c r="B325" s="572"/>
      <c r="C325" s="572"/>
      <c r="D325" s="572"/>
      <c r="E325" s="573"/>
      <c r="F325" s="572"/>
      <c r="G325" s="572"/>
      <c r="H325" s="539"/>
      <c r="I325" s="264" t="s">
        <v>421</v>
      </c>
      <c r="J325" s="556"/>
      <c r="K325" s="556"/>
      <c r="L325" s="556"/>
      <c r="M325" s="557"/>
      <c r="N325" s="556"/>
      <c r="O325" s="556"/>
      <c r="P325" s="539"/>
      <c r="Q325" s="264" t="s">
        <v>421</v>
      </c>
      <c r="R325" s="556"/>
      <c r="S325" s="556"/>
      <c r="T325" s="556"/>
      <c r="U325" s="557"/>
      <c r="V325" s="556"/>
      <c r="W325" s="556"/>
      <c r="X325" s="8"/>
      <c r="Y325" s="8"/>
      <c r="Z325" s="8"/>
      <c r="AA325" s="8"/>
      <c r="AB325" s="8"/>
    </row>
    <row r="326">
      <c r="B326" s="572"/>
      <c r="C326" s="572"/>
      <c r="D326" s="572"/>
      <c r="E326" s="573"/>
      <c r="F326" s="572"/>
      <c r="G326" s="572"/>
      <c r="H326" s="539"/>
      <c r="J326" s="556"/>
      <c r="K326" s="556"/>
      <c r="L326" s="556"/>
      <c r="M326" s="557"/>
      <c r="N326" s="556"/>
      <c r="O326" s="556"/>
      <c r="P326" s="539"/>
      <c r="R326" s="556"/>
      <c r="S326" s="556"/>
      <c r="T326" s="556"/>
      <c r="U326" s="557"/>
      <c r="V326" s="556"/>
      <c r="W326" s="556"/>
      <c r="X326" s="8"/>
      <c r="Y326" s="8"/>
      <c r="Z326" s="8"/>
      <c r="AA326" s="8"/>
      <c r="AB326" s="8"/>
    </row>
    <row r="327">
      <c r="B327" s="572"/>
      <c r="C327" s="572"/>
      <c r="D327" s="572"/>
      <c r="E327" s="573"/>
      <c r="F327" s="572"/>
      <c r="G327" s="572"/>
      <c r="H327" s="539"/>
      <c r="J327" s="574"/>
      <c r="K327" s="574"/>
      <c r="L327" s="556"/>
      <c r="M327" s="557"/>
      <c r="N327" s="556"/>
      <c r="O327" s="556"/>
      <c r="P327" s="539"/>
      <c r="R327" s="574"/>
      <c r="S327" s="574"/>
      <c r="T327" s="556"/>
      <c r="U327" s="557"/>
      <c r="V327" s="556"/>
      <c r="W327" s="556"/>
      <c r="X327" s="8"/>
      <c r="Y327" s="8"/>
      <c r="Z327" s="8"/>
      <c r="AA327" s="8"/>
      <c r="AB327" s="8"/>
    </row>
    <row r="328">
      <c r="B328" s="572"/>
      <c r="C328" s="572"/>
      <c r="D328" s="572"/>
      <c r="E328" s="573"/>
      <c r="F328" s="572"/>
      <c r="G328" s="572"/>
      <c r="H328" s="539"/>
      <c r="J328" s="556"/>
      <c r="K328" s="556"/>
      <c r="L328" s="556"/>
      <c r="M328" s="557"/>
      <c r="N328" s="556"/>
      <c r="O328" s="556"/>
      <c r="P328" s="539"/>
      <c r="R328" s="556"/>
      <c r="S328" s="556"/>
      <c r="T328" s="556"/>
      <c r="U328" s="557"/>
      <c r="V328" s="556"/>
      <c r="W328" s="556"/>
      <c r="X328" s="8"/>
      <c r="Y328" s="8"/>
      <c r="Z328" s="8"/>
      <c r="AA328" s="8"/>
      <c r="AB328" s="8"/>
    </row>
    <row r="329">
      <c r="B329" s="572"/>
      <c r="C329" s="572"/>
      <c r="D329" s="572"/>
      <c r="E329" s="573"/>
      <c r="F329" s="572"/>
      <c r="G329" s="572"/>
      <c r="H329" s="539"/>
      <c r="J329" s="556"/>
      <c r="K329" s="556"/>
      <c r="L329" s="556"/>
      <c r="M329" s="557"/>
      <c r="N329" s="556"/>
      <c r="O329" s="556"/>
      <c r="P329" s="539"/>
      <c r="R329" s="556"/>
      <c r="S329" s="556"/>
      <c r="T329" s="556"/>
      <c r="U329" s="557"/>
      <c r="V329" s="556"/>
      <c r="W329" s="556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538"/>
      <c r="F330" s="8"/>
      <c r="G330" s="8"/>
      <c r="H330" s="539"/>
      <c r="I330" s="8"/>
      <c r="J330" s="264"/>
      <c r="K330" s="544"/>
      <c r="L330" s="8"/>
      <c r="M330" s="538"/>
      <c r="N330" s="8"/>
      <c r="O330" s="8"/>
      <c r="P330" s="539"/>
      <c r="Q330" s="8"/>
      <c r="R330" s="264"/>
      <c r="S330" s="544"/>
      <c r="T330" s="8"/>
      <c r="U330" s="538"/>
      <c r="V330" s="8"/>
      <c r="W330" s="8"/>
      <c r="X330" s="8"/>
      <c r="Y330" s="8"/>
      <c r="Z330" s="8"/>
      <c r="AA330" s="8"/>
      <c r="AB330" s="8"/>
    </row>
    <row r="331">
      <c r="A331" s="264" t="s">
        <v>432</v>
      </c>
      <c r="B331" s="565"/>
      <c r="C331" s="565"/>
      <c r="D331" s="565"/>
      <c r="E331" s="564"/>
      <c r="F331" s="565"/>
      <c r="G331" s="565"/>
      <c r="H331" s="539"/>
      <c r="I331" s="264" t="s">
        <v>432</v>
      </c>
      <c r="J331" s="563"/>
      <c r="K331" s="563"/>
      <c r="L331" s="563"/>
      <c r="M331" s="566"/>
      <c r="N331" s="563"/>
      <c r="O331" s="563"/>
      <c r="P331" s="539"/>
      <c r="Q331" s="264" t="s">
        <v>432</v>
      </c>
      <c r="R331" s="563"/>
      <c r="S331" s="563"/>
      <c r="T331" s="563"/>
      <c r="U331" s="566"/>
      <c r="V331" s="563"/>
      <c r="W331" s="563"/>
      <c r="X331" s="8"/>
      <c r="Y331" s="8"/>
      <c r="Z331" s="8"/>
      <c r="AA331" s="8"/>
      <c r="AB331" s="8"/>
    </row>
    <row r="332">
      <c r="B332" s="565"/>
      <c r="C332" s="565"/>
      <c r="D332" s="565"/>
      <c r="E332" s="564"/>
      <c r="F332" s="565"/>
      <c r="G332" s="565"/>
      <c r="H332" s="539"/>
      <c r="J332" s="563"/>
      <c r="K332" s="563"/>
      <c r="L332" s="563"/>
      <c r="M332" s="566"/>
      <c r="N332" s="563"/>
      <c r="O332" s="563"/>
      <c r="P332" s="539"/>
      <c r="R332" s="563"/>
      <c r="S332" s="563"/>
      <c r="T332" s="563"/>
      <c r="U332" s="566"/>
      <c r="V332" s="563"/>
      <c r="W332" s="563"/>
      <c r="X332" s="8"/>
      <c r="Y332" s="8"/>
      <c r="Z332" s="8"/>
      <c r="AA332" s="8"/>
      <c r="AB332" s="8"/>
    </row>
    <row r="333">
      <c r="B333" s="565"/>
      <c r="C333" s="565"/>
      <c r="D333" s="565"/>
      <c r="E333" s="564"/>
      <c r="F333" s="565"/>
      <c r="G333" s="565"/>
      <c r="H333" s="539"/>
      <c r="J333" s="563"/>
      <c r="K333" s="563"/>
      <c r="L333" s="563"/>
      <c r="M333" s="566"/>
      <c r="N333" s="563"/>
      <c r="O333" s="563"/>
      <c r="P333" s="539"/>
      <c r="R333" s="563"/>
      <c r="S333" s="563"/>
      <c r="T333" s="563"/>
      <c r="U333" s="566"/>
      <c r="V333" s="563"/>
      <c r="W333" s="563"/>
      <c r="X333" s="8"/>
      <c r="Y333" s="8"/>
      <c r="Z333" s="8"/>
      <c r="AA333" s="8"/>
      <c r="AB333" s="8"/>
    </row>
    <row r="334">
      <c r="B334" s="565"/>
      <c r="C334" s="565"/>
      <c r="D334" s="565"/>
      <c r="E334" s="564"/>
      <c r="F334" s="565"/>
      <c r="G334" s="565"/>
      <c r="H334" s="539"/>
      <c r="J334" s="563"/>
      <c r="K334" s="563"/>
      <c r="L334" s="563"/>
      <c r="M334" s="566"/>
      <c r="N334" s="563"/>
      <c r="O334" s="563"/>
      <c r="P334" s="539"/>
      <c r="R334" s="563"/>
      <c r="S334" s="563"/>
      <c r="T334" s="563"/>
      <c r="U334" s="566"/>
      <c r="V334" s="563"/>
      <c r="W334" s="563"/>
      <c r="X334" s="8"/>
      <c r="Y334" s="8"/>
      <c r="Z334" s="8"/>
      <c r="AA334" s="8"/>
      <c r="AB334" s="8"/>
    </row>
    <row r="335">
      <c r="B335" s="565"/>
      <c r="C335" s="565"/>
      <c r="D335" s="565"/>
      <c r="E335" s="564"/>
      <c r="F335" s="565"/>
      <c r="G335" s="565"/>
      <c r="H335" s="539"/>
      <c r="J335" s="563"/>
      <c r="K335" s="563"/>
      <c r="L335" s="563"/>
      <c r="M335" s="566"/>
      <c r="N335" s="563"/>
      <c r="O335" s="563"/>
      <c r="P335" s="539"/>
      <c r="R335" s="563"/>
      <c r="S335" s="563"/>
      <c r="T335" s="563"/>
      <c r="U335" s="566"/>
      <c r="V335" s="563"/>
      <c r="W335" s="563"/>
      <c r="X335" s="8"/>
      <c r="Y335" s="8"/>
      <c r="Z335" s="8"/>
      <c r="AA335" s="8"/>
      <c r="AB335" s="8"/>
    </row>
    <row r="336">
      <c r="A336" s="264" t="s">
        <v>438</v>
      </c>
      <c r="B336" s="8"/>
      <c r="C336" s="8"/>
      <c r="D336" s="8"/>
      <c r="E336" s="538"/>
      <c r="F336" s="8"/>
      <c r="G336" s="8"/>
      <c r="H336" s="539"/>
      <c r="I336" s="264" t="s">
        <v>438</v>
      </c>
      <c r="J336" s="544"/>
      <c r="K336" s="8"/>
      <c r="L336" s="8"/>
      <c r="M336" s="538"/>
      <c r="N336" s="8"/>
      <c r="O336" s="8"/>
      <c r="P336" s="539"/>
      <c r="Q336" s="264" t="s">
        <v>438</v>
      </c>
      <c r="R336" s="544"/>
      <c r="S336" s="8"/>
      <c r="T336" s="8"/>
      <c r="U336" s="53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538"/>
      <c r="F337" s="8"/>
      <c r="G337" s="8"/>
      <c r="H337" s="541"/>
      <c r="I337" s="264"/>
      <c r="J337" s="544"/>
      <c r="K337" s="8"/>
      <c r="L337" s="8"/>
      <c r="M337" s="538"/>
      <c r="N337" s="8"/>
      <c r="O337" s="8"/>
      <c r="P337" s="539"/>
      <c r="Q337" s="264"/>
      <c r="R337" s="544"/>
      <c r="S337" s="8"/>
      <c r="T337" s="8"/>
      <c r="U337" s="538"/>
      <c r="V337" s="8"/>
      <c r="W337" s="8"/>
      <c r="X337" s="8"/>
      <c r="Y337" s="8"/>
      <c r="Z337" s="8"/>
      <c r="AA337" s="8"/>
      <c r="AB337" s="8"/>
    </row>
    <row r="338">
      <c r="A338" s="551" t="s">
        <v>409</v>
      </c>
      <c r="B338" s="551" t="s">
        <v>19</v>
      </c>
      <c r="C338" s="551" t="s">
        <v>20</v>
      </c>
      <c r="D338" s="551" t="s">
        <v>410</v>
      </c>
      <c r="E338" s="552"/>
      <c r="F338" s="551"/>
      <c r="G338" s="551"/>
      <c r="H338" s="551"/>
      <c r="I338" s="551"/>
      <c r="J338" s="551" t="s">
        <v>19</v>
      </c>
      <c r="K338" s="551" t="s">
        <v>20</v>
      </c>
      <c r="L338" s="551"/>
      <c r="M338" s="551" t="s">
        <v>410</v>
      </c>
      <c r="N338" s="551"/>
      <c r="O338" s="551"/>
      <c r="P338" s="553"/>
      <c r="Q338" s="553"/>
      <c r="R338" s="551" t="s">
        <v>19</v>
      </c>
      <c r="S338" s="551" t="s">
        <v>20</v>
      </c>
      <c r="T338" s="553"/>
      <c r="U338" s="551" t="s">
        <v>410</v>
      </c>
      <c r="V338" s="553"/>
      <c r="W338" s="553"/>
      <c r="X338" s="8"/>
      <c r="Y338" s="8"/>
      <c r="Z338" s="8"/>
      <c r="AA338" s="8"/>
      <c r="AB338" s="8"/>
    </row>
    <row r="339">
      <c r="A339" s="92"/>
      <c r="D339" s="8"/>
      <c r="E339" s="538"/>
      <c r="F339" s="264"/>
      <c r="G339" s="8"/>
      <c r="H339" s="541"/>
      <c r="I339" s="264"/>
      <c r="J339" s="264"/>
      <c r="K339" s="264"/>
      <c r="L339" s="544"/>
      <c r="M339" s="544"/>
      <c r="N339" s="544"/>
      <c r="O339" s="544"/>
      <c r="P339" s="539"/>
      <c r="Q339" s="264"/>
      <c r="R339" s="264"/>
      <c r="S339" s="264"/>
      <c r="T339" s="8"/>
      <c r="U339" s="544"/>
      <c r="V339" s="8"/>
      <c r="W339" s="8"/>
      <c r="X339" s="8"/>
      <c r="Y339" s="8"/>
      <c r="Z339" s="8"/>
      <c r="AA339" s="8"/>
      <c r="AB339" s="8"/>
    </row>
    <row r="340">
      <c r="A340" s="264"/>
      <c r="B340" s="8"/>
      <c r="C340" s="264" t="s">
        <v>414</v>
      </c>
      <c r="D340" s="8"/>
      <c r="E340" s="538"/>
      <c r="F340" s="8"/>
      <c r="G340" s="8"/>
      <c r="H340" s="545"/>
      <c r="I340" s="509" t="s">
        <v>23</v>
      </c>
      <c r="J340" s="217"/>
      <c r="K340" s="264" t="s">
        <v>414</v>
      </c>
      <c r="L340" s="8"/>
      <c r="M340" s="538"/>
      <c r="N340" s="8"/>
      <c r="O340" s="8"/>
      <c r="P340" s="539"/>
      <c r="Q340" s="509" t="s">
        <v>24</v>
      </c>
      <c r="R340" s="217"/>
      <c r="S340" s="264" t="s">
        <v>414</v>
      </c>
      <c r="T340" s="8"/>
      <c r="U340" s="538"/>
      <c r="V340" s="8"/>
      <c r="W340" s="8"/>
      <c r="X340" s="8"/>
      <c r="Y340" s="8"/>
      <c r="Z340" s="8"/>
      <c r="AA340" s="8"/>
      <c r="AB340" s="8"/>
    </row>
    <row r="341">
      <c r="A341" s="264"/>
      <c r="B341" s="509" t="s">
        <v>415</v>
      </c>
      <c r="C341" s="509" t="s">
        <v>267</v>
      </c>
      <c r="D341" s="509" t="s">
        <v>416</v>
      </c>
      <c r="E341" s="540" t="s">
        <v>417</v>
      </c>
      <c r="F341" s="509" t="s">
        <v>418</v>
      </c>
      <c r="G341" s="509" t="s">
        <v>419</v>
      </c>
      <c r="H341" s="539"/>
      <c r="I341" s="264"/>
      <c r="J341" s="509" t="s">
        <v>415</v>
      </c>
      <c r="K341" s="509" t="s">
        <v>267</v>
      </c>
      <c r="L341" s="509" t="s">
        <v>420</v>
      </c>
      <c r="M341" s="540" t="s">
        <v>417</v>
      </c>
      <c r="N341" s="509" t="s">
        <v>418</v>
      </c>
      <c r="O341" s="509" t="s">
        <v>419</v>
      </c>
      <c r="P341" s="539"/>
      <c r="Q341" s="264"/>
      <c r="R341" s="509" t="s">
        <v>415</v>
      </c>
      <c r="S341" s="509" t="s">
        <v>267</v>
      </c>
      <c r="T341" s="509" t="s">
        <v>420</v>
      </c>
      <c r="U341" s="540" t="s">
        <v>417</v>
      </c>
      <c r="V341" s="509" t="s">
        <v>418</v>
      </c>
      <c r="W341" s="509" t="s">
        <v>419</v>
      </c>
      <c r="X341" s="8"/>
      <c r="Y341" s="8"/>
      <c r="Z341" s="8"/>
      <c r="AA341" s="8"/>
      <c r="AB341" s="8"/>
    </row>
    <row r="342">
      <c r="A342" s="264" t="s">
        <v>421</v>
      </c>
      <c r="B342" s="572"/>
      <c r="C342" s="572"/>
      <c r="D342" s="572"/>
      <c r="E342" s="573"/>
      <c r="F342" s="572"/>
      <c r="G342" s="572"/>
      <c r="H342" s="539"/>
      <c r="I342" s="264" t="s">
        <v>421</v>
      </c>
      <c r="J342" s="556"/>
      <c r="K342" s="556"/>
      <c r="L342" s="556"/>
      <c r="M342" s="557"/>
      <c r="N342" s="556"/>
      <c r="O342" s="556"/>
      <c r="P342" s="539"/>
      <c r="Q342" s="264" t="s">
        <v>421</v>
      </c>
      <c r="R342" s="556"/>
      <c r="S342" s="556"/>
      <c r="T342" s="556"/>
      <c r="U342" s="557"/>
      <c r="V342" s="556"/>
      <c r="W342" s="556"/>
      <c r="X342" s="8"/>
      <c r="Y342" s="8"/>
      <c r="Z342" s="8"/>
      <c r="AA342" s="8"/>
      <c r="AB342" s="8"/>
    </row>
    <row r="343">
      <c r="B343" s="572"/>
      <c r="C343" s="572"/>
      <c r="D343" s="572"/>
      <c r="E343" s="573"/>
      <c r="F343" s="572"/>
      <c r="G343" s="572"/>
      <c r="H343" s="539"/>
      <c r="J343" s="556"/>
      <c r="K343" s="556"/>
      <c r="L343" s="556"/>
      <c r="M343" s="557"/>
      <c r="N343" s="556"/>
      <c r="O343" s="556"/>
      <c r="P343" s="539"/>
      <c r="R343" s="556"/>
      <c r="S343" s="556"/>
      <c r="T343" s="556"/>
      <c r="U343" s="557"/>
      <c r="V343" s="556"/>
      <c r="W343" s="556"/>
      <c r="X343" s="8"/>
      <c r="Y343" s="8"/>
      <c r="Z343" s="8"/>
      <c r="AA343" s="8"/>
      <c r="AB343" s="8"/>
    </row>
    <row r="344">
      <c r="B344" s="572"/>
      <c r="C344" s="572"/>
      <c r="D344" s="572"/>
      <c r="E344" s="573"/>
      <c r="F344" s="572"/>
      <c r="G344" s="572"/>
      <c r="H344" s="539"/>
      <c r="J344" s="574"/>
      <c r="K344" s="574"/>
      <c r="L344" s="556"/>
      <c r="M344" s="557"/>
      <c r="N344" s="556"/>
      <c r="O344" s="556"/>
      <c r="P344" s="539"/>
      <c r="R344" s="574"/>
      <c r="S344" s="574"/>
      <c r="T344" s="556"/>
      <c r="U344" s="557"/>
      <c r="V344" s="556"/>
      <c r="W344" s="556"/>
      <c r="X344" s="8"/>
      <c r="Y344" s="8"/>
      <c r="Z344" s="8"/>
      <c r="AA344" s="8"/>
      <c r="AB344" s="8"/>
    </row>
    <row r="345">
      <c r="B345" s="572"/>
      <c r="C345" s="572"/>
      <c r="D345" s="572"/>
      <c r="E345" s="573"/>
      <c r="F345" s="572"/>
      <c r="G345" s="572"/>
      <c r="H345" s="539"/>
      <c r="J345" s="556"/>
      <c r="K345" s="556"/>
      <c r="L345" s="556"/>
      <c r="M345" s="557"/>
      <c r="N345" s="556"/>
      <c r="O345" s="556"/>
      <c r="P345" s="539"/>
      <c r="R345" s="556"/>
      <c r="S345" s="556"/>
      <c r="T345" s="556"/>
      <c r="U345" s="557"/>
      <c r="V345" s="556"/>
      <c r="W345" s="556"/>
      <c r="X345" s="8"/>
      <c r="Y345" s="8"/>
      <c r="Z345" s="8"/>
      <c r="AA345" s="8"/>
      <c r="AB345" s="8"/>
    </row>
    <row r="346">
      <c r="B346" s="572"/>
      <c r="C346" s="572"/>
      <c r="D346" s="572"/>
      <c r="E346" s="573"/>
      <c r="F346" s="572"/>
      <c r="G346" s="572"/>
      <c r="H346" s="539"/>
      <c r="J346" s="556"/>
      <c r="K346" s="556"/>
      <c r="L346" s="556"/>
      <c r="M346" s="557"/>
      <c r="N346" s="556"/>
      <c r="O346" s="556"/>
      <c r="P346" s="539"/>
      <c r="R346" s="556"/>
      <c r="S346" s="556"/>
      <c r="T346" s="556"/>
      <c r="U346" s="557"/>
      <c r="V346" s="556"/>
      <c r="W346" s="556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538"/>
      <c r="F347" s="8"/>
      <c r="G347" s="8"/>
      <c r="H347" s="539"/>
      <c r="I347" s="8"/>
      <c r="J347" s="264"/>
      <c r="K347" s="544"/>
      <c r="L347" s="8"/>
      <c r="M347" s="538"/>
      <c r="N347" s="8"/>
      <c r="O347" s="8"/>
      <c r="P347" s="539"/>
      <c r="Q347" s="8"/>
      <c r="R347" s="264"/>
      <c r="S347" s="544"/>
      <c r="T347" s="8"/>
      <c r="U347" s="538"/>
      <c r="V347" s="8"/>
      <c r="W347" s="8"/>
      <c r="X347" s="8"/>
      <c r="Y347" s="8"/>
      <c r="Z347" s="8"/>
      <c r="AA347" s="8"/>
      <c r="AB347" s="8"/>
    </row>
    <row r="348">
      <c r="A348" s="264" t="s">
        <v>432</v>
      </c>
      <c r="B348" s="565"/>
      <c r="C348" s="565"/>
      <c r="D348" s="565"/>
      <c r="E348" s="564"/>
      <c r="F348" s="565"/>
      <c r="G348" s="565"/>
      <c r="H348" s="539"/>
      <c r="I348" s="264" t="s">
        <v>432</v>
      </c>
      <c r="J348" s="563"/>
      <c r="K348" s="563"/>
      <c r="L348" s="563"/>
      <c r="M348" s="566"/>
      <c r="N348" s="563"/>
      <c r="O348" s="563"/>
      <c r="P348" s="539"/>
      <c r="Q348" s="264" t="s">
        <v>432</v>
      </c>
      <c r="R348" s="563"/>
      <c r="S348" s="563"/>
      <c r="T348" s="563"/>
      <c r="U348" s="566"/>
      <c r="V348" s="563"/>
      <c r="W348" s="563"/>
      <c r="X348" s="8"/>
      <c r="Y348" s="8"/>
      <c r="Z348" s="8"/>
      <c r="AA348" s="8"/>
      <c r="AB348" s="8"/>
    </row>
    <row r="349">
      <c r="B349" s="565"/>
      <c r="C349" s="565"/>
      <c r="D349" s="565"/>
      <c r="E349" s="564"/>
      <c r="F349" s="565"/>
      <c r="G349" s="565"/>
      <c r="H349" s="539"/>
      <c r="J349" s="563"/>
      <c r="K349" s="563"/>
      <c r="L349" s="563"/>
      <c r="M349" s="566"/>
      <c r="N349" s="563"/>
      <c r="O349" s="563"/>
      <c r="P349" s="539"/>
      <c r="R349" s="563"/>
      <c r="S349" s="563"/>
      <c r="T349" s="563"/>
      <c r="U349" s="566"/>
      <c r="V349" s="563"/>
      <c r="W349" s="563"/>
      <c r="X349" s="8"/>
      <c r="Y349" s="8"/>
      <c r="Z349" s="8"/>
      <c r="AA349" s="8"/>
      <c r="AB349" s="8"/>
    </row>
    <row r="350">
      <c r="B350" s="565"/>
      <c r="C350" s="565"/>
      <c r="D350" s="565"/>
      <c r="E350" s="564"/>
      <c r="F350" s="565"/>
      <c r="G350" s="565"/>
      <c r="H350" s="539"/>
      <c r="J350" s="563"/>
      <c r="K350" s="563"/>
      <c r="L350" s="563"/>
      <c r="M350" s="566"/>
      <c r="N350" s="563"/>
      <c r="O350" s="563"/>
      <c r="P350" s="539"/>
      <c r="R350" s="563"/>
      <c r="S350" s="563"/>
      <c r="T350" s="563"/>
      <c r="U350" s="566"/>
      <c r="V350" s="563"/>
      <c r="W350" s="563"/>
      <c r="X350" s="8"/>
      <c r="Y350" s="8"/>
      <c r="Z350" s="8"/>
      <c r="AA350" s="8"/>
      <c r="AB350" s="8"/>
    </row>
    <row r="351">
      <c r="B351" s="565"/>
      <c r="C351" s="565"/>
      <c r="D351" s="565"/>
      <c r="E351" s="564"/>
      <c r="F351" s="565"/>
      <c r="G351" s="565"/>
      <c r="H351" s="539"/>
      <c r="J351" s="563"/>
      <c r="K351" s="563"/>
      <c r="L351" s="563"/>
      <c r="M351" s="566"/>
      <c r="N351" s="563"/>
      <c r="O351" s="563"/>
      <c r="P351" s="539"/>
      <c r="R351" s="563"/>
      <c r="S351" s="563"/>
      <c r="T351" s="563"/>
      <c r="U351" s="566"/>
      <c r="V351" s="563"/>
      <c r="W351" s="563"/>
      <c r="X351" s="8"/>
      <c r="Y351" s="8"/>
      <c r="Z351" s="8"/>
      <c r="AA351" s="8"/>
      <c r="AB351" s="8"/>
    </row>
    <row r="352">
      <c r="B352" s="565"/>
      <c r="C352" s="565"/>
      <c r="D352" s="565"/>
      <c r="E352" s="564"/>
      <c r="F352" s="565"/>
      <c r="G352" s="565"/>
      <c r="H352" s="539"/>
      <c r="J352" s="563"/>
      <c r="K352" s="563"/>
      <c r="L352" s="563"/>
      <c r="M352" s="566"/>
      <c r="N352" s="563"/>
      <c r="O352" s="563"/>
      <c r="P352" s="539"/>
      <c r="R352" s="563"/>
      <c r="S352" s="563"/>
      <c r="T352" s="563"/>
      <c r="U352" s="566"/>
      <c r="V352" s="563"/>
      <c r="W352" s="563"/>
      <c r="X352" s="8"/>
      <c r="Y352" s="8"/>
      <c r="Z352" s="8"/>
      <c r="AA352" s="8"/>
      <c r="AB352" s="8"/>
    </row>
    <row r="353">
      <c r="A353" s="264" t="s">
        <v>438</v>
      </c>
      <c r="B353" s="8"/>
      <c r="C353" s="8"/>
      <c r="D353" s="8"/>
      <c r="E353" s="538"/>
      <c r="F353" s="8"/>
      <c r="G353" s="8"/>
      <c r="H353" s="539"/>
      <c r="I353" s="264" t="s">
        <v>438</v>
      </c>
      <c r="J353" s="544"/>
      <c r="K353" s="8"/>
      <c r="L353" s="8"/>
      <c r="M353" s="538"/>
      <c r="N353" s="8"/>
      <c r="O353" s="8"/>
      <c r="P353" s="539"/>
      <c r="Q353" s="264" t="s">
        <v>438</v>
      </c>
      <c r="R353" s="544"/>
      <c r="S353" s="8"/>
      <c r="T353" s="8"/>
      <c r="U353" s="53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538"/>
      <c r="F354" s="8"/>
      <c r="G354" s="8"/>
      <c r="H354" s="541"/>
      <c r="I354" s="264"/>
      <c r="J354" s="544"/>
      <c r="K354" s="8"/>
      <c r="L354" s="8"/>
      <c r="M354" s="538"/>
      <c r="N354" s="8"/>
      <c r="O354" s="8"/>
      <c r="P354" s="539"/>
      <c r="Q354" s="264"/>
      <c r="R354" s="544"/>
      <c r="S354" s="8"/>
      <c r="T354" s="8"/>
      <c r="U354" s="53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538"/>
      <c r="F355" s="8"/>
      <c r="G355" s="8"/>
      <c r="H355" s="539"/>
      <c r="I355" s="8"/>
      <c r="J355" s="8"/>
      <c r="K355" s="8"/>
      <c r="L355" s="8"/>
      <c r="M355" s="8"/>
      <c r="N355" s="8"/>
      <c r="O355" s="8"/>
      <c r="P355" s="539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538"/>
      <c r="F356" s="8"/>
      <c r="G356" s="8"/>
      <c r="H356" s="539"/>
      <c r="I356" s="8"/>
      <c r="J356" s="8"/>
      <c r="K356" s="8"/>
      <c r="L356" s="8"/>
      <c r="M356" s="8"/>
      <c r="N356" s="8"/>
      <c r="O356" s="8"/>
      <c r="P356" s="539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538"/>
      <c r="F357" s="8"/>
      <c r="G357" s="8"/>
      <c r="H357" s="539"/>
      <c r="I357" s="8"/>
      <c r="J357" s="8"/>
      <c r="K357" s="8"/>
      <c r="L357" s="8"/>
      <c r="M357" s="8"/>
      <c r="N357" s="8"/>
      <c r="O357" s="8"/>
      <c r="P357" s="539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538"/>
      <c r="F358" s="8"/>
      <c r="G358" s="8"/>
      <c r="H358" s="539"/>
      <c r="I358" s="8"/>
      <c r="J358" s="8"/>
      <c r="K358" s="8"/>
      <c r="L358" s="8"/>
      <c r="M358" s="8"/>
      <c r="N358" s="8"/>
      <c r="O358" s="8"/>
      <c r="P358" s="539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538"/>
      <c r="F359" s="8"/>
      <c r="G359" s="8"/>
      <c r="H359" s="539"/>
      <c r="I359" s="8"/>
      <c r="J359" s="8"/>
      <c r="K359" s="8"/>
      <c r="L359" s="8"/>
      <c r="M359" s="8"/>
      <c r="N359" s="8"/>
      <c r="O359" s="8"/>
      <c r="P359" s="539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538"/>
      <c r="F360" s="8"/>
      <c r="G360" s="8"/>
      <c r="H360" s="539"/>
      <c r="I360" s="8"/>
      <c r="J360" s="8"/>
      <c r="K360" s="8"/>
      <c r="L360" s="8"/>
      <c r="M360" s="8"/>
      <c r="N360" s="8"/>
      <c r="O360" s="8"/>
      <c r="P360" s="539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538"/>
      <c r="F361" s="8"/>
      <c r="G361" s="8"/>
      <c r="H361" s="539"/>
      <c r="I361" s="8"/>
      <c r="J361" s="8"/>
      <c r="K361" s="8"/>
      <c r="L361" s="8"/>
      <c r="M361" s="8"/>
      <c r="N361" s="8"/>
      <c r="O361" s="8"/>
      <c r="P361" s="539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538"/>
      <c r="F362" s="8"/>
      <c r="G362" s="8"/>
      <c r="H362" s="539"/>
      <c r="I362" s="8"/>
      <c r="J362" s="8"/>
      <c r="K362" s="8"/>
      <c r="L362" s="8"/>
      <c r="M362" s="8"/>
      <c r="N362" s="8"/>
      <c r="O362" s="8"/>
      <c r="P362" s="539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538"/>
      <c r="F363" s="8"/>
      <c r="G363" s="8"/>
      <c r="H363" s="539"/>
      <c r="I363" s="8"/>
      <c r="J363" s="8"/>
      <c r="K363" s="8"/>
      <c r="L363" s="8"/>
      <c r="M363" s="8"/>
      <c r="N363" s="8"/>
      <c r="O363" s="8"/>
      <c r="P363" s="539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538"/>
      <c r="F364" s="8"/>
      <c r="G364" s="8"/>
      <c r="H364" s="539"/>
      <c r="I364" s="8"/>
      <c r="J364" s="8"/>
      <c r="K364" s="8"/>
      <c r="L364" s="8"/>
      <c r="M364" s="8"/>
      <c r="N364" s="8"/>
      <c r="O364" s="8"/>
      <c r="P364" s="539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538"/>
      <c r="F365" s="8"/>
      <c r="G365" s="8"/>
      <c r="H365" s="539"/>
      <c r="I365" s="8"/>
      <c r="J365" s="8"/>
      <c r="K365" s="8"/>
      <c r="L365" s="8"/>
      <c r="M365" s="8"/>
      <c r="N365" s="8"/>
      <c r="O365" s="8"/>
      <c r="P365" s="539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538"/>
      <c r="F366" s="8"/>
      <c r="G366" s="8"/>
      <c r="H366" s="539"/>
      <c r="I366" s="8"/>
      <c r="J366" s="8"/>
      <c r="K366" s="8"/>
      <c r="L366" s="8"/>
      <c r="M366" s="8"/>
      <c r="N366" s="8"/>
      <c r="O366" s="8"/>
      <c r="P366" s="539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538"/>
      <c r="F367" s="8"/>
      <c r="G367" s="8"/>
      <c r="H367" s="539"/>
      <c r="I367" s="8"/>
      <c r="J367" s="8"/>
      <c r="K367" s="8"/>
      <c r="L367" s="8"/>
      <c r="M367" s="8"/>
      <c r="N367" s="8"/>
      <c r="O367" s="8"/>
      <c r="P367" s="539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538"/>
      <c r="F368" s="8"/>
      <c r="G368" s="8"/>
      <c r="H368" s="539"/>
      <c r="I368" s="8"/>
      <c r="J368" s="8"/>
      <c r="K368" s="8"/>
      <c r="L368" s="8"/>
      <c r="M368" s="8"/>
      <c r="N368" s="8"/>
      <c r="O368" s="8"/>
      <c r="P368" s="539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538"/>
      <c r="F369" s="8"/>
      <c r="G369" s="8"/>
      <c r="H369" s="539"/>
      <c r="I369" s="8"/>
      <c r="J369" s="8"/>
      <c r="K369" s="8"/>
      <c r="L369" s="8"/>
      <c r="M369" s="8"/>
      <c r="N369" s="8"/>
      <c r="O369" s="8"/>
      <c r="P369" s="539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538"/>
      <c r="F370" s="8"/>
      <c r="G370" s="8"/>
      <c r="H370" s="539"/>
      <c r="I370" s="8"/>
      <c r="J370" s="8"/>
      <c r="K370" s="8"/>
      <c r="L370" s="8"/>
      <c r="M370" s="8"/>
      <c r="N370" s="8"/>
      <c r="O370" s="8"/>
      <c r="P370" s="53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538"/>
      <c r="F371" s="8"/>
      <c r="G371" s="8"/>
      <c r="H371" s="539"/>
      <c r="I371" s="8"/>
      <c r="J371" s="8"/>
      <c r="K371" s="8"/>
      <c r="L371" s="8"/>
      <c r="M371" s="8"/>
      <c r="N371" s="8"/>
      <c r="O371" s="8"/>
      <c r="P371" s="539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538"/>
      <c r="F372" s="8"/>
      <c r="G372" s="8"/>
      <c r="H372" s="539"/>
      <c r="I372" s="8"/>
      <c r="J372" s="8"/>
      <c r="K372" s="8"/>
      <c r="L372" s="8"/>
      <c r="M372" s="8"/>
      <c r="N372" s="8"/>
      <c r="O372" s="8"/>
      <c r="P372" s="539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538"/>
      <c r="F373" s="8"/>
      <c r="G373" s="8"/>
      <c r="H373" s="539"/>
      <c r="I373" s="8"/>
      <c r="J373" s="8"/>
      <c r="K373" s="8"/>
      <c r="L373" s="8"/>
      <c r="M373" s="8"/>
      <c r="N373" s="8"/>
      <c r="O373" s="8"/>
      <c r="P373" s="539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538"/>
      <c r="F374" s="8"/>
      <c r="G374" s="8"/>
      <c r="H374" s="539"/>
      <c r="I374" s="8"/>
      <c r="J374" s="8"/>
      <c r="K374" s="8"/>
      <c r="L374" s="8"/>
      <c r="M374" s="8"/>
      <c r="N374" s="8"/>
      <c r="O374" s="8"/>
      <c r="P374" s="539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538"/>
      <c r="F375" s="8"/>
      <c r="G375" s="8"/>
      <c r="H375" s="539"/>
      <c r="I375" s="8"/>
      <c r="J375" s="8"/>
      <c r="K375" s="8"/>
      <c r="L375" s="8"/>
      <c r="M375" s="8"/>
      <c r="N375" s="8"/>
      <c r="O375" s="8"/>
      <c r="P375" s="539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538"/>
      <c r="F376" s="8"/>
      <c r="G376" s="8"/>
      <c r="H376" s="539"/>
      <c r="I376" s="8"/>
      <c r="J376" s="8"/>
      <c r="K376" s="8"/>
      <c r="L376" s="8"/>
      <c r="M376" s="8"/>
      <c r="N376" s="8"/>
      <c r="O376" s="8"/>
      <c r="P376" s="539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538"/>
      <c r="F377" s="8"/>
      <c r="G377" s="8"/>
      <c r="H377" s="539"/>
      <c r="I377" s="8"/>
      <c r="J377" s="8"/>
      <c r="K377" s="8"/>
      <c r="L377" s="8"/>
      <c r="M377" s="8"/>
      <c r="N377" s="8"/>
      <c r="O377" s="8"/>
      <c r="P377" s="539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538"/>
      <c r="F378" s="8"/>
      <c r="G378" s="8"/>
      <c r="H378" s="539"/>
      <c r="I378" s="8"/>
      <c r="J378" s="8"/>
      <c r="K378" s="8"/>
      <c r="L378" s="8"/>
      <c r="M378" s="8"/>
      <c r="N378" s="8"/>
      <c r="O378" s="8"/>
      <c r="P378" s="539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538"/>
      <c r="F379" s="8"/>
      <c r="G379" s="8"/>
      <c r="H379" s="539"/>
      <c r="I379" s="8"/>
      <c r="J379" s="8"/>
      <c r="K379" s="8"/>
      <c r="L379" s="8"/>
      <c r="M379" s="8"/>
      <c r="N379" s="8"/>
      <c r="O379" s="8"/>
      <c r="P379" s="539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538"/>
      <c r="F380" s="8"/>
      <c r="G380" s="8"/>
      <c r="H380" s="539"/>
      <c r="I380" s="8"/>
      <c r="J380" s="8"/>
      <c r="K380" s="8"/>
      <c r="L380" s="8"/>
      <c r="M380" s="8"/>
      <c r="N380" s="8"/>
      <c r="O380" s="8"/>
      <c r="P380" s="539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538"/>
      <c r="F381" s="8"/>
      <c r="G381" s="8"/>
      <c r="H381" s="539"/>
      <c r="I381" s="8"/>
      <c r="J381" s="8"/>
      <c r="K381" s="8"/>
      <c r="L381" s="8"/>
      <c r="M381" s="8"/>
      <c r="N381" s="8"/>
      <c r="O381" s="8"/>
      <c r="P381" s="539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538"/>
      <c r="F382" s="8"/>
      <c r="G382" s="8"/>
      <c r="H382" s="539"/>
      <c r="I382" s="8"/>
      <c r="J382" s="8"/>
      <c r="K382" s="8"/>
      <c r="L382" s="8"/>
      <c r="M382" s="8"/>
      <c r="N382" s="8"/>
      <c r="O382" s="8"/>
      <c r="P382" s="539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538"/>
      <c r="F383" s="8"/>
      <c r="G383" s="8"/>
      <c r="H383" s="539"/>
      <c r="I383" s="8"/>
      <c r="J383" s="8"/>
      <c r="K383" s="8"/>
      <c r="L383" s="8"/>
      <c r="M383" s="8"/>
      <c r="N383" s="8"/>
      <c r="O383" s="8"/>
      <c r="P383" s="539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538"/>
      <c r="F384" s="8"/>
      <c r="G384" s="8"/>
      <c r="H384" s="539"/>
      <c r="I384" s="8"/>
      <c r="J384" s="8"/>
      <c r="K384" s="8"/>
      <c r="L384" s="8"/>
      <c r="M384" s="8"/>
      <c r="N384" s="8"/>
      <c r="O384" s="8"/>
      <c r="P384" s="539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538"/>
      <c r="F385" s="8"/>
      <c r="G385" s="8"/>
      <c r="H385" s="539"/>
      <c r="I385" s="8"/>
      <c r="J385" s="8"/>
      <c r="K385" s="8"/>
      <c r="L385" s="8"/>
      <c r="M385" s="8"/>
      <c r="N385" s="8"/>
      <c r="O385" s="8"/>
      <c r="P385" s="539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538"/>
      <c r="F386" s="8"/>
      <c r="G386" s="8"/>
      <c r="H386" s="539"/>
      <c r="I386" s="8"/>
      <c r="J386" s="8"/>
      <c r="K386" s="8"/>
      <c r="L386" s="8"/>
      <c r="M386" s="8"/>
      <c r="N386" s="8"/>
      <c r="O386" s="8"/>
      <c r="P386" s="539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538"/>
      <c r="F387" s="8"/>
      <c r="G387" s="8"/>
      <c r="H387" s="539"/>
      <c r="I387" s="8"/>
      <c r="J387" s="8"/>
      <c r="K387" s="8"/>
      <c r="L387" s="8"/>
      <c r="M387" s="8"/>
      <c r="N387" s="8"/>
      <c r="O387" s="8"/>
      <c r="P387" s="539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538"/>
      <c r="F388" s="8"/>
      <c r="G388" s="8"/>
      <c r="H388" s="539"/>
      <c r="I388" s="8"/>
      <c r="J388" s="8"/>
      <c r="K388" s="8"/>
      <c r="L388" s="8"/>
      <c r="M388" s="8"/>
      <c r="N388" s="8"/>
      <c r="O388" s="8"/>
      <c r="P388" s="539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538"/>
      <c r="F389" s="8"/>
      <c r="G389" s="8"/>
      <c r="H389" s="539"/>
      <c r="I389" s="8"/>
      <c r="J389" s="8"/>
      <c r="K389" s="8"/>
      <c r="L389" s="8"/>
      <c r="M389" s="8"/>
      <c r="N389" s="8"/>
      <c r="O389" s="8"/>
      <c r="P389" s="539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538"/>
      <c r="F390" s="8"/>
      <c r="G390" s="8"/>
      <c r="H390" s="539"/>
      <c r="I390" s="8"/>
      <c r="J390" s="8"/>
      <c r="K390" s="8"/>
      <c r="L390" s="8"/>
      <c r="M390" s="8"/>
      <c r="N390" s="8"/>
      <c r="O390" s="8"/>
      <c r="P390" s="539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538"/>
      <c r="F391" s="8"/>
      <c r="G391" s="8"/>
      <c r="H391" s="539"/>
      <c r="I391" s="8"/>
      <c r="J391" s="8"/>
      <c r="K391" s="8"/>
      <c r="L391" s="8"/>
      <c r="M391" s="8"/>
      <c r="N391" s="8"/>
      <c r="O391" s="8"/>
      <c r="P391" s="539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538"/>
      <c r="F392" s="8"/>
      <c r="G392" s="8"/>
      <c r="H392" s="539"/>
      <c r="I392" s="8"/>
      <c r="J392" s="8"/>
      <c r="K392" s="8"/>
      <c r="L392" s="8"/>
      <c r="M392" s="8"/>
      <c r="N392" s="8"/>
      <c r="O392" s="8"/>
      <c r="P392" s="539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538"/>
      <c r="F393" s="8"/>
      <c r="G393" s="8"/>
      <c r="H393" s="539"/>
      <c r="I393" s="8"/>
      <c r="J393" s="8"/>
      <c r="K393" s="8"/>
      <c r="L393" s="8"/>
      <c r="M393" s="8"/>
      <c r="N393" s="8"/>
      <c r="O393" s="8"/>
      <c r="P393" s="53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538"/>
      <c r="F394" s="8"/>
      <c r="G394" s="8"/>
      <c r="H394" s="539"/>
      <c r="I394" s="8"/>
      <c r="J394" s="8"/>
      <c r="K394" s="8"/>
      <c r="L394" s="8"/>
      <c r="M394" s="8"/>
      <c r="N394" s="8"/>
      <c r="O394" s="8"/>
      <c r="P394" s="539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538"/>
      <c r="F395" s="8"/>
      <c r="G395" s="8"/>
      <c r="H395" s="539"/>
      <c r="I395" s="8"/>
      <c r="J395" s="8"/>
      <c r="K395" s="8"/>
      <c r="L395" s="8"/>
      <c r="M395" s="8"/>
      <c r="N395" s="8"/>
      <c r="O395" s="8"/>
      <c r="P395" s="539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538"/>
      <c r="F396" s="8"/>
      <c r="G396" s="8"/>
      <c r="H396" s="539"/>
      <c r="I396" s="8"/>
      <c r="J396" s="8"/>
      <c r="K396" s="8"/>
      <c r="L396" s="8"/>
      <c r="M396" s="8"/>
      <c r="N396" s="8"/>
      <c r="O396" s="8"/>
      <c r="P396" s="539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538"/>
      <c r="F397" s="8"/>
      <c r="G397" s="8"/>
      <c r="H397" s="539"/>
      <c r="I397" s="8"/>
      <c r="J397" s="8"/>
      <c r="K397" s="8"/>
      <c r="L397" s="8"/>
      <c r="M397" s="8"/>
      <c r="N397" s="8"/>
      <c r="O397" s="8"/>
      <c r="P397" s="539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538"/>
      <c r="F398" s="8"/>
      <c r="G398" s="8"/>
      <c r="H398" s="539"/>
      <c r="I398" s="8"/>
      <c r="J398" s="8"/>
      <c r="K398" s="8"/>
      <c r="L398" s="8"/>
      <c r="M398" s="8"/>
      <c r="N398" s="8"/>
      <c r="O398" s="8"/>
      <c r="P398" s="539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538"/>
      <c r="F399" s="8"/>
      <c r="G399" s="8"/>
      <c r="H399" s="539"/>
      <c r="I399" s="8"/>
      <c r="J399" s="8"/>
      <c r="K399" s="8"/>
      <c r="L399" s="8"/>
      <c r="M399" s="8"/>
      <c r="N399" s="8"/>
      <c r="O399" s="8"/>
      <c r="P399" s="539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538"/>
      <c r="F400" s="8"/>
      <c r="G400" s="8"/>
      <c r="H400" s="539"/>
      <c r="I400" s="8"/>
      <c r="J400" s="8"/>
      <c r="K400" s="8"/>
      <c r="L400" s="8"/>
      <c r="M400" s="8"/>
      <c r="N400" s="8"/>
      <c r="O400" s="8"/>
      <c r="P400" s="539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538"/>
      <c r="F401" s="8"/>
      <c r="G401" s="8"/>
      <c r="H401" s="539"/>
      <c r="I401" s="8"/>
      <c r="J401" s="8"/>
      <c r="K401" s="8"/>
      <c r="L401" s="8"/>
      <c r="M401" s="8"/>
      <c r="N401" s="8"/>
      <c r="O401" s="8"/>
      <c r="P401" s="539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538"/>
      <c r="F402" s="8"/>
      <c r="G402" s="8"/>
      <c r="H402" s="539"/>
      <c r="I402" s="8"/>
      <c r="J402" s="8"/>
      <c r="K402" s="8"/>
      <c r="L402" s="8"/>
      <c r="M402" s="8"/>
      <c r="N402" s="8"/>
      <c r="O402" s="8"/>
      <c r="P402" s="539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538"/>
      <c r="F403" s="8"/>
      <c r="G403" s="8"/>
      <c r="H403" s="539"/>
      <c r="I403" s="8"/>
      <c r="J403" s="8"/>
      <c r="K403" s="8"/>
      <c r="L403" s="8"/>
      <c r="M403" s="8"/>
      <c r="N403" s="8"/>
      <c r="O403" s="8"/>
      <c r="P403" s="539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538"/>
      <c r="F404" s="8"/>
      <c r="G404" s="8"/>
      <c r="H404" s="539"/>
      <c r="I404" s="8"/>
      <c r="J404" s="8"/>
      <c r="K404" s="8"/>
      <c r="L404" s="8"/>
      <c r="M404" s="8"/>
      <c r="N404" s="8"/>
      <c r="O404" s="8"/>
      <c r="P404" s="539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538"/>
      <c r="F405" s="8"/>
      <c r="G405" s="8"/>
      <c r="H405" s="539"/>
      <c r="I405" s="8"/>
      <c r="J405" s="8"/>
      <c r="K405" s="8"/>
      <c r="L405" s="8"/>
      <c r="M405" s="8"/>
      <c r="N405" s="8"/>
      <c r="O405" s="8"/>
      <c r="P405" s="539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538"/>
      <c r="F406" s="8"/>
      <c r="G406" s="8"/>
      <c r="H406" s="539"/>
      <c r="I406" s="8"/>
      <c r="J406" s="8"/>
      <c r="K406" s="8"/>
      <c r="L406" s="8"/>
      <c r="M406" s="8"/>
      <c r="N406" s="8"/>
      <c r="O406" s="8"/>
      <c r="P406" s="539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538"/>
      <c r="F407" s="8"/>
      <c r="G407" s="8"/>
      <c r="H407" s="539"/>
      <c r="I407" s="8"/>
      <c r="J407" s="8"/>
      <c r="K407" s="8"/>
      <c r="L407" s="8"/>
      <c r="M407" s="8"/>
      <c r="N407" s="8"/>
      <c r="O407" s="8"/>
      <c r="P407" s="539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538"/>
      <c r="F408" s="8"/>
      <c r="G408" s="8"/>
      <c r="H408" s="539"/>
      <c r="I408" s="8"/>
      <c r="J408" s="8"/>
      <c r="K408" s="8"/>
      <c r="L408" s="8"/>
      <c r="M408" s="8"/>
      <c r="N408" s="8"/>
      <c r="O408" s="8"/>
      <c r="P408" s="539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538"/>
      <c r="F409" s="8"/>
      <c r="G409" s="8"/>
      <c r="H409" s="539"/>
      <c r="I409" s="8"/>
      <c r="J409" s="8"/>
      <c r="K409" s="8"/>
      <c r="L409" s="8"/>
      <c r="M409" s="8"/>
      <c r="N409" s="8"/>
      <c r="O409" s="8"/>
      <c r="P409" s="539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538"/>
      <c r="F410" s="8"/>
      <c r="G410" s="8"/>
      <c r="H410" s="539"/>
      <c r="I410" s="8"/>
      <c r="J410" s="8"/>
      <c r="K410" s="8"/>
      <c r="L410" s="8"/>
      <c r="M410" s="8"/>
      <c r="N410" s="8"/>
      <c r="O410" s="8"/>
      <c r="P410" s="539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538"/>
      <c r="F411" s="8"/>
      <c r="G411" s="8"/>
      <c r="H411" s="539"/>
      <c r="I411" s="8"/>
      <c r="J411" s="8"/>
      <c r="K411" s="8"/>
      <c r="L411" s="8"/>
      <c r="M411" s="8"/>
      <c r="N411" s="8"/>
      <c r="O411" s="8"/>
      <c r="P411" s="539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538"/>
      <c r="F412" s="8"/>
      <c r="G412" s="8"/>
      <c r="H412" s="539"/>
      <c r="I412" s="8"/>
      <c r="J412" s="8"/>
      <c r="K412" s="8"/>
      <c r="L412" s="8"/>
      <c r="M412" s="8"/>
      <c r="N412" s="8"/>
      <c r="O412" s="8"/>
      <c r="P412" s="539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538"/>
      <c r="F413" s="8"/>
      <c r="G413" s="8"/>
      <c r="H413" s="539"/>
      <c r="I413" s="8"/>
      <c r="J413" s="8"/>
      <c r="K413" s="8"/>
      <c r="L413" s="8"/>
      <c r="M413" s="8"/>
      <c r="N413" s="8"/>
      <c r="O413" s="8"/>
      <c r="P413" s="539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538"/>
      <c r="F414" s="8"/>
      <c r="G414" s="8"/>
      <c r="H414" s="539"/>
      <c r="I414" s="8"/>
      <c r="J414" s="8"/>
      <c r="K414" s="8"/>
      <c r="L414" s="8"/>
      <c r="M414" s="8"/>
      <c r="N414" s="8"/>
      <c r="O414" s="8"/>
      <c r="P414" s="539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538"/>
      <c r="F415" s="8"/>
      <c r="G415" s="8"/>
      <c r="H415" s="539"/>
      <c r="I415" s="8"/>
      <c r="J415" s="8"/>
      <c r="K415" s="8"/>
      <c r="L415" s="8"/>
      <c r="M415" s="8"/>
      <c r="N415" s="8"/>
      <c r="O415" s="8"/>
      <c r="P415" s="539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538"/>
      <c r="F416" s="8"/>
      <c r="G416" s="8"/>
      <c r="H416" s="539"/>
      <c r="I416" s="8"/>
      <c r="J416" s="8"/>
      <c r="K416" s="8"/>
      <c r="L416" s="8"/>
      <c r="M416" s="8"/>
      <c r="N416" s="8"/>
      <c r="O416" s="8"/>
      <c r="P416" s="539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538"/>
      <c r="F417" s="8"/>
      <c r="G417" s="8"/>
      <c r="H417" s="539"/>
      <c r="I417" s="8"/>
      <c r="J417" s="8"/>
      <c r="K417" s="8"/>
      <c r="L417" s="8"/>
      <c r="M417" s="8"/>
      <c r="N417" s="8"/>
      <c r="O417" s="8"/>
      <c r="P417" s="539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538"/>
      <c r="F418" s="8"/>
      <c r="G418" s="8"/>
      <c r="H418" s="539"/>
      <c r="I418" s="8"/>
      <c r="J418" s="8"/>
      <c r="K418" s="8"/>
      <c r="L418" s="8"/>
      <c r="M418" s="8"/>
      <c r="N418" s="8"/>
      <c r="O418" s="8"/>
      <c r="P418" s="539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538"/>
      <c r="F419" s="8"/>
      <c r="G419" s="8"/>
      <c r="H419" s="539"/>
      <c r="I419" s="8"/>
      <c r="J419" s="8"/>
      <c r="K419" s="8"/>
      <c r="L419" s="8"/>
      <c r="M419" s="8"/>
      <c r="N419" s="8"/>
      <c r="O419" s="8"/>
      <c r="P419" s="539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538"/>
      <c r="F420" s="8"/>
      <c r="G420" s="8"/>
      <c r="H420" s="539"/>
      <c r="I420" s="8"/>
      <c r="J420" s="8"/>
      <c r="K420" s="8"/>
      <c r="L420" s="8"/>
      <c r="M420" s="8"/>
      <c r="N420" s="8"/>
      <c r="O420" s="8"/>
      <c r="P420" s="539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538"/>
      <c r="F421" s="8"/>
      <c r="G421" s="8"/>
      <c r="H421" s="539"/>
      <c r="I421" s="8"/>
      <c r="J421" s="8"/>
      <c r="K421" s="8"/>
      <c r="L421" s="8"/>
      <c r="M421" s="8"/>
      <c r="N421" s="8"/>
      <c r="O421" s="8"/>
      <c r="P421" s="539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538"/>
      <c r="F422" s="8"/>
      <c r="G422" s="8"/>
      <c r="H422" s="539"/>
      <c r="I422" s="8"/>
      <c r="J422" s="8"/>
      <c r="K422" s="8"/>
      <c r="L422" s="8"/>
      <c r="M422" s="8"/>
      <c r="N422" s="8"/>
      <c r="O422" s="8"/>
      <c r="P422" s="539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538"/>
      <c r="F423" s="8"/>
      <c r="G423" s="8"/>
      <c r="H423" s="539"/>
      <c r="I423" s="8"/>
      <c r="J423" s="8"/>
      <c r="K423" s="8"/>
      <c r="L423" s="8"/>
      <c r="M423" s="8"/>
      <c r="N423" s="8"/>
      <c r="O423" s="8"/>
      <c r="P423" s="539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538"/>
      <c r="F424" s="8"/>
      <c r="G424" s="8"/>
      <c r="H424" s="539"/>
      <c r="I424" s="8"/>
      <c r="J424" s="8"/>
      <c r="K424" s="8"/>
      <c r="L424" s="8"/>
      <c r="M424" s="8"/>
      <c r="N424" s="8"/>
      <c r="O424" s="8"/>
      <c r="P424" s="539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538"/>
      <c r="F425" s="8"/>
      <c r="G425" s="8"/>
      <c r="H425" s="539"/>
      <c r="I425" s="8"/>
      <c r="J425" s="8"/>
      <c r="K425" s="8"/>
      <c r="L425" s="8"/>
      <c r="M425" s="8"/>
      <c r="N425" s="8"/>
      <c r="O425" s="8"/>
      <c r="P425" s="539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538"/>
      <c r="F426" s="8"/>
      <c r="G426" s="8"/>
      <c r="H426" s="539"/>
      <c r="I426" s="8"/>
      <c r="J426" s="8"/>
      <c r="K426" s="8"/>
      <c r="L426" s="8"/>
      <c r="M426" s="8"/>
      <c r="N426" s="8"/>
      <c r="O426" s="8"/>
      <c r="P426" s="539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538"/>
      <c r="F427" s="8"/>
      <c r="G427" s="8"/>
      <c r="H427" s="539"/>
      <c r="I427" s="8"/>
      <c r="J427" s="8"/>
      <c r="K427" s="8"/>
      <c r="L427" s="8"/>
      <c r="M427" s="8"/>
      <c r="N427" s="8"/>
      <c r="O427" s="8"/>
      <c r="P427" s="539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538"/>
      <c r="F428" s="8"/>
      <c r="G428" s="8"/>
      <c r="H428" s="539"/>
      <c r="I428" s="8"/>
      <c r="J428" s="8"/>
      <c r="K428" s="8"/>
      <c r="L428" s="8"/>
      <c r="M428" s="8"/>
      <c r="N428" s="8"/>
      <c r="O428" s="8"/>
      <c r="P428" s="539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538"/>
      <c r="F429" s="8"/>
      <c r="G429" s="8"/>
      <c r="H429" s="539"/>
      <c r="I429" s="8"/>
      <c r="J429" s="8"/>
      <c r="K429" s="8"/>
      <c r="L429" s="8"/>
      <c r="M429" s="8"/>
      <c r="N429" s="8"/>
      <c r="O429" s="8"/>
      <c r="P429" s="539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538"/>
      <c r="F430" s="8"/>
      <c r="G430" s="8"/>
      <c r="H430" s="539"/>
      <c r="I430" s="8"/>
      <c r="J430" s="8"/>
      <c r="K430" s="8"/>
      <c r="L430" s="8"/>
      <c r="M430" s="8"/>
      <c r="N430" s="8"/>
      <c r="O430" s="8"/>
      <c r="P430" s="539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538"/>
      <c r="F431" s="8"/>
      <c r="G431" s="8"/>
      <c r="H431" s="539"/>
      <c r="I431" s="8"/>
      <c r="J431" s="8"/>
      <c r="K431" s="8"/>
      <c r="L431" s="8"/>
      <c r="M431" s="8"/>
      <c r="N431" s="8"/>
      <c r="O431" s="8"/>
      <c r="P431" s="539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538"/>
      <c r="F432" s="8"/>
      <c r="G432" s="8"/>
      <c r="H432" s="539"/>
      <c r="I432" s="8"/>
      <c r="J432" s="8"/>
      <c r="K432" s="8"/>
      <c r="L432" s="8"/>
      <c r="M432" s="8"/>
      <c r="N432" s="8"/>
      <c r="O432" s="8"/>
      <c r="P432" s="539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538"/>
      <c r="F433" s="8"/>
      <c r="G433" s="8"/>
      <c r="H433" s="539"/>
      <c r="I433" s="8"/>
      <c r="J433" s="8"/>
      <c r="K433" s="8"/>
      <c r="L433" s="8"/>
      <c r="M433" s="8"/>
      <c r="N433" s="8"/>
      <c r="O433" s="8"/>
      <c r="P433" s="539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538"/>
      <c r="F434" s="8"/>
      <c r="G434" s="8"/>
      <c r="H434" s="539"/>
      <c r="I434" s="8"/>
      <c r="J434" s="8"/>
      <c r="K434" s="8"/>
      <c r="L434" s="8"/>
      <c r="M434" s="8"/>
      <c r="N434" s="8"/>
      <c r="O434" s="8"/>
      <c r="P434" s="53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538"/>
      <c r="F435" s="8"/>
      <c r="G435" s="8"/>
      <c r="H435" s="539"/>
      <c r="I435" s="8"/>
      <c r="J435" s="8"/>
      <c r="K435" s="8"/>
      <c r="L435" s="8"/>
      <c r="M435" s="8"/>
      <c r="N435" s="8"/>
      <c r="O435" s="8"/>
      <c r="P435" s="539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538"/>
      <c r="F436" s="8"/>
      <c r="G436" s="8"/>
      <c r="H436" s="539"/>
      <c r="I436" s="8"/>
      <c r="J436" s="8"/>
      <c r="K436" s="8"/>
      <c r="L436" s="8"/>
      <c r="M436" s="8"/>
      <c r="N436" s="8"/>
      <c r="O436" s="8"/>
      <c r="P436" s="539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538"/>
      <c r="F437" s="8"/>
      <c r="G437" s="8"/>
      <c r="H437" s="539"/>
      <c r="I437" s="8"/>
      <c r="J437" s="8"/>
      <c r="K437" s="8"/>
      <c r="L437" s="8"/>
      <c r="M437" s="8"/>
      <c r="N437" s="8"/>
      <c r="O437" s="8"/>
      <c r="P437" s="539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538"/>
      <c r="F438" s="8"/>
      <c r="G438" s="8"/>
      <c r="H438" s="539"/>
      <c r="I438" s="8"/>
      <c r="J438" s="8"/>
      <c r="K438" s="8"/>
      <c r="L438" s="8"/>
      <c r="M438" s="8"/>
      <c r="N438" s="8"/>
      <c r="O438" s="8"/>
      <c r="P438" s="539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538"/>
      <c r="F439" s="8"/>
      <c r="G439" s="8"/>
      <c r="H439" s="539"/>
      <c r="I439" s="8"/>
      <c r="J439" s="8"/>
      <c r="K439" s="8"/>
      <c r="L439" s="8"/>
      <c r="M439" s="8"/>
      <c r="N439" s="8"/>
      <c r="O439" s="8"/>
      <c r="P439" s="539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538"/>
      <c r="F440" s="8"/>
      <c r="G440" s="8"/>
      <c r="H440" s="539"/>
      <c r="I440" s="8"/>
      <c r="J440" s="8"/>
      <c r="K440" s="8"/>
      <c r="L440" s="8"/>
      <c r="M440" s="8"/>
      <c r="N440" s="8"/>
      <c r="O440" s="8"/>
      <c r="P440" s="539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538"/>
      <c r="F441" s="8"/>
      <c r="G441" s="8"/>
      <c r="H441" s="539"/>
      <c r="I441" s="8"/>
      <c r="J441" s="8"/>
      <c r="K441" s="8"/>
      <c r="L441" s="8"/>
      <c r="M441" s="8"/>
      <c r="N441" s="8"/>
      <c r="O441" s="8"/>
      <c r="P441" s="539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538"/>
      <c r="F442" s="8"/>
      <c r="G442" s="8"/>
      <c r="H442" s="539"/>
      <c r="I442" s="8"/>
      <c r="J442" s="8"/>
      <c r="K442" s="8"/>
      <c r="L442" s="8"/>
      <c r="M442" s="8"/>
      <c r="N442" s="8"/>
      <c r="O442" s="8"/>
      <c r="P442" s="539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538"/>
      <c r="F443" s="8"/>
      <c r="G443" s="8"/>
      <c r="H443" s="539"/>
      <c r="I443" s="8"/>
      <c r="J443" s="8"/>
      <c r="K443" s="8"/>
      <c r="L443" s="8"/>
      <c r="M443" s="8"/>
      <c r="N443" s="8"/>
      <c r="O443" s="8"/>
      <c r="P443" s="539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538"/>
      <c r="F444" s="8"/>
      <c r="G444" s="8"/>
      <c r="H444" s="539"/>
      <c r="I444" s="8"/>
      <c r="J444" s="8"/>
      <c r="K444" s="8"/>
      <c r="L444" s="8"/>
      <c r="M444" s="8"/>
      <c r="N444" s="8"/>
      <c r="O444" s="8"/>
      <c r="P444" s="539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538"/>
      <c r="F445" s="8"/>
      <c r="G445" s="8"/>
      <c r="H445" s="539"/>
      <c r="I445" s="8"/>
      <c r="J445" s="8"/>
      <c r="K445" s="8"/>
      <c r="L445" s="8"/>
      <c r="M445" s="8"/>
      <c r="N445" s="8"/>
      <c r="O445" s="8"/>
      <c r="P445" s="539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538"/>
      <c r="F446" s="8"/>
      <c r="G446" s="8"/>
      <c r="H446" s="539"/>
      <c r="I446" s="8"/>
      <c r="J446" s="8"/>
      <c r="K446" s="8"/>
      <c r="L446" s="8"/>
      <c r="M446" s="8"/>
      <c r="N446" s="8"/>
      <c r="O446" s="8"/>
      <c r="P446" s="539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538"/>
      <c r="F447" s="8"/>
      <c r="G447" s="8"/>
      <c r="H447" s="539"/>
      <c r="I447" s="8"/>
      <c r="J447" s="8"/>
      <c r="K447" s="8"/>
      <c r="L447" s="8"/>
      <c r="M447" s="8"/>
      <c r="N447" s="8"/>
      <c r="O447" s="8"/>
      <c r="P447" s="539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538"/>
      <c r="F448" s="8"/>
      <c r="G448" s="8"/>
      <c r="H448" s="539"/>
      <c r="I448" s="8"/>
      <c r="J448" s="8"/>
      <c r="K448" s="8"/>
      <c r="L448" s="8"/>
      <c r="M448" s="8"/>
      <c r="N448" s="8"/>
      <c r="O448" s="8"/>
      <c r="P448" s="539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538"/>
      <c r="F449" s="8"/>
      <c r="G449" s="8"/>
      <c r="H449" s="539"/>
      <c r="I449" s="8"/>
      <c r="J449" s="8"/>
      <c r="K449" s="8"/>
      <c r="L449" s="8"/>
      <c r="M449" s="8"/>
      <c r="N449" s="8"/>
      <c r="O449" s="8"/>
      <c r="P449" s="539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538"/>
      <c r="F450" s="8"/>
      <c r="G450" s="8"/>
      <c r="H450" s="539"/>
      <c r="I450" s="8"/>
      <c r="J450" s="8"/>
      <c r="K450" s="8"/>
      <c r="L450" s="8"/>
      <c r="M450" s="8"/>
      <c r="N450" s="8"/>
      <c r="O450" s="8"/>
      <c r="P450" s="539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538"/>
      <c r="F451" s="8"/>
      <c r="G451" s="8"/>
      <c r="H451" s="539"/>
      <c r="I451" s="8"/>
      <c r="J451" s="8"/>
      <c r="K451" s="8"/>
      <c r="L451" s="8"/>
      <c r="M451" s="8"/>
      <c r="N451" s="8"/>
      <c r="O451" s="8"/>
      <c r="P451" s="539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538"/>
      <c r="F452" s="8"/>
      <c r="G452" s="8"/>
      <c r="H452" s="539"/>
      <c r="I452" s="8"/>
      <c r="J452" s="8"/>
      <c r="K452" s="8"/>
      <c r="L452" s="8"/>
      <c r="M452" s="8"/>
      <c r="N452" s="8"/>
      <c r="O452" s="8"/>
      <c r="P452" s="539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538"/>
      <c r="F453" s="8"/>
      <c r="G453" s="8"/>
      <c r="H453" s="539"/>
      <c r="I453" s="8"/>
      <c r="J453" s="8"/>
      <c r="K453" s="8"/>
      <c r="L453" s="8"/>
      <c r="M453" s="8"/>
      <c r="N453" s="8"/>
      <c r="O453" s="8"/>
      <c r="P453" s="539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538"/>
      <c r="F454" s="8"/>
      <c r="G454" s="8"/>
      <c r="H454" s="539"/>
      <c r="I454" s="8"/>
      <c r="J454" s="8"/>
      <c r="K454" s="8"/>
      <c r="L454" s="8"/>
      <c r="M454" s="8"/>
      <c r="N454" s="8"/>
      <c r="O454" s="8"/>
      <c r="P454" s="539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538"/>
      <c r="F455" s="8"/>
      <c r="G455" s="8"/>
      <c r="H455" s="539"/>
      <c r="I455" s="8"/>
      <c r="J455" s="8"/>
      <c r="K455" s="8"/>
      <c r="L455" s="8"/>
      <c r="M455" s="8"/>
      <c r="N455" s="8"/>
      <c r="O455" s="8"/>
      <c r="P455" s="539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538"/>
      <c r="F456" s="8"/>
      <c r="G456" s="8"/>
      <c r="H456" s="539"/>
      <c r="I456" s="8"/>
      <c r="J456" s="8"/>
      <c r="K456" s="8"/>
      <c r="L456" s="8"/>
      <c r="M456" s="8"/>
      <c r="N456" s="8"/>
      <c r="O456" s="8"/>
      <c r="P456" s="539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538"/>
      <c r="F457" s="8"/>
      <c r="G457" s="8"/>
      <c r="H457" s="539"/>
      <c r="I457" s="8"/>
      <c r="J457" s="8"/>
      <c r="K457" s="8"/>
      <c r="L457" s="8"/>
      <c r="M457" s="8"/>
      <c r="N457" s="8"/>
      <c r="O457" s="8"/>
      <c r="P457" s="539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538"/>
      <c r="F458" s="8"/>
      <c r="G458" s="8"/>
      <c r="H458" s="539"/>
      <c r="I458" s="8"/>
      <c r="J458" s="8"/>
      <c r="K458" s="8"/>
      <c r="L458" s="8"/>
      <c r="M458" s="8"/>
      <c r="N458" s="8"/>
      <c r="O458" s="8"/>
      <c r="P458" s="539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538"/>
      <c r="F459" s="8"/>
      <c r="G459" s="8"/>
      <c r="H459" s="539"/>
      <c r="I459" s="8"/>
      <c r="J459" s="8"/>
      <c r="K459" s="8"/>
      <c r="L459" s="8"/>
      <c r="M459" s="8"/>
      <c r="N459" s="8"/>
      <c r="O459" s="8"/>
      <c r="P459" s="539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538"/>
      <c r="F460" s="8"/>
      <c r="G460" s="8"/>
      <c r="H460" s="539"/>
      <c r="I460" s="8"/>
      <c r="J460" s="8"/>
      <c r="K460" s="8"/>
      <c r="L460" s="8"/>
      <c r="M460" s="8"/>
      <c r="N460" s="8"/>
      <c r="O460" s="8"/>
      <c r="P460" s="539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538"/>
      <c r="F461" s="8"/>
      <c r="G461" s="8"/>
      <c r="H461" s="539"/>
      <c r="I461" s="8"/>
      <c r="J461" s="8"/>
      <c r="K461" s="8"/>
      <c r="L461" s="8"/>
      <c r="M461" s="8"/>
      <c r="N461" s="8"/>
      <c r="O461" s="8"/>
      <c r="P461" s="539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538"/>
      <c r="F462" s="8"/>
      <c r="G462" s="8"/>
      <c r="H462" s="539"/>
      <c r="I462" s="8"/>
      <c r="J462" s="8"/>
      <c r="K462" s="8"/>
      <c r="L462" s="8"/>
      <c r="M462" s="8"/>
      <c r="N462" s="8"/>
      <c r="O462" s="8"/>
      <c r="P462" s="539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538"/>
      <c r="F463" s="8"/>
      <c r="G463" s="8"/>
      <c r="H463" s="539"/>
      <c r="I463" s="8"/>
      <c r="J463" s="8"/>
      <c r="K463" s="8"/>
      <c r="L463" s="8"/>
      <c r="M463" s="8"/>
      <c r="N463" s="8"/>
      <c r="O463" s="8"/>
      <c r="P463" s="539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538"/>
      <c r="F464" s="8"/>
      <c r="G464" s="8"/>
      <c r="H464" s="539"/>
      <c r="I464" s="8"/>
      <c r="J464" s="8"/>
      <c r="K464" s="8"/>
      <c r="L464" s="8"/>
      <c r="M464" s="8"/>
      <c r="N464" s="8"/>
      <c r="O464" s="8"/>
      <c r="P464" s="539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538"/>
      <c r="F465" s="8"/>
      <c r="G465" s="8"/>
      <c r="H465" s="539"/>
      <c r="I465" s="8"/>
      <c r="J465" s="8"/>
      <c r="K465" s="8"/>
      <c r="L465" s="8"/>
      <c r="M465" s="8"/>
      <c r="N465" s="8"/>
      <c r="O465" s="8"/>
      <c r="P465" s="539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538"/>
      <c r="F466" s="8"/>
      <c r="G466" s="8"/>
      <c r="H466" s="539"/>
      <c r="I466" s="8"/>
      <c r="J466" s="8"/>
      <c r="K466" s="8"/>
      <c r="L466" s="8"/>
      <c r="M466" s="8"/>
      <c r="N466" s="8"/>
      <c r="O466" s="8"/>
      <c r="P466" s="539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538"/>
      <c r="F467" s="8"/>
      <c r="G467" s="8"/>
      <c r="H467" s="539"/>
      <c r="I467" s="8"/>
      <c r="J467" s="8"/>
      <c r="K467" s="8"/>
      <c r="L467" s="8"/>
      <c r="M467" s="8"/>
      <c r="N467" s="8"/>
      <c r="O467" s="8"/>
      <c r="P467" s="539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538"/>
      <c r="F468" s="8"/>
      <c r="G468" s="8"/>
      <c r="H468" s="539"/>
      <c r="I468" s="8"/>
      <c r="J468" s="8"/>
      <c r="K468" s="8"/>
      <c r="L468" s="8"/>
      <c r="M468" s="8"/>
      <c r="N468" s="8"/>
      <c r="O468" s="8"/>
      <c r="P468" s="539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538"/>
      <c r="F469" s="8"/>
      <c r="G469" s="8"/>
      <c r="H469" s="539"/>
      <c r="I469" s="8"/>
      <c r="J469" s="8"/>
      <c r="K469" s="8"/>
      <c r="L469" s="8"/>
      <c r="M469" s="8"/>
      <c r="N469" s="8"/>
      <c r="O469" s="8"/>
      <c r="P469" s="539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538"/>
      <c r="F470" s="8"/>
      <c r="G470" s="8"/>
      <c r="H470" s="539"/>
      <c r="I470" s="8"/>
      <c r="J470" s="8"/>
      <c r="K470" s="8"/>
      <c r="L470" s="8"/>
      <c r="M470" s="8"/>
      <c r="N470" s="8"/>
      <c r="O470" s="8"/>
      <c r="P470" s="539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538"/>
      <c r="F471" s="8"/>
      <c r="G471" s="8"/>
      <c r="H471" s="539"/>
      <c r="I471" s="8"/>
      <c r="J471" s="8"/>
      <c r="K471" s="8"/>
      <c r="L471" s="8"/>
      <c r="M471" s="8"/>
      <c r="N471" s="8"/>
      <c r="O471" s="8"/>
      <c r="P471" s="539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538"/>
      <c r="F472" s="8"/>
      <c r="G472" s="8"/>
      <c r="H472" s="539"/>
      <c r="I472" s="8"/>
      <c r="J472" s="8"/>
      <c r="K472" s="8"/>
      <c r="L472" s="8"/>
      <c r="M472" s="8"/>
      <c r="N472" s="8"/>
      <c r="O472" s="8"/>
      <c r="P472" s="539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538"/>
      <c r="F473" s="8"/>
      <c r="G473" s="8"/>
      <c r="H473" s="539"/>
      <c r="I473" s="8"/>
      <c r="J473" s="8"/>
      <c r="K473" s="8"/>
      <c r="L473" s="8"/>
      <c r="M473" s="8"/>
      <c r="N473" s="8"/>
      <c r="O473" s="8"/>
      <c r="P473" s="539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538"/>
      <c r="F474" s="8"/>
      <c r="G474" s="8"/>
      <c r="H474" s="539"/>
      <c r="I474" s="8"/>
      <c r="J474" s="8"/>
      <c r="K474" s="8"/>
      <c r="L474" s="8"/>
      <c r="M474" s="8"/>
      <c r="N474" s="8"/>
      <c r="O474" s="8"/>
      <c r="P474" s="539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538"/>
      <c r="F475" s="8"/>
      <c r="G475" s="8"/>
      <c r="H475" s="539"/>
      <c r="I475" s="8"/>
      <c r="J475" s="8"/>
      <c r="K475" s="8"/>
      <c r="L475" s="8"/>
      <c r="M475" s="8"/>
      <c r="N475" s="8"/>
      <c r="O475" s="8"/>
      <c r="P475" s="53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538"/>
      <c r="F476" s="8"/>
      <c r="G476" s="8"/>
      <c r="H476" s="539"/>
      <c r="I476" s="8"/>
      <c r="J476" s="8"/>
      <c r="K476" s="8"/>
      <c r="L476" s="8"/>
      <c r="M476" s="8"/>
      <c r="N476" s="8"/>
      <c r="O476" s="8"/>
      <c r="P476" s="539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538"/>
      <c r="F477" s="8"/>
      <c r="G477" s="8"/>
      <c r="H477" s="539"/>
      <c r="I477" s="8"/>
      <c r="J477" s="8"/>
      <c r="K477" s="8"/>
      <c r="L477" s="8"/>
      <c r="M477" s="8"/>
      <c r="N477" s="8"/>
      <c r="O477" s="8"/>
      <c r="P477" s="539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538"/>
      <c r="F478" s="8"/>
      <c r="G478" s="8"/>
      <c r="H478" s="539"/>
      <c r="I478" s="8"/>
      <c r="J478" s="8"/>
      <c r="K478" s="8"/>
      <c r="L478" s="8"/>
      <c r="M478" s="8"/>
      <c r="N478" s="8"/>
      <c r="O478" s="8"/>
      <c r="P478" s="539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538"/>
      <c r="F479" s="8"/>
      <c r="G479" s="8"/>
      <c r="H479" s="539"/>
      <c r="I479" s="8"/>
      <c r="J479" s="8"/>
      <c r="K479" s="8"/>
      <c r="L479" s="8"/>
      <c r="M479" s="8"/>
      <c r="N479" s="8"/>
      <c r="O479" s="8"/>
      <c r="P479" s="539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538"/>
      <c r="F480" s="8"/>
      <c r="G480" s="8"/>
      <c r="H480" s="539"/>
      <c r="I480" s="8"/>
      <c r="J480" s="8"/>
      <c r="K480" s="8"/>
      <c r="L480" s="8"/>
      <c r="M480" s="8"/>
      <c r="N480" s="8"/>
      <c r="O480" s="8"/>
      <c r="P480" s="539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538"/>
      <c r="F481" s="8"/>
      <c r="G481" s="8"/>
      <c r="H481" s="539"/>
      <c r="I481" s="8"/>
      <c r="J481" s="8"/>
      <c r="K481" s="8"/>
      <c r="L481" s="8"/>
      <c r="M481" s="8"/>
      <c r="N481" s="8"/>
      <c r="O481" s="8"/>
      <c r="P481" s="539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538"/>
      <c r="F482" s="8"/>
      <c r="G482" s="8"/>
      <c r="H482" s="539"/>
      <c r="I482" s="8"/>
      <c r="J482" s="8"/>
      <c r="K482" s="8"/>
      <c r="L482" s="8"/>
      <c r="M482" s="8"/>
      <c r="N482" s="8"/>
      <c r="O482" s="8"/>
      <c r="P482" s="539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538"/>
      <c r="F483" s="8"/>
      <c r="G483" s="8"/>
      <c r="H483" s="539"/>
      <c r="I483" s="8"/>
      <c r="J483" s="8"/>
      <c r="K483" s="8"/>
      <c r="L483" s="8"/>
      <c r="M483" s="8"/>
      <c r="N483" s="8"/>
      <c r="O483" s="8"/>
      <c r="P483" s="539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538"/>
      <c r="F484" s="8"/>
      <c r="G484" s="8"/>
      <c r="H484" s="539"/>
      <c r="I484" s="8"/>
      <c r="J484" s="8"/>
      <c r="K484" s="8"/>
      <c r="L484" s="8"/>
      <c r="M484" s="8"/>
      <c r="N484" s="8"/>
      <c r="O484" s="8"/>
      <c r="P484" s="539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538"/>
      <c r="F485" s="8"/>
      <c r="G485" s="8"/>
      <c r="H485" s="539"/>
      <c r="I485" s="8"/>
      <c r="J485" s="8"/>
      <c r="K485" s="8"/>
      <c r="L485" s="8"/>
      <c r="M485" s="8"/>
      <c r="N485" s="8"/>
      <c r="O485" s="8"/>
      <c r="P485" s="539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538"/>
      <c r="F486" s="8"/>
      <c r="G486" s="8"/>
      <c r="H486" s="539"/>
      <c r="I486" s="8"/>
      <c r="J486" s="8"/>
      <c r="K486" s="8"/>
      <c r="L486" s="8"/>
      <c r="M486" s="8"/>
      <c r="N486" s="8"/>
      <c r="O486" s="8"/>
      <c r="P486" s="539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538"/>
      <c r="F487" s="8"/>
      <c r="G487" s="8"/>
      <c r="H487" s="539"/>
      <c r="I487" s="8"/>
      <c r="J487" s="8"/>
      <c r="K487" s="8"/>
      <c r="L487" s="8"/>
      <c r="M487" s="8"/>
      <c r="N487" s="8"/>
      <c r="O487" s="8"/>
      <c r="P487" s="539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538"/>
      <c r="F488" s="8"/>
      <c r="G488" s="8"/>
      <c r="H488" s="539"/>
      <c r="I488" s="8"/>
      <c r="J488" s="8"/>
      <c r="K488" s="8"/>
      <c r="L488" s="8"/>
      <c r="M488" s="8"/>
      <c r="N488" s="8"/>
      <c r="O488" s="8"/>
      <c r="P488" s="539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538"/>
      <c r="F489" s="8"/>
      <c r="G489" s="8"/>
      <c r="H489" s="539"/>
      <c r="I489" s="8"/>
      <c r="J489" s="8"/>
      <c r="K489" s="8"/>
      <c r="L489" s="8"/>
      <c r="M489" s="8"/>
      <c r="N489" s="8"/>
      <c r="O489" s="8"/>
      <c r="P489" s="539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538"/>
      <c r="F490" s="8"/>
      <c r="G490" s="8"/>
      <c r="H490" s="539"/>
      <c r="I490" s="8"/>
      <c r="J490" s="8"/>
      <c r="K490" s="8"/>
      <c r="L490" s="8"/>
      <c r="M490" s="8"/>
      <c r="N490" s="8"/>
      <c r="O490" s="8"/>
      <c r="P490" s="539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538"/>
      <c r="F491" s="8"/>
      <c r="G491" s="8"/>
      <c r="H491" s="539"/>
      <c r="I491" s="8"/>
      <c r="J491" s="8"/>
      <c r="K491" s="8"/>
      <c r="L491" s="8"/>
      <c r="M491" s="8"/>
      <c r="N491" s="8"/>
      <c r="O491" s="8"/>
      <c r="P491" s="539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538"/>
      <c r="F492" s="8"/>
      <c r="G492" s="8"/>
      <c r="H492" s="539"/>
      <c r="I492" s="8"/>
      <c r="J492" s="8"/>
      <c r="K492" s="8"/>
      <c r="L492" s="8"/>
      <c r="M492" s="8"/>
      <c r="N492" s="8"/>
      <c r="O492" s="8"/>
      <c r="P492" s="539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538"/>
      <c r="F493" s="8"/>
      <c r="G493" s="8"/>
      <c r="H493" s="539"/>
      <c r="I493" s="8"/>
      <c r="J493" s="8"/>
      <c r="K493" s="8"/>
      <c r="L493" s="8"/>
      <c r="M493" s="8"/>
      <c r="N493" s="8"/>
      <c r="O493" s="8"/>
      <c r="P493" s="539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538"/>
      <c r="F494" s="8"/>
      <c r="G494" s="8"/>
      <c r="H494" s="539"/>
      <c r="I494" s="8"/>
      <c r="J494" s="8"/>
      <c r="K494" s="8"/>
      <c r="L494" s="8"/>
      <c r="M494" s="8"/>
      <c r="N494" s="8"/>
      <c r="O494" s="8"/>
      <c r="P494" s="539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538"/>
      <c r="F495" s="8"/>
      <c r="G495" s="8"/>
      <c r="H495" s="539"/>
      <c r="I495" s="8"/>
      <c r="J495" s="8"/>
      <c r="K495" s="8"/>
      <c r="L495" s="8"/>
      <c r="M495" s="8"/>
      <c r="N495" s="8"/>
      <c r="O495" s="8"/>
      <c r="P495" s="539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538"/>
      <c r="F496" s="8"/>
      <c r="G496" s="8"/>
      <c r="H496" s="539"/>
      <c r="I496" s="8"/>
      <c r="J496" s="8"/>
      <c r="K496" s="8"/>
      <c r="L496" s="8"/>
      <c r="M496" s="8"/>
      <c r="N496" s="8"/>
      <c r="O496" s="8"/>
      <c r="P496" s="539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538"/>
      <c r="F497" s="8"/>
      <c r="G497" s="8"/>
      <c r="H497" s="539"/>
      <c r="I497" s="8"/>
      <c r="J497" s="8"/>
      <c r="K497" s="8"/>
      <c r="L497" s="8"/>
      <c r="M497" s="8"/>
      <c r="N497" s="8"/>
      <c r="O497" s="8"/>
      <c r="P497" s="539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538"/>
      <c r="F498" s="8"/>
      <c r="G498" s="8"/>
      <c r="H498" s="539"/>
      <c r="I498" s="8"/>
      <c r="J498" s="8"/>
      <c r="K498" s="8"/>
      <c r="L498" s="8"/>
      <c r="M498" s="8"/>
      <c r="N498" s="8"/>
      <c r="O498" s="8"/>
      <c r="P498" s="539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538"/>
      <c r="F499" s="8"/>
      <c r="G499" s="8"/>
      <c r="H499" s="539"/>
      <c r="I499" s="8"/>
      <c r="J499" s="8"/>
      <c r="K499" s="8"/>
      <c r="L499" s="8"/>
      <c r="M499" s="8"/>
      <c r="N499" s="8"/>
      <c r="O499" s="8"/>
      <c r="P499" s="539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538"/>
      <c r="F500" s="8"/>
      <c r="G500" s="8"/>
      <c r="H500" s="539"/>
      <c r="I500" s="8"/>
      <c r="J500" s="8"/>
      <c r="K500" s="8"/>
      <c r="L500" s="8"/>
      <c r="M500" s="8"/>
      <c r="N500" s="8"/>
      <c r="O500" s="8"/>
      <c r="P500" s="53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538"/>
      <c r="F501" s="8"/>
      <c r="G501" s="8"/>
      <c r="H501" s="539"/>
      <c r="I501" s="8"/>
      <c r="J501" s="8"/>
      <c r="K501" s="8"/>
      <c r="L501" s="8"/>
      <c r="M501" s="8"/>
      <c r="N501" s="8"/>
      <c r="O501" s="8"/>
      <c r="P501" s="539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538"/>
      <c r="F502" s="8"/>
      <c r="G502" s="8"/>
      <c r="H502" s="539"/>
      <c r="I502" s="8"/>
      <c r="J502" s="8"/>
      <c r="K502" s="8"/>
      <c r="L502" s="8"/>
      <c r="M502" s="8"/>
      <c r="N502" s="8"/>
      <c r="O502" s="8"/>
      <c r="P502" s="539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538"/>
      <c r="F503" s="8"/>
      <c r="G503" s="8"/>
      <c r="H503" s="539"/>
      <c r="I503" s="8"/>
      <c r="J503" s="8"/>
      <c r="K503" s="8"/>
      <c r="L503" s="8"/>
      <c r="M503" s="8"/>
      <c r="N503" s="8"/>
      <c r="O503" s="8"/>
      <c r="P503" s="539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538"/>
      <c r="F504" s="8"/>
      <c r="G504" s="8"/>
      <c r="H504" s="539"/>
      <c r="I504" s="8"/>
      <c r="J504" s="8"/>
      <c r="K504" s="8"/>
      <c r="L504" s="8"/>
      <c r="M504" s="8"/>
      <c r="N504" s="8"/>
      <c r="O504" s="8"/>
      <c r="P504" s="539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538"/>
      <c r="F505" s="8"/>
      <c r="G505" s="8"/>
      <c r="H505" s="539"/>
      <c r="I505" s="8"/>
      <c r="J505" s="8"/>
      <c r="K505" s="8"/>
      <c r="L505" s="8"/>
      <c r="M505" s="8"/>
      <c r="N505" s="8"/>
      <c r="O505" s="8"/>
      <c r="P505" s="53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538"/>
      <c r="F506" s="8"/>
      <c r="G506" s="8"/>
      <c r="H506" s="539"/>
      <c r="I506" s="8"/>
      <c r="J506" s="8"/>
      <c r="K506" s="8"/>
      <c r="L506" s="8"/>
      <c r="M506" s="8"/>
      <c r="N506" s="8"/>
      <c r="O506" s="8"/>
      <c r="P506" s="539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538"/>
      <c r="F507" s="8"/>
      <c r="G507" s="8"/>
      <c r="H507" s="539"/>
      <c r="I507" s="8"/>
      <c r="J507" s="8"/>
      <c r="K507" s="8"/>
      <c r="L507" s="8"/>
      <c r="M507" s="8"/>
      <c r="N507" s="8"/>
      <c r="O507" s="8"/>
      <c r="P507" s="539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538"/>
      <c r="F508" s="8"/>
      <c r="G508" s="8"/>
      <c r="H508" s="539"/>
      <c r="I508" s="8"/>
      <c r="J508" s="8"/>
      <c r="K508" s="8"/>
      <c r="L508" s="8"/>
      <c r="M508" s="8"/>
      <c r="N508" s="8"/>
      <c r="O508" s="8"/>
      <c r="P508" s="539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538"/>
      <c r="F509" s="8"/>
      <c r="G509" s="8"/>
      <c r="H509" s="539"/>
      <c r="I509" s="8"/>
      <c r="J509" s="8"/>
      <c r="K509" s="8"/>
      <c r="L509" s="8"/>
      <c r="M509" s="8"/>
      <c r="N509" s="8"/>
      <c r="O509" s="8"/>
      <c r="P509" s="539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538"/>
      <c r="F510" s="8"/>
      <c r="G510" s="8"/>
      <c r="H510" s="539"/>
      <c r="I510" s="8"/>
      <c r="J510" s="8"/>
      <c r="K510" s="8"/>
      <c r="L510" s="8"/>
      <c r="M510" s="8"/>
      <c r="N510" s="8"/>
      <c r="O510" s="8"/>
      <c r="P510" s="539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538"/>
      <c r="F511" s="8"/>
      <c r="G511" s="8"/>
      <c r="H511" s="539"/>
      <c r="I511" s="8"/>
      <c r="J511" s="8"/>
      <c r="K511" s="8"/>
      <c r="L511" s="8"/>
      <c r="M511" s="8"/>
      <c r="N511" s="8"/>
      <c r="O511" s="8"/>
      <c r="P511" s="539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538"/>
      <c r="F512" s="8"/>
      <c r="G512" s="8"/>
      <c r="H512" s="539"/>
      <c r="I512" s="8"/>
      <c r="J512" s="8"/>
      <c r="K512" s="8"/>
      <c r="L512" s="8"/>
      <c r="M512" s="8"/>
      <c r="N512" s="8"/>
      <c r="O512" s="8"/>
      <c r="P512" s="539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538"/>
      <c r="F513" s="8"/>
      <c r="G513" s="8"/>
      <c r="H513" s="539"/>
      <c r="I513" s="8"/>
      <c r="J513" s="8"/>
      <c r="K513" s="8"/>
      <c r="L513" s="8"/>
      <c r="M513" s="8"/>
      <c r="N513" s="8"/>
      <c r="O513" s="8"/>
      <c r="P513" s="539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538"/>
      <c r="F514" s="8"/>
      <c r="G514" s="8"/>
      <c r="H514" s="539"/>
      <c r="I514" s="8"/>
      <c r="J514" s="8"/>
      <c r="K514" s="8"/>
      <c r="L514" s="8"/>
      <c r="M514" s="8"/>
      <c r="N514" s="8"/>
      <c r="O514" s="8"/>
      <c r="P514" s="539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538"/>
      <c r="F515" s="8"/>
      <c r="G515" s="8"/>
      <c r="H515" s="539"/>
      <c r="I515" s="8"/>
      <c r="J515" s="8"/>
      <c r="K515" s="8"/>
      <c r="L515" s="8"/>
      <c r="M515" s="8"/>
      <c r="N515" s="8"/>
      <c r="O515" s="8"/>
      <c r="P515" s="539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538"/>
      <c r="F516" s="8"/>
      <c r="G516" s="8"/>
      <c r="H516" s="539"/>
      <c r="I516" s="8"/>
      <c r="J516" s="8"/>
      <c r="K516" s="8"/>
      <c r="L516" s="8"/>
      <c r="M516" s="8"/>
      <c r="N516" s="8"/>
      <c r="O516" s="8"/>
      <c r="P516" s="539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538"/>
      <c r="F517" s="8"/>
      <c r="G517" s="8"/>
      <c r="H517" s="539"/>
      <c r="I517" s="8"/>
      <c r="J517" s="8"/>
      <c r="K517" s="8"/>
      <c r="L517" s="8"/>
      <c r="M517" s="8"/>
      <c r="N517" s="8"/>
      <c r="O517" s="8"/>
      <c r="P517" s="539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538"/>
      <c r="F518" s="8"/>
      <c r="G518" s="8"/>
      <c r="H518" s="539"/>
      <c r="I518" s="8"/>
      <c r="J518" s="8"/>
      <c r="K518" s="8"/>
      <c r="L518" s="8"/>
      <c r="M518" s="8"/>
      <c r="N518" s="8"/>
      <c r="O518" s="8"/>
      <c r="P518" s="539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538"/>
      <c r="F519" s="8"/>
      <c r="G519" s="8"/>
      <c r="H519" s="539"/>
      <c r="I519" s="8"/>
      <c r="J519" s="8"/>
      <c r="K519" s="8"/>
      <c r="L519" s="8"/>
      <c r="M519" s="8"/>
      <c r="N519" s="8"/>
      <c r="O519" s="8"/>
      <c r="P519" s="539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538"/>
      <c r="F520" s="8"/>
      <c r="G520" s="8"/>
      <c r="H520" s="539"/>
      <c r="I520" s="8"/>
      <c r="J520" s="8"/>
      <c r="K520" s="8"/>
      <c r="L520" s="8"/>
      <c r="M520" s="8"/>
      <c r="N520" s="8"/>
      <c r="O520" s="8"/>
      <c r="P520" s="539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538"/>
      <c r="F521" s="8"/>
      <c r="G521" s="8"/>
      <c r="H521" s="539"/>
      <c r="I521" s="8"/>
      <c r="J521" s="8"/>
      <c r="K521" s="8"/>
      <c r="L521" s="8"/>
      <c r="M521" s="8"/>
      <c r="N521" s="8"/>
      <c r="O521" s="8"/>
      <c r="P521" s="539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538"/>
      <c r="F522" s="8"/>
      <c r="G522" s="8"/>
      <c r="H522" s="539"/>
      <c r="I522" s="8"/>
      <c r="J522" s="8"/>
      <c r="K522" s="8"/>
      <c r="L522" s="8"/>
      <c r="M522" s="8"/>
      <c r="N522" s="8"/>
      <c r="O522" s="8"/>
      <c r="P522" s="539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538"/>
      <c r="F523" s="8"/>
      <c r="G523" s="8"/>
      <c r="H523" s="539"/>
      <c r="I523" s="8"/>
      <c r="J523" s="8"/>
      <c r="K523" s="8"/>
      <c r="L523" s="8"/>
      <c r="M523" s="8"/>
      <c r="N523" s="8"/>
      <c r="O523" s="8"/>
      <c r="P523" s="539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538"/>
      <c r="F524" s="8"/>
      <c r="G524" s="8"/>
      <c r="H524" s="539"/>
      <c r="I524" s="8"/>
      <c r="J524" s="8"/>
      <c r="K524" s="8"/>
      <c r="L524" s="8"/>
      <c r="M524" s="8"/>
      <c r="N524" s="8"/>
      <c r="O524" s="8"/>
      <c r="P524" s="539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538"/>
      <c r="F525" s="8"/>
      <c r="G525" s="8"/>
      <c r="H525" s="539"/>
      <c r="I525" s="8"/>
      <c r="J525" s="8"/>
      <c r="K525" s="8"/>
      <c r="L525" s="8"/>
      <c r="M525" s="8"/>
      <c r="N525" s="8"/>
      <c r="O525" s="8"/>
      <c r="P525" s="539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538"/>
      <c r="F526" s="8"/>
      <c r="G526" s="8"/>
      <c r="H526" s="539"/>
      <c r="I526" s="8"/>
      <c r="J526" s="8"/>
      <c r="K526" s="8"/>
      <c r="L526" s="8"/>
      <c r="M526" s="8"/>
      <c r="N526" s="8"/>
      <c r="O526" s="8"/>
      <c r="P526" s="539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538"/>
      <c r="F527" s="8"/>
      <c r="G527" s="8"/>
      <c r="H527" s="539"/>
      <c r="I527" s="8"/>
      <c r="J527" s="8"/>
      <c r="K527" s="8"/>
      <c r="L527" s="8"/>
      <c r="M527" s="8"/>
      <c r="N527" s="8"/>
      <c r="O527" s="8"/>
      <c r="P527" s="539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538"/>
      <c r="F528" s="8"/>
      <c r="G528" s="8"/>
      <c r="H528" s="539"/>
      <c r="I528" s="8"/>
      <c r="J528" s="8"/>
      <c r="K528" s="8"/>
      <c r="L528" s="8"/>
      <c r="M528" s="8"/>
      <c r="N528" s="8"/>
      <c r="O528" s="8"/>
      <c r="P528" s="539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538"/>
      <c r="F529" s="8"/>
      <c r="G529" s="8"/>
      <c r="H529" s="539"/>
      <c r="I529" s="8"/>
      <c r="J529" s="8"/>
      <c r="K529" s="8"/>
      <c r="L529" s="8"/>
      <c r="M529" s="8"/>
      <c r="N529" s="8"/>
      <c r="O529" s="8"/>
      <c r="P529" s="539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538"/>
      <c r="F530" s="8"/>
      <c r="G530" s="8"/>
      <c r="H530" s="539"/>
      <c r="I530" s="8"/>
      <c r="J530" s="8"/>
      <c r="K530" s="8"/>
      <c r="L530" s="8"/>
      <c r="M530" s="8"/>
      <c r="N530" s="8"/>
      <c r="O530" s="8"/>
      <c r="P530" s="539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538"/>
      <c r="F531" s="8"/>
      <c r="G531" s="8"/>
      <c r="H531" s="539"/>
      <c r="I531" s="8"/>
      <c r="J531" s="8"/>
      <c r="K531" s="8"/>
      <c r="L531" s="8"/>
      <c r="M531" s="8"/>
      <c r="N531" s="8"/>
      <c r="O531" s="8"/>
      <c r="P531" s="539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538"/>
      <c r="F532" s="8"/>
      <c r="G532" s="8"/>
      <c r="H532" s="539"/>
      <c r="I532" s="8"/>
      <c r="J532" s="8"/>
      <c r="K532" s="8"/>
      <c r="L532" s="8"/>
      <c r="M532" s="8"/>
      <c r="N532" s="8"/>
      <c r="O532" s="8"/>
      <c r="P532" s="539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538"/>
      <c r="F533" s="8"/>
      <c r="G533" s="8"/>
      <c r="H533" s="539"/>
      <c r="I533" s="8"/>
      <c r="J533" s="8"/>
      <c r="K533" s="8"/>
      <c r="L533" s="8"/>
      <c r="M533" s="8"/>
      <c r="N533" s="8"/>
      <c r="O533" s="8"/>
      <c r="P533" s="539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538"/>
      <c r="F534" s="8"/>
      <c r="G534" s="8"/>
      <c r="H534" s="539"/>
      <c r="I534" s="8"/>
      <c r="J534" s="8"/>
      <c r="K534" s="8"/>
      <c r="L534" s="8"/>
      <c r="M534" s="8"/>
      <c r="N534" s="8"/>
      <c r="O534" s="8"/>
      <c r="P534" s="539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538"/>
      <c r="F535" s="8"/>
      <c r="G535" s="8"/>
      <c r="H535" s="539"/>
      <c r="I535" s="8"/>
      <c r="J535" s="8"/>
      <c r="K535" s="8"/>
      <c r="L535" s="8"/>
      <c r="M535" s="8"/>
      <c r="N535" s="8"/>
      <c r="O535" s="8"/>
      <c r="P535" s="53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538"/>
      <c r="F536" s="8"/>
      <c r="G536" s="8"/>
      <c r="H536" s="539"/>
      <c r="I536" s="8"/>
      <c r="J536" s="8"/>
      <c r="K536" s="8"/>
      <c r="L536" s="8"/>
      <c r="M536" s="8"/>
      <c r="N536" s="8"/>
      <c r="O536" s="8"/>
      <c r="P536" s="539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538"/>
      <c r="F537" s="8"/>
      <c r="G537" s="8"/>
      <c r="H537" s="539"/>
      <c r="I537" s="8"/>
      <c r="J537" s="8"/>
      <c r="K537" s="8"/>
      <c r="L537" s="8"/>
      <c r="M537" s="8"/>
      <c r="N537" s="8"/>
      <c r="O537" s="8"/>
      <c r="P537" s="539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538"/>
      <c r="F538" s="8"/>
      <c r="G538" s="8"/>
      <c r="H538" s="539"/>
      <c r="I538" s="8"/>
      <c r="J538" s="8"/>
      <c r="K538" s="8"/>
      <c r="L538" s="8"/>
      <c r="M538" s="8"/>
      <c r="N538" s="8"/>
      <c r="O538" s="8"/>
      <c r="P538" s="539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538"/>
      <c r="F539" s="8"/>
      <c r="G539" s="8"/>
      <c r="H539" s="539"/>
      <c r="I539" s="8"/>
      <c r="J539" s="8"/>
      <c r="K539" s="8"/>
      <c r="L539" s="8"/>
      <c r="M539" s="8"/>
      <c r="N539" s="8"/>
      <c r="O539" s="8"/>
      <c r="P539" s="539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538"/>
      <c r="F540" s="8"/>
      <c r="G540" s="8"/>
      <c r="H540" s="539"/>
      <c r="I540" s="8"/>
      <c r="J540" s="8"/>
      <c r="K540" s="8"/>
      <c r="L540" s="8"/>
      <c r="M540" s="8"/>
      <c r="N540" s="8"/>
      <c r="O540" s="8"/>
      <c r="P540" s="539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538"/>
      <c r="F541" s="8"/>
      <c r="G541" s="8"/>
      <c r="H541" s="539"/>
      <c r="I541" s="8"/>
      <c r="J541" s="8"/>
      <c r="K541" s="8"/>
      <c r="L541" s="8"/>
      <c r="M541" s="8"/>
      <c r="N541" s="8"/>
      <c r="O541" s="8"/>
      <c r="P541" s="539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538"/>
      <c r="F542" s="8"/>
      <c r="G542" s="8"/>
      <c r="H542" s="539"/>
      <c r="I542" s="8"/>
      <c r="J542" s="8"/>
      <c r="K542" s="8"/>
      <c r="L542" s="8"/>
      <c r="M542" s="8"/>
      <c r="N542" s="8"/>
      <c r="O542" s="8"/>
      <c r="P542" s="539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538"/>
      <c r="F543" s="8"/>
      <c r="G543" s="8"/>
      <c r="H543" s="539"/>
      <c r="I543" s="8"/>
      <c r="J543" s="8"/>
      <c r="K543" s="8"/>
      <c r="L543" s="8"/>
      <c r="M543" s="8"/>
      <c r="N543" s="8"/>
      <c r="O543" s="8"/>
      <c r="P543" s="539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538"/>
      <c r="F544" s="8"/>
      <c r="G544" s="8"/>
      <c r="H544" s="539"/>
      <c r="I544" s="8"/>
      <c r="J544" s="8"/>
      <c r="K544" s="8"/>
      <c r="L544" s="8"/>
      <c r="M544" s="8"/>
      <c r="N544" s="8"/>
      <c r="O544" s="8"/>
      <c r="P544" s="539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538"/>
      <c r="F545" s="8"/>
      <c r="G545" s="8"/>
      <c r="H545" s="539"/>
      <c r="I545" s="8"/>
      <c r="J545" s="8"/>
      <c r="K545" s="8"/>
      <c r="L545" s="8"/>
      <c r="M545" s="8"/>
      <c r="N545" s="8"/>
      <c r="O545" s="8"/>
      <c r="P545" s="539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538"/>
      <c r="F546" s="8"/>
      <c r="G546" s="8"/>
      <c r="H546" s="539"/>
      <c r="I546" s="8"/>
      <c r="J546" s="8"/>
      <c r="K546" s="8"/>
      <c r="L546" s="8"/>
      <c r="M546" s="8"/>
      <c r="N546" s="8"/>
      <c r="O546" s="8"/>
      <c r="P546" s="539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538"/>
      <c r="F547" s="8"/>
      <c r="G547" s="8"/>
      <c r="H547" s="539"/>
      <c r="I547" s="8"/>
      <c r="J547" s="8"/>
      <c r="K547" s="8"/>
      <c r="L547" s="8"/>
      <c r="M547" s="8"/>
      <c r="N547" s="8"/>
      <c r="O547" s="8"/>
      <c r="P547" s="539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538"/>
      <c r="F548" s="8"/>
      <c r="G548" s="8"/>
      <c r="H548" s="539"/>
      <c r="I548" s="8"/>
      <c r="J548" s="8"/>
      <c r="K548" s="8"/>
      <c r="L548" s="8"/>
      <c r="M548" s="8"/>
      <c r="N548" s="8"/>
      <c r="O548" s="8"/>
      <c r="P548" s="539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538"/>
      <c r="F549" s="8"/>
      <c r="G549" s="8"/>
      <c r="H549" s="539"/>
      <c r="I549" s="8"/>
      <c r="J549" s="8"/>
      <c r="K549" s="8"/>
      <c r="L549" s="8"/>
      <c r="M549" s="8"/>
      <c r="N549" s="8"/>
      <c r="O549" s="8"/>
      <c r="P549" s="539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538"/>
      <c r="F550" s="8"/>
      <c r="G550" s="8"/>
      <c r="H550" s="539"/>
      <c r="I550" s="8"/>
      <c r="J550" s="8"/>
      <c r="K550" s="8"/>
      <c r="L550" s="8"/>
      <c r="M550" s="8"/>
      <c r="N550" s="8"/>
      <c r="O550" s="8"/>
      <c r="P550" s="539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538"/>
      <c r="F551" s="8"/>
      <c r="G551" s="8"/>
      <c r="H551" s="539"/>
      <c r="I551" s="8"/>
      <c r="J551" s="8"/>
      <c r="K551" s="8"/>
      <c r="L551" s="8"/>
      <c r="M551" s="8"/>
      <c r="N551" s="8"/>
      <c r="O551" s="8"/>
      <c r="P551" s="539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538"/>
      <c r="F552" s="8"/>
      <c r="G552" s="8"/>
      <c r="H552" s="539"/>
      <c r="I552" s="8"/>
      <c r="J552" s="8"/>
      <c r="K552" s="8"/>
      <c r="L552" s="8"/>
      <c r="M552" s="8"/>
      <c r="N552" s="8"/>
      <c r="O552" s="8"/>
      <c r="P552" s="539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538"/>
      <c r="F553" s="8"/>
      <c r="G553" s="8"/>
      <c r="H553" s="539"/>
      <c r="I553" s="8"/>
      <c r="J553" s="8"/>
      <c r="K553" s="8"/>
      <c r="L553" s="8"/>
      <c r="M553" s="8"/>
      <c r="N553" s="8"/>
      <c r="O553" s="8"/>
      <c r="P553" s="539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538"/>
      <c r="F554" s="8"/>
      <c r="G554" s="8"/>
      <c r="H554" s="539"/>
      <c r="I554" s="8"/>
      <c r="J554" s="8"/>
      <c r="K554" s="8"/>
      <c r="L554" s="8"/>
      <c r="M554" s="8"/>
      <c r="N554" s="8"/>
      <c r="O554" s="8"/>
      <c r="P554" s="539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538"/>
      <c r="F555" s="8"/>
      <c r="G555" s="8"/>
      <c r="H555" s="539"/>
      <c r="I555" s="8"/>
      <c r="J555" s="8"/>
      <c r="K555" s="8"/>
      <c r="L555" s="8"/>
      <c r="M555" s="8"/>
      <c r="N555" s="8"/>
      <c r="O555" s="8"/>
      <c r="P555" s="539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538"/>
      <c r="F556" s="8"/>
      <c r="G556" s="8"/>
      <c r="H556" s="539"/>
      <c r="I556" s="8"/>
      <c r="J556" s="8"/>
      <c r="K556" s="8"/>
      <c r="L556" s="8"/>
      <c r="M556" s="8"/>
      <c r="N556" s="8"/>
      <c r="O556" s="8"/>
      <c r="P556" s="539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538"/>
      <c r="F557" s="8"/>
      <c r="G557" s="8"/>
      <c r="H557" s="539"/>
      <c r="I557" s="8"/>
      <c r="J557" s="8"/>
      <c r="K557" s="8"/>
      <c r="L557" s="8"/>
      <c r="M557" s="8"/>
      <c r="N557" s="8"/>
      <c r="O557" s="8"/>
      <c r="P557" s="539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538"/>
      <c r="F558" s="8"/>
      <c r="G558" s="8"/>
      <c r="H558" s="539"/>
      <c r="I558" s="8"/>
      <c r="J558" s="8"/>
      <c r="K558" s="8"/>
      <c r="L558" s="8"/>
      <c r="M558" s="8"/>
      <c r="N558" s="8"/>
      <c r="O558" s="8"/>
      <c r="P558" s="539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538"/>
      <c r="F559" s="8"/>
      <c r="G559" s="8"/>
      <c r="H559" s="539"/>
      <c r="I559" s="8"/>
      <c r="J559" s="8"/>
      <c r="K559" s="8"/>
      <c r="L559" s="8"/>
      <c r="M559" s="8"/>
      <c r="N559" s="8"/>
      <c r="O559" s="8"/>
      <c r="P559" s="539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538"/>
      <c r="F560" s="8"/>
      <c r="G560" s="8"/>
      <c r="H560" s="539"/>
      <c r="I560" s="8"/>
      <c r="J560" s="8"/>
      <c r="K560" s="8"/>
      <c r="L560" s="8"/>
      <c r="M560" s="8"/>
      <c r="N560" s="8"/>
      <c r="O560" s="8"/>
      <c r="P560" s="539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538"/>
      <c r="F561" s="8"/>
      <c r="G561" s="8"/>
      <c r="H561" s="539"/>
      <c r="I561" s="8"/>
      <c r="J561" s="8"/>
      <c r="K561" s="8"/>
      <c r="L561" s="8"/>
      <c r="M561" s="8"/>
      <c r="N561" s="8"/>
      <c r="O561" s="8"/>
      <c r="P561" s="539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538"/>
      <c r="F562" s="8"/>
      <c r="G562" s="8"/>
      <c r="H562" s="539"/>
      <c r="I562" s="8"/>
      <c r="J562" s="8"/>
      <c r="K562" s="8"/>
      <c r="L562" s="8"/>
      <c r="M562" s="8"/>
      <c r="N562" s="8"/>
      <c r="O562" s="8"/>
      <c r="P562" s="539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538"/>
      <c r="F563" s="8"/>
      <c r="G563" s="8"/>
      <c r="H563" s="539"/>
      <c r="I563" s="8"/>
      <c r="J563" s="8"/>
      <c r="K563" s="8"/>
      <c r="L563" s="8"/>
      <c r="M563" s="8"/>
      <c r="N563" s="8"/>
      <c r="O563" s="8"/>
      <c r="P563" s="539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538"/>
      <c r="F564" s="8"/>
      <c r="G564" s="8"/>
      <c r="H564" s="539"/>
      <c r="I564" s="8"/>
      <c r="J564" s="8"/>
      <c r="K564" s="8"/>
      <c r="L564" s="8"/>
      <c r="M564" s="8"/>
      <c r="N564" s="8"/>
      <c r="O564" s="8"/>
      <c r="P564" s="539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538"/>
      <c r="F565" s="8"/>
      <c r="G565" s="8"/>
      <c r="H565" s="539"/>
      <c r="I565" s="8"/>
      <c r="J565" s="8"/>
      <c r="K565" s="8"/>
      <c r="L565" s="8"/>
      <c r="M565" s="8"/>
      <c r="N565" s="8"/>
      <c r="O565" s="8"/>
      <c r="P565" s="539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538"/>
      <c r="F566" s="8"/>
      <c r="G566" s="8"/>
      <c r="H566" s="539"/>
      <c r="I566" s="8"/>
      <c r="J566" s="8"/>
      <c r="K566" s="8"/>
      <c r="L566" s="8"/>
      <c r="M566" s="8"/>
      <c r="N566" s="8"/>
      <c r="O566" s="8"/>
      <c r="P566" s="539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538"/>
      <c r="F567" s="8"/>
      <c r="G567" s="8"/>
      <c r="H567" s="539"/>
      <c r="I567" s="8"/>
      <c r="J567" s="8"/>
      <c r="K567" s="8"/>
      <c r="L567" s="8"/>
      <c r="M567" s="8"/>
      <c r="N567" s="8"/>
      <c r="O567" s="8"/>
      <c r="P567" s="539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538"/>
      <c r="F568" s="8"/>
      <c r="G568" s="8"/>
      <c r="H568" s="539"/>
      <c r="I568" s="8"/>
      <c r="J568" s="8"/>
      <c r="K568" s="8"/>
      <c r="L568" s="8"/>
      <c r="M568" s="8"/>
      <c r="N568" s="8"/>
      <c r="O568" s="8"/>
      <c r="P568" s="539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538"/>
      <c r="F569" s="8"/>
      <c r="G569" s="8"/>
      <c r="H569" s="539"/>
      <c r="I569" s="8"/>
      <c r="J569" s="8"/>
      <c r="K569" s="8"/>
      <c r="L569" s="8"/>
      <c r="M569" s="8"/>
      <c r="N569" s="8"/>
      <c r="O569" s="8"/>
      <c r="P569" s="539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538"/>
      <c r="F570" s="8"/>
      <c r="G570" s="8"/>
      <c r="H570" s="539"/>
      <c r="I570" s="8"/>
      <c r="J570" s="8"/>
      <c r="K570" s="8"/>
      <c r="L570" s="8"/>
      <c r="M570" s="8"/>
      <c r="N570" s="8"/>
      <c r="O570" s="8"/>
      <c r="P570" s="539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538"/>
      <c r="F571" s="8"/>
      <c r="G571" s="8"/>
      <c r="H571" s="539"/>
      <c r="I571" s="8"/>
      <c r="J571" s="8"/>
      <c r="K571" s="8"/>
      <c r="L571" s="8"/>
      <c r="M571" s="8"/>
      <c r="N571" s="8"/>
      <c r="O571" s="8"/>
      <c r="P571" s="539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538"/>
      <c r="F572" s="8"/>
      <c r="G572" s="8"/>
      <c r="H572" s="539"/>
      <c r="I572" s="8"/>
      <c r="J572" s="8"/>
      <c r="K572" s="8"/>
      <c r="L572" s="8"/>
      <c r="M572" s="8"/>
      <c r="N572" s="8"/>
      <c r="O572" s="8"/>
      <c r="P572" s="539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538"/>
      <c r="F573" s="8"/>
      <c r="G573" s="8"/>
      <c r="H573" s="539"/>
      <c r="I573" s="8"/>
      <c r="J573" s="8"/>
      <c r="K573" s="8"/>
      <c r="L573" s="8"/>
      <c r="M573" s="8"/>
      <c r="N573" s="8"/>
      <c r="O573" s="8"/>
      <c r="P573" s="539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538"/>
      <c r="F574" s="8"/>
      <c r="G574" s="8"/>
      <c r="H574" s="539"/>
      <c r="I574" s="8"/>
      <c r="J574" s="8"/>
      <c r="K574" s="8"/>
      <c r="L574" s="8"/>
      <c r="M574" s="8"/>
      <c r="N574" s="8"/>
      <c r="O574" s="8"/>
      <c r="P574" s="539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538"/>
      <c r="F575" s="8"/>
      <c r="G575" s="8"/>
      <c r="H575" s="539"/>
      <c r="I575" s="8"/>
      <c r="J575" s="8"/>
      <c r="K575" s="8"/>
      <c r="L575" s="8"/>
      <c r="M575" s="8"/>
      <c r="N575" s="8"/>
      <c r="O575" s="8"/>
      <c r="P575" s="539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538"/>
      <c r="F576" s="8"/>
      <c r="G576" s="8"/>
      <c r="H576" s="539"/>
      <c r="I576" s="8"/>
      <c r="J576" s="8"/>
      <c r="K576" s="8"/>
      <c r="L576" s="8"/>
      <c r="M576" s="8"/>
      <c r="N576" s="8"/>
      <c r="O576" s="8"/>
      <c r="P576" s="539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538"/>
      <c r="F577" s="8"/>
      <c r="G577" s="8"/>
      <c r="H577" s="539"/>
      <c r="I577" s="8"/>
      <c r="J577" s="8"/>
      <c r="K577" s="8"/>
      <c r="L577" s="8"/>
      <c r="M577" s="8"/>
      <c r="N577" s="8"/>
      <c r="O577" s="8"/>
      <c r="P577" s="539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538"/>
      <c r="F578" s="8"/>
      <c r="G578" s="8"/>
      <c r="H578" s="539"/>
      <c r="I578" s="8"/>
      <c r="J578" s="8"/>
      <c r="K578" s="8"/>
      <c r="L578" s="8"/>
      <c r="M578" s="8"/>
      <c r="N578" s="8"/>
      <c r="O578" s="8"/>
      <c r="P578" s="539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538"/>
      <c r="F579" s="8"/>
      <c r="G579" s="8"/>
      <c r="H579" s="539"/>
      <c r="I579" s="8"/>
      <c r="J579" s="8"/>
      <c r="K579" s="8"/>
      <c r="L579" s="8"/>
      <c r="M579" s="8"/>
      <c r="N579" s="8"/>
      <c r="O579" s="8"/>
      <c r="P579" s="539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538"/>
      <c r="F580" s="8"/>
      <c r="G580" s="8"/>
      <c r="H580" s="539"/>
      <c r="I580" s="8"/>
      <c r="J580" s="8"/>
      <c r="K580" s="8"/>
      <c r="L580" s="8"/>
      <c r="M580" s="8"/>
      <c r="N580" s="8"/>
      <c r="O580" s="8"/>
      <c r="P580" s="539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538"/>
      <c r="F581" s="8"/>
      <c r="G581" s="8"/>
      <c r="H581" s="539"/>
      <c r="I581" s="8"/>
      <c r="J581" s="8"/>
      <c r="K581" s="8"/>
      <c r="L581" s="8"/>
      <c r="M581" s="8"/>
      <c r="N581" s="8"/>
      <c r="O581" s="8"/>
      <c r="P581" s="539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538"/>
      <c r="F582" s="8"/>
      <c r="G582" s="8"/>
      <c r="H582" s="539"/>
      <c r="I582" s="8"/>
      <c r="J582" s="8"/>
      <c r="K582" s="8"/>
      <c r="L582" s="8"/>
      <c r="M582" s="8"/>
      <c r="N582" s="8"/>
      <c r="O582" s="8"/>
      <c r="P582" s="539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538"/>
      <c r="F583" s="8"/>
      <c r="G583" s="8"/>
      <c r="H583" s="539"/>
      <c r="I583" s="8"/>
      <c r="J583" s="8"/>
      <c r="K583" s="8"/>
      <c r="L583" s="8"/>
      <c r="M583" s="8"/>
      <c r="N583" s="8"/>
      <c r="O583" s="8"/>
      <c r="P583" s="539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538"/>
      <c r="F584" s="8"/>
      <c r="G584" s="8"/>
      <c r="H584" s="539"/>
      <c r="I584" s="8"/>
      <c r="J584" s="8"/>
      <c r="K584" s="8"/>
      <c r="L584" s="8"/>
      <c r="M584" s="8"/>
      <c r="N584" s="8"/>
      <c r="O584" s="8"/>
      <c r="P584" s="539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538"/>
      <c r="F585" s="8"/>
      <c r="G585" s="8"/>
      <c r="H585" s="539"/>
      <c r="I585" s="8"/>
      <c r="J585" s="8"/>
      <c r="K585" s="8"/>
      <c r="L585" s="8"/>
      <c r="M585" s="8"/>
      <c r="N585" s="8"/>
      <c r="O585" s="8"/>
      <c r="P585" s="539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538"/>
      <c r="F586" s="8"/>
      <c r="G586" s="8"/>
      <c r="H586" s="539"/>
      <c r="I586" s="8"/>
      <c r="J586" s="8"/>
      <c r="K586" s="8"/>
      <c r="L586" s="8"/>
      <c r="M586" s="8"/>
      <c r="N586" s="8"/>
      <c r="O586" s="8"/>
      <c r="P586" s="539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538"/>
      <c r="F587" s="8"/>
      <c r="G587" s="8"/>
      <c r="H587" s="539"/>
      <c r="I587" s="8"/>
      <c r="J587" s="8"/>
      <c r="K587" s="8"/>
      <c r="L587" s="8"/>
      <c r="M587" s="8"/>
      <c r="N587" s="8"/>
      <c r="O587" s="8"/>
      <c r="P587" s="539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538"/>
      <c r="F588" s="8"/>
      <c r="G588" s="8"/>
      <c r="H588" s="539"/>
      <c r="I588" s="8"/>
      <c r="J588" s="8"/>
      <c r="K588" s="8"/>
      <c r="L588" s="8"/>
      <c r="M588" s="8"/>
      <c r="N588" s="8"/>
      <c r="O588" s="8"/>
      <c r="P588" s="539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538"/>
      <c r="F589" s="8"/>
      <c r="G589" s="8"/>
      <c r="H589" s="539"/>
      <c r="I589" s="8"/>
      <c r="J589" s="8"/>
      <c r="K589" s="8"/>
      <c r="L589" s="8"/>
      <c r="M589" s="8"/>
      <c r="N589" s="8"/>
      <c r="O589" s="8"/>
      <c r="P589" s="539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538"/>
      <c r="F590" s="8"/>
      <c r="G590" s="8"/>
      <c r="H590" s="539"/>
      <c r="I590" s="8"/>
      <c r="J590" s="8"/>
      <c r="K590" s="8"/>
      <c r="L590" s="8"/>
      <c r="M590" s="8"/>
      <c r="N590" s="8"/>
      <c r="O590" s="8"/>
      <c r="P590" s="539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538"/>
      <c r="F591" s="8"/>
      <c r="G591" s="8"/>
      <c r="H591" s="539"/>
      <c r="I591" s="8"/>
      <c r="J591" s="8"/>
      <c r="K591" s="8"/>
      <c r="L591" s="8"/>
      <c r="M591" s="8"/>
      <c r="N591" s="8"/>
      <c r="O591" s="8"/>
      <c r="P591" s="539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538"/>
      <c r="F592" s="8"/>
      <c r="G592" s="8"/>
      <c r="H592" s="539"/>
      <c r="I592" s="8"/>
      <c r="J592" s="8"/>
      <c r="K592" s="8"/>
      <c r="L592" s="8"/>
      <c r="M592" s="8"/>
      <c r="N592" s="8"/>
      <c r="O592" s="8"/>
      <c r="P592" s="539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538"/>
      <c r="F593" s="8"/>
      <c r="G593" s="8"/>
      <c r="H593" s="539"/>
      <c r="I593" s="8"/>
      <c r="J593" s="8"/>
      <c r="K593" s="8"/>
      <c r="L593" s="8"/>
      <c r="M593" s="8"/>
      <c r="N593" s="8"/>
      <c r="O593" s="8"/>
      <c r="P593" s="539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538"/>
      <c r="F594" s="8"/>
      <c r="G594" s="8"/>
      <c r="H594" s="539"/>
      <c r="I594" s="8"/>
      <c r="J594" s="8"/>
      <c r="K594" s="8"/>
      <c r="L594" s="8"/>
      <c r="M594" s="8"/>
      <c r="N594" s="8"/>
      <c r="O594" s="8"/>
      <c r="P594" s="539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538"/>
      <c r="F595" s="8"/>
      <c r="G595" s="8"/>
      <c r="H595" s="539"/>
      <c r="I595" s="8"/>
      <c r="J595" s="8"/>
      <c r="K595" s="8"/>
      <c r="L595" s="8"/>
      <c r="M595" s="8"/>
      <c r="N595" s="8"/>
      <c r="O595" s="8"/>
      <c r="P595" s="539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538"/>
      <c r="F596" s="8"/>
      <c r="G596" s="8"/>
      <c r="H596" s="539"/>
      <c r="I596" s="8"/>
      <c r="J596" s="8"/>
      <c r="K596" s="8"/>
      <c r="L596" s="8"/>
      <c r="M596" s="8"/>
      <c r="N596" s="8"/>
      <c r="O596" s="8"/>
      <c r="P596" s="539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538"/>
      <c r="F597" s="8"/>
      <c r="G597" s="8"/>
      <c r="H597" s="539"/>
      <c r="I597" s="8"/>
      <c r="J597" s="8"/>
      <c r="K597" s="8"/>
      <c r="L597" s="8"/>
      <c r="M597" s="8"/>
      <c r="N597" s="8"/>
      <c r="O597" s="8"/>
      <c r="P597" s="539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538"/>
      <c r="F598" s="8"/>
      <c r="G598" s="8"/>
      <c r="H598" s="539"/>
      <c r="I598" s="8"/>
      <c r="J598" s="8"/>
      <c r="K598" s="8"/>
      <c r="L598" s="8"/>
      <c r="M598" s="8"/>
      <c r="N598" s="8"/>
      <c r="O598" s="8"/>
      <c r="P598" s="539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538"/>
      <c r="F599" s="8"/>
      <c r="G599" s="8"/>
      <c r="H599" s="539"/>
      <c r="I599" s="8"/>
      <c r="J599" s="8"/>
      <c r="K599" s="8"/>
      <c r="L599" s="8"/>
      <c r="M599" s="8"/>
      <c r="N599" s="8"/>
      <c r="O599" s="8"/>
      <c r="P599" s="539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538"/>
      <c r="F600" s="8"/>
      <c r="G600" s="8"/>
      <c r="H600" s="539"/>
      <c r="I600" s="8"/>
      <c r="J600" s="8"/>
      <c r="K600" s="8"/>
      <c r="L600" s="8"/>
      <c r="M600" s="8"/>
      <c r="N600" s="8"/>
      <c r="O600" s="8"/>
      <c r="P600" s="539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538"/>
      <c r="F601" s="8"/>
      <c r="G601" s="8"/>
      <c r="H601" s="539"/>
      <c r="I601" s="8"/>
      <c r="J601" s="8"/>
      <c r="K601" s="8"/>
      <c r="L601" s="8"/>
      <c r="M601" s="8"/>
      <c r="N601" s="8"/>
      <c r="O601" s="8"/>
      <c r="P601" s="539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538"/>
      <c r="F602" s="8"/>
      <c r="G602" s="8"/>
      <c r="H602" s="539"/>
      <c r="I602" s="8"/>
      <c r="J602" s="8"/>
      <c r="K602" s="8"/>
      <c r="L602" s="8"/>
      <c r="M602" s="8"/>
      <c r="N602" s="8"/>
      <c r="O602" s="8"/>
      <c r="P602" s="539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538"/>
      <c r="F603" s="8"/>
      <c r="G603" s="8"/>
      <c r="H603" s="539"/>
      <c r="I603" s="8"/>
      <c r="J603" s="8"/>
      <c r="K603" s="8"/>
      <c r="L603" s="8"/>
      <c r="M603" s="8"/>
      <c r="N603" s="8"/>
      <c r="O603" s="8"/>
      <c r="P603" s="539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538"/>
      <c r="F604" s="8"/>
      <c r="G604" s="8"/>
      <c r="H604" s="539"/>
      <c r="I604" s="8"/>
      <c r="J604" s="8"/>
      <c r="K604" s="8"/>
      <c r="L604" s="8"/>
      <c r="M604" s="8"/>
      <c r="N604" s="8"/>
      <c r="O604" s="8"/>
      <c r="P604" s="539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538"/>
      <c r="F605" s="8"/>
      <c r="G605" s="8"/>
      <c r="H605" s="539"/>
      <c r="I605" s="8"/>
      <c r="J605" s="8"/>
      <c r="K605" s="8"/>
      <c r="L605" s="8"/>
      <c r="M605" s="8"/>
      <c r="N605" s="8"/>
      <c r="O605" s="8"/>
      <c r="P605" s="539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538"/>
      <c r="F606" s="8"/>
      <c r="G606" s="8"/>
      <c r="H606" s="539"/>
      <c r="I606" s="8"/>
      <c r="J606" s="8"/>
      <c r="K606" s="8"/>
      <c r="L606" s="8"/>
      <c r="M606" s="8"/>
      <c r="N606" s="8"/>
      <c r="O606" s="8"/>
      <c r="P606" s="539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538"/>
      <c r="F607" s="8"/>
      <c r="G607" s="8"/>
      <c r="H607" s="539"/>
      <c r="I607" s="8"/>
      <c r="J607" s="8"/>
      <c r="K607" s="8"/>
      <c r="L607" s="8"/>
      <c r="M607" s="8"/>
      <c r="N607" s="8"/>
      <c r="O607" s="8"/>
      <c r="P607" s="539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538"/>
      <c r="F608" s="8"/>
      <c r="G608" s="8"/>
      <c r="H608" s="539"/>
      <c r="I608" s="8"/>
      <c r="J608" s="8"/>
      <c r="K608" s="8"/>
      <c r="L608" s="8"/>
      <c r="M608" s="8"/>
      <c r="N608" s="8"/>
      <c r="O608" s="8"/>
      <c r="P608" s="539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538"/>
      <c r="F609" s="8"/>
      <c r="G609" s="8"/>
      <c r="H609" s="539"/>
      <c r="I609" s="8"/>
      <c r="J609" s="8"/>
      <c r="K609" s="8"/>
      <c r="L609" s="8"/>
      <c r="M609" s="8"/>
      <c r="N609" s="8"/>
      <c r="O609" s="8"/>
      <c r="P609" s="539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538"/>
      <c r="F610" s="8"/>
      <c r="G610" s="8"/>
      <c r="H610" s="539"/>
      <c r="I610" s="8"/>
      <c r="J610" s="8"/>
      <c r="K610" s="8"/>
      <c r="L610" s="8"/>
      <c r="M610" s="8"/>
      <c r="N610" s="8"/>
      <c r="O610" s="8"/>
      <c r="P610" s="539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538"/>
      <c r="F611" s="8"/>
      <c r="G611" s="8"/>
      <c r="H611" s="539"/>
      <c r="I611" s="8"/>
      <c r="J611" s="8"/>
      <c r="K611" s="8"/>
      <c r="L611" s="8"/>
      <c r="M611" s="8"/>
      <c r="N611" s="8"/>
      <c r="O611" s="8"/>
      <c r="P611" s="539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538"/>
      <c r="F612" s="8"/>
      <c r="G612" s="8"/>
      <c r="H612" s="539"/>
      <c r="I612" s="8"/>
      <c r="J612" s="8"/>
      <c r="K612" s="8"/>
      <c r="L612" s="8"/>
      <c r="M612" s="8"/>
      <c r="N612" s="8"/>
      <c r="O612" s="8"/>
      <c r="P612" s="539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538"/>
      <c r="F613" s="8"/>
      <c r="G613" s="8"/>
      <c r="H613" s="539"/>
      <c r="I613" s="8"/>
      <c r="J613" s="8"/>
      <c r="K613" s="8"/>
      <c r="L613" s="8"/>
      <c r="M613" s="8"/>
      <c r="N613" s="8"/>
      <c r="O613" s="8"/>
      <c r="P613" s="539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538"/>
      <c r="F614" s="8"/>
      <c r="G614" s="8"/>
      <c r="H614" s="539"/>
      <c r="I614" s="8"/>
      <c r="J614" s="8"/>
      <c r="K614" s="8"/>
      <c r="L614" s="8"/>
      <c r="M614" s="8"/>
      <c r="N614" s="8"/>
      <c r="O614" s="8"/>
      <c r="P614" s="539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538"/>
      <c r="F615" s="8"/>
      <c r="G615" s="8"/>
      <c r="H615" s="539"/>
      <c r="I615" s="8"/>
      <c r="J615" s="8"/>
      <c r="K615" s="8"/>
      <c r="L615" s="8"/>
      <c r="M615" s="8"/>
      <c r="N615" s="8"/>
      <c r="O615" s="8"/>
      <c r="P615" s="539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538"/>
      <c r="F616" s="8"/>
      <c r="G616" s="8"/>
      <c r="H616" s="539"/>
      <c r="I616" s="8"/>
      <c r="J616" s="8"/>
      <c r="K616" s="8"/>
      <c r="L616" s="8"/>
      <c r="M616" s="8"/>
      <c r="N616" s="8"/>
      <c r="O616" s="8"/>
      <c r="P616" s="539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538"/>
      <c r="F617" s="8"/>
      <c r="G617" s="8"/>
      <c r="H617" s="539"/>
      <c r="I617" s="8"/>
      <c r="J617" s="8"/>
      <c r="K617" s="8"/>
      <c r="L617" s="8"/>
      <c r="M617" s="8"/>
      <c r="N617" s="8"/>
      <c r="O617" s="8"/>
      <c r="P617" s="539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538"/>
      <c r="F618" s="8"/>
      <c r="G618" s="8"/>
      <c r="H618" s="539"/>
      <c r="I618" s="8"/>
      <c r="J618" s="8"/>
      <c r="K618" s="8"/>
      <c r="L618" s="8"/>
      <c r="M618" s="8"/>
      <c r="N618" s="8"/>
      <c r="O618" s="8"/>
      <c r="P618" s="539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538"/>
      <c r="F619" s="8"/>
      <c r="G619" s="8"/>
      <c r="H619" s="539"/>
      <c r="I619" s="8"/>
      <c r="J619" s="8"/>
      <c r="K619" s="8"/>
      <c r="L619" s="8"/>
      <c r="M619" s="8"/>
      <c r="N619" s="8"/>
      <c r="O619" s="8"/>
      <c r="P619" s="539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538"/>
      <c r="F620" s="8"/>
      <c r="G620" s="8"/>
      <c r="H620" s="539"/>
      <c r="I620" s="8"/>
      <c r="J620" s="8"/>
      <c r="K620" s="8"/>
      <c r="L620" s="8"/>
      <c r="M620" s="8"/>
      <c r="N620" s="8"/>
      <c r="O620" s="8"/>
      <c r="P620" s="539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538"/>
      <c r="F621" s="8"/>
      <c r="G621" s="8"/>
      <c r="H621" s="539"/>
      <c r="I621" s="8"/>
      <c r="J621" s="8"/>
      <c r="K621" s="8"/>
      <c r="L621" s="8"/>
      <c r="M621" s="8"/>
      <c r="N621" s="8"/>
      <c r="O621" s="8"/>
      <c r="P621" s="539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538"/>
      <c r="F622" s="8"/>
      <c r="G622" s="8"/>
      <c r="H622" s="539"/>
      <c r="I622" s="8"/>
      <c r="J622" s="8"/>
      <c r="K622" s="8"/>
      <c r="L622" s="8"/>
      <c r="M622" s="8"/>
      <c r="N622" s="8"/>
      <c r="O622" s="8"/>
      <c r="P622" s="539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538"/>
      <c r="F623" s="8"/>
      <c r="G623" s="8"/>
      <c r="H623" s="539"/>
      <c r="I623" s="8"/>
      <c r="J623" s="8"/>
      <c r="K623" s="8"/>
      <c r="L623" s="8"/>
      <c r="M623" s="8"/>
      <c r="N623" s="8"/>
      <c r="O623" s="8"/>
      <c r="P623" s="539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538"/>
      <c r="F624" s="8"/>
      <c r="G624" s="8"/>
      <c r="H624" s="539"/>
      <c r="I624" s="8"/>
      <c r="J624" s="8"/>
      <c r="K624" s="8"/>
      <c r="L624" s="8"/>
      <c r="M624" s="8"/>
      <c r="N624" s="8"/>
      <c r="O624" s="8"/>
      <c r="P624" s="539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538"/>
      <c r="F625" s="8"/>
      <c r="G625" s="8"/>
      <c r="H625" s="539"/>
      <c r="I625" s="8"/>
      <c r="J625" s="8"/>
      <c r="K625" s="8"/>
      <c r="L625" s="8"/>
      <c r="M625" s="8"/>
      <c r="N625" s="8"/>
      <c r="O625" s="8"/>
      <c r="P625" s="539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538"/>
      <c r="F626" s="8"/>
      <c r="G626" s="8"/>
      <c r="H626" s="539"/>
      <c r="I626" s="8"/>
      <c r="J626" s="8"/>
      <c r="K626" s="8"/>
      <c r="L626" s="8"/>
      <c r="M626" s="8"/>
      <c r="N626" s="8"/>
      <c r="O626" s="8"/>
      <c r="P626" s="539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538"/>
      <c r="F627" s="8"/>
      <c r="G627" s="8"/>
      <c r="H627" s="539"/>
      <c r="I627" s="8"/>
      <c r="J627" s="8"/>
      <c r="K627" s="8"/>
      <c r="L627" s="8"/>
      <c r="M627" s="8"/>
      <c r="N627" s="8"/>
      <c r="O627" s="8"/>
      <c r="P627" s="539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538"/>
      <c r="F628" s="8"/>
      <c r="G628" s="8"/>
      <c r="H628" s="539"/>
      <c r="I628" s="8"/>
      <c r="J628" s="8"/>
      <c r="K628" s="8"/>
      <c r="L628" s="8"/>
      <c r="M628" s="8"/>
      <c r="N628" s="8"/>
      <c r="O628" s="8"/>
      <c r="P628" s="539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538"/>
      <c r="F629" s="8"/>
      <c r="G629" s="8"/>
      <c r="H629" s="539"/>
      <c r="I629" s="8"/>
      <c r="J629" s="8"/>
      <c r="K629" s="8"/>
      <c r="L629" s="8"/>
      <c r="M629" s="8"/>
      <c r="N629" s="8"/>
      <c r="O629" s="8"/>
      <c r="P629" s="539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538"/>
      <c r="F630" s="8"/>
      <c r="G630" s="8"/>
      <c r="H630" s="539"/>
      <c r="I630" s="8"/>
      <c r="J630" s="8"/>
      <c r="K630" s="8"/>
      <c r="L630" s="8"/>
      <c r="M630" s="8"/>
      <c r="N630" s="8"/>
      <c r="O630" s="8"/>
      <c r="P630" s="539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538"/>
      <c r="F631" s="8"/>
      <c r="G631" s="8"/>
      <c r="H631" s="539"/>
      <c r="I631" s="8"/>
      <c r="J631" s="8"/>
      <c r="K631" s="8"/>
      <c r="L631" s="8"/>
      <c r="M631" s="8"/>
      <c r="N631" s="8"/>
      <c r="O631" s="8"/>
      <c r="P631" s="539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538"/>
      <c r="F632" s="8"/>
      <c r="G632" s="8"/>
      <c r="H632" s="539"/>
      <c r="I632" s="8"/>
      <c r="J632" s="8"/>
      <c r="K632" s="8"/>
      <c r="L632" s="8"/>
      <c r="M632" s="8"/>
      <c r="N632" s="8"/>
      <c r="O632" s="8"/>
      <c r="P632" s="539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538"/>
      <c r="F633" s="8"/>
      <c r="G633" s="8"/>
      <c r="H633" s="539"/>
      <c r="I633" s="8"/>
      <c r="J633" s="8"/>
      <c r="K633" s="8"/>
      <c r="L633" s="8"/>
      <c r="M633" s="8"/>
      <c r="N633" s="8"/>
      <c r="O633" s="8"/>
      <c r="P633" s="539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538"/>
      <c r="F634" s="8"/>
      <c r="G634" s="8"/>
      <c r="H634" s="539"/>
      <c r="I634" s="8"/>
      <c r="J634" s="8"/>
      <c r="K634" s="8"/>
      <c r="L634" s="8"/>
      <c r="M634" s="8"/>
      <c r="N634" s="8"/>
      <c r="O634" s="8"/>
      <c r="P634" s="539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538"/>
      <c r="F635" s="8"/>
      <c r="G635" s="8"/>
      <c r="H635" s="539"/>
      <c r="I635" s="8"/>
      <c r="J635" s="8"/>
      <c r="K635" s="8"/>
      <c r="L635" s="8"/>
      <c r="M635" s="8"/>
      <c r="N635" s="8"/>
      <c r="O635" s="8"/>
      <c r="P635" s="539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538"/>
      <c r="F636" s="8"/>
      <c r="G636" s="8"/>
      <c r="H636" s="539"/>
      <c r="I636" s="8"/>
      <c r="J636" s="8"/>
      <c r="K636" s="8"/>
      <c r="L636" s="8"/>
      <c r="M636" s="8"/>
      <c r="N636" s="8"/>
      <c r="O636" s="8"/>
      <c r="P636" s="539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538"/>
      <c r="F637" s="8"/>
      <c r="G637" s="8"/>
      <c r="H637" s="539"/>
      <c r="I637" s="8"/>
      <c r="J637" s="8"/>
      <c r="K637" s="8"/>
      <c r="L637" s="8"/>
      <c r="M637" s="8"/>
      <c r="N637" s="8"/>
      <c r="O637" s="8"/>
      <c r="P637" s="539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538"/>
      <c r="F638" s="8"/>
      <c r="G638" s="8"/>
      <c r="H638" s="539"/>
      <c r="I638" s="8"/>
      <c r="J638" s="8"/>
      <c r="K638" s="8"/>
      <c r="L638" s="8"/>
      <c r="M638" s="8"/>
      <c r="N638" s="8"/>
      <c r="O638" s="8"/>
      <c r="P638" s="539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538"/>
      <c r="F639" s="8"/>
      <c r="G639" s="8"/>
      <c r="H639" s="539"/>
      <c r="I639" s="8"/>
      <c r="J639" s="8"/>
      <c r="K639" s="8"/>
      <c r="L639" s="8"/>
      <c r="M639" s="8"/>
      <c r="N639" s="8"/>
      <c r="O639" s="8"/>
      <c r="P639" s="539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538"/>
      <c r="F640" s="8"/>
      <c r="G640" s="8"/>
      <c r="H640" s="539"/>
      <c r="I640" s="8"/>
      <c r="J640" s="8"/>
      <c r="K640" s="8"/>
      <c r="L640" s="8"/>
      <c r="M640" s="8"/>
      <c r="N640" s="8"/>
      <c r="O640" s="8"/>
      <c r="P640" s="539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538"/>
      <c r="F641" s="8"/>
      <c r="G641" s="8"/>
      <c r="H641" s="539"/>
      <c r="I641" s="8"/>
      <c r="J641" s="8"/>
      <c r="K641" s="8"/>
      <c r="L641" s="8"/>
      <c r="M641" s="8"/>
      <c r="N641" s="8"/>
      <c r="O641" s="8"/>
      <c r="P641" s="539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538"/>
      <c r="F642" s="8"/>
      <c r="G642" s="8"/>
      <c r="H642" s="539"/>
      <c r="I642" s="8"/>
      <c r="J642" s="8"/>
      <c r="K642" s="8"/>
      <c r="L642" s="8"/>
      <c r="M642" s="8"/>
      <c r="N642" s="8"/>
      <c r="O642" s="8"/>
      <c r="P642" s="539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538"/>
      <c r="F643" s="8"/>
      <c r="G643" s="8"/>
      <c r="H643" s="539"/>
      <c r="I643" s="8"/>
      <c r="J643" s="8"/>
      <c r="K643" s="8"/>
      <c r="L643" s="8"/>
      <c r="M643" s="8"/>
      <c r="N643" s="8"/>
      <c r="O643" s="8"/>
      <c r="P643" s="539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538"/>
      <c r="F644" s="8"/>
      <c r="G644" s="8"/>
      <c r="H644" s="539"/>
      <c r="I644" s="8"/>
      <c r="J644" s="8"/>
      <c r="K644" s="8"/>
      <c r="L644" s="8"/>
      <c r="M644" s="8"/>
      <c r="N644" s="8"/>
      <c r="O644" s="8"/>
      <c r="P644" s="539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538"/>
      <c r="F645" s="8"/>
      <c r="G645" s="8"/>
      <c r="H645" s="539"/>
      <c r="I645" s="8"/>
      <c r="J645" s="8"/>
      <c r="K645" s="8"/>
      <c r="L645" s="8"/>
      <c r="M645" s="8"/>
      <c r="N645" s="8"/>
      <c r="O645" s="8"/>
      <c r="P645" s="539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538"/>
      <c r="F646" s="8"/>
      <c r="G646" s="8"/>
      <c r="H646" s="539"/>
      <c r="I646" s="8"/>
      <c r="J646" s="8"/>
      <c r="K646" s="8"/>
      <c r="L646" s="8"/>
      <c r="M646" s="8"/>
      <c r="N646" s="8"/>
      <c r="O646" s="8"/>
      <c r="P646" s="539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538"/>
      <c r="F647" s="8"/>
      <c r="G647" s="8"/>
      <c r="H647" s="539"/>
      <c r="I647" s="8"/>
      <c r="J647" s="8"/>
      <c r="K647" s="8"/>
      <c r="L647" s="8"/>
      <c r="M647" s="8"/>
      <c r="N647" s="8"/>
      <c r="O647" s="8"/>
      <c r="P647" s="539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538"/>
      <c r="F648" s="8"/>
      <c r="G648" s="8"/>
      <c r="H648" s="539"/>
      <c r="I648" s="8"/>
      <c r="J648" s="8"/>
      <c r="K648" s="8"/>
      <c r="L648" s="8"/>
      <c r="M648" s="8"/>
      <c r="N648" s="8"/>
      <c r="O648" s="8"/>
      <c r="P648" s="539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538"/>
      <c r="F649" s="8"/>
      <c r="G649" s="8"/>
      <c r="H649" s="539"/>
      <c r="I649" s="8"/>
      <c r="J649" s="8"/>
      <c r="K649" s="8"/>
      <c r="L649" s="8"/>
      <c r="M649" s="8"/>
      <c r="N649" s="8"/>
      <c r="O649" s="8"/>
      <c r="P649" s="539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538"/>
      <c r="F650" s="8"/>
      <c r="G650" s="8"/>
      <c r="H650" s="539"/>
      <c r="I650" s="8"/>
      <c r="J650" s="8"/>
      <c r="K650" s="8"/>
      <c r="L650" s="8"/>
      <c r="M650" s="8"/>
      <c r="N650" s="8"/>
      <c r="O650" s="8"/>
      <c r="P650" s="539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538"/>
      <c r="F651" s="8"/>
      <c r="G651" s="8"/>
      <c r="H651" s="539"/>
      <c r="I651" s="8"/>
      <c r="J651" s="8"/>
      <c r="K651" s="8"/>
      <c r="L651" s="8"/>
      <c r="M651" s="8"/>
      <c r="N651" s="8"/>
      <c r="O651" s="8"/>
      <c r="P651" s="539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538"/>
      <c r="F652" s="8"/>
      <c r="G652" s="8"/>
      <c r="H652" s="539"/>
      <c r="I652" s="8"/>
      <c r="J652" s="8"/>
      <c r="K652" s="8"/>
      <c r="L652" s="8"/>
      <c r="M652" s="8"/>
      <c r="N652" s="8"/>
      <c r="O652" s="8"/>
      <c r="P652" s="539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538"/>
      <c r="F653" s="8"/>
      <c r="G653" s="8"/>
      <c r="H653" s="539"/>
      <c r="I653" s="8"/>
      <c r="J653" s="8"/>
      <c r="K653" s="8"/>
      <c r="L653" s="8"/>
      <c r="M653" s="8"/>
      <c r="N653" s="8"/>
      <c r="O653" s="8"/>
      <c r="P653" s="539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538"/>
      <c r="F654" s="8"/>
      <c r="G654" s="8"/>
      <c r="H654" s="539"/>
      <c r="I654" s="8"/>
      <c r="J654" s="8"/>
      <c r="K654" s="8"/>
      <c r="L654" s="8"/>
      <c r="M654" s="8"/>
      <c r="N654" s="8"/>
      <c r="O654" s="8"/>
      <c r="P654" s="539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538"/>
      <c r="F655" s="8"/>
      <c r="G655" s="8"/>
      <c r="H655" s="539"/>
      <c r="I655" s="8"/>
      <c r="J655" s="8"/>
      <c r="K655" s="8"/>
      <c r="L655" s="8"/>
      <c r="M655" s="8"/>
      <c r="N655" s="8"/>
      <c r="O655" s="8"/>
      <c r="P655" s="539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538"/>
      <c r="F656" s="8"/>
      <c r="G656" s="8"/>
      <c r="H656" s="539"/>
      <c r="I656" s="8"/>
      <c r="J656" s="8"/>
      <c r="K656" s="8"/>
      <c r="L656" s="8"/>
      <c r="M656" s="8"/>
      <c r="N656" s="8"/>
      <c r="O656" s="8"/>
      <c r="P656" s="539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538"/>
      <c r="F657" s="8"/>
      <c r="G657" s="8"/>
      <c r="H657" s="539"/>
      <c r="I657" s="8"/>
      <c r="J657" s="8"/>
      <c r="K657" s="8"/>
      <c r="L657" s="8"/>
      <c r="M657" s="8"/>
      <c r="N657" s="8"/>
      <c r="O657" s="8"/>
      <c r="P657" s="539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538"/>
      <c r="F658" s="8"/>
      <c r="G658" s="8"/>
      <c r="H658" s="539"/>
      <c r="I658" s="8"/>
      <c r="J658" s="8"/>
      <c r="K658" s="8"/>
      <c r="L658" s="8"/>
      <c r="M658" s="8"/>
      <c r="N658" s="8"/>
      <c r="O658" s="8"/>
      <c r="P658" s="539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538"/>
      <c r="F659" s="8"/>
      <c r="G659" s="8"/>
      <c r="H659" s="539"/>
      <c r="I659" s="8"/>
      <c r="J659" s="8"/>
      <c r="K659" s="8"/>
      <c r="L659" s="8"/>
      <c r="M659" s="8"/>
      <c r="N659" s="8"/>
      <c r="O659" s="8"/>
      <c r="P659" s="539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538"/>
      <c r="F660" s="8"/>
      <c r="G660" s="8"/>
      <c r="H660" s="539"/>
      <c r="I660" s="8"/>
      <c r="J660" s="8"/>
      <c r="K660" s="8"/>
      <c r="L660" s="8"/>
      <c r="M660" s="8"/>
      <c r="N660" s="8"/>
      <c r="O660" s="8"/>
      <c r="P660" s="539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538"/>
      <c r="F661" s="8"/>
      <c r="G661" s="8"/>
      <c r="H661" s="539"/>
      <c r="I661" s="8"/>
      <c r="J661" s="8"/>
      <c r="K661" s="8"/>
      <c r="L661" s="8"/>
      <c r="M661" s="8"/>
      <c r="N661" s="8"/>
      <c r="O661" s="8"/>
      <c r="P661" s="539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538"/>
      <c r="F662" s="8"/>
      <c r="G662" s="8"/>
      <c r="H662" s="539"/>
      <c r="I662" s="8"/>
      <c r="J662" s="8"/>
      <c r="K662" s="8"/>
      <c r="L662" s="8"/>
      <c r="M662" s="8"/>
      <c r="N662" s="8"/>
      <c r="O662" s="8"/>
      <c r="P662" s="539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538"/>
      <c r="F663" s="8"/>
      <c r="G663" s="8"/>
      <c r="H663" s="539"/>
      <c r="I663" s="8"/>
      <c r="J663" s="8"/>
      <c r="K663" s="8"/>
      <c r="L663" s="8"/>
      <c r="M663" s="8"/>
      <c r="N663" s="8"/>
      <c r="O663" s="8"/>
      <c r="P663" s="539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538"/>
      <c r="F664" s="8"/>
      <c r="G664" s="8"/>
      <c r="H664" s="539"/>
      <c r="I664" s="8"/>
      <c r="J664" s="8"/>
      <c r="K664" s="8"/>
      <c r="L664" s="8"/>
      <c r="M664" s="8"/>
      <c r="N664" s="8"/>
      <c r="O664" s="8"/>
      <c r="P664" s="539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538"/>
      <c r="F665" s="8"/>
      <c r="G665" s="8"/>
      <c r="H665" s="539"/>
      <c r="I665" s="8"/>
      <c r="J665" s="8"/>
      <c r="K665" s="8"/>
      <c r="L665" s="8"/>
      <c r="M665" s="8"/>
      <c r="N665" s="8"/>
      <c r="O665" s="8"/>
      <c r="P665" s="539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538"/>
      <c r="F666" s="8"/>
      <c r="G666" s="8"/>
      <c r="H666" s="539"/>
      <c r="I666" s="8"/>
      <c r="J666" s="8"/>
      <c r="K666" s="8"/>
      <c r="L666" s="8"/>
      <c r="M666" s="8"/>
      <c r="N666" s="8"/>
      <c r="O666" s="8"/>
      <c r="P666" s="539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538"/>
      <c r="F667" s="8"/>
      <c r="G667" s="8"/>
      <c r="H667" s="539"/>
      <c r="I667" s="8"/>
      <c r="J667" s="8"/>
      <c r="K667" s="8"/>
      <c r="L667" s="8"/>
      <c r="M667" s="8"/>
      <c r="N667" s="8"/>
      <c r="O667" s="8"/>
      <c r="P667" s="539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538"/>
      <c r="F668" s="8"/>
      <c r="G668" s="8"/>
      <c r="H668" s="539"/>
      <c r="I668" s="8"/>
      <c r="J668" s="8"/>
      <c r="K668" s="8"/>
      <c r="L668" s="8"/>
      <c r="M668" s="8"/>
      <c r="N668" s="8"/>
      <c r="O668" s="8"/>
      <c r="P668" s="539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538"/>
      <c r="F669" s="8"/>
      <c r="G669" s="8"/>
      <c r="H669" s="539"/>
      <c r="I669" s="8"/>
      <c r="J669" s="8"/>
      <c r="K669" s="8"/>
      <c r="L669" s="8"/>
      <c r="M669" s="8"/>
      <c r="N669" s="8"/>
      <c r="O669" s="8"/>
      <c r="P669" s="539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538"/>
      <c r="F670" s="8"/>
      <c r="G670" s="8"/>
      <c r="H670" s="539"/>
      <c r="I670" s="8"/>
      <c r="J670" s="8"/>
      <c r="K670" s="8"/>
      <c r="L670" s="8"/>
      <c r="M670" s="8"/>
      <c r="N670" s="8"/>
      <c r="O670" s="8"/>
      <c r="P670" s="539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538"/>
      <c r="F671" s="8"/>
      <c r="G671" s="8"/>
      <c r="H671" s="539"/>
      <c r="I671" s="8"/>
      <c r="J671" s="8"/>
      <c r="K671" s="8"/>
      <c r="L671" s="8"/>
      <c r="M671" s="8"/>
      <c r="N671" s="8"/>
      <c r="O671" s="8"/>
      <c r="P671" s="539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538"/>
      <c r="F672" s="8"/>
      <c r="G672" s="8"/>
      <c r="H672" s="539"/>
      <c r="I672" s="8"/>
      <c r="J672" s="8"/>
      <c r="K672" s="8"/>
      <c r="L672" s="8"/>
      <c r="M672" s="8"/>
      <c r="N672" s="8"/>
      <c r="O672" s="8"/>
      <c r="P672" s="539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538"/>
      <c r="F673" s="8"/>
      <c r="G673" s="8"/>
      <c r="H673" s="539"/>
      <c r="I673" s="8"/>
      <c r="J673" s="8"/>
      <c r="K673" s="8"/>
      <c r="L673" s="8"/>
      <c r="M673" s="8"/>
      <c r="N673" s="8"/>
      <c r="O673" s="8"/>
      <c r="P673" s="539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538"/>
      <c r="F674" s="8"/>
      <c r="G674" s="8"/>
      <c r="H674" s="539"/>
      <c r="I674" s="8"/>
      <c r="J674" s="8"/>
      <c r="K674" s="8"/>
      <c r="L674" s="8"/>
      <c r="M674" s="8"/>
      <c r="N674" s="8"/>
      <c r="O674" s="8"/>
      <c r="P674" s="539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538"/>
      <c r="F675" s="8"/>
      <c r="G675" s="8"/>
      <c r="H675" s="539"/>
      <c r="I675" s="8"/>
      <c r="J675" s="8"/>
      <c r="K675" s="8"/>
      <c r="L675" s="8"/>
      <c r="M675" s="8"/>
      <c r="N675" s="8"/>
      <c r="O675" s="8"/>
      <c r="P675" s="539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538"/>
      <c r="F676" s="8"/>
      <c r="G676" s="8"/>
      <c r="H676" s="539"/>
      <c r="I676" s="8"/>
      <c r="J676" s="8"/>
      <c r="K676" s="8"/>
      <c r="L676" s="8"/>
      <c r="M676" s="8"/>
      <c r="N676" s="8"/>
      <c r="O676" s="8"/>
      <c r="P676" s="539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538"/>
      <c r="F677" s="8"/>
      <c r="G677" s="8"/>
      <c r="H677" s="539"/>
      <c r="I677" s="8"/>
      <c r="J677" s="8"/>
      <c r="K677" s="8"/>
      <c r="L677" s="8"/>
      <c r="M677" s="8"/>
      <c r="N677" s="8"/>
      <c r="O677" s="8"/>
      <c r="P677" s="539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538"/>
      <c r="F678" s="8"/>
      <c r="G678" s="8"/>
      <c r="H678" s="539"/>
      <c r="I678" s="8"/>
      <c r="J678" s="8"/>
      <c r="K678" s="8"/>
      <c r="L678" s="8"/>
      <c r="M678" s="8"/>
      <c r="N678" s="8"/>
      <c r="O678" s="8"/>
      <c r="P678" s="539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538"/>
      <c r="F679" s="8"/>
      <c r="G679" s="8"/>
      <c r="H679" s="539"/>
      <c r="I679" s="8"/>
      <c r="J679" s="8"/>
      <c r="K679" s="8"/>
      <c r="L679" s="8"/>
      <c r="M679" s="8"/>
      <c r="N679" s="8"/>
      <c r="O679" s="8"/>
      <c r="P679" s="539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538"/>
      <c r="F680" s="8"/>
      <c r="G680" s="8"/>
      <c r="H680" s="539"/>
      <c r="I680" s="8"/>
      <c r="J680" s="8"/>
      <c r="K680" s="8"/>
      <c r="L680" s="8"/>
      <c r="M680" s="8"/>
      <c r="N680" s="8"/>
      <c r="O680" s="8"/>
      <c r="P680" s="539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538"/>
      <c r="F681" s="8"/>
      <c r="G681" s="8"/>
      <c r="H681" s="539"/>
      <c r="I681" s="8"/>
      <c r="J681" s="8"/>
      <c r="K681" s="8"/>
      <c r="L681" s="8"/>
      <c r="M681" s="8"/>
      <c r="N681" s="8"/>
      <c r="O681" s="8"/>
      <c r="P681" s="539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538"/>
      <c r="F682" s="8"/>
      <c r="G682" s="8"/>
      <c r="H682" s="539"/>
      <c r="I682" s="8"/>
      <c r="J682" s="8"/>
      <c r="K682" s="8"/>
      <c r="L682" s="8"/>
      <c r="M682" s="8"/>
      <c r="N682" s="8"/>
      <c r="O682" s="8"/>
      <c r="P682" s="539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538"/>
      <c r="F683" s="8"/>
      <c r="G683" s="8"/>
      <c r="H683" s="539"/>
      <c r="I683" s="8"/>
      <c r="J683" s="8"/>
      <c r="K683" s="8"/>
      <c r="L683" s="8"/>
      <c r="M683" s="8"/>
      <c r="N683" s="8"/>
      <c r="O683" s="8"/>
      <c r="P683" s="539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538"/>
      <c r="F684" s="8"/>
      <c r="G684" s="8"/>
      <c r="H684" s="539"/>
      <c r="I684" s="8"/>
      <c r="J684" s="8"/>
      <c r="K684" s="8"/>
      <c r="L684" s="8"/>
      <c r="M684" s="8"/>
      <c r="N684" s="8"/>
      <c r="O684" s="8"/>
      <c r="P684" s="539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538"/>
      <c r="F685" s="8"/>
      <c r="G685" s="8"/>
      <c r="H685" s="539"/>
      <c r="I685" s="8"/>
      <c r="J685" s="8"/>
      <c r="K685" s="8"/>
      <c r="L685" s="8"/>
      <c r="M685" s="8"/>
      <c r="N685" s="8"/>
      <c r="O685" s="8"/>
      <c r="P685" s="539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538"/>
      <c r="F686" s="8"/>
      <c r="G686" s="8"/>
      <c r="H686" s="539"/>
      <c r="I686" s="8"/>
      <c r="J686" s="8"/>
      <c r="K686" s="8"/>
      <c r="L686" s="8"/>
      <c r="M686" s="8"/>
      <c r="N686" s="8"/>
      <c r="O686" s="8"/>
      <c r="P686" s="539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538"/>
      <c r="F687" s="8"/>
      <c r="G687" s="8"/>
      <c r="H687" s="539"/>
      <c r="I687" s="8"/>
      <c r="J687" s="8"/>
      <c r="K687" s="8"/>
      <c r="L687" s="8"/>
      <c r="M687" s="8"/>
      <c r="N687" s="8"/>
      <c r="O687" s="8"/>
      <c r="P687" s="539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538"/>
      <c r="F688" s="8"/>
      <c r="G688" s="8"/>
      <c r="H688" s="539"/>
      <c r="I688" s="8"/>
      <c r="J688" s="8"/>
      <c r="K688" s="8"/>
      <c r="L688" s="8"/>
      <c r="M688" s="8"/>
      <c r="N688" s="8"/>
      <c r="O688" s="8"/>
      <c r="P688" s="539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538"/>
      <c r="F689" s="8"/>
      <c r="G689" s="8"/>
      <c r="H689" s="539"/>
      <c r="I689" s="8"/>
      <c r="J689" s="8"/>
      <c r="K689" s="8"/>
      <c r="L689" s="8"/>
      <c r="M689" s="8"/>
      <c r="N689" s="8"/>
      <c r="O689" s="8"/>
      <c r="P689" s="539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538"/>
      <c r="F690" s="8"/>
      <c r="G690" s="8"/>
      <c r="H690" s="539"/>
      <c r="I690" s="8"/>
      <c r="J690" s="8"/>
      <c r="K690" s="8"/>
      <c r="L690" s="8"/>
      <c r="M690" s="8"/>
      <c r="N690" s="8"/>
      <c r="O690" s="8"/>
      <c r="P690" s="539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538"/>
      <c r="F691" s="8"/>
      <c r="G691" s="8"/>
      <c r="H691" s="539"/>
      <c r="I691" s="8"/>
      <c r="J691" s="8"/>
      <c r="K691" s="8"/>
      <c r="L691" s="8"/>
      <c r="M691" s="8"/>
      <c r="N691" s="8"/>
      <c r="O691" s="8"/>
      <c r="P691" s="539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538"/>
      <c r="F692" s="8"/>
      <c r="G692" s="8"/>
      <c r="H692" s="539"/>
      <c r="I692" s="8"/>
      <c r="J692" s="8"/>
      <c r="K692" s="8"/>
      <c r="L692" s="8"/>
      <c r="M692" s="8"/>
      <c r="N692" s="8"/>
      <c r="O692" s="8"/>
      <c r="P692" s="539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538"/>
      <c r="F693" s="8"/>
      <c r="G693" s="8"/>
      <c r="H693" s="539"/>
      <c r="I693" s="8"/>
      <c r="J693" s="8"/>
      <c r="K693" s="8"/>
      <c r="L693" s="8"/>
      <c r="M693" s="8"/>
      <c r="N693" s="8"/>
      <c r="O693" s="8"/>
      <c r="P693" s="539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538"/>
      <c r="F694" s="8"/>
      <c r="G694" s="8"/>
      <c r="H694" s="539"/>
      <c r="I694" s="8"/>
      <c r="J694" s="8"/>
      <c r="K694" s="8"/>
      <c r="L694" s="8"/>
      <c r="M694" s="8"/>
      <c r="N694" s="8"/>
      <c r="O694" s="8"/>
      <c r="P694" s="539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538"/>
      <c r="F695" s="8"/>
      <c r="G695" s="8"/>
      <c r="H695" s="539"/>
      <c r="I695" s="8"/>
      <c r="J695" s="8"/>
      <c r="K695" s="8"/>
      <c r="L695" s="8"/>
      <c r="M695" s="8"/>
      <c r="N695" s="8"/>
      <c r="O695" s="8"/>
      <c r="P695" s="539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538"/>
      <c r="F696" s="8"/>
      <c r="G696" s="8"/>
      <c r="H696" s="539"/>
      <c r="I696" s="8"/>
      <c r="J696" s="8"/>
      <c r="K696" s="8"/>
      <c r="L696" s="8"/>
      <c r="M696" s="8"/>
      <c r="N696" s="8"/>
      <c r="O696" s="8"/>
      <c r="P696" s="539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538"/>
      <c r="F697" s="8"/>
      <c r="G697" s="8"/>
      <c r="H697" s="539"/>
      <c r="I697" s="8"/>
      <c r="J697" s="8"/>
      <c r="K697" s="8"/>
      <c r="L697" s="8"/>
      <c r="M697" s="8"/>
      <c r="N697" s="8"/>
      <c r="O697" s="8"/>
      <c r="P697" s="539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538"/>
      <c r="F698" s="8"/>
      <c r="G698" s="8"/>
      <c r="H698" s="539"/>
      <c r="I698" s="8"/>
      <c r="J698" s="8"/>
      <c r="K698" s="8"/>
      <c r="L698" s="8"/>
      <c r="M698" s="8"/>
      <c r="N698" s="8"/>
      <c r="O698" s="8"/>
      <c r="P698" s="539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538"/>
      <c r="F699" s="8"/>
      <c r="G699" s="8"/>
      <c r="H699" s="539"/>
      <c r="I699" s="8"/>
      <c r="J699" s="8"/>
      <c r="K699" s="8"/>
      <c r="L699" s="8"/>
      <c r="M699" s="8"/>
      <c r="N699" s="8"/>
      <c r="O699" s="8"/>
      <c r="P699" s="539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538"/>
      <c r="F700" s="8"/>
      <c r="G700" s="8"/>
      <c r="H700" s="539"/>
      <c r="I700" s="8"/>
      <c r="J700" s="8"/>
      <c r="K700" s="8"/>
      <c r="L700" s="8"/>
      <c r="M700" s="8"/>
      <c r="N700" s="8"/>
      <c r="O700" s="8"/>
      <c r="P700" s="539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538"/>
      <c r="F701" s="8"/>
      <c r="G701" s="8"/>
      <c r="H701" s="539"/>
      <c r="I701" s="8"/>
      <c r="J701" s="8"/>
      <c r="K701" s="8"/>
      <c r="L701" s="8"/>
      <c r="M701" s="8"/>
      <c r="N701" s="8"/>
      <c r="O701" s="8"/>
      <c r="P701" s="539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538"/>
      <c r="F702" s="8"/>
      <c r="G702" s="8"/>
      <c r="H702" s="539"/>
      <c r="I702" s="8"/>
      <c r="J702" s="8"/>
      <c r="K702" s="8"/>
      <c r="L702" s="8"/>
      <c r="M702" s="8"/>
      <c r="N702" s="8"/>
      <c r="O702" s="8"/>
      <c r="P702" s="539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538"/>
      <c r="F703" s="8"/>
      <c r="G703" s="8"/>
      <c r="H703" s="539"/>
      <c r="I703" s="8"/>
      <c r="J703" s="8"/>
      <c r="K703" s="8"/>
      <c r="L703" s="8"/>
      <c r="M703" s="8"/>
      <c r="N703" s="8"/>
      <c r="O703" s="8"/>
      <c r="P703" s="539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538"/>
      <c r="F704" s="8"/>
      <c r="G704" s="8"/>
      <c r="H704" s="539"/>
      <c r="I704" s="8"/>
      <c r="J704" s="8"/>
      <c r="K704" s="8"/>
      <c r="L704" s="8"/>
      <c r="M704" s="8"/>
      <c r="N704" s="8"/>
      <c r="O704" s="8"/>
      <c r="P704" s="539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538"/>
      <c r="F705" s="8"/>
      <c r="G705" s="8"/>
      <c r="H705" s="539"/>
      <c r="I705" s="8"/>
      <c r="J705" s="8"/>
      <c r="K705" s="8"/>
      <c r="L705" s="8"/>
      <c r="M705" s="8"/>
      <c r="N705" s="8"/>
      <c r="O705" s="8"/>
      <c r="P705" s="539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538"/>
      <c r="F706" s="8"/>
      <c r="G706" s="8"/>
      <c r="H706" s="539"/>
      <c r="I706" s="8"/>
      <c r="J706" s="8"/>
      <c r="K706" s="8"/>
      <c r="L706" s="8"/>
      <c r="M706" s="8"/>
      <c r="N706" s="8"/>
      <c r="O706" s="8"/>
      <c r="P706" s="539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538"/>
      <c r="F707" s="8"/>
      <c r="G707" s="8"/>
      <c r="H707" s="539"/>
      <c r="I707" s="8"/>
      <c r="J707" s="8"/>
      <c r="K707" s="8"/>
      <c r="L707" s="8"/>
      <c r="M707" s="8"/>
      <c r="N707" s="8"/>
      <c r="O707" s="8"/>
      <c r="P707" s="539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538"/>
      <c r="F708" s="8"/>
      <c r="G708" s="8"/>
      <c r="H708" s="539"/>
      <c r="I708" s="8"/>
      <c r="J708" s="8"/>
      <c r="K708" s="8"/>
      <c r="L708" s="8"/>
      <c r="M708" s="8"/>
      <c r="N708" s="8"/>
      <c r="O708" s="8"/>
      <c r="P708" s="539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538"/>
      <c r="F709" s="8"/>
      <c r="G709" s="8"/>
      <c r="H709" s="539"/>
      <c r="I709" s="8"/>
      <c r="J709" s="8"/>
      <c r="K709" s="8"/>
      <c r="L709" s="8"/>
      <c r="M709" s="8"/>
      <c r="N709" s="8"/>
      <c r="O709" s="8"/>
      <c r="P709" s="539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538"/>
      <c r="F710" s="8"/>
      <c r="G710" s="8"/>
      <c r="H710" s="539"/>
      <c r="I710" s="8"/>
      <c r="J710" s="8"/>
      <c r="K710" s="8"/>
      <c r="L710" s="8"/>
      <c r="M710" s="8"/>
      <c r="N710" s="8"/>
      <c r="O710" s="8"/>
      <c r="P710" s="539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538"/>
      <c r="F711" s="8"/>
      <c r="G711" s="8"/>
      <c r="H711" s="539"/>
      <c r="I711" s="8"/>
      <c r="J711" s="8"/>
      <c r="K711" s="8"/>
      <c r="L711" s="8"/>
      <c r="M711" s="8"/>
      <c r="N711" s="8"/>
      <c r="O711" s="8"/>
      <c r="P711" s="539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538"/>
      <c r="F712" s="8"/>
      <c r="G712" s="8"/>
      <c r="H712" s="539"/>
      <c r="I712" s="8"/>
      <c r="J712" s="8"/>
      <c r="K712" s="8"/>
      <c r="L712" s="8"/>
      <c r="M712" s="8"/>
      <c r="N712" s="8"/>
      <c r="O712" s="8"/>
      <c r="P712" s="539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538"/>
      <c r="F713" s="8"/>
      <c r="G713" s="8"/>
      <c r="H713" s="539"/>
      <c r="I713" s="8"/>
      <c r="J713" s="8"/>
      <c r="K713" s="8"/>
      <c r="L713" s="8"/>
      <c r="M713" s="8"/>
      <c r="N713" s="8"/>
      <c r="O713" s="8"/>
      <c r="P713" s="539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538"/>
      <c r="F714" s="8"/>
      <c r="G714" s="8"/>
      <c r="H714" s="539"/>
      <c r="I714" s="8"/>
      <c r="J714" s="8"/>
      <c r="K714" s="8"/>
      <c r="L714" s="8"/>
      <c r="M714" s="8"/>
      <c r="N714" s="8"/>
      <c r="O714" s="8"/>
      <c r="P714" s="539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538"/>
      <c r="F715" s="8"/>
      <c r="G715" s="8"/>
      <c r="H715" s="539"/>
      <c r="I715" s="8"/>
      <c r="J715" s="8"/>
      <c r="K715" s="8"/>
      <c r="L715" s="8"/>
      <c r="M715" s="8"/>
      <c r="N715" s="8"/>
      <c r="O715" s="8"/>
      <c r="P715" s="539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538"/>
      <c r="F716" s="8"/>
      <c r="G716" s="8"/>
      <c r="H716" s="539"/>
      <c r="I716" s="8"/>
      <c r="J716" s="8"/>
      <c r="K716" s="8"/>
      <c r="L716" s="8"/>
      <c r="M716" s="8"/>
      <c r="N716" s="8"/>
      <c r="O716" s="8"/>
      <c r="P716" s="539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538"/>
      <c r="F717" s="8"/>
      <c r="G717" s="8"/>
      <c r="H717" s="539"/>
      <c r="I717" s="8"/>
      <c r="J717" s="8"/>
      <c r="K717" s="8"/>
      <c r="L717" s="8"/>
      <c r="M717" s="8"/>
      <c r="N717" s="8"/>
      <c r="O717" s="8"/>
      <c r="P717" s="539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538"/>
      <c r="F718" s="8"/>
      <c r="G718" s="8"/>
      <c r="H718" s="539"/>
      <c r="I718" s="8"/>
      <c r="J718" s="8"/>
      <c r="K718" s="8"/>
      <c r="L718" s="8"/>
      <c r="M718" s="8"/>
      <c r="N718" s="8"/>
      <c r="O718" s="8"/>
      <c r="P718" s="539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538"/>
      <c r="F719" s="8"/>
      <c r="G719" s="8"/>
      <c r="H719" s="539"/>
      <c r="I719" s="8"/>
      <c r="J719" s="8"/>
      <c r="K719" s="8"/>
      <c r="L719" s="8"/>
      <c r="M719" s="8"/>
      <c r="N719" s="8"/>
      <c r="O719" s="8"/>
      <c r="P719" s="539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538"/>
      <c r="F720" s="8"/>
      <c r="G720" s="8"/>
      <c r="H720" s="539"/>
      <c r="I720" s="8"/>
      <c r="J720" s="8"/>
      <c r="K720" s="8"/>
      <c r="L720" s="8"/>
      <c r="M720" s="8"/>
      <c r="N720" s="8"/>
      <c r="O720" s="8"/>
      <c r="P720" s="539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538"/>
      <c r="F721" s="8"/>
      <c r="G721" s="8"/>
      <c r="H721" s="539"/>
      <c r="I721" s="8"/>
      <c r="J721" s="8"/>
      <c r="K721" s="8"/>
      <c r="L721" s="8"/>
      <c r="M721" s="8"/>
      <c r="N721" s="8"/>
      <c r="O721" s="8"/>
      <c r="P721" s="539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538"/>
      <c r="F722" s="8"/>
      <c r="G722" s="8"/>
      <c r="H722" s="539"/>
      <c r="I722" s="8"/>
      <c r="J722" s="8"/>
      <c r="K722" s="8"/>
      <c r="L722" s="8"/>
      <c r="M722" s="8"/>
      <c r="N722" s="8"/>
      <c r="O722" s="8"/>
      <c r="P722" s="539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538"/>
      <c r="F723" s="8"/>
      <c r="G723" s="8"/>
      <c r="H723" s="539"/>
      <c r="I723" s="8"/>
      <c r="J723" s="8"/>
      <c r="K723" s="8"/>
      <c r="L723" s="8"/>
      <c r="M723" s="8"/>
      <c r="N723" s="8"/>
      <c r="O723" s="8"/>
      <c r="P723" s="539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538"/>
      <c r="F724" s="8"/>
      <c r="G724" s="8"/>
      <c r="H724" s="539"/>
      <c r="I724" s="8"/>
      <c r="J724" s="8"/>
      <c r="K724" s="8"/>
      <c r="L724" s="8"/>
      <c r="M724" s="8"/>
      <c r="N724" s="8"/>
      <c r="O724" s="8"/>
      <c r="P724" s="539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538"/>
      <c r="F725" s="8"/>
      <c r="G725" s="8"/>
      <c r="H725" s="539"/>
      <c r="I725" s="8"/>
      <c r="J725" s="8"/>
      <c r="K725" s="8"/>
      <c r="L725" s="8"/>
      <c r="M725" s="8"/>
      <c r="N725" s="8"/>
      <c r="O725" s="8"/>
      <c r="P725" s="539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538"/>
      <c r="F726" s="8"/>
      <c r="G726" s="8"/>
      <c r="H726" s="539"/>
      <c r="I726" s="8"/>
      <c r="J726" s="8"/>
      <c r="K726" s="8"/>
      <c r="L726" s="8"/>
      <c r="M726" s="8"/>
      <c r="N726" s="8"/>
      <c r="O726" s="8"/>
      <c r="P726" s="539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538"/>
      <c r="F727" s="8"/>
      <c r="G727" s="8"/>
      <c r="H727" s="539"/>
      <c r="I727" s="8"/>
      <c r="J727" s="8"/>
      <c r="K727" s="8"/>
      <c r="L727" s="8"/>
      <c r="M727" s="8"/>
      <c r="N727" s="8"/>
      <c r="O727" s="8"/>
      <c r="P727" s="539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538"/>
      <c r="F728" s="8"/>
      <c r="G728" s="8"/>
      <c r="H728" s="539"/>
      <c r="I728" s="8"/>
      <c r="J728" s="8"/>
      <c r="K728" s="8"/>
      <c r="L728" s="8"/>
      <c r="M728" s="8"/>
      <c r="N728" s="8"/>
      <c r="O728" s="8"/>
      <c r="P728" s="539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538"/>
      <c r="F729" s="8"/>
      <c r="G729" s="8"/>
      <c r="H729" s="539"/>
      <c r="I729" s="8"/>
      <c r="J729" s="8"/>
      <c r="K729" s="8"/>
      <c r="L729" s="8"/>
      <c r="M729" s="8"/>
      <c r="N729" s="8"/>
      <c r="O729" s="8"/>
      <c r="P729" s="539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538"/>
      <c r="F730" s="8"/>
      <c r="G730" s="8"/>
      <c r="H730" s="539"/>
      <c r="I730" s="8"/>
      <c r="J730" s="8"/>
      <c r="K730" s="8"/>
      <c r="L730" s="8"/>
      <c r="M730" s="8"/>
      <c r="N730" s="8"/>
      <c r="O730" s="8"/>
      <c r="P730" s="539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538"/>
      <c r="F731" s="8"/>
      <c r="G731" s="8"/>
      <c r="H731" s="539"/>
      <c r="I731" s="8"/>
      <c r="J731" s="8"/>
      <c r="K731" s="8"/>
      <c r="L731" s="8"/>
      <c r="M731" s="8"/>
      <c r="N731" s="8"/>
      <c r="O731" s="8"/>
      <c r="P731" s="539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538"/>
      <c r="F732" s="8"/>
      <c r="G732" s="8"/>
      <c r="H732" s="539"/>
      <c r="I732" s="8"/>
      <c r="J732" s="8"/>
      <c r="K732" s="8"/>
      <c r="L732" s="8"/>
      <c r="M732" s="8"/>
      <c r="N732" s="8"/>
      <c r="O732" s="8"/>
      <c r="P732" s="539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538"/>
      <c r="F733" s="8"/>
      <c r="G733" s="8"/>
      <c r="H733" s="539"/>
      <c r="I733" s="8"/>
      <c r="J733" s="8"/>
      <c r="K733" s="8"/>
      <c r="L733" s="8"/>
      <c r="M733" s="8"/>
      <c r="N733" s="8"/>
      <c r="O733" s="8"/>
      <c r="P733" s="539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538"/>
      <c r="F734" s="8"/>
      <c r="G734" s="8"/>
      <c r="H734" s="539"/>
      <c r="I734" s="8"/>
      <c r="J734" s="8"/>
      <c r="K734" s="8"/>
      <c r="L734" s="8"/>
      <c r="M734" s="8"/>
      <c r="N734" s="8"/>
      <c r="O734" s="8"/>
      <c r="P734" s="539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538"/>
      <c r="F735" s="8"/>
      <c r="G735" s="8"/>
      <c r="H735" s="539"/>
      <c r="I735" s="8"/>
      <c r="J735" s="8"/>
      <c r="K735" s="8"/>
      <c r="L735" s="8"/>
      <c r="M735" s="8"/>
      <c r="N735" s="8"/>
      <c r="O735" s="8"/>
      <c r="P735" s="539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538"/>
      <c r="F736" s="8"/>
      <c r="G736" s="8"/>
      <c r="H736" s="539"/>
      <c r="I736" s="8"/>
      <c r="J736" s="8"/>
      <c r="K736" s="8"/>
      <c r="L736" s="8"/>
      <c r="M736" s="8"/>
      <c r="N736" s="8"/>
      <c r="O736" s="8"/>
      <c r="P736" s="539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538"/>
      <c r="F737" s="8"/>
      <c r="G737" s="8"/>
      <c r="H737" s="539"/>
      <c r="I737" s="8"/>
      <c r="J737" s="8"/>
      <c r="K737" s="8"/>
      <c r="L737" s="8"/>
      <c r="M737" s="8"/>
      <c r="N737" s="8"/>
      <c r="O737" s="8"/>
      <c r="P737" s="539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538"/>
      <c r="F738" s="8"/>
      <c r="G738" s="8"/>
      <c r="H738" s="539"/>
      <c r="I738" s="8"/>
      <c r="J738" s="8"/>
      <c r="K738" s="8"/>
      <c r="L738" s="8"/>
      <c r="M738" s="8"/>
      <c r="N738" s="8"/>
      <c r="O738" s="8"/>
      <c r="P738" s="539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538"/>
      <c r="F739" s="8"/>
      <c r="G739" s="8"/>
      <c r="H739" s="539"/>
      <c r="I739" s="8"/>
      <c r="J739" s="8"/>
      <c r="K739" s="8"/>
      <c r="L739" s="8"/>
      <c r="M739" s="8"/>
      <c r="N739" s="8"/>
      <c r="O739" s="8"/>
      <c r="P739" s="539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538"/>
      <c r="F740" s="8"/>
      <c r="G740" s="8"/>
      <c r="H740" s="539"/>
      <c r="I740" s="8"/>
      <c r="J740" s="8"/>
      <c r="K740" s="8"/>
      <c r="L740" s="8"/>
      <c r="M740" s="8"/>
      <c r="N740" s="8"/>
      <c r="O740" s="8"/>
      <c r="P740" s="539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538"/>
      <c r="F741" s="8"/>
      <c r="G741" s="8"/>
      <c r="H741" s="539"/>
      <c r="I741" s="8"/>
      <c r="J741" s="8"/>
      <c r="K741" s="8"/>
      <c r="L741" s="8"/>
      <c r="M741" s="8"/>
      <c r="N741" s="8"/>
      <c r="O741" s="8"/>
      <c r="P741" s="539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538"/>
      <c r="F742" s="8"/>
      <c r="G742" s="8"/>
      <c r="H742" s="539"/>
      <c r="I742" s="8"/>
      <c r="J742" s="8"/>
      <c r="K742" s="8"/>
      <c r="L742" s="8"/>
      <c r="M742" s="8"/>
      <c r="N742" s="8"/>
      <c r="O742" s="8"/>
      <c r="P742" s="539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538"/>
      <c r="F743" s="8"/>
      <c r="G743" s="8"/>
      <c r="H743" s="539"/>
      <c r="I743" s="8"/>
      <c r="J743" s="8"/>
      <c r="K743" s="8"/>
      <c r="L743" s="8"/>
      <c r="M743" s="8"/>
      <c r="N743" s="8"/>
      <c r="O743" s="8"/>
      <c r="P743" s="539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538"/>
      <c r="F744" s="8"/>
      <c r="G744" s="8"/>
      <c r="H744" s="539"/>
      <c r="I744" s="8"/>
      <c r="J744" s="8"/>
      <c r="K744" s="8"/>
      <c r="L744" s="8"/>
      <c r="M744" s="8"/>
      <c r="N744" s="8"/>
      <c r="O744" s="8"/>
      <c r="P744" s="539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538"/>
      <c r="F745" s="8"/>
      <c r="G745" s="8"/>
      <c r="H745" s="539"/>
      <c r="I745" s="8"/>
      <c r="J745" s="8"/>
      <c r="K745" s="8"/>
      <c r="L745" s="8"/>
      <c r="M745" s="8"/>
      <c r="N745" s="8"/>
      <c r="O745" s="8"/>
      <c r="P745" s="539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538"/>
      <c r="F746" s="8"/>
      <c r="G746" s="8"/>
      <c r="H746" s="539"/>
      <c r="I746" s="8"/>
      <c r="J746" s="8"/>
      <c r="K746" s="8"/>
      <c r="L746" s="8"/>
      <c r="M746" s="8"/>
      <c r="N746" s="8"/>
      <c r="O746" s="8"/>
      <c r="P746" s="539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538"/>
      <c r="F747" s="8"/>
      <c r="G747" s="8"/>
      <c r="H747" s="539"/>
      <c r="I747" s="8"/>
      <c r="J747" s="8"/>
      <c r="K747" s="8"/>
      <c r="L747" s="8"/>
      <c r="M747" s="8"/>
      <c r="N747" s="8"/>
      <c r="O747" s="8"/>
      <c r="P747" s="539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538"/>
      <c r="F748" s="8"/>
      <c r="G748" s="8"/>
      <c r="H748" s="539"/>
      <c r="I748" s="8"/>
      <c r="J748" s="8"/>
      <c r="K748" s="8"/>
      <c r="L748" s="8"/>
      <c r="M748" s="8"/>
      <c r="N748" s="8"/>
      <c r="O748" s="8"/>
      <c r="P748" s="539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538"/>
      <c r="F749" s="8"/>
      <c r="G749" s="8"/>
      <c r="H749" s="539"/>
      <c r="I749" s="8"/>
      <c r="J749" s="8"/>
      <c r="K749" s="8"/>
      <c r="L749" s="8"/>
      <c r="M749" s="8"/>
      <c r="N749" s="8"/>
      <c r="O749" s="8"/>
      <c r="P749" s="539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538"/>
      <c r="F750" s="8"/>
      <c r="G750" s="8"/>
      <c r="H750" s="539"/>
      <c r="I750" s="8"/>
      <c r="J750" s="8"/>
      <c r="K750" s="8"/>
      <c r="L750" s="8"/>
      <c r="M750" s="8"/>
      <c r="N750" s="8"/>
      <c r="O750" s="8"/>
      <c r="P750" s="539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538"/>
      <c r="F751" s="8"/>
      <c r="G751" s="8"/>
      <c r="H751" s="539"/>
      <c r="I751" s="8"/>
      <c r="J751" s="8"/>
      <c r="K751" s="8"/>
      <c r="L751" s="8"/>
      <c r="M751" s="8"/>
      <c r="N751" s="8"/>
      <c r="O751" s="8"/>
      <c r="P751" s="539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538"/>
      <c r="F752" s="8"/>
      <c r="G752" s="8"/>
      <c r="H752" s="539"/>
      <c r="I752" s="8"/>
      <c r="J752" s="8"/>
      <c r="K752" s="8"/>
      <c r="L752" s="8"/>
      <c r="M752" s="8"/>
      <c r="N752" s="8"/>
      <c r="O752" s="8"/>
      <c r="P752" s="539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538"/>
      <c r="F753" s="8"/>
      <c r="G753" s="8"/>
      <c r="H753" s="539"/>
      <c r="I753" s="8"/>
      <c r="J753" s="8"/>
      <c r="K753" s="8"/>
      <c r="L753" s="8"/>
      <c r="M753" s="8"/>
      <c r="N753" s="8"/>
      <c r="O753" s="8"/>
      <c r="P753" s="539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538"/>
      <c r="F754" s="8"/>
      <c r="G754" s="8"/>
      <c r="H754" s="539"/>
      <c r="I754" s="8"/>
      <c r="J754" s="8"/>
      <c r="K754" s="8"/>
      <c r="L754" s="8"/>
      <c r="M754" s="8"/>
      <c r="N754" s="8"/>
      <c r="O754" s="8"/>
      <c r="P754" s="539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538"/>
      <c r="F755" s="8"/>
      <c r="G755" s="8"/>
      <c r="H755" s="539"/>
      <c r="I755" s="8"/>
      <c r="J755" s="8"/>
      <c r="K755" s="8"/>
      <c r="L755" s="8"/>
      <c r="M755" s="8"/>
      <c r="N755" s="8"/>
      <c r="O755" s="8"/>
      <c r="P755" s="539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538"/>
      <c r="F756" s="8"/>
      <c r="G756" s="8"/>
      <c r="H756" s="539"/>
      <c r="I756" s="8"/>
      <c r="J756" s="8"/>
      <c r="K756" s="8"/>
      <c r="L756" s="8"/>
      <c r="M756" s="8"/>
      <c r="N756" s="8"/>
      <c r="O756" s="8"/>
      <c r="P756" s="539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538"/>
      <c r="F757" s="8"/>
      <c r="G757" s="8"/>
      <c r="H757" s="539"/>
      <c r="I757" s="8"/>
      <c r="J757" s="8"/>
      <c r="K757" s="8"/>
      <c r="L757" s="8"/>
      <c r="M757" s="8"/>
      <c r="N757" s="8"/>
      <c r="O757" s="8"/>
      <c r="P757" s="539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538"/>
      <c r="F758" s="8"/>
      <c r="G758" s="8"/>
      <c r="H758" s="539"/>
      <c r="I758" s="8"/>
      <c r="J758" s="8"/>
      <c r="K758" s="8"/>
      <c r="L758" s="8"/>
      <c r="M758" s="8"/>
      <c r="N758" s="8"/>
      <c r="O758" s="8"/>
      <c r="P758" s="539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538"/>
      <c r="F759" s="8"/>
      <c r="G759" s="8"/>
      <c r="H759" s="539"/>
      <c r="I759" s="8"/>
      <c r="J759" s="8"/>
      <c r="K759" s="8"/>
      <c r="L759" s="8"/>
      <c r="M759" s="8"/>
      <c r="N759" s="8"/>
      <c r="O759" s="8"/>
      <c r="P759" s="539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538"/>
      <c r="F760" s="8"/>
      <c r="G760" s="8"/>
      <c r="H760" s="539"/>
      <c r="I760" s="8"/>
      <c r="J760" s="8"/>
      <c r="K760" s="8"/>
      <c r="L760" s="8"/>
      <c r="M760" s="8"/>
      <c r="N760" s="8"/>
      <c r="O760" s="8"/>
      <c r="P760" s="539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538"/>
      <c r="F761" s="8"/>
      <c r="G761" s="8"/>
      <c r="H761" s="539"/>
      <c r="I761" s="8"/>
      <c r="J761" s="8"/>
      <c r="K761" s="8"/>
      <c r="L761" s="8"/>
      <c r="M761" s="8"/>
      <c r="N761" s="8"/>
      <c r="O761" s="8"/>
      <c r="P761" s="539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538"/>
      <c r="F762" s="8"/>
      <c r="G762" s="8"/>
      <c r="H762" s="539"/>
      <c r="I762" s="8"/>
      <c r="J762" s="8"/>
      <c r="K762" s="8"/>
      <c r="L762" s="8"/>
      <c r="M762" s="8"/>
      <c r="N762" s="8"/>
      <c r="O762" s="8"/>
      <c r="P762" s="539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538"/>
      <c r="F763" s="8"/>
      <c r="G763" s="8"/>
      <c r="H763" s="539"/>
      <c r="I763" s="8"/>
      <c r="J763" s="8"/>
      <c r="K763" s="8"/>
      <c r="L763" s="8"/>
      <c r="M763" s="8"/>
      <c r="N763" s="8"/>
      <c r="O763" s="8"/>
      <c r="P763" s="539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538"/>
      <c r="F764" s="8"/>
      <c r="G764" s="8"/>
      <c r="H764" s="539"/>
      <c r="I764" s="8"/>
      <c r="J764" s="8"/>
      <c r="K764" s="8"/>
      <c r="L764" s="8"/>
      <c r="M764" s="8"/>
      <c r="N764" s="8"/>
      <c r="O764" s="8"/>
      <c r="P764" s="539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538"/>
      <c r="F765" s="8"/>
      <c r="G765" s="8"/>
      <c r="H765" s="539"/>
      <c r="I765" s="8"/>
      <c r="J765" s="8"/>
      <c r="K765" s="8"/>
      <c r="L765" s="8"/>
      <c r="M765" s="8"/>
      <c r="N765" s="8"/>
      <c r="O765" s="8"/>
      <c r="P765" s="539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538"/>
      <c r="F766" s="8"/>
      <c r="G766" s="8"/>
      <c r="H766" s="539"/>
      <c r="I766" s="8"/>
      <c r="J766" s="8"/>
      <c r="K766" s="8"/>
      <c r="L766" s="8"/>
      <c r="M766" s="8"/>
      <c r="N766" s="8"/>
      <c r="O766" s="8"/>
      <c r="P766" s="539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538"/>
      <c r="F767" s="8"/>
      <c r="G767" s="8"/>
      <c r="H767" s="539"/>
      <c r="I767" s="8"/>
      <c r="J767" s="8"/>
      <c r="K767" s="8"/>
      <c r="L767" s="8"/>
      <c r="M767" s="8"/>
      <c r="N767" s="8"/>
      <c r="O767" s="8"/>
      <c r="P767" s="539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538"/>
      <c r="F768" s="8"/>
      <c r="G768" s="8"/>
      <c r="H768" s="539"/>
      <c r="I768" s="8"/>
      <c r="J768" s="8"/>
      <c r="K768" s="8"/>
      <c r="L768" s="8"/>
      <c r="M768" s="8"/>
      <c r="N768" s="8"/>
      <c r="O768" s="8"/>
      <c r="P768" s="539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538"/>
      <c r="F769" s="8"/>
      <c r="G769" s="8"/>
      <c r="H769" s="539"/>
      <c r="I769" s="8"/>
      <c r="J769" s="8"/>
      <c r="K769" s="8"/>
      <c r="L769" s="8"/>
      <c r="M769" s="8"/>
      <c r="N769" s="8"/>
      <c r="O769" s="8"/>
      <c r="P769" s="539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538"/>
      <c r="F770" s="8"/>
      <c r="G770" s="8"/>
      <c r="H770" s="539"/>
      <c r="I770" s="8"/>
      <c r="J770" s="8"/>
      <c r="K770" s="8"/>
      <c r="L770" s="8"/>
      <c r="M770" s="8"/>
      <c r="N770" s="8"/>
      <c r="O770" s="8"/>
      <c r="P770" s="539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538"/>
      <c r="F771" s="8"/>
      <c r="G771" s="8"/>
      <c r="H771" s="539"/>
      <c r="I771" s="8"/>
      <c r="J771" s="8"/>
      <c r="K771" s="8"/>
      <c r="L771" s="8"/>
      <c r="M771" s="8"/>
      <c r="N771" s="8"/>
      <c r="O771" s="8"/>
      <c r="P771" s="539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538"/>
      <c r="F772" s="8"/>
      <c r="G772" s="8"/>
      <c r="H772" s="539"/>
      <c r="I772" s="8"/>
      <c r="J772" s="8"/>
      <c r="K772" s="8"/>
      <c r="L772" s="8"/>
      <c r="M772" s="8"/>
      <c r="N772" s="8"/>
      <c r="O772" s="8"/>
      <c r="P772" s="539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538"/>
      <c r="F773" s="8"/>
      <c r="G773" s="8"/>
      <c r="H773" s="539"/>
      <c r="I773" s="8"/>
      <c r="J773" s="8"/>
      <c r="K773" s="8"/>
      <c r="L773" s="8"/>
      <c r="M773" s="8"/>
      <c r="N773" s="8"/>
      <c r="O773" s="8"/>
      <c r="P773" s="539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538"/>
      <c r="F774" s="8"/>
      <c r="G774" s="8"/>
      <c r="H774" s="539"/>
      <c r="I774" s="8"/>
      <c r="J774" s="8"/>
      <c r="K774" s="8"/>
      <c r="L774" s="8"/>
      <c r="M774" s="8"/>
      <c r="N774" s="8"/>
      <c r="O774" s="8"/>
      <c r="P774" s="539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538"/>
      <c r="F775" s="8"/>
      <c r="G775" s="8"/>
      <c r="H775" s="539"/>
      <c r="I775" s="8"/>
      <c r="J775" s="8"/>
      <c r="K775" s="8"/>
      <c r="L775" s="8"/>
      <c r="M775" s="8"/>
      <c r="N775" s="8"/>
      <c r="O775" s="8"/>
      <c r="P775" s="539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538"/>
      <c r="F776" s="8"/>
      <c r="G776" s="8"/>
      <c r="H776" s="539"/>
      <c r="I776" s="8"/>
      <c r="J776" s="8"/>
      <c r="K776" s="8"/>
      <c r="L776" s="8"/>
      <c r="M776" s="8"/>
      <c r="N776" s="8"/>
      <c r="O776" s="8"/>
      <c r="P776" s="539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538"/>
      <c r="F777" s="8"/>
      <c r="G777" s="8"/>
      <c r="H777" s="539"/>
      <c r="I777" s="8"/>
      <c r="J777" s="8"/>
      <c r="K777" s="8"/>
      <c r="L777" s="8"/>
      <c r="M777" s="8"/>
      <c r="N777" s="8"/>
      <c r="O777" s="8"/>
      <c r="P777" s="539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538"/>
      <c r="F778" s="8"/>
      <c r="G778" s="8"/>
      <c r="H778" s="539"/>
      <c r="I778" s="8"/>
      <c r="J778" s="8"/>
      <c r="K778" s="8"/>
      <c r="L778" s="8"/>
      <c r="M778" s="8"/>
      <c r="N778" s="8"/>
      <c r="O778" s="8"/>
      <c r="P778" s="539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538"/>
      <c r="F779" s="8"/>
      <c r="G779" s="8"/>
      <c r="H779" s="539"/>
      <c r="I779" s="8"/>
      <c r="J779" s="8"/>
      <c r="K779" s="8"/>
      <c r="L779" s="8"/>
      <c r="M779" s="8"/>
      <c r="N779" s="8"/>
      <c r="O779" s="8"/>
      <c r="P779" s="539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538"/>
      <c r="F780" s="8"/>
      <c r="G780" s="8"/>
      <c r="H780" s="539"/>
      <c r="I780" s="8"/>
      <c r="J780" s="8"/>
      <c r="K780" s="8"/>
      <c r="L780" s="8"/>
      <c r="M780" s="8"/>
      <c r="N780" s="8"/>
      <c r="O780" s="8"/>
      <c r="P780" s="539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538"/>
      <c r="F781" s="8"/>
      <c r="G781" s="8"/>
      <c r="H781" s="539"/>
      <c r="I781" s="8"/>
      <c r="J781" s="8"/>
      <c r="K781" s="8"/>
      <c r="L781" s="8"/>
      <c r="M781" s="8"/>
      <c r="N781" s="8"/>
      <c r="O781" s="8"/>
      <c r="P781" s="539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538"/>
      <c r="F782" s="8"/>
      <c r="G782" s="8"/>
      <c r="H782" s="539"/>
      <c r="I782" s="8"/>
      <c r="J782" s="8"/>
      <c r="K782" s="8"/>
      <c r="L782" s="8"/>
      <c r="M782" s="8"/>
      <c r="N782" s="8"/>
      <c r="O782" s="8"/>
      <c r="P782" s="539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538"/>
      <c r="F783" s="8"/>
      <c r="G783" s="8"/>
      <c r="H783" s="539"/>
      <c r="I783" s="8"/>
      <c r="J783" s="8"/>
      <c r="K783" s="8"/>
      <c r="L783" s="8"/>
      <c r="M783" s="8"/>
      <c r="N783" s="8"/>
      <c r="O783" s="8"/>
      <c r="P783" s="539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538"/>
      <c r="F784" s="8"/>
      <c r="G784" s="8"/>
      <c r="H784" s="539"/>
      <c r="I784" s="8"/>
      <c r="J784" s="8"/>
      <c r="K784" s="8"/>
      <c r="L784" s="8"/>
      <c r="M784" s="8"/>
      <c r="N784" s="8"/>
      <c r="O784" s="8"/>
      <c r="P784" s="539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538"/>
      <c r="F785" s="8"/>
      <c r="G785" s="8"/>
      <c r="H785" s="539"/>
      <c r="I785" s="8"/>
      <c r="J785" s="8"/>
      <c r="K785" s="8"/>
      <c r="L785" s="8"/>
      <c r="M785" s="8"/>
      <c r="N785" s="8"/>
      <c r="O785" s="8"/>
      <c r="P785" s="539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538"/>
      <c r="F786" s="8"/>
      <c r="G786" s="8"/>
      <c r="H786" s="539"/>
      <c r="I786" s="8"/>
      <c r="J786" s="8"/>
      <c r="K786" s="8"/>
      <c r="L786" s="8"/>
      <c r="M786" s="8"/>
      <c r="N786" s="8"/>
      <c r="O786" s="8"/>
      <c r="P786" s="539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538"/>
      <c r="F787" s="8"/>
      <c r="G787" s="8"/>
      <c r="H787" s="539"/>
      <c r="I787" s="8"/>
      <c r="J787" s="8"/>
      <c r="K787" s="8"/>
      <c r="L787" s="8"/>
      <c r="M787" s="8"/>
      <c r="N787" s="8"/>
      <c r="O787" s="8"/>
      <c r="P787" s="539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538"/>
      <c r="F788" s="8"/>
      <c r="G788" s="8"/>
      <c r="H788" s="539"/>
      <c r="I788" s="8"/>
      <c r="J788" s="8"/>
      <c r="K788" s="8"/>
      <c r="L788" s="8"/>
      <c r="M788" s="8"/>
      <c r="N788" s="8"/>
      <c r="O788" s="8"/>
      <c r="P788" s="539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538"/>
      <c r="F789" s="8"/>
      <c r="G789" s="8"/>
      <c r="H789" s="539"/>
      <c r="I789" s="8"/>
      <c r="J789" s="8"/>
      <c r="K789" s="8"/>
      <c r="L789" s="8"/>
      <c r="M789" s="8"/>
      <c r="N789" s="8"/>
      <c r="O789" s="8"/>
      <c r="P789" s="539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538"/>
      <c r="F790" s="8"/>
      <c r="G790" s="8"/>
      <c r="H790" s="539"/>
      <c r="I790" s="8"/>
      <c r="J790" s="8"/>
      <c r="K790" s="8"/>
      <c r="L790" s="8"/>
      <c r="M790" s="8"/>
      <c r="N790" s="8"/>
      <c r="O790" s="8"/>
      <c r="P790" s="539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538"/>
      <c r="F791" s="8"/>
      <c r="G791" s="8"/>
      <c r="H791" s="539"/>
      <c r="I791" s="8"/>
      <c r="J791" s="8"/>
      <c r="K791" s="8"/>
      <c r="L791" s="8"/>
      <c r="M791" s="8"/>
      <c r="N791" s="8"/>
      <c r="O791" s="8"/>
      <c r="P791" s="539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538"/>
      <c r="F792" s="8"/>
      <c r="G792" s="8"/>
      <c r="H792" s="539"/>
      <c r="I792" s="8"/>
      <c r="J792" s="8"/>
      <c r="K792" s="8"/>
      <c r="L792" s="8"/>
      <c r="M792" s="8"/>
      <c r="N792" s="8"/>
      <c r="O792" s="8"/>
      <c r="P792" s="539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538"/>
      <c r="F793" s="8"/>
      <c r="G793" s="8"/>
      <c r="H793" s="539"/>
      <c r="I793" s="8"/>
      <c r="J793" s="8"/>
      <c r="K793" s="8"/>
      <c r="L793" s="8"/>
      <c r="M793" s="8"/>
      <c r="N793" s="8"/>
      <c r="O793" s="8"/>
      <c r="P793" s="539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538"/>
      <c r="F794" s="8"/>
      <c r="G794" s="8"/>
      <c r="H794" s="539"/>
      <c r="I794" s="8"/>
      <c r="J794" s="8"/>
      <c r="K794" s="8"/>
      <c r="L794" s="8"/>
      <c r="M794" s="8"/>
      <c r="N794" s="8"/>
      <c r="O794" s="8"/>
      <c r="P794" s="539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538"/>
      <c r="F795" s="8"/>
      <c r="G795" s="8"/>
      <c r="H795" s="539"/>
      <c r="I795" s="8"/>
      <c r="J795" s="8"/>
      <c r="K795" s="8"/>
      <c r="L795" s="8"/>
      <c r="M795" s="8"/>
      <c r="N795" s="8"/>
      <c r="O795" s="8"/>
      <c r="P795" s="539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538"/>
      <c r="F796" s="8"/>
      <c r="G796" s="8"/>
      <c r="H796" s="539"/>
      <c r="I796" s="8"/>
      <c r="J796" s="8"/>
      <c r="K796" s="8"/>
      <c r="L796" s="8"/>
      <c r="M796" s="8"/>
      <c r="N796" s="8"/>
      <c r="O796" s="8"/>
      <c r="P796" s="539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538"/>
      <c r="F797" s="8"/>
      <c r="G797" s="8"/>
      <c r="H797" s="539"/>
      <c r="I797" s="8"/>
      <c r="J797" s="8"/>
      <c r="K797" s="8"/>
      <c r="L797" s="8"/>
      <c r="M797" s="8"/>
      <c r="N797" s="8"/>
      <c r="O797" s="8"/>
      <c r="P797" s="539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538"/>
      <c r="F798" s="8"/>
      <c r="G798" s="8"/>
      <c r="H798" s="539"/>
      <c r="I798" s="8"/>
      <c r="J798" s="8"/>
      <c r="K798" s="8"/>
      <c r="L798" s="8"/>
      <c r="M798" s="8"/>
      <c r="N798" s="8"/>
      <c r="O798" s="8"/>
      <c r="P798" s="539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538"/>
      <c r="F799" s="8"/>
      <c r="G799" s="8"/>
      <c r="H799" s="539"/>
      <c r="I799" s="8"/>
      <c r="J799" s="8"/>
      <c r="K799" s="8"/>
      <c r="L799" s="8"/>
      <c r="M799" s="8"/>
      <c r="N799" s="8"/>
      <c r="O799" s="8"/>
      <c r="P799" s="539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538"/>
      <c r="F800" s="8"/>
      <c r="G800" s="8"/>
      <c r="H800" s="539"/>
      <c r="I800" s="8"/>
      <c r="J800" s="8"/>
      <c r="K800" s="8"/>
      <c r="L800" s="8"/>
      <c r="M800" s="8"/>
      <c r="N800" s="8"/>
      <c r="O800" s="8"/>
      <c r="P800" s="539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538"/>
      <c r="F801" s="8"/>
      <c r="G801" s="8"/>
      <c r="H801" s="539"/>
      <c r="I801" s="8"/>
      <c r="J801" s="8"/>
      <c r="K801" s="8"/>
      <c r="L801" s="8"/>
      <c r="M801" s="8"/>
      <c r="N801" s="8"/>
      <c r="O801" s="8"/>
      <c r="P801" s="539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538"/>
      <c r="F802" s="8"/>
      <c r="G802" s="8"/>
      <c r="H802" s="539"/>
      <c r="I802" s="8"/>
      <c r="J802" s="8"/>
      <c r="K802" s="8"/>
      <c r="L802" s="8"/>
      <c r="M802" s="8"/>
      <c r="N802" s="8"/>
      <c r="O802" s="8"/>
      <c r="P802" s="539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538"/>
      <c r="F803" s="8"/>
      <c r="G803" s="8"/>
      <c r="H803" s="539"/>
      <c r="I803" s="8"/>
      <c r="J803" s="8"/>
      <c r="K803" s="8"/>
      <c r="L803" s="8"/>
      <c r="M803" s="8"/>
      <c r="N803" s="8"/>
      <c r="O803" s="8"/>
      <c r="P803" s="539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538"/>
      <c r="F804" s="8"/>
      <c r="G804" s="8"/>
      <c r="H804" s="539"/>
      <c r="I804" s="8"/>
      <c r="J804" s="8"/>
      <c r="K804" s="8"/>
      <c r="L804" s="8"/>
      <c r="M804" s="8"/>
      <c r="N804" s="8"/>
      <c r="O804" s="8"/>
      <c r="P804" s="539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538"/>
      <c r="F805" s="8"/>
      <c r="G805" s="8"/>
      <c r="H805" s="539"/>
      <c r="I805" s="8"/>
      <c r="J805" s="8"/>
      <c r="K805" s="8"/>
      <c r="L805" s="8"/>
      <c r="M805" s="8"/>
      <c r="N805" s="8"/>
      <c r="O805" s="8"/>
      <c r="P805" s="539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538"/>
      <c r="F806" s="8"/>
      <c r="G806" s="8"/>
      <c r="H806" s="539"/>
      <c r="I806" s="8"/>
      <c r="J806" s="8"/>
      <c r="K806" s="8"/>
      <c r="L806" s="8"/>
      <c r="M806" s="8"/>
      <c r="N806" s="8"/>
      <c r="O806" s="8"/>
      <c r="P806" s="539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538"/>
      <c r="F807" s="8"/>
      <c r="G807" s="8"/>
      <c r="H807" s="539"/>
      <c r="I807" s="8"/>
      <c r="J807" s="8"/>
      <c r="K807" s="8"/>
      <c r="L807" s="8"/>
      <c r="M807" s="8"/>
      <c r="N807" s="8"/>
      <c r="O807" s="8"/>
      <c r="P807" s="539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538"/>
      <c r="F808" s="8"/>
      <c r="G808" s="8"/>
      <c r="H808" s="539"/>
      <c r="I808" s="8"/>
      <c r="J808" s="8"/>
      <c r="K808" s="8"/>
      <c r="L808" s="8"/>
      <c r="M808" s="8"/>
      <c r="N808" s="8"/>
      <c r="O808" s="8"/>
      <c r="P808" s="539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538"/>
      <c r="F809" s="8"/>
      <c r="G809" s="8"/>
      <c r="H809" s="539"/>
      <c r="I809" s="8"/>
      <c r="J809" s="8"/>
      <c r="K809" s="8"/>
      <c r="L809" s="8"/>
      <c r="M809" s="8"/>
      <c r="N809" s="8"/>
      <c r="O809" s="8"/>
      <c r="P809" s="539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538"/>
      <c r="F810" s="8"/>
      <c r="G810" s="8"/>
      <c r="H810" s="539"/>
      <c r="I810" s="8"/>
      <c r="J810" s="8"/>
      <c r="K810" s="8"/>
      <c r="L810" s="8"/>
      <c r="M810" s="8"/>
      <c r="N810" s="8"/>
      <c r="O810" s="8"/>
      <c r="P810" s="53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538"/>
      <c r="F811" s="8"/>
      <c r="G811" s="8"/>
      <c r="H811" s="539"/>
      <c r="I811" s="8"/>
      <c r="J811" s="8"/>
      <c r="K811" s="8"/>
      <c r="L811" s="8"/>
      <c r="M811" s="8"/>
      <c r="N811" s="8"/>
      <c r="O811" s="8"/>
      <c r="P811" s="539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538"/>
      <c r="F812" s="8"/>
      <c r="G812" s="8"/>
      <c r="H812" s="539"/>
      <c r="I812" s="8"/>
      <c r="J812" s="8"/>
      <c r="K812" s="8"/>
      <c r="L812" s="8"/>
      <c r="M812" s="8"/>
      <c r="N812" s="8"/>
      <c r="O812" s="8"/>
      <c r="P812" s="539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538"/>
      <c r="F813" s="8"/>
      <c r="G813" s="8"/>
      <c r="H813" s="539"/>
      <c r="I813" s="8"/>
      <c r="J813" s="8"/>
      <c r="K813" s="8"/>
      <c r="L813" s="8"/>
      <c r="M813" s="8"/>
      <c r="N813" s="8"/>
      <c r="O813" s="8"/>
      <c r="P813" s="539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538"/>
      <c r="F814" s="8"/>
      <c r="G814" s="8"/>
      <c r="H814" s="539"/>
      <c r="I814" s="8"/>
      <c r="J814" s="8"/>
      <c r="K814" s="8"/>
      <c r="L814" s="8"/>
      <c r="M814" s="8"/>
      <c r="N814" s="8"/>
      <c r="O814" s="8"/>
      <c r="P814" s="539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538"/>
      <c r="F815" s="8"/>
      <c r="G815" s="8"/>
      <c r="H815" s="539"/>
      <c r="I815" s="8"/>
      <c r="J815" s="8"/>
      <c r="K815" s="8"/>
      <c r="L815" s="8"/>
      <c r="M815" s="8"/>
      <c r="N815" s="8"/>
      <c r="O815" s="8"/>
      <c r="P815" s="539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538"/>
      <c r="F816" s="8"/>
      <c r="G816" s="8"/>
      <c r="H816" s="539"/>
      <c r="I816" s="8"/>
      <c r="J816" s="8"/>
      <c r="K816" s="8"/>
      <c r="L816" s="8"/>
      <c r="M816" s="8"/>
      <c r="N816" s="8"/>
      <c r="O816" s="8"/>
      <c r="P816" s="539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538"/>
      <c r="F817" s="8"/>
      <c r="G817" s="8"/>
      <c r="H817" s="539"/>
      <c r="I817" s="8"/>
      <c r="J817" s="8"/>
      <c r="K817" s="8"/>
      <c r="L817" s="8"/>
      <c r="M817" s="8"/>
      <c r="N817" s="8"/>
      <c r="O817" s="8"/>
      <c r="P817" s="539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538"/>
      <c r="F818" s="8"/>
      <c r="G818" s="8"/>
      <c r="H818" s="539"/>
      <c r="I818" s="8"/>
      <c r="J818" s="8"/>
      <c r="K818" s="8"/>
      <c r="L818" s="8"/>
      <c r="M818" s="8"/>
      <c r="N818" s="8"/>
      <c r="O818" s="8"/>
      <c r="P818" s="539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538"/>
      <c r="F819" s="8"/>
      <c r="G819" s="8"/>
      <c r="H819" s="539"/>
      <c r="I819" s="8"/>
      <c r="J819" s="8"/>
      <c r="K819" s="8"/>
      <c r="L819" s="8"/>
      <c r="M819" s="8"/>
      <c r="N819" s="8"/>
      <c r="O819" s="8"/>
      <c r="P819" s="539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538"/>
      <c r="F820" s="8"/>
      <c r="G820" s="8"/>
      <c r="H820" s="539"/>
      <c r="I820" s="8"/>
      <c r="J820" s="8"/>
      <c r="K820" s="8"/>
      <c r="L820" s="8"/>
      <c r="M820" s="8"/>
      <c r="N820" s="8"/>
      <c r="O820" s="8"/>
      <c r="P820" s="539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538"/>
      <c r="F821" s="8"/>
      <c r="G821" s="8"/>
      <c r="H821" s="539"/>
      <c r="I821" s="8"/>
      <c r="J821" s="8"/>
      <c r="K821" s="8"/>
      <c r="L821" s="8"/>
      <c r="M821" s="8"/>
      <c r="N821" s="8"/>
      <c r="O821" s="8"/>
      <c r="P821" s="539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538"/>
      <c r="F822" s="8"/>
      <c r="G822" s="8"/>
      <c r="H822" s="539"/>
      <c r="I822" s="8"/>
      <c r="J822" s="8"/>
      <c r="K822" s="8"/>
      <c r="L822" s="8"/>
      <c r="M822" s="8"/>
      <c r="N822" s="8"/>
      <c r="O822" s="8"/>
      <c r="P822" s="539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538"/>
      <c r="F823" s="8"/>
      <c r="G823" s="8"/>
      <c r="H823" s="539"/>
      <c r="I823" s="8"/>
      <c r="J823" s="8"/>
      <c r="K823" s="8"/>
      <c r="L823" s="8"/>
      <c r="M823" s="8"/>
      <c r="N823" s="8"/>
      <c r="O823" s="8"/>
      <c r="P823" s="539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538"/>
      <c r="F824" s="8"/>
      <c r="G824" s="8"/>
      <c r="H824" s="539"/>
      <c r="I824" s="8"/>
      <c r="J824" s="8"/>
      <c r="K824" s="8"/>
      <c r="L824" s="8"/>
      <c r="M824" s="8"/>
      <c r="N824" s="8"/>
      <c r="O824" s="8"/>
      <c r="P824" s="539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538"/>
      <c r="F825" s="8"/>
      <c r="G825" s="8"/>
      <c r="H825" s="539"/>
      <c r="I825" s="8"/>
      <c r="J825" s="8"/>
      <c r="K825" s="8"/>
      <c r="L825" s="8"/>
      <c r="M825" s="8"/>
      <c r="N825" s="8"/>
      <c r="O825" s="8"/>
      <c r="P825" s="539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538"/>
      <c r="F826" s="8"/>
      <c r="G826" s="8"/>
      <c r="H826" s="539"/>
      <c r="I826" s="8"/>
      <c r="J826" s="8"/>
      <c r="K826" s="8"/>
      <c r="L826" s="8"/>
      <c r="M826" s="8"/>
      <c r="N826" s="8"/>
      <c r="O826" s="8"/>
      <c r="P826" s="539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538"/>
      <c r="F827" s="8"/>
      <c r="G827" s="8"/>
      <c r="H827" s="539"/>
      <c r="I827" s="8"/>
      <c r="J827" s="8"/>
      <c r="K827" s="8"/>
      <c r="L827" s="8"/>
      <c r="M827" s="8"/>
      <c r="N827" s="8"/>
      <c r="O827" s="8"/>
      <c r="P827" s="539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538"/>
      <c r="F828" s="8"/>
      <c r="G828" s="8"/>
      <c r="H828" s="539"/>
      <c r="I828" s="8"/>
      <c r="J828" s="8"/>
      <c r="K828" s="8"/>
      <c r="L828" s="8"/>
      <c r="M828" s="8"/>
      <c r="N828" s="8"/>
      <c r="O828" s="8"/>
      <c r="P828" s="539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538"/>
      <c r="F829" s="8"/>
      <c r="G829" s="8"/>
      <c r="H829" s="539"/>
      <c r="I829" s="8"/>
      <c r="J829" s="8"/>
      <c r="K829" s="8"/>
      <c r="L829" s="8"/>
      <c r="M829" s="8"/>
      <c r="N829" s="8"/>
      <c r="O829" s="8"/>
      <c r="P829" s="539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538"/>
      <c r="F830" s="8"/>
      <c r="G830" s="8"/>
      <c r="H830" s="539"/>
      <c r="I830" s="8"/>
      <c r="J830" s="8"/>
      <c r="K830" s="8"/>
      <c r="L830" s="8"/>
      <c r="M830" s="8"/>
      <c r="N830" s="8"/>
      <c r="O830" s="8"/>
      <c r="P830" s="539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538"/>
      <c r="F831" s="8"/>
      <c r="G831" s="8"/>
      <c r="H831" s="539"/>
      <c r="I831" s="8"/>
      <c r="J831" s="8"/>
      <c r="K831" s="8"/>
      <c r="L831" s="8"/>
      <c r="M831" s="8"/>
      <c r="N831" s="8"/>
      <c r="O831" s="8"/>
      <c r="P831" s="539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538"/>
      <c r="F832" s="8"/>
      <c r="G832" s="8"/>
      <c r="H832" s="539"/>
      <c r="I832" s="8"/>
      <c r="J832" s="8"/>
      <c r="K832" s="8"/>
      <c r="L832" s="8"/>
      <c r="M832" s="8"/>
      <c r="N832" s="8"/>
      <c r="O832" s="8"/>
      <c r="P832" s="539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538"/>
      <c r="F833" s="8"/>
      <c r="G833" s="8"/>
      <c r="H833" s="539"/>
      <c r="I833" s="8"/>
      <c r="J833" s="8"/>
      <c r="K833" s="8"/>
      <c r="L833" s="8"/>
      <c r="M833" s="8"/>
      <c r="N833" s="8"/>
      <c r="O833" s="8"/>
      <c r="P833" s="539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538"/>
      <c r="F834" s="8"/>
      <c r="G834" s="8"/>
      <c r="H834" s="539"/>
      <c r="I834" s="8"/>
      <c r="J834" s="8"/>
      <c r="K834" s="8"/>
      <c r="L834" s="8"/>
      <c r="M834" s="8"/>
      <c r="N834" s="8"/>
      <c r="O834" s="8"/>
      <c r="P834" s="539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538"/>
      <c r="F835" s="8"/>
      <c r="G835" s="8"/>
      <c r="H835" s="539"/>
      <c r="I835" s="8"/>
      <c r="J835" s="8"/>
      <c r="K835" s="8"/>
      <c r="L835" s="8"/>
      <c r="M835" s="8"/>
      <c r="N835" s="8"/>
      <c r="O835" s="8"/>
      <c r="P835" s="539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538"/>
      <c r="F836" s="8"/>
      <c r="G836" s="8"/>
      <c r="H836" s="539"/>
      <c r="I836" s="8"/>
      <c r="J836" s="8"/>
      <c r="K836" s="8"/>
      <c r="L836" s="8"/>
      <c r="M836" s="8"/>
      <c r="N836" s="8"/>
      <c r="O836" s="8"/>
      <c r="P836" s="539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538"/>
      <c r="F837" s="8"/>
      <c r="G837" s="8"/>
      <c r="H837" s="539"/>
      <c r="I837" s="8"/>
      <c r="J837" s="8"/>
      <c r="K837" s="8"/>
      <c r="L837" s="8"/>
      <c r="M837" s="8"/>
      <c r="N837" s="8"/>
      <c r="O837" s="8"/>
      <c r="P837" s="539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538"/>
      <c r="F838" s="8"/>
      <c r="G838" s="8"/>
      <c r="H838" s="539"/>
      <c r="I838" s="8"/>
      <c r="J838" s="8"/>
      <c r="K838" s="8"/>
      <c r="L838" s="8"/>
      <c r="M838" s="8"/>
      <c r="N838" s="8"/>
      <c r="O838" s="8"/>
      <c r="P838" s="539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538"/>
      <c r="F839" s="8"/>
      <c r="G839" s="8"/>
      <c r="H839" s="539"/>
      <c r="I839" s="8"/>
      <c r="J839" s="8"/>
      <c r="K839" s="8"/>
      <c r="L839" s="8"/>
      <c r="M839" s="8"/>
      <c r="N839" s="8"/>
      <c r="O839" s="8"/>
      <c r="P839" s="539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538"/>
      <c r="F840" s="8"/>
      <c r="G840" s="8"/>
      <c r="H840" s="539"/>
      <c r="I840" s="8"/>
      <c r="J840" s="8"/>
      <c r="K840" s="8"/>
      <c r="L840" s="8"/>
      <c r="M840" s="8"/>
      <c r="N840" s="8"/>
      <c r="O840" s="8"/>
      <c r="P840" s="539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538"/>
      <c r="F841" s="8"/>
      <c r="G841" s="8"/>
      <c r="H841" s="539"/>
      <c r="I841" s="8"/>
      <c r="J841" s="8"/>
      <c r="K841" s="8"/>
      <c r="L841" s="8"/>
      <c r="M841" s="8"/>
      <c r="N841" s="8"/>
      <c r="O841" s="8"/>
      <c r="P841" s="539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538"/>
      <c r="F842" s="8"/>
      <c r="G842" s="8"/>
      <c r="H842" s="539"/>
      <c r="I842" s="8"/>
      <c r="J842" s="8"/>
      <c r="K842" s="8"/>
      <c r="L842" s="8"/>
      <c r="M842" s="8"/>
      <c r="N842" s="8"/>
      <c r="O842" s="8"/>
      <c r="P842" s="539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538"/>
      <c r="F843" s="8"/>
      <c r="G843" s="8"/>
      <c r="H843" s="539"/>
      <c r="I843" s="8"/>
      <c r="J843" s="8"/>
      <c r="K843" s="8"/>
      <c r="L843" s="8"/>
      <c r="M843" s="8"/>
      <c r="N843" s="8"/>
      <c r="O843" s="8"/>
      <c r="P843" s="539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538"/>
      <c r="F844" s="8"/>
      <c r="G844" s="8"/>
      <c r="H844" s="539"/>
      <c r="I844" s="8"/>
      <c r="J844" s="8"/>
      <c r="K844" s="8"/>
      <c r="L844" s="8"/>
      <c r="M844" s="8"/>
      <c r="N844" s="8"/>
      <c r="O844" s="8"/>
      <c r="P844" s="539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538"/>
      <c r="F845" s="8"/>
      <c r="G845" s="8"/>
      <c r="H845" s="539"/>
      <c r="I845" s="8"/>
      <c r="J845" s="8"/>
      <c r="K845" s="8"/>
      <c r="L845" s="8"/>
      <c r="M845" s="8"/>
      <c r="N845" s="8"/>
      <c r="O845" s="8"/>
      <c r="P845" s="539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538"/>
      <c r="F846" s="8"/>
      <c r="G846" s="8"/>
      <c r="H846" s="539"/>
      <c r="I846" s="8"/>
      <c r="J846" s="8"/>
      <c r="K846" s="8"/>
      <c r="L846" s="8"/>
      <c r="M846" s="8"/>
      <c r="N846" s="8"/>
      <c r="O846" s="8"/>
      <c r="P846" s="539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538"/>
      <c r="F847" s="8"/>
      <c r="G847" s="8"/>
      <c r="H847" s="539"/>
      <c r="I847" s="8"/>
      <c r="J847" s="8"/>
      <c r="K847" s="8"/>
      <c r="L847" s="8"/>
      <c r="M847" s="8"/>
      <c r="N847" s="8"/>
      <c r="O847" s="8"/>
      <c r="P847" s="539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538"/>
      <c r="F848" s="8"/>
      <c r="G848" s="8"/>
      <c r="H848" s="539"/>
      <c r="I848" s="8"/>
      <c r="J848" s="8"/>
      <c r="K848" s="8"/>
      <c r="L848" s="8"/>
      <c r="M848" s="8"/>
      <c r="N848" s="8"/>
      <c r="O848" s="8"/>
      <c r="P848" s="539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538"/>
      <c r="F849" s="8"/>
      <c r="G849" s="8"/>
      <c r="H849" s="539"/>
      <c r="I849" s="8"/>
      <c r="J849" s="8"/>
      <c r="K849" s="8"/>
      <c r="L849" s="8"/>
      <c r="M849" s="8"/>
      <c r="N849" s="8"/>
      <c r="O849" s="8"/>
      <c r="P849" s="539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538"/>
      <c r="F850" s="8"/>
      <c r="G850" s="8"/>
      <c r="H850" s="539"/>
      <c r="I850" s="8"/>
      <c r="J850" s="8"/>
      <c r="K850" s="8"/>
      <c r="L850" s="8"/>
      <c r="M850" s="8"/>
      <c r="N850" s="8"/>
      <c r="O850" s="8"/>
      <c r="P850" s="539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538"/>
      <c r="F851" s="8"/>
      <c r="G851" s="8"/>
      <c r="H851" s="539"/>
      <c r="I851" s="8"/>
      <c r="J851" s="8"/>
      <c r="K851" s="8"/>
      <c r="L851" s="8"/>
      <c r="M851" s="8"/>
      <c r="N851" s="8"/>
      <c r="O851" s="8"/>
      <c r="P851" s="539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538"/>
      <c r="F852" s="8"/>
      <c r="G852" s="8"/>
      <c r="H852" s="539"/>
      <c r="I852" s="8"/>
      <c r="J852" s="8"/>
      <c r="K852" s="8"/>
      <c r="L852" s="8"/>
      <c r="M852" s="8"/>
      <c r="N852" s="8"/>
      <c r="O852" s="8"/>
      <c r="P852" s="539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538"/>
      <c r="F853" s="8"/>
      <c r="G853" s="8"/>
      <c r="H853" s="539"/>
      <c r="I853" s="8"/>
      <c r="J853" s="8"/>
      <c r="K853" s="8"/>
      <c r="L853" s="8"/>
      <c r="M853" s="8"/>
      <c r="N853" s="8"/>
      <c r="O853" s="8"/>
      <c r="P853" s="539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538"/>
      <c r="F854" s="8"/>
      <c r="G854" s="8"/>
      <c r="H854" s="539"/>
      <c r="I854" s="8"/>
      <c r="J854" s="8"/>
      <c r="K854" s="8"/>
      <c r="L854" s="8"/>
      <c r="M854" s="8"/>
      <c r="N854" s="8"/>
      <c r="O854" s="8"/>
      <c r="P854" s="539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538"/>
      <c r="F855" s="8"/>
      <c r="G855" s="8"/>
      <c r="H855" s="539"/>
      <c r="I855" s="8"/>
      <c r="J855" s="8"/>
      <c r="K855" s="8"/>
      <c r="L855" s="8"/>
      <c r="M855" s="8"/>
      <c r="N855" s="8"/>
      <c r="O855" s="8"/>
      <c r="P855" s="539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538"/>
      <c r="F856" s="8"/>
      <c r="G856" s="8"/>
      <c r="H856" s="539"/>
      <c r="I856" s="8"/>
      <c r="J856" s="8"/>
      <c r="K856" s="8"/>
      <c r="L856" s="8"/>
      <c r="M856" s="8"/>
      <c r="N856" s="8"/>
      <c r="O856" s="8"/>
      <c r="P856" s="539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538"/>
      <c r="F857" s="8"/>
      <c r="G857" s="8"/>
      <c r="H857" s="539"/>
      <c r="I857" s="8"/>
      <c r="J857" s="8"/>
      <c r="K857" s="8"/>
      <c r="L857" s="8"/>
      <c r="M857" s="8"/>
      <c r="N857" s="8"/>
      <c r="O857" s="8"/>
      <c r="P857" s="539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538"/>
      <c r="F858" s="8"/>
      <c r="G858" s="8"/>
      <c r="H858" s="539"/>
      <c r="I858" s="8"/>
      <c r="J858" s="8"/>
      <c r="K858" s="8"/>
      <c r="L858" s="8"/>
      <c r="M858" s="8"/>
      <c r="N858" s="8"/>
      <c r="O858" s="8"/>
      <c r="P858" s="539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538"/>
      <c r="F859" s="8"/>
      <c r="G859" s="8"/>
      <c r="H859" s="539"/>
      <c r="I859" s="8"/>
      <c r="J859" s="8"/>
      <c r="K859" s="8"/>
      <c r="L859" s="8"/>
      <c r="M859" s="8"/>
      <c r="N859" s="8"/>
      <c r="O859" s="8"/>
      <c r="P859" s="539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538"/>
      <c r="F860" s="8"/>
      <c r="G860" s="8"/>
      <c r="H860" s="539"/>
      <c r="I860" s="8"/>
      <c r="J860" s="8"/>
      <c r="K860" s="8"/>
      <c r="L860" s="8"/>
      <c r="M860" s="8"/>
      <c r="N860" s="8"/>
      <c r="O860" s="8"/>
      <c r="P860" s="539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538"/>
      <c r="F861" s="8"/>
      <c r="G861" s="8"/>
      <c r="H861" s="539"/>
      <c r="I861" s="8"/>
      <c r="J861" s="8"/>
      <c r="K861" s="8"/>
      <c r="L861" s="8"/>
      <c r="M861" s="8"/>
      <c r="N861" s="8"/>
      <c r="O861" s="8"/>
      <c r="P861" s="539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538"/>
      <c r="F862" s="8"/>
      <c r="G862" s="8"/>
      <c r="H862" s="539"/>
      <c r="I862" s="8"/>
      <c r="J862" s="8"/>
      <c r="K862" s="8"/>
      <c r="L862" s="8"/>
      <c r="M862" s="8"/>
      <c r="N862" s="8"/>
      <c r="O862" s="8"/>
      <c r="P862" s="539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538"/>
      <c r="F863" s="8"/>
      <c r="G863" s="8"/>
      <c r="H863" s="539"/>
      <c r="I863" s="8"/>
      <c r="J863" s="8"/>
      <c r="K863" s="8"/>
      <c r="L863" s="8"/>
      <c r="M863" s="8"/>
      <c r="N863" s="8"/>
      <c r="O863" s="8"/>
      <c r="P863" s="539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538"/>
      <c r="F864" s="8"/>
      <c r="G864" s="8"/>
      <c r="H864" s="539"/>
      <c r="I864" s="8"/>
      <c r="J864" s="8"/>
      <c r="K864" s="8"/>
      <c r="L864" s="8"/>
      <c r="M864" s="8"/>
      <c r="N864" s="8"/>
      <c r="O864" s="8"/>
      <c r="P864" s="539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538"/>
      <c r="F865" s="8"/>
      <c r="G865" s="8"/>
      <c r="H865" s="539"/>
      <c r="I865" s="8"/>
      <c r="J865" s="8"/>
      <c r="K865" s="8"/>
      <c r="L865" s="8"/>
      <c r="M865" s="8"/>
      <c r="N865" s="8"/>
      <c r="O865" s="8"/>
      <c r="P865" s="539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538"/>
      <c r="F866" s="8"/>
      <c r="G866" s="8"/>
      <c r="H866" s="539"/>
      <c r="I866" s="8"/>
      <c r="J866" s="8"/>
      <c r="K866" s="8"/>
      <c r="L866" s="8"/>
      <c r="M866" s="8"/>
      <c r="N866" s="8"/>
      <c r="O866" s="8"/>
      <c r="P866" s="539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538"/>
      <c r="F867" s="8"/>
      <c r="G867" s="8"/>
      <c r="H867" s="539"/>
      <c r="I867" s="8"/>
      <c r="J867" s="8"/>
      <c r="K867" s="8"/>
      <c r="L867" s="8"/>
      <c r="M867" s="8"/>
      <c r="N867" s="8"/>
      <c r="O867" s="8"/>
      <c r="P867" s="539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538"/>
      <c r="F868" s="8"/>
      <c r="G868" s="8"/>
      <c r="H868" s="539"/>
      <c r="I868" s="8"/>
      <c r="J868" s="8"/>
      <c r="K868" s="8"/>
      <c r="L868" s="8"/>
      <c r="M868" s="8"/>
      <c r="N868" s="8"/>
      <c r="O868" s="8"/>
      <c r="P868" s="539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538"/>
      <c r="F869" s="8"/>
      <c r="G869" s="8"/>
      <c r="H869" s="539"/>
      <c r="I869" s="8"/>
      <c r="J869" s="8"/>
      <c r="K869" s="8"/>
      <c r="L869" s="8"/>
      <c r="M869" s="8"/>
      <c r="N869" s="8"/>
      <c r="O869" s="8"/>
      <c r="P869" s="539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538"/>
      <c r="F870" s="8"/>
      <c r="G870" s="8"/>
      <c r="H870" s="539"/>
      <c r="I870" s="8"/>
      <c r="J870" s="8"/>
      <c r="K870" s="8"/>
      <c r="L870" s="8"/>
      <c r="M870" s="8"/>
      <c r="N870" s="8"/>
      <c r="O870" s="8"/>
      <c r="P870" s="539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538"/>
      <c r="F871" s="8"/>
      <c r="G871" s="8"/>
      <c r="H871" s="539"/>
      <c r="I871" s="8"/>
      <c r="J871" s="8"/>
      <c r="K871" s="8"/>
      <c r="L871" s="8"/>
      <c r="M871" s="8"/>
      <c r="N871" s="8"/>
      <c r="O871" s="8"/>
      <c r="P871" s="539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538"/>
      <c r="F872" s="8"/>
      <c r="G872" s="8"/>
      <c r="H872" s="539"/>
      <c r="I872" s="8"/>
      <c r="J872" s="8"/>
      <c r="K872" s="8"/>
      <c r="L872" s="8"/>
      <c r="M872" s="8"/>
      <c r="N872" s="8"/>
      <c r="O872" s="8"/>
      <c r="P872" s="539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538"/>
      <c r="F873" s="8"/>
      <c r="G873" s="8"/>
      <c r="H873" s="539"/>
      <c r="I873" s="8"/>
      <c r="J873" s="8"/>
      <c r="K873" s="8"/>
      <c r="L873" s="8"/>
      <c r="M873" s="8"/>
      <c r="N873" s="8"/>
      <c r="O873" s="8"/>
      <c r="P873" s="539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538"/>
      <c r="F874" s="8"/>
      <c r="G874" s="8"/>
      <c r="H874" s="539"/>
      <c r="I874" s="8"/>
      <c r="J874" s="8"/>
      <c r="K874" s="8"/>
      <c r="L874" s="8"/>
      <c r="M874" s="8"/>
      <c r="N874" s="8"/>
      <c r="O874" s="8"/>
      <c r="P874" s="539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538"/>
      <c r="F875" s="8"/>
      <c r="G875" s="8"/>
      <c r="H875" s="539"/>
      <c r="I875" s="8"/>
      <c r="J875" s="8"/>
      <c r="K875" s="8"/>
      <c r="L875" s="8"/>
      <c r="M875" s="8"/>
      <c r="N875" s="8"/>
      <c r="O875" s="8"/>
      <c r="P875" s="539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538"/>
      <c r="F876" s="8"/>
      <c r="G876" s="8"/>
      <c r="H876" s="539"/>
      <c r="I876" s="8"/>
      <c r="J876" s="8"/>
      <c r="K876" s="8"/>
      <c r="L876" s="8"/>
      <c r="M876" s="8"/>
      <c r="N876" s="8"/>
      <c r="O876" s="8"/>
      <c r="P876" s="539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538"/>
      <c r="F877" s="8"/>
      <c r="G877" s="8"/>
      <c r="H877" s="539"/>
      <c r="I877" s="8"/>
      <c r="J877" s="8"/>
      <c r="K877" s="8"/>
      <c r="L877" s="8"/>
      <c r="M877" s="8"/>
      <c r="N877" s="8"/>
      <c r="O877" s="8"/>
      <c r="P877" s="539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538"/>
      <c r="F878" s="8"/>
      <c r="G878" s="8"/>
      <c r="H878" s="539"/>
      <c r="I878" s="8"/>
      <c r="J878" s="8"/>
      <c r="K878" s="8"/>
      <c r="L878" s="8"/>
      <c r="M878" s="8"/>
      <c r="N878" s="8"/>
      <c r="O878" s="8"/>
      <c r="P878" s="539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538"/>
      <c r="F879" s="8"/>
      <c r="G879" s="8"/>
      <c r="H879" s="539"/>
      <c r="I879" s="8"/>
      <c r="J879" s="8"/>
      <c r="K879" s="8"/>
      <c r="L879" s="8"/>
      <c r="M879" s="8"/>
      <c r="N879" s="8"/>
      <c r="O879" s="8"/>
      <c r="P879" s="539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538"/>
      <c r="F880" s="8"/>
      <c r="G880" s="8"/>
      <c r="H880" s="539"/>
      <c r="I880" s="8"/>
      <c r="J880" s="8"/>
      <c r="K880" s="8"/>
      <c r="L880" s="8"/>
      <c r="M880" s="8"/>
      <c r="N880" s="8"/>
      <c r="O880" s="8"/>
      <c r="P880" s="539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538"/>
      <c r="F881" s="8"/>
      <c r="G881" s="8"/>
      <c r="H881" s="539"/>
      <c r="I881" s="8"/>
      <c r="J881" s="8"/>
      <c r="K881" s="8"/>
      <c r="L881" s="8"/>
      <c r="M881" s="8"/>
      <c r="N881" s="8"/>
      <c r="O881" s="8"/>
      <c r="P881" s="539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538"/>
      <c r="F882" s="8"/>
      <c r="G882" s="8"/>
      <c r="H882" s="539"/>
      <c r="I882" s="8"/>
      <c r="J882" s="8"/>
      <c r="K882" s="8"/>
      <c r="L882" s="8"/>
      <c r="M882" s="8"/>
      <c r="N882" s="8"/>
      <c r="O882" s="8"/>
      <c r="P882" s="539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538"/>
      <c r="F883" s="8"/>
      <c r="G883" s="8"/>
      <c r="H883" s="539"/>
      <c r="I883" s="8"/>
      <c r="J883" s="8"/>
      <c r="K883" s="8"/>
      <c r="L883" s="8"/>
      <c r="M883" s="8"/>
      <c r="N883" s="8"/>
      <c r="O883" s="8"/>
      <c r="P883" s="539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538"/>
      <c r="F884" s="8"/>
      <c r="G884" s="8"/>
      <c r="H884" s="539"/>
      <c r="I884" s="8"/>
      <c r="J884" s="8"/>
      <c r="K884" s="8"/>
      <c r="L884" s="8"/>
      <c r="M884" s="8"/>
      <c r="N884" s="8"/>
      <c r="O884" s="8"/>
      <c r="P884" s="539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538"/>
      <c r="F885" s="8"/>
      <c r="G885" s="8"/>
      <c r="H885" s="539"/>
      <c r="I885" s="8"/>
      <c r="J885" s="8"/>
      <c r="K885" s="8"/>
      <c r="L885" s="8"/>
      <c r="M885" s="8"/>
      <c r="N885" s="8"/>
      <c r="O885" s="8"/>
      <c r="P885" s="539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538"/>
      <c r="F886" s="8"/>
      <c r="G886" s="8"/>
      <c r="H886" s="539"/>
      <c r="I886" s="8"/>
      <c r="J886" s="8"/>
      <c r="K886" s="8"/>
      <c r="L886" s="8"/>
      <c r="M886" s="8"/>
      <c r="N886" s="8"/>
      <c r="O886" s="8"/>
      <c r="P886" s="539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538"/>
      <c r="F887" s="8"/>
      <c r="G887" s="8"/>
      <c r="H887" s="539"/>
      <c r="I887" s="8"/>
      <c r="J887" s="8"/>
      <c r="K887" s="8"/>
      <c r="L887" s="8"/>
      <c r="M887" s="8"/>
      <c r="N887" s="8"/>
      <c r="O887" s="8"/>
      <c r="P887" s="539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538"/>
      <c r="F888" s="8"/>
      <c r="G888" s="8"/>
      <c r="H888" s="539"/>
      <c r="I888" s="8"/>
      <c r="J888" s="8"/>
      <c r="K888" s="8"/>
      <c r="L888" s="8"/>
      <c r="M888" s="8"/>
      <c r="N888" s="8"/>
      <c r="O888" s="8"/>
      <c r="P888" s="539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538"/>
      <c r="F889" s="8"/>
      <c r="G889" s="8"/>
      <c r="H889" s="539"/>
      <c r="I889" s="8"/>
      <c r="J889" s="8"/>
      <c r="K889" s="8"/>
      <c r="L889" s="8"/>
      <c r="M889" s="8"/>
      <c r="N889" s="8"/>
      <c r="O889" s="8"/>
      <c r="P889" s="539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538"/>
      <c r="F890" s="8"/>
      <c r="G890" s="8"/>
      <c r="H890" s="539"/>
      <c r="I890" s="8"/>
      <c r="J890" s="8"/>
      <c r="K890" s="8"/>
      <c r="L890" s="8"/>
      <c r="M890" s="8"/>
      <c r="N890" s="8"/>
      <c r="O890" s="8"/>
      <c r="P890" s="539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538"/>
      <c r="F891" s="8"/>
      <c r="G891" s="8"/>
      <c r="H891" s="539"/>
      <c r="I891" s="8"/>
      <c r="J891" s="8"/>
      <c r="K891" s="8"/>
      <c r="L891" s="8"/>
      <c r="M891" s="8"/>
      <c r="N891" s="8"/>
      <c r="O891" s="8"/>
      <c r="P891" s="539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538"/>
      <c r="F892" s="8"/>
      <c r="G892" s="8"/>
      <c r="H892" s="539"/>
      <c r="I892" s="8"/>
      <c r="J892" s="8"/>
      <c r="K892" s="8"/>
      <c r="L892" s="8"/>
      <c r="M892" s="8"/>
      <c r="N892" s="8"/>
      <c r="O892" s="8"/>
      <c r="P892" s="539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538"/>
      <c r="F893" s="8"/>
      <c r="G893" s="8"/>
      <c r="H893" s="539"/>
      <c r="I893" s="8"/>
      <c r="J893" s="8"/>
      <c r="K893" s="8"/>
      <c r="L893" s="8"/>
      <c r="M893" s="8"/>
      <c r="N893" s="8"/>
      <c r="O893" s="8"/>
      <c r="P893" s="539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538"/>
      <c r="F894" s="8"/>
      <c r="G894" s="8"/>
      <c r="H894" s="539"/>
      <c r="I894" s="8"/>
      <c r="J894" s="8"/>
      <c r="K894" s="8"/>
      <c r="L894" s="8"/>
      <c r="M894" s="8"/>
      <c r="N894" s="8"/>
      <c r="O894" s="8"/>
      <c r="P894" s="539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538"/>
      <c r="F895" s="8"/>
      <c r="G895" s="8"/>
      <c r="H895" s="539"/>
      <c r="I895" s="8"/>
      <c r="J895" s="8"/>
      <c r="K895" s="8"/>
      <c r="L895" s="8"/>
      <c r="M895" s="8"/>
      <c r="N895" s="8"/>
      <c r="O895" s="8"/>
      <c r="P895" s="539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538"/>
      <c r="F896" s="8"/>
      <c r="G896" s="8"/>
      <c r="H896" s="539"/>
      <c r="I896" s="8"/>
      <c r="J896" s="8"/>
      <c r="K896" s="8"/>
      <c r="L896" s="8"/>
      <c r="M896" s="8"/>
      <c r="N896" s="8"/>
      <c r="O896" s="8"/>
      <c r="P896" s="539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538"/>
      <c r="F897" s="8"/>
      <c r="G897" s="8"/>
      <c r="H897" s="539"/>
      <c r="I897" s="8"/>
      <c r="J897" s="8"/>
      <c r="K897" s="8"/>
      <c r="L897" s="8"/>
      <c r="M897" s="8"/>
      <c r="N897" s="8"/>
      <c r="O897" s="8"/>
      <c r="P897" s="539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538"/>
      <c r="F898" s="8"/>
      <c r="G898" s="8"/>
      <c r="H898" s="539"/>
      <c r="I898" s="8"/>
      <c r="J898" s="8"/>
      <c r="K898" s="8"/>
      <c r="L898" s="8"/>
      <c r="M898" s="8"/>
      <c r="N898" s="8"/>
      <c r="O898" s="8"/>
      <c r="P898" s="539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538"/>
      <c r="F899" s="8"/>
      <c r="G899" s="8"/>
      <c r="H899" s="539"/>
      <c r="I899" s="8"/>
      <c r="J899" s="8"/>
      <c r="K899" s="8"/>
      <c r="L899" s="8"/>
      <c r="M899" s="8"/>
      <c r="N899" s="8"/>
      <c r="O899" s="8"/>
      <c r="P899" s="539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538"/>
      <c r="F900" s="8"/>
      <c r="G900" s="8"/>
      <c r="H900" s="539"/>
      <c r="I900" s="8"/>
      <c r="J900" s="8"/>
      <c r="K900" s="8"/>
      <c r="L900" s="8"/>
      <c r="M900" s="8"/>
      <c r="N900" s="8"/>
      <c r="O900" s="8"/>
      <c r="P900" s="539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538"/>
      <c r="F901" s="8"/>
      <c r="G901" s="8"/>
      <c r="H901" s="539"/>
      <c r="I901" s="8"/>
      <c r="J901" s="8"/>
      <c r="K901" s="8"/>
      <c r="L901" s="8"/>
      <c r="M901" s="8"/>
      <c r="N901" s="8"/>
      <c r="O901" s="8"/>
      <c r="P901" s="539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538"/>
      <c r="F902" s="8"/>
      <c r="G902" s="8"/>
      <c r="H902" s="539"/>
      <c r="I902" s="8"/>
      <c r="J902" s="8"/>
      <c r="K902" s="8"/>
      <c r="L902" s="8"/>
      <c r="M902" s="8"/>
      <c r="N902" s="8"/>
      <c r="O902" s="8"/>
      <c r="P902" s="539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538"/>
      <c r="F903" s="8"/>
      <c r="G903" s="8"/>
      <c r="H903" s="539"/>
      <c r="I903" s="8"/>
      <c r="J903" s="8"/>
      <c r="K903" s="8"/>
      <c r="L903" s="8"/>
      <c r="M903" s="8"/>
      <c r="N903" s="8"/>
      <c r="O903" s="8"/>
      <c r="P903" s="539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538"/>
      <c r="F904" s="8"/>
      <c r="G904" s="8"/>
      <c r="H904" s="539"/>
      <c r="I904" s="8"/>
      <c r="J904" s="8"/>
      <c r="K904" s="8"/>
      <c r="L904" s="8"/>
      <c r="M904" s="8"/>
      <c r="N904" s="8"/>
      <c r="O904" s="8"/>
      <c r="P904" s="539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538"/>
      <c r="F905" s="8"/>
      <c r="G905" s="8"/>
      <c r="H905" s="539"/>
      <c r="I905" s="8"/>
      <c r="J905" s="8"/>
      <c r="K905" s="8"/>
      <c r="L905" s="8"/>
      <c r="M905" s="8"/>
      <c r="N905" s="8"/>
      <c r="O905" s="8"/>
      <c r="P905" s="539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538"/>
      <c r="F906" s="8"/>
      <c r="G906" s="8"/>
      <c r="H906" s="539"/>
      <c r="I906" s="8"/>
      <c r="J906" s="8"/>
      <c r="K906" s="8"/>
      <c r="L906" s="8"/>
      <c r="M906" s="8"/>
      <c r="N906" s="8"/>
      <c r="O906" s="8"/>
      <c r="P906" s="539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538"/>
      <c r="F907" s="8"/>
      <c r="G907" s="8"/>
      <c r="H907" s="539"/>
      <c r="I907" s="8"/>
      <c r="J907" s="8"/>
      <c r="K907" s="8"/>
      <c r="L907" s="8"/>
      <c r="M907" s="8"/>
      <c r="N907" s="8"/>
      <c r="O907" s="8"/>
      <c r="P907" s="539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538"/>
      <c r="F908" s="8"/>
      <c r="G908" s="8"/>
      <c r="H908" s="539"/>
      <c r="I908" s="8"/>
      <c r="J908" s="8"/>
      <c r="K908" s="8"/>
      <c r="L908" s="8"/>
      <c r="M908" s="8"/>
      <c r="N908" s="8"/>
      <c r="O908" s="8"/>
      <c r="P908" s="539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538"/>
      <c r="F909" s="8"/>
      <c r="G909" s="8"/>
      <c r="H909" s="539"/>
      <c r="I909" s="8"/>
      <c r="J909" s="8"/>
      <c r="K909" s="8"/>
      <c r="L909" s="8"/>
      <c r="M909" s="8"/>
      <c r="N909" s="8"/>
      <c r="O909" s="8"/>
      <c r="P909" s="539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538"/>
      <c r="F910" s="8"/>
      <c r="G910" s="8"/>
      <c r="H910" s="539"/>
      <c r="I910" s="8"/>
      <c r="J910" s="8"/>
      <c r="K910" s="8"/>
      <c r="L910" s="8"/>
      <c r="M910" s="8"/>
      <c r="N910" s="8"/>
      <c r="O910" s="8"/>
      <c r="P910" s="539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538"/>
      <c r="F911" s="8"/>
      <c r="G911" s="8"/>
      <c r="H911" s="539"/>
      <c r="I911" s="8"/>
      <c r="J911" s="8"/>
      <c r="K911" s="8"/>
      <c r="L911" s="8"/>
      <c r="M911" s="8"/>
      <c r="N911" s="8"/>
      <c r="O911" s="8"/>
      <c r="P911" s="539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538"/>
      <c r="F912" s="8"/>
      <c r="G912" s="8"/>
      <c r="H912" s="539"/>
      <c r="I912" s="8"/>
      <c r="J912" s="8"/>
      <c r="K912" s="8"/>
      <c r="L912" s="8"/>
      <c r="M912" s="8"/>
      <c r="N912" s="8"/>
      <c r="O912" s="8"/>
      <c r="P912" s="539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538"/>
      <c r="F913" s="8"/>
      <c r="G913" s="8"/>
      <c r="H913" s="539"/>
      <c r="I913" s="8"/>
      <c r="J913" s="8"/>
      <c r="K913" s="8"/>
      <c r="L913" s="8"/>
      <c r="M913" s="8"/>
      <c r="N913" s="8"/>
      <c r="O913" s="8"/>
      <c r="P913" s="539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538"/>
      <c r="F914" s="8"/>
      <c r="G914" s="8"/>
      <c r="H914" s="539"/>
      <c r="I914" s="8"/>
      <c r="J914" s="8"/>
      <c r="K914" s="8"/>
      <c r="L914" s="8"/>
      <c r="M914" s="8"/>
      <c r="N914" s="8"/>
      <c r="O914" s="8"/>
      <c r="P914" s="539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538"/>
      <c r="F915" s="8"/>
      <c r="G915" s="8"/>
      <c r="H915" s="539"/>
      <c r="I915" s="8"/>
      <c r="J915" s="8"/>
      <c r="K915" s="8"/>
      <c r="L915" s="8"/>
      <c r="M915" s="8"/>
      <c r="N915" s="8"/>
      <c r="O915" s="8"/>
      <c r="P915" s="539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538"/>
      <c r="F916" s="8"/>
      <c r="G916" s="8"/>
      <c r="H916" s="539"/>
      <c r="I916" s="8"/>
      <c r="J916" s="8"/>
      <c r="K916" s="8"/>
      <c r="L916" s="8"/>
      <c r="M916" s="8"/>
      <c r="N916" s="8"/>
      <c r="O916" s="8"/>
      <c r="P916" s="539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538"/>
      <c r="F917" s="8"/>
      <c r="G917" s="8"/>
      <c r="H917" s="539"/>
      <c r="I917" s="8"/>
      <c r="J917" s="8"/>
      <c r="K917" s="8"/>
      <c r="L917" s="8"/>
      <c r="M917" s="8"/>
      <c r="N917" s="8"/>
      <c r="O917" s="8"/>
      <c r="P917" s="539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538"/>
      <c r="F918" s="8"/>
      <c r="G918" s="8"/>
      <c r="H918" s="539"/>
      <c r="I918" s="8"/>
      <c r="J918" s="8"/>
      <c r="K918" s="8"/>
      <c r="L918" s="8"/>
      <c r="M918" s="8"/>
      <c r="N918" s="8"/>
      <c r="O918" s="8"/>
      <c r="P918" s="539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538"/>
      <c r="F919" s="8"/>
      <c r="G919" s="8"/>
      <c r="H919" s="539"/>
      <c r="I919" s="8"/>
      <c r="J919" s="8"/>
      <c r="K919" s="8"/>
      <c r="L919" s="8"/>
      <c r="M919" s="8"/>
      <c r="N919" s="8"/>
      <c r="O919" s="8"/>
      <c r="P919" s="539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538"/>
      <c r="F920" s="8"/>
      <c r="G920" s="8"/>
      <c r="H920" s="539"/>
      <c r="I920" s="8"/>
      <c r="J920" s="8"/>
      <c r="K920" s="8"/>
      <c r="L920" s="8"/>
      <c r="M920" s="8"/>
      <c r="N920" s="8"/>
      <c r="O920" s="8"/>
      <c r="P920" s="539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538"/>
      <c r="F921" s="8"/>
      <c r="G921" s="8"/>
      <c r="H921" s="539"/>
      <c r="I921" s="8"/>
      <c r="J921" s="8"/>
      <c r="K921" s="8"/>
      <c r="L921" s="8"/>
      <c r="M921" s="8"/>
      <c r="N921" s="8"/>
      <c r="O921" s="8"/>
      <c r="P921" s="539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538"/>
      <c r="F922" s="8"/>
      <c r="G922" s="8"/>
      <c r="H922" s="539"/>
      <c r="I922" s="8"/>
      <c r="J922" s="8"/>
      <c r="K922" s="8"/>
      <c r="L922" s="8"/>
      <c r="M922" s="8"/>
      <c r="N922" s="8"/>
      <c r="O922" s="8"/>
      <c r="P922" s="539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538"/>
      <c r="F923" s="8"/>
      <c r="G923" s="8"/>
      <c r="H923" s="539"/>
      <c r="I923" s="8"/>
      <c r="J923" s="8"/>
      <c r="K923" s="8"/>
      <c r="L923" s="8"/>
      <c r="M923" s="8"/>
      <c r="N923" s="8"/>
      <c r="O923" s="8"/>
      <c r="P923" s="539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538"/>
      <c r="F924" s="8"/>
      <c r="G924" s="8"/>
      <c r="H924" s="539"/>
      <c r="I924" s="8"/>
      <c r="J924" s="8"/>
      <c r="K924" s="8"/>
      <c r="L924" s="8"/>
      <c r="M924" s="8"/>
      <c r="N924" s="8"/>
      <c r="O924" s="8"/>
      <c r="P924" s="539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538"/>
      <c r="F925" s="8"/>
      <c r="G925" s="8"/>
      <c r="H925" s="539"/>
      <c r="I925" s="8"/>
      <c r="J925" s="8"/>
      <c r="K925" s="8"/>
      <c r="L925" s="8"/>
      <c r="M925" s="8"/>
      <c r="N925" s="8"/>
      <c r="O925" s="8"/>
      <c r="P925" s="539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538"/>
      <c r="F926" s="8"/>
      <c r="G926" s="8"/>
      <c r="H926" s="539"/>
      <c r="I926" s="8"/>
      <c r="J926" s="8"/>
      <c r="K926" s="8"/>
      <c r="L926" s="8"/>
      <c r="M926" s="8"/>
      <c r="N926" s="8"/>
      <c r="O926" s="8"/>
      <c r="P926" s="539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538"/>
      <c r="F927" s="8"/>
      <c r="G927" s="8"/>
      <c r="H927" s="539"/>
      <c r="I927" s="8"/>
      <c r="J927" s="8"/>
      <c r="K927" s="8"/>
      <c r="L927" s="8"/>
      <c r="M927" s="8"/>
      <c r="N927" s="8"/>
      <c r="O927" s="8"/>
      <c r="P927" s="539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538"/>
      <c r="F928" s="8"/>
      <c r="G928" s="8"/>
      <c r="H928" s="539"/>
      <c r="I928" s="8"/>
      <c r="J928" s="8"/>
      <c r="K928" s="8"/>
      <c r="L928" s="8"/>
      <c r="M928" s="8"/>
      <c r="N928" s="8"/>
      <c r="O928" s="8"/>
      <c r="P928" s="539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538"/>
      <c r="F929" s="8"/>
      <c r="G929" s="8"/>
      <c r="H929" s="539"/>
      <c r="I929" s="8"/>
      <c r="J929" s="8"/>
      <c r="K929" s="8"/>
      <c r="L929" s="8"/>
      <c r="M929" s="8"/>
      <c r="N929" s="8"/>
      <c r="O929" s="8"/>
      <c r="P929" s="539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538"/>
      <c r="F930" s="8"/>
      <c r="G930" s="8"/>
      <c r="H930" s="539"/>
      <c r="I930" s="8"/>
      <c r="J930" s="8"/>
      <c r="K930" s="8"/>
      <c r="L930" s="8"/>
      <c r="M930" s="8"/>
      <c r="N930" s="8"/>
      <c r="O930" s="8"/>
      <c r="P930" s="539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538"/>
      <c r="F931" s="8"/>
      <c r="G931" s="8"/>
      <c r="H931" s="539"/>
      <c r="I931" s="8"/>
      <c r="J931" s="8"/>
      <c r="K931" s="8"/>
      <c r="L931" s="8"/>
      <c r="M931" s="8"/>
      <c r="N931" s="8"/>
      <c r="O931" s="8"/>
      <c r="P931" s="539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538"/>
      <c r="F932" s="8"/>
      <c r="G932" s="8"/>
      <c r="H932" s="539"/>
      <c r="I932" s="8"/>
      <c r="J932" s="8"/>
      <c r="K932" s="8"/>
      <c r="L932" s="8"/>
      <c r="M932" s="8"/>
      <c r="N932" s="8"/>
      <c r="O932" s="8"/>
      <c r="P932" s="539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538"/>
      <c r="F933" s="8"/>
      <c r="G933" s="8"/>
      <c r="H933" s="539"/>
      <c r="I933" s="8"/>
      <c r="J933" s="8"/>
      <c r="K933" s="8"/>
      <c r="L933" s="8"/>
      <c r="M933" s="8"/>
      <c r="N933" s="8"/>
      <c r="O933" s="8"/>
      <c r="P933" s="539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538"/>
      <c r="F934" s="8"/>
      <c r="G934" s="8"/>
      <c r="H934" s="539"/>
      <c r="I934" s="8"/>
      <c r="J934" s="8"/>
      <c r="K934" s="8"/>
      <c r="L934" s="8"/>
      <c r="M934" s="8"/>
      <c r="N934" s="8"/>
      <c r="O934" s="8"/>
      <c r="P934" s="539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538"/>
      <c r="F935" s="8"/>
      <c r="G935" s="8"/>
      <c r="H935" s="539"/>
      <c r="I935" s="8"/>
      <c r="J935" s="8"/>
      <c r="K935" s="8"/>
      <c r="L935" s="8"/>
      <c r="M935" s="8"/>
      <c r="N935" s="8"/>
      <c r="O935" s="8"/>
      <c r="P935" s="539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538"/>
      <c r="F936" s="8"/>
      <c r="G936" s="8"/>
      <c r="H936" s="539"/>
      <c r="I936" s="8"/>
      <c r="J936" s="8"/>
      <c r="K936" s="8"/>
      <c r="L936" s="8"/>
      <c r="M936" s="8"/>
      <c r="N936" s="8"/>
      <c r="O936" s="8"/>
      <c r="P936" s="539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538"/>
      <c r="F937" s="8"/>
      <c r="G937" s="8"/>
      <c r="H937" s="539"/>
      <c r="I937" s="8"/>
      <c r="J937" s="8"/>
      <c r="K937" s="8"/>
      <c r="L937" s="8"/>
      <c r="M937" s="8"/>
      <c r="N937" s="8"/>
      <c r="O937" s="8"/>
      <c r="P937" s="539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538"/>
      <c r="F938" s="8"/>
      <c r="G938" s="8"/>
      <c r="H938" s="539"/>
      <c r="I938" s="8"/>
      <c r="J938" s="8"/>
      <c r="K938" s="8"/>
      <c r="L938" s="8"/>
      <c r="M938" s="8"/>
      <c r="N938" s="8"/>
      <c r="O938" s="8"/>
      <c r="P938" s="539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538"/>
      <c r="F939" s="8"/>
      <c r="G939" s="8"/>
      <c r="H939" s="539"/>
      <c r="I939" s="8"/>
      <c r="J939" s="8"/>
      <c r="K939" s="8"/>
      <c r="L939" s="8"/>
      <c r="M939" s="8"/>
      <c r="N939" s="8"/>
      <c r="O939" s="8"/>
      <c r="P939" s="539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538"/>
      <c r="F940" s="8"/>
      <c r="G940" s="8"/>
      <c r="H940" s="539"/>
      <c r="I940" s="8"/>
      <c r="J940" s="8"/>
      <c r="K940" s="8"/>
      <c r="L940" s="8"/>
      <c r="M940" s="8"/>
      <c r="N940" s="8"/>
      <c r="O940" s="8"/>
      <c r="P940" s="539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538"/>
      <c r="F941" s="8"/>
      <c r="G941" s="8"/>
      <c r="H941" s="539"/>
      <c r="I941" s="8"/>
      <c r="J941" s="8"/>
      <c r="K941" s="8"/>
      <c r="L941" s="8"/>
      <c r="M941" s="8"/>
      <c r="N941" s="8"/>
      <c r="O941" s="8"/>
      <c r="P941" s="539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538"/>
      <c r="F942" s="8"/>
      <c r="G942" s="8"/>
      <c r="H942" s="539"/>
      <c r="I942" s="8"/>
      <c r="J942" s="8"/>
      <c r="K942" s="8"/>
      <c r="L942" s="8"/>
      <c r="M942" s="8"/>
      <c r="N942" s="8"/>
      <c r="O942" s="8"/>
      <c r="P942" s="539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538"/>
      <c r="F943" s="8"/>
      <c r="G943" s="8"/>
      <c r="H943" s="539"/>
      <c r="I943" s="8"/>
      <c r="J943" s="8"/>
      <c r="K943" s="8"/>
      <c r="L943" s="8"/>
      <c r="M943" s="8"/>
      <c r="N943" s="8"/>
      <c r="O943" s="8"/>
      <c r="P943" s="539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538"/>
      <c r="F944" s="8"/>
      <c r="G944" s="8"/>
      <c r="H944" s="539"/>
      <c r="I944" s="8"/>
      <c r="J944" s="8"/>
      <c r="K944" s="8"/>
      <c r="L944" s="8"/>
      <c r="M944" s="8"/>
      <c r="N944" s="8"/>
      <c r="O944" s="8"/>
      <c r="P944" s="539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538"/>
      <c r="F945" s="8"/>
      <c r="G945" s="8"/>
      <c r="H945" s="539"/>
      <c r="I945" s="8"/>
      <c r="J945" s="8"/>
      <c r="K945" s="8"/>
      <c r="L945" s="8"/>
      <c r="M945" s="8"/>
      <c r="N945" s="8"/>
      <c r="O945" s="8"/>
      <c r="P945" s="539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538"/>
      <c r="F946" s="8"/>
      <c r="G946" s="8"/>
      <c r="H946" s="539"/>
      <c r="I946" s="8"/>
      <c r="J946" s="8"/>
      <c r="K946" s="8"/>
      <c r="L946" s="8"/>
      <c r="M946" s="8"/>
      <c r="N946" s="8"/>
      <c r="O946" s="8"/>
      <c r="P946" s="539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538"/>
      <c r="F947" s="8"/>
      <c r="G947" s="8"/>
      <c r="H947" s="539"/>
      <c r="I947" s="8"/>
      <c r="J947" s="8"/>
      <c r="K947" s="8"/>
      <c r="L947" s="8"/>
      <c r="M947" s="8"/>
      <c r="N947" s="8"/>
      <c r="O947" s="8"/>
      <c r="P947" s="539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538"/>
      <c r="F948" s="8"/>
      <c r="G948" s="8"/>
      <c r="H948" s="539"/>
      <c r="I948" s="8"/>
      <c r="J948" s="8"/>
      <c r="K948" s="8"/>
      <c r="L948" s="8"/>
      <c r="M948" s="8"/>
      <c r="N948" s="8"/>
      <c r="O948" s="8"/>
      <c r="P948" s="539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538"/>
      <c r="F949" s="8"/>
      <c r="G949" s="8"/>
      <c r="H949" s="539"/>
      <c r="I949" s="8"/>
      <c r="J949" s="8"/>
      <c r="K949" s="8"/>
      <c r="L949" s="8"/>
      <c r="M949" s="8"/>
      <c r="N949" s="8"/>
      <c r="O949" s="8"/>
      <c r="P949" s="539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538"/>
      <c r="F950" s="8"/>
      <c r="G950" s="8"/>
      <c r="H950" s="539"/>
      <c r="I950" s="8"/>
      <c r="J950" s="8"/>
      <c r="K950" s="8"/>
      <c r="L950" s="8"/>
      <c r="M950" s="8"/>
      <c r="N950" s="8"/>
      <c r="O950" s="8"/>
      <c r="P950" s="539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538"/>
      <c r="F951" s="8"/>
      <c r="G951" s="8"/>
      <c r="H951" s="539"/>
      <c r="I951" s="8"/>
      <c r="J951" s="8"/>
      <c r="K951" s="8"/>
      <c r="L951" s="8"/>
      <c r="M951" s="8"/>
      <c r="N951" s="8"/>
      <c r="O951" s="8"/>
      <c r="P951" s="539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538"/>
      <c r="F952" s="8"/>
      <c r="G952" s="8"/>
      <c r="H952" s="539"/>
      <c r="I952" s="8"/>
      <c r="J952" s="8"/>
      <c r="K952" s="8"/>
      <c r="L952" s="8"/>
      <c r="M952" s="8"/>
      <c r="N952" s="8"/>
      <c r="O952" s="8"/>
      <c r="P952" s="539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538"/>
      <c r="F953" s="8"/>
      <c r="G953" s="8"/>
      <c r="H953" s="539"/>
      <c r="I953" s="8"/>
      <c r="J953" s="8"/>
      <c r="K953" s="8"/>
      <c r="L953" s="8"/>
      <c r="M953" s="8"/>
      <c r="N953" s="8"/>
      <c r="O953" s="8"/>
      <c r="P953" s="539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538"/>
      <c r="F954" s="8"/>
      <c r="G954" s="8"/>
      <c r="H954" s="539"/>
      <c r="I954" s="8"/>
      <c r="J954" s="8"/>
      <c r="K954" s="8"/>
      <c r="L954" s="8"/>
      <c r="M954" s="8"/>
      <c r="N954" s="8"/>
      <c r="O954" s="8"/>
      <c r="P954" s="539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538"/>
      <c r="F955" s="8"/>
      <c r="G955" s="8"/>
      <c r="H955" s="539"/>
      <c r="I955" s="8"/>
      <c r="J955" s="8"/>
      <c r="K955" s="8"/>
      <c r="L955" s="8"/>
      <c r="M955" s="8"/>
      <c r="N955" s="8"/>
      <c r="O955" s="8"/>
      <c r="P955" s="539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538"/>
      <c r="F956" s="8"/>
      <c r="G956" s="8"/>
      <c r="H956" s="539"/>
      <c r="I956" s="8"/>
      <c r="J956" s="8"/>
      <c r="K956" s="8"/>
      <c r="L956" s="8"/>
      <c r="M956" s="8"/>
      <c r="N956" s="8"/>
      <c r="O956" s="8"/>
      <c r="P956" s="539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538"/>
      <c r="F957" s="8"/>
      <c r="G957" s="8"/>
      <c r="H957" s="539"/>
      <c r="I957" s="8"/>
      <c r="J957" s="8"/>
      <c r="K957" s="8"/>
      <c r="L957" s="8"/>
      <c r="M957" s="8"/>
      <c r="N957" s="8"/>
      <c r="O957" s="8"/>
      <c r="P957" s="539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538"/>
      <c r="F958" s="8"/>
      <c r="G958" s="8"/>
      <c r="H958" s="539"/>
      <c r="I958" s="8"/>
      <c r="J958" s="8"/>
      <c r="K958" s="8"/>
      <c r="L958" s="8"/>
      <c r="M958" s="8"/>
      <c r="N958" s="8"/>
      <c r="O958" s="8"/>
      <c r="P958" s="539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538"/>
      <c r="F959" s="8"/>
      <c r="G959" s="8"/>
      <c r="H959" s="539"/>
      <c r="I959" s="8"/>
      <c r="J959" s="8"/>
      <c r="K959" s="8"/>
      <c r="L959" s="8"/>
      <c r="M959" s="8"/>
      <c r="N959" s="8"/>
      <c r="O959" s="8"/>
      <c r="P959" s="539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538"/>
      <c r="F960" s="8"/>
      <c r="G960" s="8"/>
      <c r="H960" s="539"/>
      <c r="I960" s="8"/>
      <c r="J960" s="8"/>
      <c r="K960" s="8"/>
      <c r="L960" s="8"/>
      <c r="M960" s="8"/>
      <c r="N960" s="8"/>
      <c r="O960" s="8"/>
      <c r="P960" s="539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538"/>
      <c r="F961" s="8"/>
      <c r="G961" s="8"/>
      <c r="H961" s="539"/>
      <c r="I961" s="8"/>
      <c r="J961" s="8"/>
      <c r="K961" s="8"/>
      <c r="L961" s="8"/>
      <c r="M961" s="8"/>
      <c r="N961" s="8"/>
      <c r="O961" s="8"/>
      <c r="P961" s="539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538"/>
      <c r="F962" s="8"/>
      <c r="G962" s="8"/>
      <c r="H962" s="539"/>
      <c r="I962" s="8"/>
      <c r="J962" s="8"/>
      <c r="K962" s="8"/>
      <c r="L962" s="8"/>
      <c r="M962" s="8"/>
      <c r="N962" s="8"/>
      <c r="O962" s="8"/>
      <c r="P962" s="539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538"/>
      <c r="F963" s="8"/>
      <c r="G963" s="8"/>
      <c r="H963" s="539"/>
      <c r="I963" s="8"/>
      <c r="J963" s="8"/>
      <c r="K963" s="8"/>
      <c r="L963" s="8"/>
      <c r="M963" s="8"/>
      <c r="N963" s="8"/>
      <c r="O963" s="8"/>
      <c r="P963" s="539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538"/>
      <c r="F964" s="8"/>
      <c r="G964" s="8"/>
      <c r="H964" s="539"/>
      <c r="I964" s="8"/>
      <c r="J964" s="8"/>
      <c r="K964" s="8"/>
      <c r="L964" s="8"/>
      <c r="M964" s="8"/>
      <c r="N964" s="8"/>
      <c r="O964" s="8"/>
      <c r="P964" s="539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538"/>
      <c r="F965" s="8"/>
      <c r="G965" s="8"/>
      <c r="H965" s="539"/>
      <c r="I965" s="8"/>
      <c r="J965" s="8"/>
      <c r="K965" s="8"/>
      <c r="L965" s="8"/>
      <c r="M965" s="8"/>
      <c r="N965" s="8"/>
      <c r="O965" s="8"/>
      <c r="P965" s="539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538"/>
      <c r="F966" s="8"/>
      <c r="G966" s="8"/>
      <c r="H966" s="539"/>
      <c r="I966" s="8"/>
      <c r="J966" s="8"/>
      <c r="K966" s="8"/>
      <c r="L966" s="8"/>
      <c r="M966" s="8"/>
      <c r="N966" s="8"/>
      <c r="O966" s="8"/>
      <c r="P966" s="539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538"/>
      <c r="F967" s="8"/>
      <c r="G967" s="8"/>
      <c r="H967" s="539"/>
      <c r="I967" s="8"/>
      <c r="J967" s="8"/>
      <c r="K967" s="8"/>
      <c r="L967" s="8"/>
      <c r="M967" s="8"/>
      <c r="N967" s="8"/>
      <c r="O967" s="8"/>
      <c r="P967" s="539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538"/>
      <c r="F968" s="8"/>
      <c r="G968" s="8"/>
      <c r="H968" s="539"/>
      <c r="I968" s="8"/>
      <c r="J968" s="8"/>
      <c r="K968" s="8"/>
      <c r="L968" s="8"/>
      <c r="M968" s="8"/>
      <c r="N968" s="8"/>
      <c r="O968" s="8"/>
      <c r="P968" s="539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538"/>
      <c r="F969" s="8"/>
      <c r="G969" s="8"/>
      <c r="H969" s="539"/>
      <c r="I969" s="8"/>
      <c r="J969" s="8"/>
      <c r="K969" s="8"/>
      <c r="L969" s="8"/>
      <c r="M969" s="8"/>
      <c r="N969" s="8"/>
      <c r="O969" s="8"/>
      <c r="P969" s="539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538"/>
      <c r="F970" s="8"/>
      <c r="G970" s="8"/>
      <c r="H970" s="539"/>
      <c r="I970" s="8"/>
      <c r="J970" s="8"/>
      <c r="K970" s="8"/>
      <c r="L970" s="8"/>
      <c r="M970" s="8"/>
      <c r="N970" s="8"/>
      <c r="O970" s="8"/>
      <c r="P970" s="539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538"/>
      <c r="F971" s="8"/>
      <c r="G971" s="8"/>
      <c r="H971" s="539"/>
      <c r="I971" s="8"/>
      <c r="J971" s="8"/>
      <c r="K971" s="8"/>
      <c r="L971" s="8"/>
      <c r="M971" s="8"/>
      <c r="N971" s="8"/>
      <c r="O971" s="8"/>
      <c r="P971" s="539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538"/>
      <c r="F972" s="8"/>
      <c r="G972" s="8"/>
      <c r="H972" s="539"/>
      <c r="I972" s="8"/>
      <c r="J972" s="8"/>
      <c r="K972" s="8"/>
      <c r="L972" s="8"/>
      <c r="M972" s="8"/>
      <c r="N972" s="8"/>
      <c r="O972" s="8"/>
      <c r="P972" s="539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538"/>
      <c r="F973" s="8"/>
      <c r="G973" s="8"/>
      <c r="H973" s="539"/>
      <c r="I973" s="8"/>
      <c r="J973" s="8"/>
      <c r="K973" s="8"/>
      <c r="L973" s="8"/>
      <c r="M973" s="8"/>
      <c r="N973" s="8"/>
      <c r="O973" s="8"/>
      <c r="P973" s="539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538"/>
      <c r="F974" s="8"/>
      <c r="G974" s="8"/>
      <c r="H974" s="539"/>
      <c r="I974" s="8"/>
      <c r="J974" s="8"/>
      <c r="K974" s="8"/>
      <c r="L974" s="8"/>
      <c r="M974" s="8"/>
      <c r="N974" s="8"/>
      <c r="O974" s="8"/>
      <c r="P974" s="539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538"/>
      <c r="F975" s="8"/>
      <c r="G975" s="8"/>
      <c r="H975" s="539"/>
      <c r="I975" s="8"/>
      <c r="J975" s="8"/>
      <c r="K975" s="8"/>
      <c r="L975" s="8"/>
      <c r="M975" s="8"/>
      <c r="N975" s="8"/>
      <c r="O975" s="8"/>
      <c r="P975" s="539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538"/>
      <c r="F976" s="8"/>
      <c r="G976" s="8"/>
      <c r="H976" s="539"/>
      <c r="I976" s="8"/>
      <c r="J976" s="8"/>
      <c r="K976" s="8"/>
      <c r="L976" s="8"/>
      <c r="M976" s="8"/>
      <c r="N976" s="8"/>
      <c r="O976" s="8"/>
      <c r="P976" s="539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538"/>
      <c r="F977" s="8"/>
      <c r="G977" s="8"/>
      <c r="H977" s="539"/>
      <c r="I977" s="8"/>
      <c r="J977" s="8"/>
      <c r="K977" s="8"/>
      <c r="L977" s="8"/>
      <c r="M977" s="8"/>
      <c r="N977" s="8"/>
      <c r="O977" s="8"/>
      <c r="P977" s="539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538"/>
      <c r="F978" s="8"/>
      <c r="G978" s="8"/>
      <c r="H978" s="539"/>
      <c r="I978" s="8"/>
      <c r="J978" s="8"/>
      <c r="K978" s="8"/>
      <c r="L978" s="8"/>
      <c r="M978" s="8"/>
      <c r="N978" s="8"/>
      <c r="O978" s="8"/>
      <c r="P978" s="539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538"/>
      <c r="F979" s="8"/>
      <c r="G979" s="8"/>
      <c r="H979" s="539"/>
      <c r="I979" s="8"/>
      <c r="J979" s="8"/>
      <c r="K979" s="8"/>
      <c r="L979" s="8"/>
      <c r="M979" s="8"/>
      <c r="N979" s="8"/>
      <c r="O979" s="8"/>
      <c r="P979" s="539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538"/>
      <c r="F980" s="8"/>
      <c r="G980" s="8"/>
      <c r="H980" s="539"/>
      <c r="I980" s="8"/>
      <c r="J980" s="8"/>
      <c r="K980" s="8"/>
      <c r="L980" s="8"/>
      <c r="M980" s="8"/>
      <c r="N980" s="8"/>
      <c r="O980" s="8"/>
      <c r="P980" s="539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538"/>
      <c r="F981" s="8"/>
      <c r="G981" s="8"/>
      <c r="H981" s="539"/>
      <c r="I981" s="8"/>
      <c r="J981" s="8"/>
      <c r="K981" s="8"/>
      <c r="L981" s="8"/>
      <c r="M981" s="8"/>
      <c r="N981" s="8"/>
      <c r="O981" s="8"/>
      <c r="P981" s="539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538"/>
      <c r="F982" s="8"/>
      <c r="G982" s="8"/>
      <c r="H982" s="539"/>
      <c r="I982" s="8"/>
      <c r="J982" s="8"/>
      <c r="K982" s="8"/>
      <c r="L982" s="8"/>
      <c r="M982" s="8"/>
      <c r="N982" s="8"/>
      <c r="O982" s="8"/>
      <c r="P982" s="539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538"/>
      <c r="F983" s="8"/>
      <c r="G983" s="8"/>
      <c r="H983" s="539"/>
      <c r="I983" s="8"/>
      <c r="J983" s="8"/>
      <c r="K983" s="8"/>
      <c r="L983" s="8"/>
      <c r="M983" s="8"/>
      <c r="N983" s="8"/>
      <c r="O983" s="8"/>
      <c r="P983" s="539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538"/>
      <c r="F984" s="8"/>
      <c r="G984" s="8"/>
      <c r="H984" s="539"/>
      <c r="I984" s="8"/>
      <c r="J984" s="8"/>
      <c r="K984" s="8"/>
      <c r="L984" s="8"/>
      <c r="M984" s="8"/>
      <c r="N984" s="8"/>
      <c r="O984" s="8"/>
      <c r="P984" s="539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538"/>
      <c r="F985" s="8"/>
      <c r="G985" s="8"/>
      <c r="H985" s="539"/>
      <c r="I985" s="8"/>
      <c r="J985" s="8"/>
      <c r="K985" s="8"/>
      <c r="L985" s="8"/>
      <c r="M985" s="8"/>
      <c r="N985" s="8"/>
      <c r="O985" s="8"/>
      <c r="P985" s="539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538"/>
      <c r="F986" s="8"/>
      <c r="G986" s="8"/>
      <c r="H986" s="539"/>
      <c r="I986" s="8"/>
      <c r="J986" s="8"/>
      <c r="K986" s="8"/>
      <c r="L986" s="8"/>
      <c r="M986" s="8"/>
      <c r="N986" s="8"/>
      <c r="O986" s="8"/>
      <c r="P986" s="539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538"/>
      <c r="F987" s="8"/>
      <c r="G987" s="8"/>
      <c r="H987" s="539"/>
      <c r="I987" s="8"/>
      <c r="J987" s="8"/>
      <c r="K987" s="8"/>
      <c r="L987" s="8"/>
      <c r="M987" s="8"/>
      <c r="N987" s="8"/>
      <c r="O987" s="8"/>
      <c r="P987" s="539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538"/>
      <c r="F988" s="8"/>
      <c r="G988" s="8"/>
      <c r="H988" s="539"/>
      <c r="I988" s="8"/>
      <c r="J988" s="8"/>
      <c r="K988" s="8"/>
      <c r="L988" s="8"/>
      <c r="M988" s="8"/>
      <c r="N988" s="8"/>
      <c r="O988" s="8"/>
      <c r="P988" s="539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538"/>
      <c r="F989" s="8"/>
      <c r="G989" s="8"/>
      <c r="H989" s="539"/>
      <c r="I989" s="8"/>
      <c r="J989" s="8"/>
      <c r="K989" s="8"/>
      <c r="L989" s="8"/>
      <c r="M989" s="8"/>
      <c r="N989" s="8"/>
      <c r="O989" s="8"/>
      <c r="P989" s="539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538"/>
      <c r="F990" s="8"/>
      <c r="G990" s="8"/>
      <c r="H990" s="539"/>
      <c r="I990" s="8"/>
      <c r="J990" s="8"/>
      <c r="K990" s="8"/>
      <c r="L990" s="8"/>
      <c r="M990" s="8"/>
      <c r="N990" s="8"/>
      <c r="O990" s="8"/>
      <c r="P990" s="539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538"/>
      <c r="F991" s="8"/>
      <c r="G991" s="8"/>
      <c r="H991" s="539"/>
      <c r="I991" s="8"/>
      <c r="J991" s="8"/>
      <c r="K991" s="8"/>
      <c r="L991" s="8"/>
      <c r="M991" s="8"/>
      <c r="N991" s="8"/>
      <c r="O991" s="8"/>
      <c r="P991" s="539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538"/>
      <c r="F992" s="8"/>
      <c r="G992" s="8"/>
      <c r="H992" s="539"/>
      <c r="I992" s="8"/>
      <c r="J992" s="8"/>
      <c r="K992" s="8"/>
      <c r="L992" s="8"/>
      <c r="M992" s="8"/>
      <c r="N992" s="8"/>
      <c r="O992" s="8"/>
      <c r="P992" s="539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538"/>
      <c r="F993" s="8"/>
      <c r="G993" s="8"/>
      <c r="H993" s="539"/>
      <c r="I993" s="8"/>
      <c r="J993" s="8"/>
      <c r="K993" s="8"/>
      <c r="L993" s="8"/>
      <c r="M993" s="8"/>
      <c r="N993" s="8"/>
      <c r="O993" s="8"/>
      <c r="P993" s="539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538"/>
      <c r="F994" s="8"/>
      <c r="G994" s="8"/>
      <c r="H994" s="539"/>
      <c r="I994" s="8"/>
      <c r="J994" s="8"/>
      <c r="K994" s="8"/>
      <c r="L994" s="8"/>
      <c r="M994" s="8"/>
      <c r="N994" s="8"/>
      <c r="O994" s="8"/>
      <c r="P994" s="539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538"/>
      <c r="F995" s="8"/>
      <c r="G995" s="8"/>
      <c r="H995" s="539"/>
      <c r="I995" s="8"/>
      <c r="J995" s="8"/>
      <c r="K995" s="8"/>
      <c r="L995" s="8"/>
      <c r="M995" s="8"/>
      <c r="N995" s="8"/>
      <c r="O995" s="8"/>
      <c r="P995" s="539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538"/>
      <c r="F996" s="8"/>
      <c r="G996" s="8"/>
      <c r="H996" s="539"/>
      <c r="I996" s="8"/>
      <c r="J996" s="8"/>
      <c r="K996" s="8"/>
      <c r="L996" s="8"/>
      <c r="M996" s="8"/>
      <c r="N996" s="8"/>
      <c r="O996" s="8"/>
      <c r="P996" s="539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538"/>
      <c r="F997" s="8"/>
      <c r="G997" s="8"/>
      <c r="H997" s="539"/>
      <c r="I997" s="8"/>
      <c r="J997" s="8"/>
      <c r="K997" s="8"/>
      <c r="L997" s="8"/>
      <c r="M997" s="8"/>
      <c r="N997" s="8"/>
      <c r="O997" s="8"/>
      <c r="P997" s="539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538"/>
      <c r="F998" s="8"/>
      <c r="G998" s="8"/>
      <c r="H998" s="539"/>
      <c r="I998" s="8"/>
      <c r="J998" s="8"/>
      <c r="K998" s="8"/>
      <c r="L998" s="8"/>
      <c r="M998" s="8"/>
      <c r="N998" s="8"/>
      <c r="O998" s="8"/>
      <c r="P998" s="539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538"/>
      <c r="F999" s="8"/>
      <c r="G999" s="8"/>
      <c r="H999" s="539"/>
      <c r="I999" s="8"/>
      <c r="J999" s="8"/>
      <c r="K999" s="8"/>
      <c r="L999" s="8"/>
      <c r="M999" s="8"/>
      <c r="N999" s="8"/>
      <c r="O999" s="8"/>
      <c r="P999" s="539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538"/>
      <c r="F1000" s="8"/>
      <c r="G1000" s="8"/>
      <c r="H1000" s="539"/>
      <c r="I1000" s="8"/>
      <c r="J1000" s="8"/>
      <c r="K1000" s="8"/>
      <c r="L1000" s="8"/>
      <c r="M1000" s="8"/>
      <c r="N1000" s="8"/>
      <c r="O1000" s="8"/>
      <c r="P1000" s="539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mergeCells count="120">
    <mergeCell ref="Q348:Q352"/>
    <mergeCell ref="Q342:Q346"/>
    <mergeCell ref="Q291:Q295"/>
    <mergeCell ref="Q280:Q284"/>
    <mergeCell ref="Q13:Q17"/>
    <mergeCell ref="Q19:Q23"/>
    <mergeCell ref="Q30:Q34"/>
    <mergeCell ref="Q103:Q107"/>
    <mergeCell ref="Q87:Q91"/>
    <mergeCell ref="Q81:Q85"/>
    <mergeCell ref="Q178:Q182"/>
    <mergeCell ref="Q172:Q176"/>
    <mergeCell ref="Q161:Q165"/>
    <mergeCell ref="Q189:Q193"/>
    <mergeCell ref="Q109:Q113"/>
    <mergeCell ref="Q325:Q329"/>
    <mergeCell ref="Q331:Q335"/>
    <mergeCell ref="Q314:Q318"/>
    <mergeCell ref="Q308:Q312"/>
    <mergeCell ref="Q297:Q301"/>
    <mergeCell ref="Q223:Q227"/>
    <mergeCell ref="Q195:Q199"/>
    <mergeCell ref="Q70:Q74"/>
    <mergeCell ref="Q138:Q142"/>
    <mergeCell ref="Q126:Q130"/>
    <mergeCell ref="Q120:Q124"/>
    <mergeCell ref="I172:I176"/>
    <mergeCell ref="I189:I193"/>
    <mergeCell ref="I178:I182"/>
    <mergeCell ref="I240:I244"/>
    <mergeCell ref="I223:I227"/>
    <mergeCell ref="I229:I233"/>
    <mergeCell ref="I246:I250"/>
    <mergeCell ref="I103:I107"/>
    <mergeCell ref="Q36:Q40"/>
    <mergeCell ref="Q47:Q51"/>
    <mergeCell ref="I70:I74"/>
    <mergeCell ref="Q229:Q233"/>
    <mergeCell ref="I195:I199"/>
    <mergeCell ref="Q64:Q68"/>
    <mergeCell ref="Q53:Q57"/>
    <mergeCell ref="I109:I113"/>
    <mergeCell ref="I161:I165"/>
    <mergeCell ref="I126:I130"/>
    <mergeCell ref="I138:I142"/>
    <mergeCell ref="I144:I148"/>
    <mergeCell ref="I120:I124"/>
    <mergeCell ref="I155:I159"/>
    <mergeCell ref="I87:I91"/>
    <mergeCell ref="I81:I85"/>
    <mergeCell ref="I274:I278"/>
    <mergeCell ref="Q274:Q278"/>
    <mergeCell ref="Q240:Q244"/>
    <mergeCell ref="Q246:Q250"/>
    <mergeCell ref="Q257:Q261"/>
    <mergeCell ref="Q263:Q267"/>
    <mergeCell ref="Q212:Q216"/>
    <mergeCell ref="Q206:Q210"/>
    <mergeCell ref="Q144:Q148"/>
    <mergeCell ref="Q155:Q159"/>
    <mergeCell ref="I263:I267"/>
    <mergeCell ref="I257:I261"/>
    <mergeCell ref="I280:I284"/>
    <mergeCell ref="I308:I312"/>
    <mergeCell ref="I291:I295"/>
    <mergeCell ref="I297:I301"/>
    <mergeCell ref="I47:I51"/>
    <mergeCell ref="I53:I57"/>
    <mergeCell ref="I64:I68"/>
    <mergeCell ref="I314:I318"/>
    <mergeCell ref="I331:I335"/>
    <mergeCell ref="I325:I329"/>
    <mergeCell ref="I348:I352"/>
    <mergeCell ref="I342:I346"/>
    <mergeCell ref="A291:A295"/>
    <mergeCell ref="A274:A278"/>
    <mergeCell ref="A280:A284"/>
    <mergeCell ref="A263:A267"/>
    <mergeCell ref="A257:A261"/>
    <mergeCell ref="A325:A329"/>
    <mergeCell ref="A342:A346"/>
    <mergeCell ref="A348:A352"/>
    <mergeCell ref="A331:A335"/>
    <mergeCell ref="A297:A301"/>
    <mergeCell ref="A314:A318"/>
    <mergeCell ref="A308:A312"/>
    <mergeCell ref="A47:A51"/>
    <mergeCell ref="A19:A23"/>
    <mergeCell ref="A36:A40"/>
    <mergeCell ref="A30:A34"/>
    <mergeCell ref="I36:I40"/>
    <mergeCell ref="I13:I17"/>
    <mergeCell ref="I19:I23"/>
    <mergeCell ref="I30:I34"/>
    <mergeCell ref="I212:I216"/>
    <mergeCell ref="I206:I210"/>
    <mergeCell ref="A240:A244"/>
    <mergeCell ref="A223:A227"/>
    <mergeCell ref="A229:A233"/>
    <mergeCell ref="A246:A250"/>
    <mergeCell ref="A70:A74"/>
    <mergeCell ref="A109:A113"/>
    <mergeCell ref="A120:A124"/>
    <mergeCell ref="A126:A130"/>
    <mergeCell ref="A103:A107"/>
    <mergeCell ref="A64:A68"/>
    <mergeCell ref="A81:A85"/>
    <mergeCell ref="A87:A91"/>
    <mergeCell ref="A53:A57"/>
    <mergeCell ref="A13:A17"/>
    <mergeCell ref="A189:A193"/>
    <mergeCell ref="A195:A199"/>
    <mergeCell ref="A178:A182"/>
    <mergeCell ref="A172:A176"/>
    <mergeCell ref="A155:A159"/>
    <mergeCell ref="A161:A165"/>
    <mergeCell ref="A138:A142"/>
    <mergeCell ref="A144:A148"/>
    <mergeCell ref="A206:A210"/>
    <mergeCell ref="A212:A216"/>
  </mergeCells>
  <hyperlinks>
    <hyperlink r:id="rId1" ref="B11"/>
    <hyperlink r:id="rId2" ref="B28"/>
  </hyperlinks>
  <drawing r:id="rId3"/>
</worksheet>
</file>