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Ejercicio 1 (2)" sheetId="5" r:id="rId1"/>
    <sheet name="ejercicio 2" sheetId="2" r:id="rId2"/>
    <sheet name="ejercicio 3" sheetId="3" r:id="rId3"/>
    <sheet name="ejercicio 4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5" i="2"/>
  <c r="I9" i="2"/>
  <c r="G5" i="2"/>
  <c r="E6" i="2"/>
  <c r="C71" i="5"/>
  <c r="B71" i="5"/>
  <c r="B52" i="5"/>
  <c r="C67" i="5"/>
  <c r="H46" i="5"/>
  <c r="G46" i="5"/>
  <c r="F46" i="5"/>
  <c r="E46" i="5"/>
  <c r="D46" i="5"/>
  <c r="C46" i="5"/>
  <c r="C30" i="5"/>
  <c r="E29" i="5"/>
  <c r="D11" i="5"/>
  <c r="D19" i="5" s="1"/>
  <c r="C11" i="5"/>
  <c r="C19" i="5" s="1"/>
  <c r="H10" i="5"/>
  <c r="H29" i="5" s="1"/>
  <c r="G10" i="5"/>
  <c r="G29" i="5" s="1"/>
  <c r="F10" i="5"/>
  <c r="F29" i="5" s="1"/>
  <c r="E10" i="5"/>
  <c r="E18" i="5" s="1"/>
  <c r="D10" i="5"/>
  <c r="D29" i="5" s="1"/>
  <c r="C10" i="5"/>
  <c r="C37" i="5" s="1"/>
  <c r="B10" i="5"/>
  <c r="B18" i="5" s="1"/>
  <c r="D7" i="5"/>
  <c r="C7" i="5"/>
  <c r="B7" i="5"/>
  <c r="D6" i="5"/>
  <c r="E6" i="5" s="1"/>
  <c r="E69" i="5" l="1"/>
  <c r="E37" i="5"/>
  <c r="C48" i="5"/>
  <c r="B69" i="5"/>
  <c r="B20" i="5"/>
  <c r="D47" i="5"/>
  <c r="D48" i="5" s="1"/>
  <c r="D70" i="5"/>
  <c r="C70" i="5"/>
  <c r="F11" i="5"/>
  <c r="E7" i="5"/>
  <c r="F6" i="5"/>
  <c r="F18" i="5"/>
  <c r="E11" i="5"/>
  <c r="B12" i="5"/>
  <c r="C18" i="5"/>
  <c r="G18" i="5"/>
  <c r="B29" i="5"/>
  <c r="D30" i="5"/>
  <c r="D31" i="5" s="1"/>
  <c r="C38" i="5"/>
  <c r="C39" i="5" s="1"/>
  <c r="C12" i="5"/>
  <c r="D18" i="5"/>
  <c r="H18" i="5"/>
  <c r="C29" i="5"/>
  <c r="C31" i="5" s="1"/>
  <c r="B37" i="5"/>
  <c r="D38" i="5"/>
  <c r="C47" i="5"/>
  <c r="D12" i="5"/>
  <c r="B46" i="5"/>
  <c r="C11" i="4"/>
  <c r="C10" i="4"/>
  <c r="C9" i="4"/>
  <c r="C8" i="4"/>
  <c r="C7" i="4"/>
  <c r="C6" i="4"/>
  <c r="J5" i="4"/>
  <c r="J4" i="4"/>
  <c r="G6" i="4"/>
  <c r="J6" i="4" s="1"/>
  <c r="G5" i="4"/>
  <c r="G4" i="4"/>
  <c r="D7" i="4"/>
  <c r="G7" i="4" s="1"/>
  <c r="J7" i="4" s="1"/>
  <c r="F6" i="4"/>
  <c r="H6" i="4" s="1"/>
  <c r="F5" i="4"/>
  <c r="I5" i="4" s="1"/>
  <c r="F4" i="4"/>
  <c r="I4" i="4" s="1"/>
  <c r="C60" i="5" l="1"/>
  <c r="G37" i="5"/>
  <c r="G69" i="5"/>
  <c r="E38" i="5"/>
  <c r="E39" i="5" s="1"/>
  <c r="E30" i="5"/>
  <c r="E31" i="5" s="1"/>
  <c r="E19" i="5"/>
  <c r="E12" i="5"/>
  <c r="F30" i="5"/>
  <c r="F31" i="5" s="1"/>
  <c r="F19" i="5"/>
  <c r="F20" i="5" s="1"/>
  <c r="F38" i="5"/>
  <c r="B39" i="5"/>
  <c r="H69" i="5"/>
  <c r="H37" i="5"/>
  <c r="C69" i="5"/>
  <c r="C20" i="5"/>
  <c r="F37" i="5"/>
  <c r="F69" i="5"/>
  <c r="B31" i="5"/>
  <c r="B48" i="5"/>
  <c r="D69" i="5"/>
  <c r="D20" i="5"/>
  <c r="D37" i="5"/>
  <c r="D39" i="5" s="1"/>
  <c r="F12" i="5"/>
  <c r="G11" i="5"/>
  <c r="F7" i="5"/>
  <c r="G6" i="5"/>
  <c r="D8" i="4"/>
  <c r="I6" i="4"/>
  <c r="H5" i="4"/>
  <c r="H4" i="4"/>
  <c r="K4" i="4"/>
  <c r="K5" i="4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G19" i="5" l="1"/>
  <c r="G38" i="5"/>
  <c r="G30" i="5"/>
  <c r="G12" i="5"/>
  <c r="D71" i="5"/>
  <c r="F70" i="5"/>
  <c r="F47" i="5"/>
  <c r="F48" i="5" s="1"/>
  <c r="G39" i="5"/>
  <c r="G7" i="5"/>
  <c r="H11" i="5"/>
  <c r="E70" i="5"/>
  <c r="E47" i="5"/>
  <c r="E20" i="5"/>
  <c r="F39" i="5"/>
  <c r="D9" i="4"/>
  <c r="K6" i="4"/>
  <c r="F8" i="4"/>
  <c r="G8" i="4"/>
  <c r="J8" i="4" s="1"/>
  <c r="F7" i="4"/>
  <c r="M16" i="3"/>
  <c r="F16" i="3"/>
  <c r="Y9" i="2"/>
  <c r="Y10" i="2" s="1"/>
  <c r="Y11" i="2" s="1"/>
  <c r="Y12" i="2" s="1"/>
  <c r="V21" i="2"/>
  <c r="V20" i="2"/>
  <c r="Y18" i="2"/>
  <c r="Y17" i="2"/>
  <c r="X8" i="2"/>
  <c r="X7" i="2"/>
  <c r="W12" i="2"/>
  <c r="W11" i="2"/>
  <c r="W10" i="2"/>
  <c r="W9" i="2"/>
  <c r="W6" i="2"/>
  <c r="W5" i="2"/>
  <c r="U12" i="2"/>
  <c r="X12" i="2" s="1"/>
  <c r="U11" i="2"/>
  <c r="X11" i="2" s="1"/>
  <c r="U10" i="2"/>
  <c r="X10" i="2" s="1"/>
  <c r="U9" i="2"/>
  <c r="X9" i="2" s="1"/>
  <c r="U8" i="2"/>
  <c r="U6" i="2"/>
  <c r="T8" i="2"/>
  <c r="W8" i="2" s="1"/>
  <c r="R12" i="2"/>
  <c r="R11" i="2"/>
  <c r="I21" i="2"/>
  <c r="I20" i="2"/>
  <c r="L19" i="2"/>
  <c r="L18" i="2"/>
  <c r="L17" i="2"/>
  <c r="I18" i="2"/>
  <c r="I16" i="2"/>
  <c r="L7" i="2"/>
  <c r="L8" i="2" s="1"/>
  <c r="L9" i="2" s="1"/>
  <c r="L10" i="2" s="1"/>
  <c r="L11" i="2" s="1"/>
  <c r="L12" i="2" s="1"/>
  <c r="L6" i="2"/>
  <c r="K14" i="2"/>
  <c r="J14" i="2"/>
  <c r="K12" i="2"/>
  <c r="K11" i="2"/>
  <c r="K10" i="2"/>
  <c r="K9" i="2"/>
  <c r="K8" i="2"/>
  <c r="K7" i="2"/>
  <c r="K6" i="2"/>
  <c r="K5" i="2"/>
  <c r="J12" i="2"/>
  <c r="J11" i="2"/>
  <c r="J10" i="2"/>
  <c r="J9" i="2"/>
  <c r="J8" i="2"/>
  <c r="J7" i="2"/>
  <c r="J6" i="2"/>
  <c r="I12" i="2"/>
  <c r="I11" i="2"/>
  <c r="I10" i="2"/>
  <c r="I8" i="2"/>
  <c r="I7" i="2"/>
  <c r="I5" i="2"/>
  <c r="H12" i="2"/>
  <c r="H11" i="2"/>
  <c r="H10" i="2"/>
  <c r="H9" i="2"/>
  <c r="H8" i="2"/>
  <c r="H7" i="2"/>
  <c r="H6" i="2"/>
  <c r="H5" i="2"/>
  <c r="G12" i="2"/>
  <c r="G11" i="2"/>
  <c r="G10" i="2"/>
  <c r="G9" i="2"/>
  <c r="G8" i="2"/>
  <c r="G7" i="2"/>
  <c r="E12" i="2"/>
  <c r="E11" i="2"/>
  <c r="E10" i="2"/>
  <c r="E9" i="2"/>
  <c r="E8" i="2"/>
  <c r="E7" i="2"/>
  <c r="R10" i="2"/>
  <c r="R9" i="2"/>
  <c r="R8" i="2"/>
  <c r="U7" i="2"/>
  <c r="T7" i="2"/>
  <c r="W7" i="2" s="1"/>
  <c r="R7" i="2"/>
  <c r="X6" i="2"/>
  <c r="T6" i="2"/>
  <c r="R6" i="2"/>
  <c r="G6" i="2"/>
  <c r="I6" i="2" s="1"/>
  <c r="U5" i="2"/>
  <c r="T5" i="2"/>
  <c r="H38" i="5" l="1"/>
  <c r="H30" i="5"/>
  <c r="H31" i="5" s="1"/>
  <c r="H19" i="5"/>
  <c r="H12" i="5"/>
  <c r="E48" i="5"/>
  <c r="G31" i="5"/>
  <c r="B32" i="5"/>
  <c r="E71" i="5"/>
  <c r="F71" i="5" s="1"/>
  <c r="G70" i="5"/>
  <c r="G47" i="5"/>
  <c r="G48" i="5" s="1"/>
  <c r="G20" i="5"/>
  <c r="I7" i="4"/>
  <c r="H7" i="4"/>
  <c r="I8" i="4"/>
  <c r="H8" i="4"/>
  <c r="D10" i="4"/>
  <c r="G10" i="4"/>
  <c r="J10" i="4" s="1"/>
  <c r="K7" i="4"/>
  <c r="G9" i="4"/>
  <c r="J9" i="4" s="1"/>
  <c r="V9" i="2"/>
  <c r="V12" i="2"/>
  <c r="X14" i="2"/>
  <c r="V10" i="2"/>
  <c r="V11" i="2"/>
  <c r="Y7" i="2"/>
  <c r="Y8" i="2" s="1"/>
  <c r="W14" i="2"/>
  <c r="V8" i="2"/>
  <c r="V22" i="2"/>
  <c r="V7" i="2"/>
  <c r="V6" i="2"/>
  <c r="Y5" i="2"/>
  <c r="I22" i="2"/>
  <c r="V5" i="2"/>
  <c r="X5" i="2"/>
  <c r="G71" i="5" l="1"/>
  <c r="H47" i="5"/>
  <c r="H70" i="5"/>
  <c r="H71" i="5" s="1"/>
  <c r="H20" i="5"/>
  <c r="C59" i="5"/>
  <c r="B62" i="5" s="1"/>
  <c r="B21" i="5"/>
  <c r="H39" i="5"/>
  <c r="B40" i="5"/>
  <c r="K8" i="4"/>
  <c r="G11" i="4"/>
  <c r="J11" i="4" s="1"/>
  <c r="D11" i="4"/>
  <c r="F9" i="4"/>
  <c r="V18" i="2"/>
  <c r="V16" i="2"/>
  <c r="Y6" i="2"/>
  <c r="H48" i="5" l="1"/>
  <c r="B49" i="5"/>
  <c r="I9" i="4"/>
  <c r="H9" i="4"/>
  <c r="F10" i="4"/>
  <c r="F12" i="4"/>
  <c r="G12" i="4"/>
  <c r="J12" i="4" s="1"/>
  <c r="J15" i="4" s="1"/>
  <c r="I12" i="4" l="1"/>
  <c r="H12" i="4"/>
  <c r="I10" i="4"/>
  <c r="H10" i="4"/>
  <c r="F11" i="4"/>
  <c r="K9" i="4"/>
  <c r="K10" i="4" l="1"/>
  <c r="I11" i="4"/>
  <c r="I15" i="4" s="1"/>
  <c r="H11" i="4"/>
  <c r="J18" i="4" l="1"/>
  <c r="J20" i="4"/>
  <c r="K11" i="4"/>
</calcChain>
</file>

<file path=xl/sharedStrings.xml><?xml version="1.0" encoding="utf-8"?>
<sst xmlns="http://schemas.openxmlformats.org/spreadsheetml/2006/main" count="166" uniqueCount="97">
  <si>
    <t>ejercicio 1</t>
  </si>
  <si>
    <t>Egresos</t>
  </si>
  <si>
    <t>Ingresos</t>
  </si>
  <si>
    <t>Períodos</t>
  </si>
  <si>
    <t>Crec. De ingresos</t>
  </si>
  <si>
    <t>Momentos</t>
  </si>
  <si>
    <t xml:space="preserve">Flujo continuo </t>
  </si>
  <si>
    <t>Flujo discretizado</t>
  </si>
  <si>
    <t>COK</t>
  </si>
  <si>
    <t>Flujo de fondos actualizados</t>
  </si>
  <si>
    <t>Egr.  Actualizados</t>
  </si>
  <si>
    <t>Ing. Actualizados</t>
  </si>
  <si>
    <t>Flujo neto</t>
  </si>
  <si>
    <t>Flujo Neto actualizados</t>
  </si>
  <si>
    <t>A) Cálculo de VAN</t>
  </si>
  <si>
    <t>B) Cálculo de TIR</t>
  </si>
  <si>
    <t>Probar con distintas tasas, buscar 2 donde exista un cambio de signo (raíz de un polinomio)</t>
  </si>
  <si>
    <t>Si con 22% da un VAN (+), entonces se debe probar con tasas más altas, hasta encontrar una que de (-).</t>
  </si>
  <si>
    <t>Tasa</t>
  </si>
  <si>
    <t xml:space="preserve">Prueba 1: </t>
  </si>
  <si>
    <t>VAN (30%)=</t>
  </si>
  <si>
    <t xml:space="preserve">Prueba 2: </t>
  </si>
  <si>
    <t>VAN (40%)=</t>
  </si>
  <si>
    <t xml:space="preserve">Prueba 3: </t>
  </si>
  <si>
    <t>La TIR está entre 40% y 60%</t>
  </si>
  <si>
    <t>TIR=</t>
  </si>
  <si>
    <t>C) Cálculo de RBC</t>
  </si>
  <si>
    <t>RBC(22%)=</t>
  </si>
  <si>
    <t>VAI/VAC</t>
  </si>
  <si>
    <t>Valor Actual de Ingresos / Valor Actual de Costos</t>
  </si>
  <si>
    <t>VAI=</t>
  </si>
  <si>
    <t>VAC=</t>
  </si>
  <si>
    <t>D) Período de Recup. Del Capital</t>
  </si>
  <si>
    <t xml:space="preserve">Se calcula los flujos de fondos actualizados y acumulados. </t>
  </si>
  <si>
    <t>FN Act. Y Acumulados</t>
  </si>
  <si>
    <t>El FNAA cambia de signo entre el momento 3 y 4, es decir, que se recupera la inversión en el período 4</t>
  </si>
  <si>
    <t>Para Juan</t>
  </si>
  <si>
    <t>Período</t>
  </si>
  <si>
    <t>I-E</t>
  </si>
  <si>
    <t>Momento</t>
  </si>
  <si>
    <t>Egresos discretizados</t>
  </si>
  <si>
    <t>Ingresos discretizados</t>
  </si>
  <si>
    <t>I disc.    -E Discr.</t>
  </si>
  <si>
    <t>Egresos Discret.  Actualizados</t>
  </si>
  <si>
    <t>Ingresos Discret.  Actualizados</t>
  </si>
  <si>
    <t>Acum</t>
  </si>
  <si>
    <t>Resultado</t>
  </si>
  <si>
    <t>Edisc</t>
  </si>
  <si>
    <t>Idisc</t>
  </si>
  <si>
    <t>Iact</t>
  </si>
  <si>
    <t>EgrAct</t>
  </si>
  <si>
    <t>VAN</t>
  </si>
  <si>
    <t xml:space="preserve">Resultados: </t>
  </si>
  <si>
    <t>TIR</t>
  </si>
  <si>
    <t>(1)=</t>
  </si>
  <si>
    <t xml:space="preserve">VAC: </t>
  </si>
  <si>
    <t>VAI:</t>
  </si>
  <si>
    <t>RBC=</t>
  </si>
  <si>
    <t xml:space="preserve">Conclusiones: </t>
  </si>
  <si>
    <t xml:space="preserve">El PRC no es posible calcularlo, pues todos los flujos acumulados y actualizados siguen siendo negativos hasta el último período. </t>
  </si>
  <si>
    <t>Todos los indicadores calculados implican la conveniencia de ACEPTAR el proyecto/propuesta analizado.</t>
  </si>
  <si>
    <t>(1)= la posibilidad de calcuarlo "a mano" requiere utilizar distintas tasas. El valor de la TIR, se encontrará</t>
  </si>
  <si>
    <t>entre 2 valores cuyo VAN sea de distinto signo, es decir por aproximaciones sucesivas, tal como calculaban</t>
  </si>
  <si>
    <t>la raíz de una función.</t>
  </si>
  <si>
    <t>Proyecto A (en millones de $)</t>
  </si>
  <si>
    <t>COK=</t>
  </si>
  <si>
    <t>VAC ó VAEgre</t>
  </si>
  <si>
    <t>VAI</t>
  </si>
  <si>
    <t>d=24%</t>
  </si>
  <si>
    <t>VAN (20%)=</t>
  </si>
  <si>
    <t>VAN (10%)=</t>
  </si>
  <si>
    <t>VAN (5%)=</t>
  </si>
  <si>
    <t>PRC: EN EL ÚLTIMO PERÍODO AÚN NO SE RECUPERÓ</t>
  </si>
  <si>
    <r>
      <t xml:space="preserve">El van NEGATIVO  </t>
    </r>
    <r>
      <rPr>
        <b/>
        <sz val="12"/>
        <color indexed="17"/>
        <rFont val="Lucida Handwriting"/>
        <family val="4"/>
      </rPr>
      <t>para Juan</t>
    </r>
    <r>
      <rPr>
        <b/>
        <sz val="11"/>
        <color indexed="17"/>
        <rFont val="Lucida Handwriting"/>
        <family val="4"/>
      </rPr>
      <t xml:space="preserve"> </t>
    </r>
    <r>
      <rPr>
        <b/>
        <sz val="10"/>
        <rFont val="Lucida Handwriting"/>
        <family val="4"/>
      </rPr>
      <t>indica que  NO es conveniente la aceptación de la propuesta.</t>
    </r>
  </si>
  <si>
    <t>Una TIR entre 5 y 10%, menor que su  COK (24%) indica la NO conveniencia de la propuesta analizada.</t>
  </si>
  <si>
    <t xml:space="preserve">La RBC es de 0,7, lo cual al ser menor  que 1 está indicando que los ingresos son menores a los costosactualizados. </t>
  </si>
  <si>
    <t xml:space="preserve">El PRC no se encuentra en el período analizado, porque sigue siendo negativo. </t>
  </si>
  <si>
    <t>Todos los indicadores calculados implican la NO conveniencia de ACEPTAR el proyecto/propuesta analizado.</t>
  </si>
  <si>
    <t xml:space="preserve">PRC:  se recupera entre el 5 y 6 momento. </t>
  </si>
  <si>
    <r>
      <t xml:space="preserve">El van positivo indica </t>
    </r>
    <r>
      <rPr>
        <b/>
        <sz val="12"/>
        <color indexed="17"/>
        <rFont val="Lucida Handwriting"/>
        <family val="4"/>
      </rPr>
      <t>para Juan</t>
    </r>
    <r>
      <rPr>
        <b/>
        <sz val="12"/>
        <rFont val="Lucida Handwriting"/>
        <family val="4"/>
      </rPr>
      <t xml:space="preserve"> </t>
    </r>
    <r>
      <rPr>
        <b/>
        <sz val="10"/>
        <rFont val="Lucida Handwriting"/>
        <family val="4"/>
      </rPr>
      <t>que es conveniente la aceptación de la propuesta.</t>
    </r>
  </si>
  <si>
    <t>La TIR se encuentra entre el 30 y 40%, mayor que el  COK indica la conveniencia de la propuesta analizada.</t>
  </si>
  <si>
    <t xml:space="preserve">La RBC es de 1,3, lo cual al ser mayor que 1 está indicando, coherentemente con los otros estimadores ,  la  conveniencia de aceptar. </t>
  </si>
  <si>
    <t>Proyecto B (en millones de $)</t>
  </si>
  <si>
    <t>Ejercicio 3</t>
  </si>
  <si>
    <t>Pavimento rígido</t>
  </si>
  <si>
    <t>Pavimento flexible</t>
  </si>
  <si>
    <t>Inversión</t>
  </si>
  <si>
    <t>E discret</t>
  </si>
  <si>
    <t>E Dis. Act.</t>
  </si>
  <si>
    <t>VAC</t>
  </si>
  <si>
    <t>costos de mantenimiento</t>
  </si>
  <si>
    <t>Costos operativos</t>
  </si>
  <si>
    <t>Ejercicio 4</t>
  </si>
  <si>
    <t>RBC</t>
  </si>
  <si>
    <t>VAN (60%)=</t>
  </si>
  <si>
    <t>Ejercicio 2</t>
  </si>
  <si>
    <t>Evidentemente la TIR es mayor al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</si>
</sst>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\ #,##0.00;[Red]&quot;$&quot;\ \-#,##0.00"/>
    <numFmt numFmtId="43" formatCode="_ * #,##0.00_ ;_ * \-#,##0.00_ ;_ * &quot;-&quot;??_ ;_ @_ "/>
    <numFmt numFmtId="164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7" formatCode="_ * #,##0_ ;_ * \-#,##0_ ;_ * &quot;-&quot;??_ ;_ @_ "/>
    <numFmt numFmtId="168" formatCode="_ * #,##0.0_ ;_ * \-#,##0.0_ ;_ * &quot;-&quot;??_ ;_ @_ "/>
    <numFmt numFmtId="169" formatCode="0.000%"/>
    <numFmt numFmtId="170" formatCode="_-* #,##0.0\ _€_-;\-* #,##0.0\ _€_-;_-* &quot;-&quot;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indexed="17"/>
      <name val="Lucida Handwriting"/>
      <family val="4"/>
    </font>
    <font>
      <b/>
      <sz val="10"/>
      <name val="Arial"/>
      <family val="2"/>
    </font>
    <font>
      <sz val="10"/>
      <name val="Arial"/>
      <family val="2"/>
    </font>
    <font>
      <b/>
      <sz val="10"/>
      <name val="Lucida Handwriting"/>
      <family val="4"/>
    </font>
    <font>
      <sz val="10"/>
      <color indexed="10"/>
      <name val="Arial"/>
      <family val="2"/>
    </font>
    <font>
      <b/>
      <sz val="12"/>
      <color indexed="17"/>
      <name val="Lucida Handwriting"/>
      <family val="4"/>
    </font>
    <font>
      <b/>
      <sz val="11"/>
      <color indexed="17"/>
      <name val="Lucida Handwriting"/>
      <family val="4"/>
    </font>
    <font>
      <b/>
      <sz val="12"/>
      <name val="Lucida Handwriting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9" fontId="0" fillId="0" borderId="0" xfId="0" applyNumberFormat="1"/>
    <xf numFmtId="16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0" fillId="0" borderId="1" xfId="1" applyNumberFormat="1" applyFont="1" applyBorder="1"/>
    <xf numFmtId="166" fontId="2" fillId="0" borderId="0" xfId="1" applyNumberFormat="1" applyFont="1"/>
    <xf numFmtId="0" fontId="0" fillId="0" borderId="0" xfId="0" applyFill="1" applyBorder="1"/>
    <xf numFmtId="0" fontId="0" fillId="0" borderId="1" xfId="0" applyFill="1" applyBorder="1"/>
    <xf numFmtId="164" fontId="0" fillId="0" borderId="1" xfId="1" applyFont="1" applyFill="1" applyBorder="1"/>
    <xf numFmtId="166" fontId="0" fillId="0" borderId="1" xfId="1" applyNumberFormat="1" applyFont="1" applyFill="1" applyBorder="1"/>
    <xf numFmtId="0" fontId="0" fillId="0" borderId="0" xfId="0" applyBorder="1"/>
    <xf numFmtId="9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9" fontId="2" fillId="2" borderId="0" xfId="0" applyNumberFormat="1" applyFont="1" applyFill="1" applyAlignment="1">
      <alignment horizontal="right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6" fontId="2" fillId="2" borderId="0" xfId="1" applyNumberFormat="1" applyFont="1" applyFill="1"/>
    <xf numFmtId="0" fontId="3" fillId="0" borderId="0" xfId="0" applyFont="1"/>
    <xf numFmtId="166" fontId="0" fillId="0" borderId="0" xfId="0" applyNumberFormat="1"/>
    <xf numFmtId="0" fontId="0" fillId="2" borderId="0" xfId="0" applyFill="1" applyAlignment="1">
      <alignment horizontal="right"/>
    </xf>
    <xf numFmtId="0" fontId="2" fillId="0" borderId="1" xfId="0" applyFont="1" applyFill="1" applyBorder="1"/>
    <xf numFmtId="166" fontId="2" fillId="0" borderId="1" xfId="1" applyNumberFormat="1" applyFont="1" applyBorder="1"/>
    <xf numFmtId="0" fontId="4" fillId="0" borderId="0" xfId="0" applyFont="1"/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43" fontId="0" fillId="0" borderId="0" xfId="0" applyNumberFormat="1" applyFill="1" applyBorder="1"/>
    <xf numFmtId="43" fontId="0" fillId="0" borderId="1" xfId="0" applyNumberFormat="1" applyFill="1" applyBorder="1"/>
    <xf numFmtId="167" fontId="0" fillId="0" borderId="1" xfId="1" applyNumberFormat="1" applyFont="1" applyFill="1" applyBorder="1" applyAlignment="1">
      <alignment horizontal="left" indent="1"/>
    </xf>
    <xf numFmtId="168" fontId="0" fillId="0" borderId="0" xfId="1" applyNumberFormat="1" applyFont="1" applyFill="1" applyBorder="1"/>
    <xf numFmtId="168" fontId="0" fillId="0" borderId="1" xfId="1" applyNumberFormat="1" applyFont="1" applyFill="1" applyBorder="1"/>
    <xf numFmtId="0" fontId="0" fillId="3" borderId="0" xfId="0" applyFill="1"/>
    <xf numFmtId="8" fontId="7" fillId="0" borderId="0" xfId="0" applyNumberFormat="1" applyFont="1"/>
    <xf numFmtId="0" fontId="0" fillId="0" borderId="4" xfId="0" applyBorder="1"/>
    <xf numFmtId="0" fontId="0" fillId="0" borderId="5" xfId="0" applyBorder="1"/>
    <xf numFmtId="8" fontId="5" fillId="0" borderId="6" xfId="0" applyNumberFormat="1" applyFont="1" applyBorder="1"/>
    <xf numFmtId="8" fontId="0" fillId="0" borderId="0" xfId="0" applyNumberFormat="1"/>
    <xf numFmtId="8" fontId="0" fillId="0" borderId="0" xfId="0" applyNumberFormat="1" applyFill="1"/>
    <xf numFmtId="8" fontId="5" fillId="0" borderId="0" xfId="0" applyNumberFormat="1" applyFont="1"/>
    <xf numFmtId="169" fontId="5" fillId="0" borderId="6" xfId="0" applyNumberFormat="1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9" fontId="0" fillId="0" borderId="0" xfId="0" applyNumberFormat="1" applyFill="1" applyAlignment="1">
      <alignment horizontal="center"/>
    </xf>
    <xf numFmtId="9" fontId="8" fillId="0" borderId="0" xfId="0" applyNumberFormat="1" applyFont="1"/>
    <xf numFmtId="9" fontId="5" fillId="0" borderId="6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0" xfId="0" applyFont="1"/>
    <xf numFmtId="0" fontId="0" fillId="0" borderId="6" xfId="0" applyBorder="1"/>
    <xf numFmtId="0" fontId="6" fillId="0" borderId="0" xfId="0" applyFont="1"/>
    <xf numFmtId="0" fontId="7" fillId="0" borderId="0" xfId="0" applyFont="1"/>
    <xf numFmtId="165" fontId="6" fillId="0" borderId="1" xfId="1" applyNumberFormat="1" applyFont="1" applyFill="1" applyBorder="1"/>
    <xf numFmtId="165" fontId="6" fillId="0" borderId="1" xfId="1" applyNumberFormat="1" applyFont="1" applyFill="1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left" indent="1"/>
    </xf>
    <xf numFmtId="165" fontId="6" fillId="0" borderId="0" xfId="1" applyNumberFormat="1" applyFont="1" applyFill="1" applyBorder="1" applyAlignment="1">
      <alignment horizontal="left" indent="1"/>
    </xf>
    <xf numFmtId="165" fontId="6" fillId="0" borderId="0" xfId="1" applyNumberFormat="1" applyFont="1" applyFill="1" applyBorder="1"/>
    <xf numFmtId="164" fontId="0" fillId="0" borderId="0" xfId="1" applyFont="1" applyFill="1" applyBorder="1"/>
    <xf numFmtId="165" fontId="0" fillId="0" borderId="1" xfId="1" applyNumberFormat="1" applyFont="1" applyFill="1" applyBorder="1" applyAlignment="1">
      <alignment horizontal="left" indent="1"/>
    </xf>
    <xf numFmtId="166" fontId="0" fillId="0" borderId="1" xfId="1" applyNumberFormat="1" applyFont="1" applyFill="1" applyBorder="1" applyAlignment="1">
      <alignment horizontal="left" indent="1"/>
    </xf>
    <xf numFmtId="165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8" fontId="5" fillId="0" borderId="1" xfId="0" applyNumberFormat="1" applyFont="1" applyBorder="1"/>
    <xf numFmtId="9" fontId="0" fillId="2" borderId="1" xfId="0" applyNumberFormat="1" applyFill="1" applyBorder="1" applyAlignment="1">
      <alignment horizontal="right"/>
    </xf>
    <xf numFmtId="8" fontId="5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5" fillId="2" borderId="6" xfId="0" applyFont="1" applyFill="1" applyBorder="1"/>
    <xf numFmtId="165" fontId="6" fillId="2" borderId="1" xfId="1" applyNumberFormat="1" applyFont="1" applyFill="1" applyBorder="1"/>
    <xf numFmtId="9" fontId="0" fillId="0" borderId="1" xfId="0" applyNumberFormat="1" applyFill="1" applyBorder="1" applyAlignment="1">
      <alignment horizontal="right"/>
    </xf>
    <xf numFmtId="8" fontId="5" fillId="0" borderId="1" xfId="0" applyNumberFormat="1" applyFont="1" applyFill="1" applyBorder="1"/>
    <xf numFmtId="0" fontId="0" fillId="0" borderId="0" xfId="0" applyFill="1" applyBorder="1" applyAlignment="1">
      <alignment horizontal="right"/>
    </xf>
    <xf numFmtId="8" fontId="5" fillId="0" borderId="0" xfId="0" applyNumberFormat="1" applyFont="1" applyFill="1" applyBorder="1"/>
    <xf numFmtId="0" fontId="2" fillId="0" borderId="0" xfId="0" applyFont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6" fontId="2" fillId="2" borderId="1" xfId="0" applyNumberFormat="1" applyFont="1" applyFill="1" applyBorder="1"/>
    <xf numFmtId="0" fontId="0" fillId="2" borderId="1" xfId="0" applyFill="1" applyBorder="1"/>
    <xf numFmtId="166" fontId="0" fillId="2" borderId="1" xfId="0" applyNumberFormat="1" applyFill="1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164" fontId="6" fillId="0" borderId="1" xfId="1" applyNumberFormat="1" applyFont="1" applyFill="1" applyBorder="1"/>
    <xf numFmtId="164" fontId="6" fillId="0" borderId="1" xfId="1" applyNumberFormat="1" applyFont="1" applyFill="1" applyBorder="1" applyAlignment="1">
      <alignment horizontal="left" indent="1"/>
    </xf>
    <xf numFmtId="170" fontId="0" fillId="2" borderId="1" xfId="0" applyNumberFormat="1" applyFill="1" applyBorder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9" workbookViewId="0">
      <selection activeCell="D51" sqref="D51"/>
    </sheetView>
  </sheetViews>
  <sheetFormatPr baseColWidth="10" defaultRowHeight="15" x14ac:dyDescent="0.25"/>
  <cols>
    <col min="1" max="1" width="26" customWidth="1"/>
    <col min="2" max="2" width="12.7109375" customWidth="1"/>
    <col min="3" max="3" width="14.28515625" customWidth="1"/>
    <col min="4" max="4" width="12.28515625" customWidth="1"/>
    <col min="5" max="5" width="12.5703125" customWidth="1"/>
    <col min="6" max="6" width="12.85546875" customWidth="1"/>
    <col min="7" max="7" width="12.5703125" customWidth="1"/>
    <col min="8" max="8" width="11.85546875" customWidth="1"/>
  </cols>
  <sheetData>
    <row r="1" spans="1:10" ht="18.75" x14ac:dyDescent="0.3">
      <c r="A1" s="25" t="s">
        <v>0</v>
      </c>
    </row>
    <row r="3" spans="1:10" x14ac:dyDescent="0.25">
      <c r="B3" t="s">
        <v>4</v>
      </c>
      <c r="D3" s="3">
        <v>0.2</v>
      </c>
    </row>
    <row r="4" spans="1:10" x14ac:dyDescent="0.25">
      <c r="A4" s="5" t="s">
        <v>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</row>
    <row r="5" spans="1:10" x14ac:dyDescent="0.25">
      <c r="A5" s="7" t="s">
        <v>1</v>
      </c>
      <c r="B5" s="7">
        <v>-1500000</v>
      </c>
      <c r="C5" s="7"/>
      <c r="D5" s="7"/>
      <c r="E5" s="7"/>
      <c r="F5" s="7"/>
      <c r="G5" s="7"/>
      <c r="I5" t="s">
        <v>6</v>
      </c>
    </row>
    <row r="6" spans="1:10" x14ac:dyDescent="0.25">
      <c r="A6" s="7" t="s">
        <v>2</v>
      </c>
      <c r="B6" s="7"/>
      <c r="C6" s="11">
        <v>700000</v>
      </c>
      <c r="D6" s="11">
        <f>+C6*(1+$D$3)</f>
        <v>840000</v>
      </c>
      <c r="E6" s="11">
        <f t="shared" ref="E6:G6" si="0">+D6*(1+$D$3)</f>
        <v>1008000</v>
      </c>
      <c r="F6" s="11">
        <f t="shared" si="0"/>
        <v>1209600</v>
      </c>
      <c r="G6" s="11">
        <f t="shared" si="0"/>
        <v>1451520</v>
      </c>
    </row>
    <row r="7" spans="1:10" x14ac:dyDescent="0.25">
      <c r="A7" s="16" t="s">
        <v>12</v>
      </c>
      <c r="B7" s="11">
        <f>+B5+B6</f>
        <v>-1500000</v>
      </c>
      <c r="C7" s="11">
        <f>+C5+C6</f>
        <v>700000</v>
      </c>
      <c r="D7" s="11">
        <f t="shared" ref="D7:G7" si="1">+D5+D6</f>
        <v>840000</v>
      </c>
      <c r="E7" s="11">
        <f t="shared" si="1"/>
        <v>1008000</v>
      </c>
      <c r="F7" s="11">
        <f t="shared" si="1"/>
        <v>1209600</v>
      </c>
      <c r="G7" s="11">
        <f t="shared" si="1"/>
        <v>1451520</v>
      </c>
    </row>
    <row r="9" spans="1:10" x14ac:dyDescent="0.25">
      <c r="A9" s="5" t="s">
        <v>5</v>
      </c>
      <c r="B9" s="6">
        <v>0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8">
        <v>6</v>
      </c>
    </row>
    <row r="10" spans="1:10" x14ac:dyDescent="0.25">
      <c r="A10" s="7" t="s">
        <v>1</v>
      </c>
      <c r="B10" s="11">
        <f>+B5/2</f>
        <v>-750000</v>
      </c>
      <c r="C10" s="11">
        <f>+B5/2+C5/2</f>
        <v>-750000</v>
      </c>
      <c r="D10" s="11">
        <f t="shared" ref="D10:H10" si="2">+C5/2+D5/2</f>
        <v>0</v>
      </c>
      <c r="E10" s="11">
        <f t="shared" si="2"/>
        <v>0</v>
      </c>
      <c r="F10" s="11">
        <f t="shared" si="2"/>
        <v>0</v>
      </c>
      <c r="G10" s="11">
        <f t="shared" si="2"/>
        <v>0</v>
      </c>
      <c r="H10" s="11">
        <f t="shared" si="2"/>
        <v>0</v>
      </c>
      <c r="J10" t="s">
        <v>7</v>
      </c>
    </row>
    <row r="11" spans="1:10" x14ac:dyDescent="0.25">
      <c r="A11" s="7" t="s">
        <v>2</v>
      </c>
      <c r="B11" s="11"/>
      <c r="C11" s="11">
        <f t="shared" ref="C11:H11" si="3">+B6/2+C6/2</f>
        <v>350000</v>
      </c>
      <c r="D11" s="11">
        <f t="shared" si="3"/>
        <v>770000</v>
      </c>
      <c r="E11" s="11">
        <f t="shared" si="3"/>
        <v>924000</v>
      </c>
      <c r="F11" s="11">
        <f t="shared" si="3"/>
        <v>1108800</v>
      </c>
      <c r="G11" s="11">
        <f t="shared" si="3"/>
        <v>1330560</v>
      </c>
      <c r="H11" s="11">
        <f t="shared" si="3"/>
        <v>725760</v>
      </c>
    </row>
    <row r="12" spans="1:10" x14ac:dyDescent="0.25">
      <c r="A12" s="16" t="s">
        <v>12</v>
      </c>
      <c r="B12" s="11">
        <f t="shared" ref="B12:H12" si="4">+B10+B11</f>
        <v>-750000</v>
      </c>
      <c r="C12" s="11">
        <f t="shared" si="4"/>
        <v>-400000</v>
      </c>
      <c r="D12" s="11">
        <f t="shared" si="4"/>
        <v>770000</v>
      </c>
      <c r="E12" s="11">
        <f t="shared" si="4"/>
        <v>924000</v>
      </c>
      <c r="F12" s="11">
        <f t="shared" si="4"/>
        <v>1108800</v>
      </c>
      <c r="G12" s="11">
        <f t="shared" si="4"/>
        <v>1330560</v>
      </c>
      <c r="H12" s="11">
        <f t="shared" si="4"/>
        <v>725760</v>
      </c>
    </row>
    <row r="14" spans="1:10" x14ac:dyDescent="0.25">
      <c r="A14" s="2" t="s">
        <v>14</v>
      </c>
    </row>
    <row r="15" spans="1:10" x14ac:dyDescent="0.25">
      <c r="A15" t="s">
        <v>9</v>
      </c>
    </row>
    <row r="16" spans="1:10" x14ac:dyDescent="0.25">
      <c r="B16" t="s">
        <v>8</v>
      </c>
      <c r="C16" s="3">
        <v>0.2</v>
      </c>
    </row>
    <row r="17" spans="1:8" x14ac:dyDescent="0.25">
      <c r="A17" s="5" t="s">
        <v>5</v>
      </c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8">
        <v>6</v>
      </c>
    </row>
    <row r="18" spans="1:8" x14ac:dyDescent="0.25">
      <c r="A18" s="7" t="s">
        <v>10</v>
      </c>
      <c r="B18" s="11">
        <f t="shared" ref="B18:H18" si="5">+B10/(1+$C$16)^B17</f>
        <v>-750000</v>
      </c>
      <c r="C18" s="11">
        <f t="shared" si="5"/>
        <v>-625000</v>
      </c>
      <c r="D18" s="11">
        <f t="shared" si="5"/>
        <v>0</v>
      </c>
      <c r="E18" s="11">
        <f t="shared" si="5"/>
        <v>0</v>
      </c>
      <c r="F18" s="11">
        <f t="shared" si="5"/>
        <v>0</v>
      </c>
      <c r="G18" s="11">
        <f t="shared" si="5"/>
        <v>0</v>
      </c>
      <c r="H18" s="11">
        <f t="shared" si="5"/>
        <v>0</v>
      </c>
    </row>
    <row r="19" spans="1:8" x14ac:dyDescent="0.25">
      <c r="A19" s="7" t="s">
        <v>11</v>
      </c>
      <c r="B19" s="11"/>
      <c r="C19" s="11">
        <f>+C11/(1+$C$16)^C17</f>
        <v>291666.66666666669</v>
      </c>
      <c r="D19" s="11">
        <f t="shared" ref="D19:H19" si="6">+D11/(1+$C$16)^D17</f>
        <v>534722.22222222225</v>
      </c>
      <c r="E19" s="11">
        <f t="shared" si="6"/>
        <v>534722.22222222225</v>
      </c>
      <c r="F19" s="11">
        <f t="shared" si="6"/>
        <v>534722.22222222225</v>
      </c>
      <c r="G19" s="11">
        <f t="shared" si="6"/>
        <v>534722.22222222225</v>
      </c>
      <c r="H19" s="11">
        <f t="shared" si="6"/>
        <v>243055.55555555556</v>
      </c>
    </row>
    <row r="20" spans="1:8" x14ac:dyDescent="0.25">
      <c r="A20" s="14" t="s">
        <v>13</v>
      </c>
      <c r="B20" s="11">
        <f t="shared" ref="B20:H20" si="7">+B18+B19</f>
        <v>-750000</v>
      </c>
      <c r="C20" s="11">
        <f t="shared" si="7"/>
        <v>-333333.33333333331</v>
      </c>
      <c r="D20" s="11">
        <f t="shared" si="7"/>
        <v>534722.22222222225</v>
      </c>
      <c r="E20" s="11">
        <f t="shared" si="7"/>
        <v>534722.22222222225</v>
      </c>
      <c r="F20" s="11">
        <f t="shared" si="7"/>
        <v>534722.22222222225</v>
      </c>
      <c r="G20" s="11">
        <f t="shared" si="7"/>
        <v>534722.22222222225</v>
      </c>
      <c r="H20" s="11">
        <f t="shared" si="7"/>
        <v>243055.55555555556</v>
      </c>
    </row>
    <row r="21" spans="1:8" x14ac:dyDescent="0.25">
      <c r="A21" s="23" t="s">
        <v>69</v>
      </c>
      <c r="B21" s="24">
        <f>+SUM(B18:H19)</f>
        <v>1298611.1111111112</v>
      </c>
    </row>
    <row r="23" spans="1:8" x14ac:dyDescent="0.25">
      <c r="A23" s="2" t="s">
        <v>15</v>
      </c>
    </row>
    <row r="24" spans="1:8" x14ac:dyDescent="0.25">
      <c r="A24" t="s">
        <v>16</v>
      </c>
    </row>
    <row r="25" spans="1:8" x14ac:dyDescent="0.25">
      <c r="A25" t="s">
        <v>17</v>
      </c>
    </row>
    <row r="27" spans="1:8" x14ac:dyDescent="0.25">
      <c r="A27" t="s">
        <v>19</v>
      </c>
      <c r="B27" t="s">
        <v>18</v>
      </c>
      <c r="C27" s="3">
        <v>0.3</v>
      </c>
    </row>
    <row r="28" spans="1:8" x14ac:dyDescent="0.25">
      <c r="A28" s="5" t="s">
        <v>5</v>
      </c>
      <c r="B28" s="6">
        <v>0</v>
      </c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8">
        <v>6</v>
      </c>
    </row>
    <row r="29" spans="1:8" x14ac:dyDescent="0.25">
      <c r="A29" s="7" t="s">
        <v>10</v>
      </c>
      <c r="B29" s="11">
        <f>+B10/(1+$C$27)^B28</f>
        <v>-750000</v>
      </c>
      <c r="C29" s="11">
        <f t="shared" ref="C29:H29" si="8">+C10/(1+$C$27)^C28</f>
        <v>-576923.07692307688</v>
      </c>
      <c r="D29" s="11">
        <f t="shared" si="8"/>
        <v>0</v>
      </c>
      <c r="E29" s="11">
        <f t="shared" si="8"/>
        <v>0</v>
      </c>
      <c r="F29" s="11">
        <f t="shared" si="8"/>
        <v>0</v>
      </c>
      <c r="G29" s="11">
        <f t="shared" si="8"/>
        <v>0</v>
      </c>
      <c r="H29" s="11">
        <f t="shared" si="8"/>
        <v>0</v>
      </c>
    </row>
    <row r="30" spans="1:8" x14ac:dyDescent="0.25">
      <c r="A30" s="7" t="s">
        <v>11</v>
      </c>
      <c r="B30" s="11"/>
      <c r="C30" s="11">
        <f>+C11/(1+$C$27)^C28</f>
        <v>269230.76923076925</v>
      </c>
      <c r="D30" s="11">
        <f t="shared" ref="D30:H30" si="9">+D11/(1+$C$27)^D28</f>
        <v>455621.30177514791</v>
      </c>
      <c r="E30" s="11">
        <f t="shared" si="9"/>
        <v>420573.50933090568</v>
      </c>
      <c r="F30" s="11">
        <f t="shared" si="9"/>
        <v>388221.70092083601</v>
      </c>
      <c r="G30" s="11">
        <f t="shared" si="9"/>
        <v>358358.49315769476</v>
      </c>
      <c r="H30" s="11">
        <f t="shared" si="9"/>
        <v>150360.20691931248</v>
      </c>
    </row>
    <row r="31" spans="1:8" x14ac:dyDescent="0.25">
      <c r="A31" s="14" t="s">
        <v>13</v>
      </c>
      <c r="B31" s="11">
        <f t="shared" ref="B31:H31" si="10">+B29+B30</f>
        <v>-750000</v>
      </c>
      <c r="C31" s="11">
        <f t="shared" si="10"/>
        <v>-307692.30769230763</v>
      </c>
      <c r="D31" s="11">
        <f t="shared" si="10"/>
        <v>455621.30177514791</v>
      </c>
      <c r="E31" s="11">
        <f t="shared" si="10"/>
        <v>420573.50933090568</v>
      </c>
      <c r="F31" s="11">
        <f t="shared" si="10"/>
        <v>388221.70092083601</v>
      </c>
      <c r="G31" s="11">
        <f t="shared" si="10"/>
        <v>358358.49315769476</v>
      </c>
      <c r="H31" s="11">
        <f t="shared" si="10"/>
        <v>150360.20691931248</v>
      </c>
    </row>
    <row r="32" spans="1:8" x14ac:dyDescent="0.25">
      <c r="A32" s="10" t="s">
        <v>20</v>
      </c>
      <c r="B32" s="12">
        <f>+SUM(B29:H30)</f>
        <v>715442.90441158903</v>
      </c>
    </row>
    <row r="35" spans="1:8" x14ac:dyDescent="0.25">
      <c r="A35" t="s">
        <v>21</v>
      </c>
      <c r="B35" t="s">
        <v>18</v>
      </c>
      <c r="C35" s="3">
        <v>0.4</v>
      </c>
    </row>
    <row r="36" spans="1:8" x14ac:dyDescent="0.25">
      <c r="A36" s="5" t="s">
        <v>5</v>
      </c>
      <c r="B36" s="6">
        <v>0</v>
      </c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8">
        <v>6</v>
      </c>
    </row>
    <row r="37" spans="1:8" x14ac:dyDescent="0.25">
      <c r="A37" s="7" t="s">
        <v>10</v>
      </c>
      <c r="B37" s="11">
        <f>+B10/(1+$C$35)^B36</f>
        <v>-750000</v>
      </c>
      <c r="C37" s="11">
        <f>+C10/(1+$C$35)^C36</f>
        <v>-535714.2857142858</v>
      </c>
      <c r="D37" s="11">
        <f t="shared" ref="D37:H37" si="11">+D18/(1+$C$27)^D36</f>
        <v>0</v>
      </c>
      <c r="E37" s="11">
        <f t="shared" si="11"/>
        <v>0</v>
      </c>
      <c r="F37" s="11">
        <f t="shared" si="11"/>
        <v>0</v>
      </c>
      <c r="G37" s="11">
        <f t="shared" si="11"/>
        <v>0</v>
      </c>
      <c r="H37" s="11">
        <f t="shared" si="11"/>
        <v>0</v>
      </c>
    </row>
    <row r="38" spans="1:8" x14ac:dyDescent="0.25">
      <c r="A38" s="7" t="s">
        <v>11</v>
      </c>
      <c r="B38" s="11"/>
      <c r="C38" s="11">
        <f>+C11/(1+$C$35)^C36</f>
        <v>250000.00000000003</v>
      </c>
      <c r="D38" s="11">
        <f t="shared" ref="D38:H38" si="12">+D11/(1+$C$35)^D36</f>
        <v>392857.1428571429</v>
      </c>
      <c r="E38" s="11">
        <f t="shared" si="12"/>
        <v>336734.69387755112</v>
      </c>
      <c r="F38" s="11">
        <f t="shared" si="12"/>
        <v>288629.73760932952</v>
      </c>
      <c r="G38" s="11">
        <f t="shared" si="12"/>
        <v>247396.91795085391</v>
      </c>
      <c r="H38" s="11">
        <f t="shared" si="12"/>
        <v>96388.409591241783</v>
      </c>
    </row>
    <row r="39" spans="1:8" x14ac:dyDescent="0.25">
      <c r="A39" s="14" t="s">
        <v>13</v>
      </c>
      <c r="B39" s="11">
        <f t="shared" ref="B39:H39" si="13">+B37+B38</f>
        <v>-750000</v>
      </c>
      <c r="C39" s="11">
        <f t="shared" si="13"/>
        <v>-285714.2857142858</v>
      </c>
      <c r="D39" s="11">
        <f t="shared" si="13"/>
        <v>392857.1428571429</v>
      </c>
      <c r="E39" s="11">
        <f t="shared" si="13"/>
        <v>336734.69387755112</v>
      </c>
      <c r="F39" s="11">
        <f t="shared" si="13"/>
        <v>288629.73760932952</v>
      </c>
      <c r="G39" s="11">
        <f t="shared" si="13"/>
        <v>247396.91795085391</v>
      </c>
      <c r="H39" s="11">
        <f t="shared" si="13"/>
        <v>96388.409591241783</v>
      </c>
    </row>
    <row r="40" spans="1:8" x14ac:dyDescent="0.25">
      <c r="A40" s="10" t="s">
        <v>22</v>
      </c>
      <c r="B40" s="12">
        <f>+SUM(B37:H38)</f>
        <v>326292.61617183336</v>
      </c>
    </row>
    <row r="42" spans="1:8" x14ac:dyDescent="0.25">
      <c r="A42" t="s">
        <v>96</v>
      </c>
    </row>
    <row r="44" spans="1:8" x14ac:dyDescent="0.25">
      <c r="A44" t="s">
        <v>23</v>
      </c>
      <c r="B44" t="s">
        <v>18</v>
      </c>
      <c r="C44" s="3">
        <v>0.6</v>
      </c>
    </row>
    <row r="45" spans="1:8" x14ac:dyDescent="0.25">
      <c r="A45" s="5" t="s">
        <v>5</v>
      </c>
      <c r="B45" s="6">
        <v>0</v>
      </c>
      <c r="C45" s="6">
        <v>1</v>
      </c>
      <c r="D45" s="6">
        <v>2</v>
      </c>
      <c r="E45" s="6">
        <v>3</v>
      </c>
      <c r="F45" s="6">
        <v>4</v>
      </c>
      <c r="G45" s="6">
        <v>5</v>
      </c>
      <c r="H45" s="8">
        <v>6</v>
      </c>
    </row>
    <row r="46" spans="1:8" x14ac:dyDescent="0.25">
      <c r="A46" s="7" t="s">
        <v>10</v>
      </c>
      <c r="B46" s="11">
        <f>+B10/(1+$C$44)^B45</f>
        <v>-750000</v>
      </c>
      <c r="C46" s="11">
        <f>+C10/(1+$C$44)^C45</f>
        <v>-468750</v>
      </c>
      <c r="D46" s="11">
        <f t="shared" ref="D46:H46" si="14">+D27/(1+$C$27)^D45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</row>
    <row r="47" spans="1:8" x14ac:dyDescent="0.25">
      <c r="A47" s="7" t="s">
        <v>11</v>
      </c>
      <c r="B47" s="11"/>
      <c r="C47" s="11">
        <f>+C11/(1+$C$44)^C45</f>
        <v>218750</v>
      </c>
      <c r="D47" s="11">
        <f t="shared" ref="D47:H47" si="15">+D19/(1+$C$44)^D45</f>
        <v>208875.86805555553</v>
      </c>
      <c r="E47" s="11">
        <f t="shared" si="15"/>
        <v>130547.4175347222</v>
      </c>
      <c r="F47" s="11">
        <f t="shared" si="15"/>
        <v>81592.135959201361</v>
      </c>
      <c r="G47" s="11">
        <f t="shared" si="15"/>
        <v>50995.084974500838</v>
      </c>
      <c r="H47" s="11">
        <f t="shared" si="15"/>
        <v>14487.240049574102</v>
      </c>
    </row>
    <row r="48" spans="1:8" x14ac:dyDescent="0.25">
      <c r="A48" s="14" t="s">
        <v>13</v>
      </c>
      <c r="B48" s="11">
        <f t="shared" ref="B48:H48" si="16">+B46+B47</f>
        <v>-750000</v>
      </c>
      <c r="C48" s="11">
        <f t="shared" si="16"/>
        <v>-250000</v>
      </c>
      <c r="D48" s="11">
        <f t="shared" si="16"/>
        <v>208875.86805555553</v>
      </c>
      <c r="E48" s="11">
        <f t="shared" si="16"/>
        <v>130547.4175347222</v>
      </c>
      <c r="F48" s="11">
        <f t="shared" si="16"/>
        <v>81592.135959201361</v>
      </c>
      <c r="G48" s="11">
        <f t="shared" si="16"/>
        <v>50995.084974500838</v>
      </c>
      <c r="H48" s="11">
        <f t="shared" si="16"/>
        <v>14487.240049574102</v>
      </c>
    </row>
    <row r="49" spans="1:3" x14ac:dyDescent="0.25">
      <c r="A49" s="10" t="s">
        <v>94</v>
      </c>
      <c r="B49" s="12">
        <f>+SUM(B46:H47)</f>
        <v>-513502.25342644594</v>
      </c>
    </row>
    <row r="51" spans="1:3" x14ac:dyDescent="0.25">
      <c r="A51" s="19" t="s">
        <v>24</v>
      </c>
      <c r="B51" s="20"/>
    </row>
    <row r="52" spans="1:3" x14ac:dyDescent="0.25">
      <c r="A52" s="21" t="s">
        <v>25</v>
      </c>
      <c r="B52" s="22">
        <f>+IRR(B12:H12)</f>
        <v>0.52662863951477545</v>
      </c>
    </row>
    <row r="55" spans="1:3" x14ac:dyDescent="0.25">
      <c r="A55" s="2" t="s">
        <v>26</v>
      </c>
    </row>
    <row r="57" spans="1:3" x14ac:dyDescent="0.25">
      <c r="A57" s="9" t="s">
        <v>27</v>
      </c>
      <c r="B57" t="s">
        <v>28</v>
      </c>
      <c r="C57" t="s">
        <v>29</v>
      </c>
    </row>
    <row r="59" spans="1:3" x14ac:dyDescent="0.25">
      <c r="B59" t="s">
        <v>30</v>
      </c>
      <c r="C59" s="26">
        <f>+SUM(B19:H19)</f>
        <v>2673611.1111111115</v>
      </c>
    </row>
    <row r="60" spans="1:3" x14ac:dyDescent="0.25">
      <c r="B60" t="s">
        <v>31</v>
      </c>
      <c r="C60" s="26">
        <f>+SUM(B18:H18)</f>
        <v>-1375000</v>
      </c>
    </row>
    <row r="62" spans="1:3" x14ac:dyDescent="0.25">
      <c r="A62" s="27" t="s">
        <v>27</v>
      </c>
      <c r="B62" s="20">
        <f>+C59/(+ABS(C60))</f>
        <v>1.9444444444444446</v>
      </c>
    </row>
    <row r="65" spans="1:8" x14ac:dyDescent="0.25">
      <c r="A65" s="2" t="s">
        <v>32</v>
      </c>
    </row>
    <row r="66" spans="1:8" x14ac:dyDescent="0.25">
      <c r="A66" t="s">
        <v>33</v>
      </c>
    </row>
    <row r="67" spans="1:8" x14ac:dyDescent="0.25">
      <c r="B67" t="s">
        <v>8</v>
      </c>
      <c r="C67" s="3">
        <f>+C16</f>
        <v>0.2</v>
      </c>
    </row>
    <row r="68" spans="1:8" x14ac:dyDescent="0.25">
      <c r="A68" s="5" t="s">
        <v>5</v>
      </c>
      <c r="B68" s="6">
        <v>0</v>
      </c>
      <c r="C68" s="6">
        <v>1</v>
      </c>
      <c r="D68" s="6">
        <v>2</v>
      </c>
      <c r="E68" s="6">
        <v>3</v>
      </c>
      <c r="F68" s="6">
        <v>4</v>
      </c>
      <c r="G68" s="6">
        <v>5</v>
      </c>
      <c r="H68" s="8">
        <v>6</v>
      </c>
    </row>
    <row r="69" spans="1:8" x14ac:dyDescent="0.25">
      <c r="A69" s="7" t="s">
        <v>10</v>
      </c>
      <c r="B69" s="11">
        <f>+B18</f>
        <v>-750000</v>
      </c>
      <c r="C69" s="11">
        <f t="shared" ref="C69:H70" si="17">+C18</f>
        <v>-625000</v>
      </c>
      <c r="D69" s="11">
        <f t="shared" si="17"/>
        <v>0</v>
      </c>
      <c r="E69" s="11">
        <f t="shared" si="17"/>
        <v>0</v>
      </c>
      <c r="F69" s="11">
        <f t="shared" si="17"/>
        <v>0</v>
      </c>
      <c r="G69" s="11">
        <f t="shared" si="17"/>
        <v>0</v>
      </c>
      <c r="H69" s="11">
        <f t="shared" si="17"/>
        <v>0</v>
      </c>
    </row>
    <row r="70" spans="1:8" x14ac:dyDescent="0.25">
      <c r="A70" s="7" t="s">
        <v>11</v>
      </c>
      <c r="B70" s="11"/>
      <c r="C70" s="11">
        <f t="shared" si="17"/>
        <v>291666.66666666669</v>
      </c>
      <c r="D70" s="11">
        <f t="shared" si="17"/>
        <v>534722.22222222225</v>
      </c>
      <c r="E70" s="11">
        <f t="shared" si="17"/>
        <v>534722.22222222225</v>
      </c>
      <c r="F70" s="11">
        <f t="shared" si="17"/>
        <v>534722.22222222225</v>
      </c>
      <c r="G70" s="11">
        <f t="shared" si="17"/>
        <v>534722.22222222225</v>
      </c>
      <c r="H70" s="11">
        <f t="shared" si="17"/>
        <v>243055.55555555556</v>
      </c>
    </row>
    <row r="71" spans="1:8" x14ac:dyDescent="0.25">
      <c r="A71" s="28" t="s">
        <v>34</v>
      </c>
      <c r="B71" s="29">
        <f>+B69+B70</f>
        <v>-750000</v>
      </c>
      <c r="C71" s="29">
        <f>+B71+C69+C70</f>
        <v>-1083333.3333333333</v>
      </c>
      <c r="D71" s="29">
        <f t="shared" ref="D71:H71" si="18">+C71+D69+D70</f>
        <v>-548611.11111111101</v>
      </c>
      <c r="E71" s="29">
        <f t="shared" si="18"/>
        <v>-13888.88888888876</v>
      </c>
      <c r="F71" s="29">
        <f t="shared" si="18"/>
        <v>520833.33333333349</v>
      </c>
      <c r="G71" s="29">
        <f t="shared" si="18"/>
        <v>1055555.5555555557</v>
      </c>
      <c r="H71" s="29">
        <f t="shared" si="18"/>
        <v>1298611.1111111112</v>
      </c>
    </row>
    <row r="73" spans="1:8" x14ac:dyDescent="0.25">
      <c r="A73" t="s">
        <v>35</v>
      </c>
    </row>
  </sheetData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J14" sqref="J14"/>
    </sheetView>
  </sheetViews>
  <sheetFormatPr baseColWidth="10" defaultRowHeight="15" x14ac:dyDescent="0.25"/>
  <cols>
    <col min="1" max="1" width="7.5703125" customWidth="1"/>
    <col min="2" max="2" width="4.140625" customWidth="1"/>
    <col min="4" max="4" width="8.85546875" customWidth="1"/>
    <col min="7" max="8" width="13.140625" bestFit="1" customWidth="1"/>
    <col min="9" max="9" width="11.85546875" bestFit="1" customWidth="1"/>
    <col min="10" max="11" width="13.42578125" customWidth="1"/>
    <col min="12" max="12" width="11.85546875" bestFit="1" customWidth="1"/>
    <col min="16" max="16" width="11.5703125" bestFit="1" customWidth="1"/>
    <col min="17" max="18" width="13.28515625" bestFit="1" customWidth="1"/>
  </cols>
  <sheetData>
    <row r="1" spans="1:27" x14ac:dyDescent="0.25">
      <c r="A1" t="s">
        <v>95</v>
      </c>
    </row>
    <row r="2" spans="1:27" ht="21.75" x14ac:dyDescent="0.4">
      <c r="A2" s="30" t="s">
        <v>36</v>
      </c>
      <c r="J2" s="9" t="s">
        <v>65</v>
      </c>
      <c r="K2" s="3">
        <v>0.24</v>
      </c>
      <c r="M2" s="31"/>
      <c r="N2" s="31"/>
    </row>
    <row r="3" spans="1:27" x14ac:dyDescent="0.25">
      <c r="C3" s="101" t="s">
        <v>64</v>
      </c>
      <c r="D3" s="101"/>
      <c r="E3" s="101"/>
      <c r="F3" s="101"/>
      <c r="G3" s="101"/>
      <c r="H3" s="101"/>
      <c r="I3" s="101"/>
      <c r="J3" s="32"/>
      <c r="K3" s="32"/>
      <c r="L3" s="32"/>
      <c r="M3" s="32"/>
      <c r="N3" s="32"/>
      <c r="O3" s="33"/>
      <c r="P3" s="102" t="s">
        <v>82</v>
      </c>
      <c r="Q3" s="102"/>
      <c r="R3" s="102"/>
      <c r="S3" s="102"/>
      <c r="T3" s="102"/>
      <c r="U3" s="102"/>
      <c r="V3" s="14"/>
      <c r="W3" s="14"/>
      <c r="X3" s="14"/>
      <c r="Y3" s="14"/>
    </row>
    <row r="4" spans="1:27" ht="38.25" x14ac:dyDescent="0.25">
      <c r="A4" s="60" t="s">
        <v>37</v>
      </c>
      <c r="B4" s="1"/>
      <c r="C4" s="61" t="s">
        <v>1</v>
      </c>
      <c r="D4" s="61" t="s">
        <v>2</v>
      </c>
      <c r="E4" s="61" t="s">
        <v>38</v>
      </c>
      <c r="F4" s="61" t="s">
        <v>39</v>
      </c>
      <c r="G4" s="34" t="s">
        <v>40</v>
      </c>
      <c r="H4" s="34" t="s">
        <v>41</v>
      </c>
      <c r="I4" s="34" t="s">
        <v>42</v>
      </c>
      <c r="J4" s="34" t="s">
        <v>43</v>
      </c>
      <c r="K4" s="34" t="s">
        <v>44</v>
      </c>
      <c r="L4" s="34" t="s">
        <v>45</v>
      </c>
      <c r="M4" s="62"/>
      <c r="N4" s="63"/>
      <c r="O4" s="64" t="s">
        <v>37</v>
      </c>
      <c r="P4" s="64" t="s">
        <v>1</v>
      </c>
      <c r="Q4" s="64" t="s">
        <v>2</v>
      </c>
      <c r="R4" s="64" t="s">
        <v>46</v>
      </c>
      <c r="S4" s="64" t="s">
        <v>39</v>
      </c>
      <c r="T4" s="64" t="s">
        <v>47</v>
      </c>
      <c r="U4" s="64" t="s">
        <v>48</v>
      </c>
      <c r="V4" s="64" t="s">
        <v>38</v>
      </c>
      <c r="W4" s="64" t="s">
        <v>49</v>
      </c>
      <c r="X4" s="64" t="s">
        <v>50</v>
      </c>
      <c r="Y4" s="64" t="s">
        <v>45</v>
      </c>
      <c r="Z4" s="1"/>
      <c r="AA4" s="1"/>
    </row>
    <row r="5" spans="1:27" x14ac:dyDescent="0.25">
      <c r="A5" s="7"/>
      <c r="C5" s="14"/>
      <c r="D5" s="14"/>
      <c r="E5" s="14"/>
      <c r="F5" s="16">
        <v>0</v>
      </c>
      <c r="G5" s="58">
        <f>+C6/2</f>
        <v>-0.6</v>
      </c>
      <c r="H5" s="58">
        <f>+D6/2</f>
        <v>0</v>
      </c>
      <c r="I5" s="58">
        <f>+G5+H5</f>
        <v>-0.6</v>
      </c>
      <c r="J5" s="58">
        <f>+G5/(1+$K$2)^F5</f>
        <v>-0.6</v>
      </c>
      <c r="K5" s="58">
        <f>+H5/(1+$K$2)^F5</f>
        <v>0</v>
      </c>
      <c r="L5" s="58">
        <f>+J5</f>
        <v>-0.6</v>
      </c>
      <c r="M5" s="35"/>
      <c r="N5" s="35"/>
      <c r="O5" s="14"/>
      <c r="P5" s="14"/>
      <c r="Q5" s="14"/>
      <c r="R5" s="14"/>
      <c r="S5" s="16">
        <v>0</v>
      </c>
      <c r="T5" s="14">
        <f>+P6/2</f>
        <v>-0.35</v>
      </c>
      <c r="U5" s="14">
        <f>+Q6/2</f>
        <v>0</v>
      </c>
      <c r="V5" s="14">
        <f t="shared" ref="V5:V12" si="0">+T5+U5</f>
        <v>-0.35</v>
      </c>
      <c r="W5" s="15">
        <f>+T5/(1+$K$2)^S5</f>
        <v>-0.35</v>
      </c>
      <c r="X5" s="15">
        <f>+S5/(1.1)^U5</f>
        <v>0</v>
      </c>
      <c r="Y5" s="36">
        <f>+W5</f>
        <v>-0.35</v>
      </c>
    </row>
    <row r="6" spans="1:27" x14ac:dyDescent="0.25">
      <c r="A6" s="7">
        <v>1</v>
      </c>
      <c r="C6" s="69">
        <v>-1.2</v>
      </c>
      <c r="D6" s="69"/>
      <c r="E6" s="69">
        <f>D6+C6</f>
        <v>-1.2</v>
      </c>
      <c r="F6" s="70">
        <v>1</v>
      </c>
      <c r="G6" s="59">
        <f>+C6/2+C7/2</f>
        <v>-1.85</v>
      </c>
      <c r="H6" s="59">
        <f>+D6/2+D7/2</f>
        <v>0</v>
      </c>
      <c r="I6" s="58">
        <f t="shared" ref="I6:I12" si="1">+G6+H6</f>
        <v>-1.85</v>
      </c>
      <c r="J6" s="58">
        <f t="shared" ref="J6:J12" si="2">+G6/(1+$K$2)^F6</f>
        <v>-1.4919354838709677</v>
      </c>
      <c r="K6" s="58">
        <f t="shared" ref="K6:K12" si="3">+H6/(1+$K$2)^F6</f>
        <v>0</v>
      </c>
      <c r="L6" s="58">
        <f>+L5+J6+K6</f>
        <v>-2.0919354838709676</v>
      </c>
      <c r="M6" s="38"/>
      <c r="N6" s="38"/>
      <c r="O6" s="14">
        <v>1</v>
      </c>
      <c r="P6" s="69">
        <v>-0.7</v>
      </c>
      <c r="Q6" s="69"/>
      <c r="R6" s="69">
        <f t="shared" ref="R6:R12" si="4">Q6+P6</f>
        <v>-0.7</v>
      </c>
      <c r="S6" s="70">
        <v>1</v>
      </c>
      <c r="T6" s="37">
        <f>+P6/2+P7/2</f>
        <v>-0.95</v>
      </c>
      <c r="U6" s="37">
        <f t="shared" ref="U6" si="5">+Q6/2+Q7/2</f>
        <v>0</v>
      </c>
      <c r="V6" s="14">
        <f t="shared" si="0"/>
        <v>-0.95</v>
      </c>
      <c r="W6" s="15">
        <f t="shared" ref="W6:W12" si="6">+T6/(1+$K$2)^S6</f>
        <v>-0.7661290322580645</v>
      </c>
      <c r="X6" s="15">
        <f>+U6/(1.1)^S6</f>
        <v>0</v>
      </c>
      <c r="Y6" s="39">
        <f>+Y5+W6+X6</f>
        <v>-1.1161290322580646</v>
      </c>
    </row>
    <row r="7" spans="1:27" x14ac:dyDescent="0.25">
      <c r="A7" s="7">
        <v>2</v>
      </c>
      <c r="C7" s="69">
        <v>-2.5</v>
      </c>
      <c r="D7" s="69"/>
      <c r="E7" s="69">
        <f t="shared" ref="E7:E12" si="7">D7+C7</f>
        <v>-2.5</v>
      </c>
      <c r="F7" s="70">
        <v>2</v>
      </c>
      <c r="G7" s="59">
        <f t="shared" ref="G7:H12" si="8">+C7/2+C8/2</f>
        <v>-1.25</v>
      </c>
      <c r="H7" s="59">
        <f t="shared" si="8"/>
        <v>0.5</v>
      </c>
      <c r="I7" s="58">
        <f t="shared" si="1"/>
        <v>-0.75</v>
      </c>
      <c r="J7" s="58">
        <f t="shared" si="2"/>
        <v>-0.81295525494276788</v>
      </c>
      <c r="K7" s="58">
        <f t="shared" si="3"/>
        <v>0.32518210197710717</v>
      </c>
      <c r="L7" s="58">
        <f t="shared" ref="L7:L12" si="9">+L6+J7+K7</f>
        <v>-2.5797086368366284</v>
      </c>
      <c r="M7" s="38"/>
      <c r="N7" s="38"/>
      <c r="O7" s="14">
        <v>2</v>
      </c>
      <c r="P7" s="69">
        <v>-1.2</v>
      </c>
      <c r="Q7" s="69"/>
      <c r="R7" s="69">
        <f t="shared" si="4"/>
        <v>-1.2</v>
      </c>
      <c r="S7" s="70">
        <v>2</v>
      </c>
      <c r="T7" s="37">
        <f>+P7/2+P8/2</f>
        <v>-1.6</v>
      </c>
      <c r="U7" s="37">
        <f>+Q7/2+Q8/2</f>
        <v>0.5</v>
      </c>
      <c r="V7" s="14">
        <f t="shared" si="0"/>
        <v>-1.1000000000000001</v>
      </c>
      <c r="W7" s="15">
        <f t="shared" si="6"/>
        <v>-1.0405827263267431</v>
      </c>
      <c r="X7" s="15">
        <f>+U7/(1+$K$2)^S7</f>
        <v>0.32518210197710717</v>
      </c>
      <c r="Y7" s="39">
        <f t="shared" ref="Y7:Y12" si="10">+Y6+W7+X7</f>
        <v>-1.8315296566077008</v>
      </c>
    </row>
    <row r="8" spans="1:27" x14ac:dyDescent="0.25">
      <c r="A8" s="7">
        <v>3</v>
      </c>
      <c r="C8" s="69"/>
      <c r="D8" s="69">
        <v>1</v>
      </c>
      <c r="E8" s="69">
        <f t="shared" si="7"/>
        <v>1</v>
      </c>
      <c r="F8" s="70">
        <v>3</v>
      </c>
      <c r="G8" s="59">
        <f t="shared" si="8"/>
        <v>0</v>
      </c>
      <c r="H8" s="59">
        <f t="shared" si="8"/>
        <v>1</v>
      </c>
      <c r="I8" s="58">
        <f t="shared" si="1"/>
        <v>1</v>
      </c>
      <c r="J8" s="58">
        <f t="shared" si="2"/>
        <v>0</v>
      </c>
      <c r="K8" s="58">
        <f t="shared" si="3"/>
        <v>0.52448726125339862</v>
      </c>
      <c r="L8" s="58">
        <f t="shared" si="9"/>
        <v>-2.0552213755832298</v>
      </c>
      <c r="M8" s="38"/>
      <c r="N8" s="38"/>
      <c r="O8" s="14">
        <v>3</v>
      </c>
      <c r="P8" s="69">
        <v>-2</v>
      </c>
      <c r="Q8" s="69">
        <v>1</v>
      </c>
      <c r="R8" s="69">
        <f t="shared" si="4"/>
        <v>-1</v>
      </c>
      <c r="S8" s="70">
        <v>3</v>
      </c>
      <c r="T8" s="37">
        <f>+P8/2+P9/2</f>
        <v>-1</v>
      </c>
      <c r="U8" s="37">
        <f t="shared" ref="U8:U12" si="11">+Q8/2+Q9/2</f>
        <v>1.5</v>
      </c>
      <c r="V8" s="14">
        <f t="shared" si="0"/>
        <v>0.5</v>
      </c>
      <c r="W8" s="15">
        <f t="shared" si="6"/>
        <v>-0.52448726125339862</v>
      </c>
      <c r="X8" s="15">
        <f t="shared" ref="X8:X12" si="12">+U8/(1+$K$2)^S8</f>
        <v>0.78673089188009793</v>
      </c>
      <c r="Y8" s="39">
        <f t="shared" si="10"/>
        <v>-1.5692860259810015</v>
      </c>
    </row>
    <row r="9" spans="1:27" x14ac:dyDescent="0.25">
      <c r="A9" s="7">
        <v>4</v>
      </c>
      <c r="C9" s="69"/>
      <c r="D9" s="69">
        <v>1</v>
      </c>
      <c r="E9" s="69">
        <f t="shared" si="7"/>
        <v>1</v>
      </c>
      <c r="F9" s="70">
        <v>4</v>
      </c>
      <c r="G9" s="59">
        <f t="shared" si="8"/>
        <v>0</v>
      </c>
      <c r="H9" s="59">
        <f t="shared" si="8"/>
        <v>1</v>
      </c>
      <c r="I9" s="58">
        <f>+G9+H9</f>
        <v>1</v>
      </c>
      <c r="J9" s="58">
        <f t="shared" si="2"/>
        <v>0</v>
      </c>
      <c r="K9" s="58">
        <f t="shared" si="3"/>
        <v>0.42297359778499888</v>
      </c>
      <c r="L9" s="58">
        <f t="shared" si="9"/>
        <v>-1.6322477777982309</v>
      </c>
      <c r="M9" s="38"/>
      <c r="N9" s="38"/>
      <c r="O9" s="14">
        <v>4</v>
      </c>
      <c r="P9" s="69"/>
      <c r="Q9" s="69">
        <v>2</v>
      </c>
      <c r="R9" s="69">
        <f t="shared" si="4"/>
        <v>2</v>
      </c>
      <c r="S9" s="70">
        <v>4</v>
      </c>
      <c r="T9" s="37"/>
      <c r="U9" s="37">
        <f t="shared" si="11"/>
        <v>2</v>
      </c>
      <c r="V9" s="14">
        <f t="shared" si="0"/>
        <v>2</v>
      </c>
      <c r="W9" s="15">
        <f t="shared" si="6"/>
        <v>0</v>
      </c>
      <c r="X9" s="15">
        <f t="shared" si="12"/>
        <v>0.84594719556999776</v>
      </c>
      <c r="Y9" s="39">
        <f t="shared" si="10"/>
        <v>-0.72333883041100377</v>
      </c>
    </row>
    <row r="10" spans="1:27" x14ac:dyDescent="0.25">
      <c r="A10" s="7">
        <v>5</v>
      </c>
      <c r="C10" s="69"/>
      <c r="D10" s="69">
        <v>1</v>
      </c>
      <c r="E10" s="69">
        <f t="shared" si="7"/>
        <v>1</v>
      </c>
      <c r="F10" s="70">
        <v>5</v>
      </c>
      <c r="G10" s="59">
        <f t="shared" si="8"/>
        <v>0</v>
      </c>
      <c r="H10" s="59">
        <f t="shared" si="8"/>
        <v>1</v>
      </c>
      <c r="I10" s="58">
        <f t="shared" si="1"/>
        <v>1</v>
      </c>
      <c r="J10" s="58">
        <f t="shared" si="2"/>
        <v>0</v>
      </c>
      <c r="K10" s="58">
        <f t="shared" si="3"/>
        <v>0.34110774014919265</v>
      </c>
      <c r="L10" s="58">
        <f t="shared" si="9"/>
        <v>-1.2911400376490383</v>
      </c>
      <c r="M10" s="38"/>
      <c r="N10" s="38"/>
      <c r="O10" s="14">
        <v>5</v>
      </c>
      <c r="P10" s="69"/>
      <c r="Q10" s="69">
        <v>2</v>
      </c>
      <c r="R10" s="69">
        <f t="shared" si="4"/>
        <v>2</v>
      </c>
      <c r="S10" s="70">
        <v>5</v>
      </c>
      <c r="T10" s="37"/>
      <c r="U10" s="37">
        <f t="shared" si="11"/>
        <v>2</v>
      </c>
      <c r="V10" s="14">
        <f t="shared" si="0"/>
        <v>2</v>
      </c>
      <c r="W10" s="15">
        <f t="shared" si="6"/>
        <v>0</v>
      </c>
      <c r="X10" s="15">
        <f t="shared" si="12"/>
        <v>0.6822154802983853</v>
      </c>
      <c r="Y10" s="39">
        <f t="shared" si="10"/>
        <v>-4.1123350112618473E-2</v>
      </c>
    </row>
    <row r="11" spans="1:27" x14ac:dyDescent="0.25">
      <c r="A11" s="7">
        <v>6</v>
      </c>
      <c r="C11" s="69"/>
      <c r="D11" s="69">
        <v>1</v>
      </c>
      <c r="E11" s="69">
        <f t="shared" si="7"/>
        <v>1</v>
      </c>
      <c r="F11" s="70">
        <v>6</v>
      </c>
      <c r="G11" s="59">
        <f t="shared" si="8"/>
        <v>0</v>
      </c>
      <c r="H11" s="59">
        <f t="shared" si="8"/>
        <v>1</v>
      </c>
      <c r="I11" s="58">
        <f t="shared" si="1"/>
        <v>1</v>
      </c>
      <c r="J11" s="58">
        <f t="shared" si="2"/>
        <v>0</v>
      </c>
      <c r="K11" s="58">
        <f t="shared" si="3"/>
        <v>0.27508688721709085</v>
      </c>
      <c r="L11" s="58">
        <f t="shared" si="9"/>
        <v>-1.0160531504319474</v>
      </c>
      <c r="M11" s="38"/>
      <c r="N11" s="38"/>
      <c r="O11" s="14">
        <v>6</v>
      </c>
      <c r="P11" s="69"/>
      <c r="Q11" s="69">
        <v>2</v>
      </c>
      <c r="R11" s="69">
        <f t="shared" si="4"/>
        <v>2</v>
      </c>
      <c r="S11" s="70">
        <v>6</v>
      </c>
      <c r="T11" s="37"/>
      <c r="U11" s="37">
        <f t="shared" si="11"/>
        <v>2</v>
      </c>
      <c r="V11" s="14">
        <f t="shared" si="0"/>
        <v>2</v>
      </c>
      <c r="W11" s="15">
        <f t="shared" si="6"/>
        <v>0</v>
      </c>
      <c r="X11" s="15">
        <f t="shared" si="12"/>
        <v>0.55017377443418169</v>
      </c>
      <c r="Y11" s="39">
        <f t="shared" si="10"/>
        <v>0.50905042432156322</v>
      </c>
    </row>
    <row r="12" spans="1:27" x14ac:dyDescent="0.25">
      <c r="A12" s="7">
        <v>7</v>
      </c>
      <c r="C12" s="69"/>
      <c r="D12" s="69">
        <v>1</v>
      </c>
      <c r="E12" s="69">
        <f t="shared" si="7"/>
        <v>1</v>
      </c>
      <c r="F12" s="70">
        <v>7</v>
      </c>
      <c r="G12" s="59">
        <f t="shared" si="8"/>
        <v>0</v>
      </c>
      <c r="H12" s="59">
        <f t="shared" si="8"/>
        <v>0.5</v>
      </c>
      <c r="I12" s="58">
        <f t="shared" si="1"/>
        <v>0.5</v>
      </c>
      <c r="J12" s="58">
        <f t="shared" si="2"/>
        <v>0</v>
      </c>
      <c r="K12" s="58">
        <f t="shared" si="3"/>
        <v>0.11092213194237534</v>
      </c>
      <c r="L12" s="81">
        <f t="shared" si="9"/>
        <v>-0.90513101848957211</v>
      </c>
      <c r="M12" s="38"/>
      <c r="N12" s="38"/>
      <c r="O12" s="14">
        <v>7</v>
      </c>
      <c r="P12" s="69"/>
      <c r="Q12" s="69">
        <v>2</v>
      </c>
      <c r="R12" s="69">
        <f t="shared" si="4"/>
        <v>2</v>
      </c>
      <c r="S12" s="70">
        <v>7</v>
      </c>
      <c r="T12" s="37"/>
      <c r="U12" s="37">
        <f t="shared" si="11"/>
        <v>1</v>
      </c>
      <c r="V12" s="14">
        <f t="shared" si="0"/>
        <v>1</v>
      </c>
      <c r="W12" s="15">
        <f t="shared" si="6"/>
        <v>0</v>
      </c>
      <c r="X12" s="15">
        <f t="shared" si="12"/>
        <v>0.22184426388475068</v>
      </c>
      <c r="Y12" s="39">
        <f t="shared" si="10"/>
        <v>0.73089468820631387</v>
      </c>
    </row>
    <row r="13" spans="1:27" x14ac:dyDescent="0.25">
      <c r="A13" s="17"/>
      <c r="B13" s="17"/>
      <c r="C13" s="65"/>
      <c r="D13" s="65"/>
      <c r="E13" s="65"/>
      <c r="F13" s="65"/>
      <c r="G13" s="66"/>
      <c r="H13" s="66"/>
      <c r="I13" s="67"/>
      <c r="J13" s="67"/>
      <c r="K13" s="67"/>
      <c r="L13" s="67"/>
      <c r="M13" s="38"/>
      <c r="N13" s="38"/>
      <c r="O13" s="13"/>
      <c r="P13" s="65"/>
      <c r="Q13" s="65"/>
      <c r="R13" s="65"/>
      <c r="S13" s="65"/>
      <c r="T13" s="65"/>
      <c r="U13" s="65"/>
      <c r="V13" s="13"/>
      <c r="W13" s="68"/>
      <c r="X13" s="68"/>
      <c r="Y13" s="38"/>
    </row>
    <row r="14" spans="1:27" x14ac:dyDescent="0.25">
      <c r="A14" s="13"/>
      <c r="B14" s="17"/>
      <c r="H14" s="40"/>
      <c r="J14" s="71">
        <f>+SUM(J5:J12)</f>
        <v>-2.9048907388137355</v>
      </c>
      <c r="K14" s="71">
        <f>+SUM(K5:K12)</f>
        <v>1.9997597203241637</v>
      </c>
      <c r="M14" s="31"/>
      <c r="N14" s="31"/>
      <c r="U14" s="40"/>
      <c r="W14" s="71">
        <f>+SUM(W5:W12)</f>
        <v>-2.6811990198382065</v>
      </c>
      <c r="X14" s="71">
        <f>+SUM(X5:X12)</f>
        <v>3.4120937080445208</v>
      </c>
    </row>
    <row r="15" spans="1:27" ht="15.75" thickBot="1" x14ac:dyDescent="0.3">
      <c r="A15" s="13"/>
      <c r="B15" s="17"/>
      <c r="G15" t="s">
        <v>51</v>
      </c>
      <c r="J15" s="72" t="s">
        <v>66</v>
      </c>
      <c r="K15" s="72" t="s">
        <v>67</v>
      </c>
      <c r="M15" s="31"/>
      <c r="N15" s="31"/>
      <c r="T15" t="s">
        <v>51</v>
      </c>
      <c r="W15" s="72" t="s">
        <v>66</v>
      </c>
      <c r="X15" s="72" t="s">
        <v>67</v>
      </c>
    </row>
    <row r="16" spans="1:27" ht="15.75" thickBot="1" x14ac:dyDescent="0.3">
      <c r="A16" s="17"/>
      <c r="B16" s="17"/>
      <c r="E16" s="41" t="s">
        <v>52</v>
      </c>
      <c r="G16" s="42" t="s">
        <v>68</v>
      </c>
      <c r="H16" s="43"/>
      <c r="I16" s="44">
        <f>NPV(0.24,I6:I12)+I5</f>
        <v>-0.90513101848957223</v>
      </c>
      <c r="J16" s="41"/>
      <c r="K16" s="45"/>
      <c r="L16" s="45"/>
      <c r="M16" s="46"/>
      <c r="N16" s="46"/>
      <c r="O16" s="45"/>
      <c r="R16" s="41" t="s">
        <v>52</v>
      </c>
      <c r="T16" s="42" t="s">
        <v>68</v>
      </c>
      <c r="U16" s="43"/>
      <c r="V16" s="44">
        <f>NPV(K2,V6:V12)+V5</f>
        <v>0.73089468820631442</v>
      </c>
      <c r="W16" s="47"/>
      <c r="X16" s="45"/>
      <c r="Y16" s="45"/>
    </row>
    <row r="17" spans="5:26" ht="15.75" thickBot="1" x14ac:dyDescent="0.3">
      <c r="K17" s="73" t="s">
        <v>69</v>
      </c>
      <c r="L17" s="74">
        <f>NPV(0.2,I6:I12)+I5</f>
        <v>-0.72522683756287143</v>
      </c>
      <c r="M17" s="31"/>
      <c r="N17" s="31"/>
      <c r="X17" s="73" t="s">
        <v>20</v>
      </c>
      <c r="Y17" s="74">
        <f>NPV(0.3,V6:V12)+V5</f>
        <v>0.3085587433086262</v>
      </c>
    </row>
    <row r="18" spans="5:26" ht="15.75" thickBot="1" x14ac:dyDescent="0.3">
      <c r="G18" s="42" t="s">
        <v>53</v>
      </c>
      <c r="H18" s="43"/>
      <c r="I18" s="48">
        <f>IRR(I5:I12)</f>
        <v>9.7329073810104472E-2</v>
      </c>
      <c r="J18" s="49" t="s">
        <v>54</v>
      </c>
      <c r="K18" s="75" t="s">
        <v>70</v>
      </c>
      <c r="L18" s="76">
        <f>NPV(0.1,I6:I12)+I5</f>
        <v>-2.5350324067049956E-2</v>
      </c>
      <c r="M18" s="50"/>
      <c r="N18" s="50"/>
      <c r="O18" s="18"/>
      <c r="R18" s="51"/>
      <c r="T18" s="42" t="s">
        <v>53</v>
      </c>
      <c r="U18" s="43"/>
      <c r="V18" s="52">
        <f>IRR(V5:V12)</f>
        <v>0.36052878509037622</v>
      </c>
      <c r="W18" s="49" t="s">
        <v>54</v>
      </c>
      <c r="X18" s="82" t="s">
        <v>22</v>
      </c>
      <c r="Y18" s="83">
        <f>NPV(0.4,V6:V12)+V5</f>
        <v>-0.15460977751009916</v>
      </c>
    </row>
    <row r="19" spans="5:26" x14ac:dyDescent="0.25">
      <c r="K19" s="77" t="s">
        <v>71</v>
      </c>
      <c r="L19" s="76">
        <f>NPV(0.05,I6:I12)+I5</f>
        <v>0.52944543074520534</v>
      </c>
      <c r="M19" s="31"/>
      <c r="N19" s="31"/>
      <c r="X19" s="84"/>
      <c r="Y19" s="85"/>
      <c r="Z19" s="17"/>
    </row>
    <row r="20" spans="5:26" x14ac:dyDescent="0.25">
      <c r="G20" t="s">
        <v>55</v>
      </c>
      <c r="I20" s="4">
        <f>+J14</f>
        <v>-2.9048907388137355</v>
      </c>
      <c r="J20" s="4"/>
      <c r="M20" s="31"/>
      <c r="N20" s="31"/>
      <c r="T20" t="s">
        <v>55</v>
      </c>
      <c r="V20" s="4">
        <f>+W14</f>
        <v>-2.6811990198382065</v>
      </c>
      <c r="W20" s="4"/>
    </row>
    <row r="21" spans="5:26" ht="15.75" thickBot="1" x14ac:dyDescent="0.3">
      <c r="G21" t="s">
        <v>56</v>
      </c>
      <c r="I21" s="4">
        <f>+K14</f>
        <v>1.9997597203241637</v>
      </c>
      <c r="J21" s="4"/>
      <c r="M21" s="31"/>
      <c r="N21" s="31"/>
      <c r="T21" t="s">
        <v>56</v>
      </c>
      <c r="V21" s="4">
        <f>+X14</f>
        <v>3.4120937080445208</v>
      </c>
      <c r="W21" s="4"/>
    </row>
    <row r="22" spans="5:26" ht="15.75" thickBot="1" x14ac:dyDescent="0.3">
      <c r="G22" s="78" t="s">
        <v>57</v>
      </c>
      <c r="H22" s="79"/>
      <c r="I22" s="80">
        <f>+I21/(+ABS(I20))</f>
        <v>0.68841133802533372</v>
      </c>
      <c r="J22" s="54"/>
      <c r="M22" s="31"/>
      <c r="N22" s="31"/>
      <c r="T22" s="42" t="s">
        <v>57</v>
      </c>
      <c r="U22" s="43"/>
      <c r="V22" s="53">
        <f>+V21/(+ABS(V20))</f>
        <v>1.2725999386089657</v>
      </c>
      <c r="W22" s="54"/>
    </row>
    <row r="23" spans="5:26" ht="15.75" thickBot="1" x14ac:dyDescent="0.3">
      <c r="M23" s="31"/>
      <c r="N23" s="31"/>
    </row>
    <row r="24" spans="5:26" ht="15.75" thickBot="1" x14ac:dyDescent="0.3">
      <c r="G24" s="42" t="s">
        <v>72</v>
      </c>
      <c r="H24" s="43"/>
      <c r="I24" s="55"/>
      <c r="M24" s="31"/>
      <c r="N24" s="31"/>
      <c r="T24" s="42" t="s">
        <v>78</v>
      </c>
      <c r="U24" s="43"/>
      <c r="V24" s="55"/>
    </row>
    <row r="25" spans="5:26" x14ac:dyDescent="0.25">
      <c r="E25" s="41" t="s">
        <v>58</v>
      </c>
      <c r="M25" s="31"/>
      <c r="N25" s="31"/>
    </row>
    <row r="26" spans="5:26" x14ac:dyDescent="0.25">
      <c r="M26" s="31"/>
      <c r="N26" s="31"/>
      <c r="R26" s="41" t="s">
        <v>58</v>
      </c>
    </row>
    <row r="27" spans="5:26" ht="18" x14ac:dyDescent="0.35">
      <c r="E27" s="41" t="s">
        <v>73</v>
      </c>
      <c r="F27" s="56"/>
      <c r="G27" s="56"/>
      <c r="H27" s="56"/>
      <c r="I27" s="56"/>
      <c r="J27" s="56"/>
      <c r="K27" s="56"/>
      <c r="M27" s="31"/>
      <c r="N27" s="31"/>
      <c r="R27" s="41" t="s">
        <v>79</v>
      </c>
    </row>
    <row r="28" spans="5:26" x14ac:dyDescent="0.25">
      <c r="E28" s="41" t="s">
        <v>74</v>
      </c>
      <c r="F28" s="56"/>
      <c r="G28" s="56"/>
      <c r="H28" s="56"/>
      <c r="I28" s="56"/>
      <c r="J28" s="56"/>
      <c r="K28" s="56"/>
      <c r="M28" s="31"/>
      <c r="N28" s="31"/>
      <c r="R28" s="41" t="s">
        <v>80</v>
      </c>
    </row>
    <row r="29" spans="5:26" x14ac:dyDescent="0.25">
      <c r="E29" s="57" t="s">
        <v>75</v>
      </c>
      <c r="F29" s="56"/>
      <c r="G29" s="56"/>
      <c r="H29" s="56"/>
      <c r="I29" s="56"/>
      <c r="J29" s="56"/>
      <c r="K29" s="56"/>
      <c r="M29" s="31"/>
      <c r="N29" s="31"/>
      <c r="R29" s="57" t="s">
        <v>81</v>
      </c>
    </row>
    <row r="30" spans="5:26" x14ac:dyDescent="0.25">
      <c r="E30" s="57" t="s">
        <v>76</v>
      </c>
      <c r="F30" s="56"/>
      <c r="G30" s="56"/>
      <c r="H30" s="56"/>
      <c r="I30" s="56"/>
      <c r="J30" s="56"/>
      <c r="K30" s="56"/>
      <c r="M30" s="31"/>
      <c r="N30" s="31"/>
      <c r="R30" s="57" t="s">
        <v>59</v>
      </c>
    </row>
    <row r="31" spans="5:26" x14ac:dyDescent="0.25">
      <c r="E31" s="57" t="s">
        <v>77</v>
      </c>
      <c r="F31" s="56"/>
      <c r="G31" s="56"/>
      <c r="H31" s="56"/>
      <c r="I31" s="56"/>
      <c r="J31" s="56"/>
      <c r="K31" s="56"/>
      <c r="M31" s="31"/>
      <c r="N31" s="31"/>
      <c r="R31" s="57" t="s">
        <v>60</v>
      </c>
    </row>
    <row r="32" spans="5:26" x14ac:dyDescent="0.25">
      <c r="M32" s="31"/>
      <c r="N32" s="31"/>
    </row>
    <row r="33" spans="5:14" x14ac:dyDescent="0.25">
      <c r="E33" s="57" t="s">
        <v>61</v>
      </c>
      <c r="M33" s="31"/>
      <c r="N33" s="31"/>
    </row>
    <row r="34" spans="5:14" x14ac:dyDescent="0.25">
      <c r="E34" s="57" t="s">
        <v>62</v>
      </c>
      <c r="M34" s="31"/>
      <c r="N34" s="31"/>
    </row>
    <row r="35" spans="5:14" x14ac:dyDescent="0.25">
      <c r="E35" s="57" t="s">
        <v>63</v>
      </c>
      <c r="M35" s="31"/>
      <c r="N35" s="31"/>
    </row>
  </sheetData>
  <mergeCells count="3">
    <mergeCell ref="C3:I3"/>
    <mergeCell ref="P3:R3"/>
    <mergeCell ref="S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J16" sqref="J16"/>
    </sheetView>
  </sheetViews>
  <sheetFormatPr baseColWidth="10" defaultRowHeight="15" x14ac:dyDescent="0.25"/>
  <cols>
    <col min="2" max="2" width="13.42578125" customWidth="1"/>
    <col min="3" max="3" width="23.85546875" bestFit="1" customWidth="1"/>
    <col min="5" max="5" width="13" bestFit="1" customWidth="1"/>
    <col min="6" max="6" width="14" customWidth="1"/>
    <col min="7" max="7" width="5.28515625" customWidth="1"/>
    <col min="8" max="8" width="11.42578125" style="88"/>
    <col min="9" max="9" width="14.5703125" bestFit="1" customWidth="1"/>
    <col min="10" max="10" width="17.85546875" customWidth="1"/>
    <col min="11" max="11" width="10" customWidth="1"/>
    <col min="12" max="12" width="13.42578125" customWidth="1"/>
    <col min="13" max="13" width="17" customWidth="1"/>
  </cols>
  <sheetData>
    <row r="1" spans="1:14" x14ac:dyDescent="0.25">
      <c r="A1" t="s">
        <v>83</v>
      </c>
    </row>
    <row r="3" spans="1:14" x14ac:dyDescent="0.25">
      <c r="D3" t="s">
        <v>8</v>
      </c>
      <c r="E3" s="3">
        <v>0.18</v>
      </c>
      <c r="K3" s="87"/>
    </row>
    <row r="4" spans="1:14" x14ac:dyDescent="0.25">
      <c r="A4" s="2" t="s">
        <v>84</v>
      </c>
      <c r="I4" s="2" t="s">
        <v>85</v>
      </c>
    </row>
    <row r="5" spans="1:14" s="86" customFormat="1" x14ac:dyDescent="0.25">
      <c r="A5" s="89" t="s">
        <v>37</v>
      </c>
      <c r="B5" s="89" t="s">
        <v>86</v>
      </c>
      <c r="C5" s="89" t="s">
        <v>90</v>
      </c>
      <c r="D5" s="89" t="s">
        <v>39</v>
      </c>
      <c r="E5" s="89" t="s">
        <v>87</v>
      </c>
      <c r="F5" s="89" t="s">
        <v>88</v>
      </c>
      <c r="G5" s="89"/>
      <c r="H5" s="89" t="s">
        <v>37</v>
      </c>
      <c r="I5" s="89" t="s">
        <v>86</v>
      </c>
      <c r="J5" s="89" t="s">
        <v>90</v>
      </c>
      <c r="K5" s="89" t="s">
        <v>39</v>
      </c>
      <c r="L5" s="89" t="s">
        <v>87</v>
      </c>
      <c r="M5" s="89" t="s">
        <v>88</v>
      </c>
      <c r="N5" s="89"/>
    </row>
    <row r="6" spans="1:14" x14ac:dyDescent="0.25">
      <c r="A6" s="90">
        <v>1</v>
      </c>
      <c r="B6" s="11">
        <v>15000000</v>
      </c>
      <c r="C6" s="11"/>
      <c r="D6" s="90">
        <v>0</v>
      </c>
      <c r="E6" s="11">
        <f>+(B6+C6)/2</f>
        <v>7500000</v>
      </c>
      <c r="F6" s="11">
        <f>+E6/(1+$E$3)^D6</f>
        <v>7500000</v>
      </c>
      <c r="G6" s="11"/>
      <c r="H6" s="91">
        <v>1</v>
      </c>
      <c r="I6" s="11">
        <v>10000000</v>
      </c>
      <c r="J6" s="11"/>
      <c r="K6" s="90">
        <v>0</v>
      </c>
      <c r="L6" s="11">
        <f>+(I6+J6)/2</f>
        <v>5000000</v>
      </c>
      <c r="M6" s="11">
        <f>+L6/(1+$E$3)^K6</f>
        <v>5000000</v>
      </c>
      <c r="N6" s="7"/>
    </row>
    <row r="7" spans="1:14" x14ac:dyDescent="0.25">
      <c r="A7" s="90">
        <v>2</v>
      </c>
      <c r="B7" s="11">
        <v>15000000</v>
      </c>
      <c r="C7" s="11"/>
      <c r="D7" s="90">
        <v>1</v>
      </c>
      <c r="E7" s="11">
        <f>+(B7+C7)/2+(B6+C6)/2</f>
        <v>15000000</v>
      </c>
      <c r="F7" s="11">
        <f t="shared" ref="F7:F14" si="0">+E7/(1+$E$3)^D7</f>
        <v>12711864.406779662</v>
      </c>
      <c r="G7" s="11"/>
      <c r="H7" s="91">
        <v>2</v>
      </c>
      <c r="I7" s="11">
        <v>10000000</v>
      </c>
      <c r="J7" s="11"/>
      <c r="K7" s="90">
        <v>1</v>
      </c>
      <c r="L7" s="11">
        <f>+(I7+J7)/2+(I6+J6)/2</f>
        <v>10000000</v>
      </c>
      <c r="M7" s="11">
        <f t="shared" ref="M7:M14" si="1">+L7/(1+$E$3)^K7</f>
        <v>8474576.2711864412</v>
      </c>
      <c r="N7" s="7"/>
    </row>
    <row r="8" spans="1:14" x14ac:dyDescent="0.25">
      <c r="A8" s="90">
        <v>3</v>
      </c>
      <c r="B8" s="11"/>
      <c r="C8" s="11">
        <v>300000</v>
      </c>
      <c r="D8" s="90">
        <v>2</v>
      </c>
      <c r="E8" s="11">
        <f t="shared" ref="E8:E14" si="2">+(B8+C8)/2+(B7+C7)/2</f>
        <v>7650000</v>
      </c>
      <c r="F8" s="11">
        <f t="shared" si="0"/>
        <v>5494110.8876759559</v>
      </c>
      <c r="G8" s="11"/>
      <c r="H8" s="91">
        <v>3</v>
      </c>
      <c r="I8" s="11"/>
      <c r="J8" s="11">
        <v>1000000</v>
      </c>
      <c r="K8" s="90">
        <v>2</v>
      </c>
      <c r="L8" s="11">
        <f t="shared" ref="L8:L14" si="3">+(I8+J8)/2+(I7+J7)/2</f>
        <v>5500000</v>
      </c>
      <c r="M8" s="11">
        <f t="shared" si="1"/>
        <v>3950014.3636885956</v>
      </c>
      <c r="N8" s="7"/>
    </row>
    <row r="9" spans="1:14" x14ac:dyDescent="0.25">
      <c r="A9" s="90">
        <v>4</v>
      </c>
      <c r="B9" s="11"/>
      <c r="C9" s="11">
        <v>300000</v>
      </c>
      <c r="D9" s="90">
        <v>3</v>
      </c>
      <c r="E9" s="11">
        <f t="shared" si="2"/>
        <v>300000</v>
      </c>
      <c r="F9" s="11">
        <f t="shared" si="0"/>
        <v>182589.26180378717</v>
      </c>
      <c r="G9" s="11"/>
      <c r="H9" s="91">
        <v>4</v>
      </c>
      <c r="I9" s="11"/>
      <c r="J9" s="11">
        <v>1000000</v>
      </c>
      <c r="K9" s="90">
        <v>3</v>
      </c>
      <c r="L9" s="11">
        <f t="shared" si="3"/>
        <v>1000000</v>
      </c>
      <c r="M9" s="11">
        <f t="shared" si="1"/>
        <v>608630.87267929059</v>
      </c>
      <c r="N9" s="7"/>
    </row>
    <row r="10" spans="1:14" x14ac:dyDescent="0.25">
      <c r="A10" s="90">
        <v>5</v>
      </c>
      <c r="B10" s="11"/>
      <c r="C10" s="11">
        <v>300000</v>
      </c>
      <c r="D10" s="90">
        <v>4</v>
      </c>
      <c r="E10" s="11">
        <f t="shared" si="2"/>
        <v>300000</v>
      </c>
      <c r="F10" s="11">
        <f t="shared" si="0"/>
        <v>154736.66254558237</v>
      </c>
      <c r="G10" s="11"/>
      <c r="H10" s="91">
        <v>5</v>
      </c>
      <c r="I10" s="11"/>
      <c r="J10" s="11">
        <v>1000000</v>
      </c>
      <c r="K10" s="90">
        <v>4</v>
      </c>
      <c r="L10" s="11">
        <f t="shared" si="3"/>
        <v>1000000</v>
      </c>
      <c r="M10" s="11">
        <f t="shared" si="1"/>
        <v>515788.8751519412</v>
      </c>
      <c r="N10" s="7"/>
    </row>
    <row r="11" spans="1:14" x14ac:dyDescent="0.25">
      <c r="A11" s="90">
        <v>6</v>
      </c>
      <c r="B11" s="11"/>
      <c r="C11" s="11">
        <v>300000</v>
      </c>
      <c r="D11" s="90">
        <v>5</v>
      </c>
      <c r="E11" s="11">
        <f t="shared" si="2"/>
        <v>300000</v>
      </c>
      <c r="F11" s="11">
        <f t="shared" si="0"/>
        <v>131132.76486913761</v>
      </c>
      <c r="G11" s="11"/>
      <c r="H11" s="91">
        <v>6</v>
      </c>
      <c r="I11" s="11"/>
      <c r="J11" s="11">
        <v>1000000</v>
      </c>
      <c r="K11" s="90">
        <v>5</v>
      </c>
      <c r="L11" s="11">
        <f t="shared" si="3"/>
        <v>1000000</v>
      </c>
      <c r="M11" s="11">
        <f t="shared" si="1"/>
        <v>437109.2162304587</v>
      </c>
      <c r="N11" s="7"/>
    </row>
    <row r="12" spans="1:14" x14ac:dyDescent="0.25">
      <c r="A12" s="90">
        <v>7</v>
      </c>
      <c r="B12" s="7"/>
      <c r="C12" s="11">
        <v>300000</v>
      </c>
      <c r="D12" s="91">
        <v>6</v>
      </c>
      <c r="E12" s="11">
        <f t="shared" si="2"/>
        <v>300000</v>
      </c>
      <c r="F12" s="11">
        <f t="shared" si="0"/>
        <v>111129.46175350645</v>
      </c>
      <c r="G12" s="7"/>
      <c r="H12" s="91">
        <v>7</v>
      </c>
      <c r="I12" s="11"/>
      <c r="J12" s="11">
        <v>1000000</v>
      </c>
      <c r="K12" s="91">
        <v>6</v>
      </c>
      <c r="L12" s="11">
        <f t="shared" si="3"/>
        <v>1000000</v>
      </c>
      <c r="M12" s="11">
        <f t="shared" si="1"/>
        <v>370431.53917835478</v>
      </c>
      <c r="N12" s="7"/>
    </row>
    <row r="13" spans="1:14" x14ac:dyDescent="0.25">
      <c r="A13" s="90">
        <v>8</v>
      </c>
      <c r="B13" s="7"/>
      <c r="C13" s="11">
        <v>300000</v>
      </c>
      <c r="D13" s="91">
        <v>7</v>
      </c>
      <c r="E13" s="11">
        <f t="shared" si="2"/>
        <v>300000</v>
      </c>
      <c r="F13" s="11">
        <f t="shared" si="0"/>
        <v>94177.509960598676</v>
      </c>
      <c r="G13" s="7"/>
      <c r="H13" s="91">
        <v>8</v>
      </c>
      <c r="I13" s="11"/>
      <c r="J13" s="11">
        <v>1000000</v>
      </c>
      <c r="K13" s="91">
        <v>7</v>
      </c>
      <c r="L13" s="11">
        <f t="shared" si="3"/>
        <v>1000000</v>
      </c>
      <c r="M13" s="11">
        <f t="shared" si="1"/>
        <v>313925.0332019956</v>
      </c>
      <c r="N13" s="7"/>
    </row>
    <row r="14" spans="1:14" x14ac:dyDescent="0.25">
      <c r="D14" s="91">
        <v>8</v>
      </c>
      <c r="E14" s="11">
        <f t="shared" si="2"/>
        <v>150000</v>
      </c>
      <c r="F14" s="11">
        <f t="shared" si="0"/>
        <v>39905.724559575719</v>
      </c>
      <c r="G14" s="7"/>
      <c r="K14" s="91">
        <v>8</v>
      </c>
      <c r="L14" s="11">
        <f t="shared" si="3"/>
        <v>500000</v>
      </c>
      <c r="M14" s="11">
        <f t="shared" si="1"/>
        <v>133019.0818652524</v>
      </c>
    </row>
    <row r="16" spans="1:14" x14ac:dyDescent="0.25">
      <c r="E16" s="92" t="s">
        <v>89</v>
      </c>
      <c r="F16" s="93">
        <f>+SUM(F6:F14)</f>
        <v>26419646.679947808</v>
      </c>
      <c r="L16" s="94" t="s">
        <v>89</v>
      </c>
      <c r="M16" s="95">
        <f>+SUM(M6:M14)</f>
        <v>19803495.253182329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4" sqref="L14"/>
    </sheetView>
  </sheetViews>
  <sheetFormatPr baseColWidth="10" defaultRowHeight="15" x14ac:dyDescent="0.25"/>
  <cols>
    <col min="3" max="3" width="16.85546875" bestFit="1" customWidth="1"/>
    <col min="4" max="4" width="8.42578125" bestFit="1" customWidth="1"/>
    <col min="7" max="7" width="12.5703125" customWidth="1"/>
    <col min="9" max="9" width="13.140625" bestFit="1" customWidth="1"/>
  </cols>
  <sheetData>
    <row r="1" spans="1:12" x14ac:dyDescent="0.25">
      <c r="A1" s="2" t="s">
        <v>92</v>
      </c>
    </row>
    <row r="2" spans="1:12" x14ac:dyDescent="0.25">
      <c r="H2" t="s">
        <v>8</v>
      </c>
      <c r="I2" s="3">
        <v>0.2</v>
      </c>
    </row>
    <row r="3" spans="1:12" s="86" customFormat="1" ht="51" x14ac:dyDescent="0.25">
      <c r="A3" s="89" t="s">
        <v>37</v>
      </c>
      <c r="B3" s="89" t="s">
        <v>86</v>
      </c>
      <c r="C3" s="89" t="s">
        <v>91</v>
      </c>
      <c r="D3" s="89" t="s">
        <v>2</v>
      </c>
      <c r="E3" s="61" t="s">
        <v>39</v>
      </c>
      <c r="F3" s="34" t="s">
        <v>40</v>
      </c>
      <c r="G3" s="34" t="s">
        <v>41</v>
      </c>
      <c r="H3" s="34" t="s">
        <v>42</v>
      </c>
      <c r="I3" s="34" t="s">
        <v>43</v>
      </c>
      <c r="J3" s="34" t="s">
        <v>44</v>
      </c>
      <c r="K3" s="34" t="s">
        <v>45</v>
      </c>
      <c r="L3" s="62"/>
    </row>
    <row r="4" spans="1:12" x14ac:dyDescent="0.25">
      <c r="A4" s="91">
        <v>1</v>
      </c>
      <c r="B4" s="96">
        <v>-2</v>
      </c>
      <c r="C4" s="96"/>
      <c r="D4" s="96"/>
      <c r="E4" s="16">
        <v>0</v>
      </c>
      <c r="F4" s="58">
        <f>+(B4+C4)/2</f>
        <v>-1</v>
      </c>
      <c r="G4" s="98">
        <f>+D4/2</f>
        <v>0</v>
      </c>
      <c r="H4" s="58">
        <f>+F4+G4</f>
        <v>-1</v>
      </c>
      <c r="I4" s="58">
        <f>+F4/(1+$I$2)^E4</f>
        <v>-1</v>
      </c>
      <c r="J4" s="58">
        <f>+G4/(1+$I$2)^E4</f>
        <v>0</v>
      </c>
      <c r="K4" s="58">
        <f>+I4</f>
        <v>-1</v>
      </c>
      <c r="L4" s="35"/>
    </row>
    <row r="5" spans="1:12" x14ac:dyDescent="0.25">
      <c r="A5" s="91">
        <v>2</v>
      </c>
      <c r="B5" s="96">
        <v>-1</v>
      </c>
      <c r="C5" s="96"/>
      <c r="D5" s="96"/>
      <c r="E5" s="70">
        <v>1</v>
      </c>
      <c r="F5" s="59">
        <f>+(B4+B5)/2+(C4+C5)/2</f>
        <v>-1.5</v>
      </c>
      <c r="G5" s="99">
        <f>+D4/2+D5/2</f>
        <v>0</v>
      </c>
      <c r="H5" s="58">
        <f t="shared" ref="H5:H12" si="0">+F5+G5</f>
        <v>-1.5</v>
      </c>
      <c r="I5" s="58">
        <f t="shared" ref="I5:I12" si="1">+F5/(1+$I$2)^E5</f>
        <v>-1.25</v>
      </c>
      <c r="J5" s="58">
        <f t="shared" ref="J5:J12" si="2">+G5/(1+$I$2)^E5</f>
        <v>0</v>
      </c>
      <c r="K5" s="58">
        <f>+K4+I5+J5</f>
        <v>-2.25</v>
      </c>
      <c r="L5" s="38"/>
    </row>
    <row r="6" spans="1:12" x14ac:dyDescent="0.25">
      <c r="A6" s="91">
        <v>3</v>
      </c>
      <c r="B6" s="96"/>
      <c r="C6" s="97">
        <f>-D6*0.25</f>
        <v>-0.375</v>
      </c>
      <c r="D6" s="97">
        <v>1.5</v>
      </c>
      <c r="E6" s="70">
        <v>2</v>
      </c>
      <c r="F6" s="59">
        <f t="shared" ref="F6:F12" si="3">+(B5+B6)/2+(C5+C6)/2</f>
        <v>-0.6875</v>
      </c>
      <c r="G6" s="99">
        <f t="shared" ref="G6:G12" si="4">+D5/2+D6/2</f>
        <v>0.75</v>
      </c>
      <c r="H6" s="58">
        <f t="shared" si="0"/>
        <v>6.25E-2</v>
      </c>
      <c r="I6" s="58">
        <f t="shared" si="1"/>
        <v>-0.47743055555555558</v>
      </c>
      <c r="J6" s="58">
        <f t="shared" si="2"/>
        <v>0.52083333333333337</v>
      </c>
      <c r="K6" s="58">
        <f t="shared" ref="K6:K11" si="5">+K5+I6+J6</f>
        <v>-2.2065972222222219</v>
      </c>
      <c r="L6" s="38"/>
    </row>
    <row r="7" spans="1:12" x14ac:dyDescent="0.25">
      <c r="A7" s="91">
        <v>4</v>
      </c>
      <c r="B7" s="96"/>
      <c r="C7" s="97">
        <f t="shared" ref="C7:C11" si="6">-D7*0.25</f>
        <v>-0.44999999999999996</v>
      </c>
      <c r="D7" s="97">
        <f>+D6*1.2</f>
        <v>1.7999999999999998</v>
      </c>
      <c r="E7" s="70">
        <v>3</v>
      </c>
      <c r="F7" s="59">
        <f t="shared" si="3"/>
        <v>-0.41249999999999998</v>
      </c>
      <c r="G7" s="99">
        <f t="shared" si="4"/>
        <v>1.65</v>
      </c>
      <c r="H7" s="58">
        <f t="shared" si="0"/>
        <v>1.2374999999999998</v>
      </c>
      <c r="I7" s="58">
        <f t="shared" si="1"/>
        <v>-0.23871527777777776</v>
      </c>
      <c r="J7" s="58">
        <f t="shared" si="2"/>
        <v>0.95486111111111105</v>
      </c>
      <c r="K7" s="58">
        <f t="shared" si="5"/>
        <v>-1.4904513888888884</v>
      </c>
      <c r="L7" s="38"/>
    </row>
    <row r="8" spans="1:12" x14ac:dyDescent="0.25">
      <c r="A8" s="91">
        <v>5</v>
      </c>
      <c r="B8" s="96"/>
      <c r="C8" s="97">
        <f t="shared" si="6"/>
        <v>-0.53999999999999992</v>
      </c>
      <c r="D8" s="97">
        <f t="shared" ref="D8:D11" si="7">+D7*1.2</f>
        <v>2.1599999999999997</v>
      </c>
      <c r="E8" s="70">
        <v>4</v>
      </c>
      <c r="F8" s="59">
        <f t="shared" si="3"/>
        <v>-0.49499999999999994</v>
      </c>
      <c r="G8" s="99">
        <f t="shared" si="4"/>
        <v>1.9799999999999998</v>
      </c>
      <c r="H8" s="58">
        <f t="shared" si="0"/>
        <v>1.4849999999999999</v>
      </c>
      <c r="I8" s="58">
        <f t="shared" si="1"/>
        <v>-0.23871527777777776</v>
      </c>
      <c r="J8" s="58">
        <f t="shared" si="2"/>
        <v>0.95486111111111105</v>
      </c>
      <c r="K8" s="81">
        <f t="shared" si="5"/>
        <v>-0.77430555555555503</v>
      </c>
      <c r="L8" s="38"/>
    </row>
    <row r="9" spans="1:12" x14ac:dyDescent="0.25">
      <c r="A9" s="91">
        <v>6</v>
      </c>
      <c r="B9" s="96"/>
      <c r="C9" s="97">
        <f t="shared" si="6"/>
        <v>-0.64799999999999991</v>
      </c>
      <c r="D9" s="97">
        <f t="shared" si="7"/>
        <v>2.5919999999999996</v>
      </c>
      <c r="E9" s="70">
        <v>5</v>
      </c>
      <c r="F9" s="59">
        <f t="shared" si="3"/>
        <v>-0.59399999999999986</v>
      </c>
      <c r="G9" s="99">
        <f t="shared" si="4"/>
        <v>2.3759999999999994</v>
      </c>
      <c r="H9" s="58">
        <f t="shared" si="0"/>
        <v>1.7819999999999996</v>
      </c>
      <c r="I9" s="58">
        <f t="shared" si="1"/>
        <v>-0.23871527777777773</v>
      </c>
      <c r="J9" s="58">
        <f t="shared" si="2"/>
        <v>0.95486111111111094</v>
      </c>
      <c r="K9" s="81">
        <f t="shared" si="5"/>
        <v>-5.8159722222221877E-2</v>
      </c>
      <c r="L9" s="38"/>
    </row>
    <row r="10" spans="1:12" x14ac:dyDescent="0.25">
      <c r="A10" s="91">
        <v>7</v>
      </c>
      <c r="B10" s="96"/>
      <c r="C10" s="97">
        <f t="shared" si="6"/>
        <v>-0.77759999999999985</v>
      </c>
      <c r="D10" s="97">
        <f t="shared" si="7"/>
        <v>3.1103999999999994</v>
      </c>
      <c r="E10" s="70">
        <v>6</v>
      </c>
      <c r="F10" s="59">
        <f t="shared" si="3"/>
        <v>-0.71279999999999988</v>
      </c>
      <c r="G10" s="99">
        <f t="shared" si="4"/>
        <v>2.8511999999999995</v>
      </c>
      <c r="H10" s="58">
        <f t="shared" si="0"/>
        <v>2.1383999999999999</v>
      </c>
      <c r="I10" s="58">
        <f t="shared" si="1"/>
        <v>-0.23871527777777776</v>
      </c>
      <c r="J10" s="58">
        <f t="shared" si="2"/>
        <v>0.95486111111111105</v>
      </c>
      <c r="K10" s="58">
        <f t="shared" si="5"/>
        <v>0.65798611111111138</v>
      </c>
      <c r="L10" s="38"/>
    </row>
    <row r="11" spans="1:12" x14ac:dyDescent="0.25">
      <c r="A11" s="91">
        <v>8</v>
      </c>
      <c r="B11" s="96"/>
      <c r="C11" s="97">
        <f t="shared" si="6"/>
        <v>-0.93311999999999973</v>
      </c>
      <c r="D11" s="97">
        <f t="shared" si="7"/>
        <v>3.7324799999999989</v>
      </c>
      <c r="E11" s="70">
        <v>7</v>
      </c>
      <c r="F11" s="59">
        <f t="shared" si="3"/>
        <v>-0.85535999999999979</v>
      </c>
      <c r="G11" s="99">
        <f t="shared" si="4"/>
        <v>3.4214399999999991</v>
      </c>
      <c r="H11" s="58">
        <f t="shared" si="0"/>
        <v>2.5660799999999995</v>
      </c>
      <c r="I11" s="58">
        <f t="shared" si="1"/>
        <v>-0.23871527777777773</v>
      </c>
      <c r="J11" s="58">
        <f t="shared" si="2"/>
        <v>0.95486111111111094</v>
      </c>
      <c r="K11" s="58">
        <f t="shared" si="5"/>
        <v>1.3741319444444446</v>
      </c>
      <c r="L11" s="38"/>
    </row>
    <row r="12" spans="1:12" x14ac:dyDescent="0.25">
      <c r="E12" s="37">
        <v>8</v>
      </c>
      <c r="F12" s="59">
        <f t="shared" si="3"/>
        <v>-0.46655999999999986</v>
      </c>
      <c r="G12" s="99">
        <f t="shared" si="4"/>
        <v>1.8662399999999995</v>
      </c>
      <c r="H12" s="58">
        <f t="shared" si="0"/>
        <v>1.3996799999999996</v>
      </c>
      <c r="I12" s="58">
        <f t="shared" si="1"/>
        <v>-0.10850694444444443</v>
      </c>
      <c r="J12" s="58">
        <f t="shared" si="2"/>
        <v>0.43402777777777773</v>
      </c>
      <c r="K12" s="67"/>
      <c r="L12" s="38"/>
    </row>
    <row r="13" spans="1:12" x14ac:dyDescent="0.25">
      <c r="L13" s="31">
        <v>-2</v>
      </c>
    </row>
    <row r="14" spans="1:12" x14ac:dyDescent="0.25">
      <c r="L14" s="31"/>
    </row>
    <row r="15" spans="1:12" x14ac:dyDescent="0.25">
      <c r="G15" s="40"/>
      <c r="I15" s="71">
        <f>+SUM(I4:I12)</f>
        <v>-4.0295138888888884</v>
      </c>
      <c r="J15" s="71">
        <f>+SUM(J4:J12)</f>
        <v>5.7291666666666652</v>
      </c>
    </row>
    <row r="16" spans="1:12" x14ac:dyDescent="0.25">
      <c r="I16" s="72" t="s">
        <v>66</v>
      </c>
      <c r="J16" s="72" t="s">
        <v>67</v>
      </c>
    </row>
    <row r="18" spans="9:10" x14ac:dyDescent="0.25">
      <c r="I18" s="94" t="s">
        <v>51</v>
      </c>
      <c r="J18" s="100">
        <f>+I15+J15</f>
        <v>1.6996527777777768</v>
      </c>
    </row>
    <row r="20" spans="9:10" x14ac:dyDescent="0.25">
      <c r="I20" s="94" t="s">
        <v>93</v>
      </c>
      <c r="J20" s="94">
        <f>+J15/(+ABS(I15))</f>
        <v>1.4218009478672984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 (2)</vt:lpstr>
      <vt:lpstr>ejercicio 2</vt:lpstr>
      <vt:lpstr>ejercicio 3</vt:lpstr>
      <vt:lpstr>ejercicio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</dc:creator>
  <cp:lastModifiedBy>Mariana</cp:lastModifiedBy>
  <dcterms:created xsi:type="dcterms:W3CDTF">2016-04-13T20:44:57Z</dcterms:created>
  <dcterms:modified xsi:type="dcterms:W3CDTF">2016-04-21T19:58:15Z</dcterms:modified>
</cp:coreProperties>
</file>