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12"/>
  <workbookPr defaultThemeVersion="166925"/>
  <mc:AlternateContent xmlns:mc="http://schemas.openxmlformats.org/markup-compatibility/2006">
    <mc:Choice Requires="x15">
      <x15ac:absPath xmlns:x15ac="http://schemas.microsoft.com/office/spreadsheetml/2010/11/ac" url="C:\Users\afree\Documents\My Works\REPOS\simulation-api\supplementary\Expanded Reproduction\"/>
    </mc:Choice>
  </mc:AlternateContent>
  <xr:revisionPtr revIDLastSave="0" documentId="13_ncr:1_{E844D075-E9D5-420D-95CF-2C9388A71D0A}" xr6:coauthVersionLast="47" xr6:coauthVersionMax="47" xr10:uidLastSave="{00000000-0000-0000-0000-000000000000}"/>
  <bookViews>
    <workbookView xWindow="-103" yWindow="-103" windowWidth="33120" windowHeight="18000" activeTab="4" xr2:uid="{C55A22BB-D4E7-40F3-AC2B-802623670D01}"/>
  </bookViews>
  <sheets>
    <sheet name="Simple Reproduction" sheetId="9" r:id="rId1"/>
    <sheet name="SR with low MELT" sheetId="5" r:id="rId2"/>
    <sheet name="SR profit rate equalization" sheetId="8" r:id="rId3"/>
    <sheet name="SR  with two MP" sheetId="7" r:id="rId4"/>
    <sheet name="Marx 1" sheetId="4" r:id="rId5"/>
    <sheet name="Marx 2" sheetId="3" r:id="rId6"/>
    <sheet name="constant shares of I surplus" sheetId="2" r:id="rId7"/>
    <sheet name="Bortkiewicz"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 i="10" l="1"/>
  <c r="E5" i="10"/>
  <c r="E6" i="10"/>
  <c r="B7" i="10"/>
  <c r="C7" i="10"/>
  <c r="D7" i="10"/>
  <c r="C11" i="10"/>
  <c r="D11" i="10" s="1"/>
  <c r="E11" i="10"/>
  <c r="H11" i="10" s="1"/>
  <c r="C12" i="10"/>
  <c r="E12" i="10"/>
  <c r="H12" i="10" s="1"/>
  <c r="C13" i="10"/>
  <c r="E13" i="10"/>
  <c r="E14" i="10" s="1"/>
  <c r="B14" i="10"/>
  <c r="C16" i="10"/>
  <c r="C27" i="10" s="1"/>
  <c r="E7" i="10" l="1"/>
  <c r="F13" i="10"/>
  <c r="D12" i="10"/>
  <c r="D14" i="10" s="1"/>
  <c r="C18" i="10"/>
  <c r="C29" i="10" s="1"/>
  <c r="D13" i="10"/>
  <c r="C19" i="10"/>
  <c r="C30" i="10" s="1"/>
  <c r="C14" i="10"/>
  <c r="F11" i="10"/>
  <c r="F12" i="10"/>
  <c r="I12" i="10" s="1"/>
  <c r="C17" i="10"/>
  <c r="H13" i="10"/>
  <c r="I13" i="10" l="1"/>
  <c r="I11" i="10"/>
  <c r="F14" i="10"/>
  <c r="C28" i="10"/>
  <c r="C31" i="10" s="1"/>
  <c r="C20" i="10"/>
  <c r="H14" i="10"/>
  <c r="I14" i="10"/>
  <c r="G10" i="5"/>
  <c r="I10" i="5" s="1"/>
  <c r="G9" i="5"/>
  <c r="G11" i="5" s="1"/>
  <c r="C10" i="5"/>
  <c r="C9" i="5"/>
  <c r="B10" i="5"/>
  <c r="B9" i="5"/>
  <c r="F8" i="5"/>
  <c r="E8" i="5"/>
  <c r="D8" i="5"/>
  <c r="C8" i="5"/>
  <c r="F11" i="9"/>
  <c r="D11" i="9"/>
  <c r="E9" i="9"/>
  <c r="F13" i="9" s="1"/>
  <c r="F6" i="9"/>
  <c r="C6" i="9"/>
  <c r="D5" i="9"/>
  <c r="E5" i="9" s="1"/>
  <c r="D4" i="9"/>
  <c r="E4" i="9" s="1"/>
  <c r="E6" i="9" s="1"/>
  <c r="H5" i="9" s="1"/>
  <c r="H6" i="9" s="1"/>
  <c r="C11" i="5" l="1"/>
  <c r="I9" i="5"/>
  <c r="I11" i="5" s="1"/>
  <c r="J11" i="10"/>
  <c r="J12" i="10"/>
  <c r="J13" i="10"/>
  <c r="F12" i="9"/>
  <c r="H13" i="9"/>
  <c r="E11" i="9"/>
  <c r="C13" i="9"/>
  <c r="C12" i="9" s="1"/>
  <c r="C14" i="9" s="1"/>
  <c r="D6" i="9"/>
  <c r="G5" i="9" s="1"/>
  <c r="G6" i="9" s="1"/>
  <c r="F16" i="8"/>
  <c r="E16" i="8"/>
  <c r="B16" i="8"/>
  <c r="C15" i="8"/>
  <c r="I15" i="8" s="1"/>
  <c r="C14" i="8"/>
  <c r="F8" i="8"/>
  <c r="E8" i="8"/>
  <c r="B8" i="8"/>
  <c r="C7" i="8"/>
  <c r="I7" i="8" s="1"/>
  <c r="C6" i="8"/>
  <c r="K12" i="10" l="1"/>
  <c r="L12" i="10"/>
  <c r="M12" i="10" s="1"/>
  <c r="K13" i="10"/>
  <c r="L13" i="10"/>
  <c r="M13" i="10" s="1"/>
  <c r="J14" i="10"/>
  <c r="K11" i="10"/>
  <c r="L11" i="10"/>
  <c r="C16" i="8"/>
  <c r="G15" i="8" s="1"/>
  <c r="G16" i="8" s="1"/>
  <c r="I14" i="8"/>
  <c r="D13" i="9"/>
  <c r="E13" i="9" s="1"/>
  <c r="D12" i="9"/>
  <c r="F14" i="9"/>
  <c r="D15" i="8"/>
  <c r="J15" i="8" s="1"/>
  <c r="D14" i="8"/>
  <c r="C8" i="8"/>
  <c r="G7" i="8" s="1"/>
  <c r="G8" i="8" s="1"/>
  <c r="D6" i="8"/>
  <c r="I6" i="8"/>
  <c r="D7" i="8"/>
  <c r="J7" i="8" s="1"/>
  <c r="H5" i="7"/>
  <c r="I4" i="7"/>
  <c r="H4" i="7"/>
  <c r="C7" i="7"/>
  <c r="F5" i="7"/>
  <c r="I5" i="7" s="1"/>
  <c r="M11" i="10" l="1"/>
  <c r="L14" i="10"/>
  <c r="K14" i="10"/>
  <c r="E19" i="10"/>
  <c r="E18" i="10"/>
  <c r="E17" i="10"/>
  <c r="I16" i="8"/>
  <c r="E12" i="9"/>
  <c r="E14" i="9" s="1"/>
  <c r="H14" i="9" s="1"/>
  <c r="H16" i="9" s="1"/>
  <c r="D14" i="9"/>
  <c r="M14" i="8"/>
  <c r="J14" i="8"/>
  <c r="D16" i="8"/>
  <c r="M15" i="8"/>
  <c r="I8" i="8"/>
  <c r="M6" i="8"/>
  <c r="J6" i="8"/>
  <c r="D8" i="8"/>
  <c r="K8" i="8" s="1"/>
  <c r="M7" i="8"/>
  <c r="G7" i="7"/>
  <c r="D7" i="7"/>
  <c r="E6" i="7"/>
  <c r="F6" i="7" l="1"/>
  <c r="H6" i="7"/>
  <c r="E20" i="10"/>
  <c r="E28" i="10"/>
  <c r="F17" i="10"/>
  <c r="E30" i="10"/>
  <c r="F30" i="10" s="1"/>
  <c r="F19" i="10"/>
  <c r="E29" i="10"/>
  <c r="F29" i="10" s="1"/>
  <c r="F18" i="10"/>
  <c r="B17" i="10"/>
  <c r="B19" i="10"/>
  <c r="B18" i="10"/>
  <c r="M16" i="8"/>
  <c r="G12" i="9"/>
  <c r="H12" i="9" s="1"/>
  <c r="G14" i="9"/>
  <c r="J16" i="8"/>
  <c r="H15" i="8"/>
  <c r="H16" i="8" s="1"/>
  <c r="H7" i="8"/>
  <c r="H8" i="8" s="1"/>
  <c r="J8" i="8"/>
  <c r="M8" i="8"/>
  <c r="E7" i="7"/>
  <c r="I6" i="7" l="1"/>
  <c r="F7" i="7"/>
  <c r="I7" i="7" s="1"/>
  <c r="H7" i="7"/>
  <c r="F20" i="10"/>
  <c r="H18" i="10"/>
  <c r="I18" i="10" s="1"/>
  <c r="D18" i="10"/>
  <c r="E31" i="10"/>
  <c r="F28" i="10"/>
  <c r="D17" i="10"/>
  <c r="H17" i="10"/>
  <c r="I17" i="10" s="1"/>
  <c r="B20" i="10"/>
  <c r="D19" i="10"/>
  <c r="H19" i="10"/>
  <c r="K7" i="8"/>
  <c r="K6" i="8"/>
  <c r="K15" i="8"/>
  <c r="L15" i="8" s="1"/>
  <c r="N15" i="8" s="1"/>
  <c r="K14" i="8"/>
  <c r="L7" i="8"/>
  <c r="N7" i="8" s="1"/>
  <c r="L6" i="8"/>
  <c r="D5" i="5"/>
  <c r="D4" i="5"/>
  <c r="C6" i="5"/>
  <c r="E4" i="5" l="1"/>
  <c r="E9" i="5" s="1"/>
  <c r="D9" i="5"/>
  <c r="E5" i="5"/>
  <c r="E10" i="5" s="1"/>
  <c r="D10" i="5"/>
  <c r="D20" i="10"/>
  <c r="F31" i="10"/>
  <c r="I19" i="10"/>
  <c r="H20" i="10"/>
  <c r="I20" i="10" s="1"/>
  <c r="K16" i="8"/>
  <c r="L14" i="8"/>
  <c r="N14" i="8"/>
  <c r="O14" i="8" s="1"/>
  <c r="L16" i="8"/>
  <c r="N16" i="8" s="1"/>
  <c r="O15" i="8"/>
  <c r="P15" i="8"/>
  <c r="P14" i="8"/>
  <c r="L8" i="8"/>
  <c r="N8" i="8" s="1"/>
  <c r="N6" i="8"/>
  <c r="O6" i="8" s="1"/>
  <c r="O7" i="8"/>
  <c r="P7" i="8"/>
  <c r="P6" i="8"/>
  <c r="D6" i="5"/>
  <c r="F6" i="5"/>
  <c r="F9" i="5" l="1"/>
  <c r="F11" i="5" s="1"/>
  <c r="J11" i="5" s="1"/>
  <c r="K10" i="5" s="1"/>
  <c r="D11" i="5"/>
  <c r="F10" i="5"/>
  <c r="H10" i="5" s="1"/>
  <c r="H9" i="5"/>
  <c r="H11" i="5" s="1"/>
  <c r="E6" i="5"/>
  <c r="E11" i="5"/>
  <c r="J19" i="10"/>
  <c r="J17" i="10"/>
  <c r="J18" i="10"/>
  <c r="P16" i="8"/>
  <c r="O16" i="8"/>
  <c r="O8" i="8"/>
  <c r="P8" i="8"/>
  <c r="M9" i="4"/>
  <c r="M8" i="4"/>
  <c r="K9" i="5" l="1"/>
  <c r="K11" i="5" s="1"/>
  <c r="K18" i="10"/>
  <c r="L18" i="10"/>
  <c r="M18" i="10" s="1"/>
  <c r="K17" i="10"/>
  <c r="K20" i="10" s="1"/>
  <c r="J20" i="10"/>
  <c r="L17" i="10"/>
  <c r="K19" i="10"/>
  <c r="L19" i="10"/>
  <c r="M19" i="10" s="1"/>
  <c r="I8" i="4"/>
  <c r="C14" i="4" s="1"/>
  <c r="I14" i="4" s="1"/>
  <c r="M17" i="10" l="1"/>
  <c r="L20" i="10"/>
  <c r="O9" i="4"/>
  <c r="O8" i="4"/>
  <c r="B29" i="10" l="1"/>
  <c r="B30" i="10"/>
  <c r="B28" i="10"/>
  <c r="C20" i="4"/>
  <c r="I20" i="4" s="1"/>
  <c r="E10" i="4"/>
  <c r="D10" i="4"/>
  <c r="C10" i="4"/>
  <c r="H9" i="4"/>
  <c r="G9" i="4"/>
  <c r="H8" i="4"/>
  <c r="G8" i="4"/>
  <c r="A5" i="2"/>
  <c r="C7" i="2"/>
  <c r="E6" i="2"/>
  <c r="D6" i="2"/>
  <c r="C6" i="2"/>
  <c r="G5" i="2"/>
  <c r="F5" i="2"/>
  <c r="G4" i="2"/>
  <c r="F4" i="2"/>
  <c r="A6" i="2" l="1"/>
  <c r="F6" i="2"/>
  <c r="C9" i="2"/>
  <c r="H12" i="4"/>
  <c r="H28" i="10"/>
  <c r="D28" i="10"/>
  <c r="B31" i="10"/>
  <c r="D30" i="10"/>
  <c r="H30" i="10"/>
  <c r="H29" i="10"/>
  <c r="D29" i="10"/>
  <c r="H10" i="4"/>
  <c r="M10" i="4"/>
  <c r="O10" i="4"/>
  <c r="G10" i="4"/>
  <c r="C11" i="4"/>
  <c r="I30" i="10" l="1"/>
  <c r="D31" i="10"/>
  <c r="I29" i="10"/>
  <c r="H31" i="10"/>
  <c r="I31" i="10" s="1"/>
  <c r="I28" i="10"/>
  <c r="I9" i="4"/>
  <c r="D14" i="4"/>
  <c r="H9" i="2"/>
  <c r="D9" i="2"/>
  <c r="G9" i="2" s="1"/>
  <c r="J30" i="10" l="1"/>
  <c r="J29" i="10"/>
  <c r="C10" i="2"/>
  <c r="K30" i="10"/>
  <c r="L30" i="10"/>
  <c r="M30" i="10" s="1"/>
  <c r="J28" i="10"/>
  <c r="M14" i="4"/>
  <c r="J8" i="4"/>
  <c r="K8" i="4" s="1"/>
  <c r="L14" i="4" s="1"/>
  <c r="E14" i="4"/>
  <c r="H14" i="4"/>
  <c r="C15" i="4"/>
  <c r="I9" i="2"/>
  <c r="E9" i="2"/>
  <c r="K29" i="10" l="1"/>
  <c r="L29" i="10"/>
  <c r="M29" i="10" s="1"/>
  <c r="J9" i="2"/>
  <c r="A10" i="2"/>
  <c r="L10" i="2" s="1"/>
  <c r="D10" i="2"/>
  <c r="H10" i="2"/>
  <c r="C11" i="2"/>
  <c r="K28" i="10"/>
  <c r="J31" i="10"/>
  <c r="L28" i="10"/>
  <c r="I10" i="4"/>
  <c r="O14" i="4"/>
  <c r="D15" i="4"/>
  <c r="C16" i="4"/>
  <c r="G14" i="4"/>
  <c r="P15" i="4" s="1"/>
  <c r="F9" i="2"/>
  <c r="K31" i="10" l="1"/>
  <c r="G10" i="2"/>
  <c r="E10" i="2"/>
  <c r="I10" i="2"/>
  <c r="D11" i="2"/>
  <c r="A11" i="2" s="1"/>
  <c r="L11" i="2" s="1"/>
  <c r="C12" i="2"/>
  <c r="H11" i="2"/>
  <c r="L31" i="10"/>
  <c r="M28" i="10"/>
  <c r="M15" i="4"/>
  <c r="J9" i="4"/>
  <c r="H15" i="4"/>
  <c r="E15" i="4"/>
  <c r="G15" i="4" s="1"/>
  <c r="H18" i="4" s="1"/>
  <c r="D16" i="4"/>
  <c r="H16" i="4" s="1"/>
  <c r="C17" i="4"/>
  <c r="C21" i="4" s="1"/>
  <c r="I11" i="2" l="1"/>
  <c r="J10" i="2"/>
  <c r="J11" i="2" s="1"/>
  <c r="F10" i="2"/>
  <c r="F11" i="2" s="1"/>
  <c r="M11" i="2" s="1"/>
  <c r="E11" i="2"/>
  <c r="K11" i="2" s="1"/>
  <c r="C14" i="2"/>
  <c r="I15" i="4"/>
  <c r="J10" i="4"/>
  <c r="K10" i="4" s="1"/>
  <c r="L16" i="4" s="1"/>
  <c r="K9" i="4"/>
  <c r="L15" i="4" s="1"/>
  <c r="O15" i="4"/>
  <c r="P16" i="4"/>
  <c r="M16" i="4"/>
  <c r="G16" i="4"/>
  <c r="E16" i="4"/>
  <c r="D14" i="2" l="1"/>
  <c r="H14" i="2"/>
  <c r="O16" i="4"/>
  <c r="I16" i="4"/>
  <c r="N16" i="4"/>
  <c r="D20" i="4"/>
  <c r="M20" i="4" s="1"/>
  <c r="C15" i="2" l="1"/>
  <c r="G14" i="2"/>
  <c r="E14" i="2"/>
  <c r="F14" i="2" s="1"/>
  <c r="I14" i="2"/>
  <c r="J14" i="2" s="1"/>
  <c r="J14" i="4"/>
  <c r="K14" i="4" s="1"/>
  <c r="L20" i="4" s="1"/>
  <c r="E20" i="4"/>
  <c r="H20" i="4"/>
  <c r="A15" i="2" l="1"/>
  <c r="L15" i="2" s="1"/>
  <c r="D15" i="2"/>
  <c r="H15" i="2"/>
  <c r="C16" i="2"/>
  <c r="C17" i="2" s="1"/>
  <c r="C19" i="2" s="1"/>
  <c r="O20" i="4"/>
  <c r="G20" i="4"/>
  <c r="P21" i="4" s="1"/>
  <c r="D21" i="4"/>
  <c r="M21" i="4" s="1"/>
  <c r="C22" i="4"/>
  <c r="G15" i="2" l="1"/>
  <c r="E15" i="2"/>
  <c r="F15" i="2" s="1"/>
  <c r="F16" i="2" s="1"/>
  <c r="M16" i="2" s="1"/>
  <c r="I15" i="2"/>
  <c r="D16" i="2"/>
  <c r="A16" i="2" s="1"/>
  <c r="L16" i="2" s="1"/>
  <c r="D19" i="2"/>
  <c r="H19" i="2"/>
  <c r="H16" i="2"/>
  <c r="J15" i="4"/>
  <c r="K15" i="4" s="1"/>
  <c r="L21" i="4" s="1"/>
  <c r="C23" i="4"/>
  <c r="I21" i="4" s="1"/>
  <c r="E21" i="4"/>
  <c r="H21" i="4"/>
  <c r="D22" i="4"/>
  <c r="I16" i="2" l="1"/>
  <c r="J15" i="2"/>
  <c r="J16" i="2" s="1"/>
  <c r="C20" i="2"/>
  <c r="E19" i="2"/>
  <c r="G19" i="2"/>
  <c r="I19" i="2"/>
  <c r="J19" i="2" s="1"/>
  <c r="E16" i="2"/>
  <c r="K16" i="2" s="1"/>
  <c r="M22" i="4"/>
  <c r="H22" i="4"/>
  <c r="I22" i="4"/>
  <c r="J16" i="4"/>
  <c r="K16" i="4" s="1"/>
  <c r="L22" i="4" s="1"/>
  <c r="O21" i="4"/>
  <c r="E22" i="4"/>
  <c r="G21" i="4"/>
  <c r="H24" i="4" s="1"/>
  <c r="F19" i="2" l="1"/>
  <c r="H20" i="2"/>
  <c r="D20" i="2"/>
  <c r="A20" i="2"/>
  <c r="L20" i="2" s="1"/>
  <c r="C21" i="2"/>
  <c r="N22" i="4"/>
  <c r="O22" i="4"/>
  <c r="P22" i="4"/>
  <c r="G22" i="4"/>
  <c r="C26" i="4"/>
  <c r="I26" i="4" s="1"/>
  <c r="C27" i="4"/>
  <c r="H21" i="2" l="1"/>
  <c r="C22" i="2"/>
  <c r="I20" i="2"/>
  <c r="E20" i="2"/>
  <c r="G20" i="2"/>
  <c r="D21" i="2"/>
  <c r="A21" i="2" s="1"/>
  <c r="L21" i="2" s="1"/>
  <c r="C28" i="4"/>
  <c r="D27" i="4"/>
  <c r="M27" i="4" s="1"/>
  <c r="C31" i="4"/>
  <c r="I31" i="4" s="1"/>
  <c r="D26" i="4"/>
  <c r="M26" i="4" s="1"/>
  <c r="I21" i="2" l="1"/>
  <c r="J20" i="2"/>
  <c r="J21" i="2" s="1"/>
  <c r="C24" i="2"/>
  <c r="E21" i="2"/>
  <c r="K21" i="2" s="1"/>
  <c r="F20" i="2"/>
  <c r="F21" i="2" s="1"/>
  <c r="M21" i="2" s="1"/>
  <c r="C36" i="4"/>
  <c r="I36" i="4" s="1"/>
  <c r="J21" i="4"/>
  <c r="K21" i="4" s="1"/>
  <c r="L27" i="4" s="1"/>
  <c r="H27" i="4"/>
  <c r="E27" i="4"/>
  <c r="O27" i="4" s="1"/>
  <c r="E26" i="4"/>
  <c r="O26" i="4" s="1"/>
  <c r="D28" i="4"/>
  <c r="H26" i="4"/>
  <c r="D31" i="4" s="1"/>
  <c r="M31" i="4" s="1"/>
  <c r="J20" i="4"/>
  <c r="K20" i="4" s="1"/>
  <c r="L26" i="4" s="1"/>
  <c r="H24" i="2" l="1"/>
  <c r="D24" i="2"/>
  <c r="M28" i="4"/>
  <c r="H28" i="4"/>
  <c r="H31" i="4"/>
  <c r="D36" i="4" s="1"/>
  <c r="M36" i="4" s="1"/>
  <c r="J26" i="4"/>
  <c r="K26" i="4" s="1"/>
  <c r="L31" i="4" s="1"/>
  <c r="E31" i="4"/>
  <c r="O31" i="4" s="1"/>
  <c r="C41" i="4"/>
  <c r="G27" i="4"/>
  <c r="E28" i="4"/>
  <c r="G26" i="4"/>
  <c r="J22" i="4"/>
  <c r="K22" i="4" s="1"/>
  <c r="L28" i="4" s="1"/>
  <c r="C25" i="2" l="1"/>
  <c r="G24" i="2"/>
  <c r="I24" i="2"/>
  <c r="J24" i="2" s="1"/>
  <c r="E24" i="2"/>
  <c r="H29" i="4"/>
  <c r="N28" i="4"/>
  <c r="O28" i="4"/>
  <c r="G31" i="4"/>
  <c r="P32" i="4" s="1"/>
  <c r="E36" i="4"/>
  <c r="O36" i="4" s="1"/>
  <c r="H36" i="4"/>
  <c r="D41" i="4" s="1"/>
  <c r="M41" i="4" s="1"/>
  <c r="J31" i="4"/>
  <c r="K31" i="4" s="1"/>
  <c r="L36" i="4" s="1"/>
  <c r="C29" i="4"/>
  <c r="I27" i="4" s="1"/>
  <c r="G28" i="4"/>
  <c r="P27" i="4"/>
  <c r="P28" i="4"/>
  <c r="F24" i="2" l="1"/>
  <c r="A25" i="2"/>
  <c r="L25" i="2" s="1"/>
  <c r="D25" i="2"/>
  <c r="H25" i="2"/>
  <c r="C26" i="2"/>
  <c r="G36" i="4"/>
  <c r="P37" i="4" s="1"/>
  <c r="I28" i="4"/>
  <c r="J36" i="4"/>
  <c r="K36" i="4" s="1"/>
  <c r="L41" i="4" s="1"/>
  <c r="E41" i="4"/>
  <c r="H41" i="4"/>
  <c r="C32" i="4"/>
  <c r="C27" i="2" l="1"/>
  <c r="C29" i="2" s="1"/>
  <c r="G25" i="2"/>
  <c r="I25" i="2"/>
  <c r="I26" i="2" s="1"/>
  <c r="E25" i="2"/>
  <c r="D26" i="2"/>
  <c r="A26" i="2" s="1"/>
  <c r="L26" i="2" s="1"/>
  <c r="H26" i="2"/>
  <c r="D32" i="4"/>
  <c r="M32" i="4" s="1"/>
  <c r="C33" i="4"/>
  <c r="C34" i="4" s="1"/>
  <c r="G41" i="4"/>
  <c r="D29" i="2" l="1"/>
  <c r="H29" i="2"/>
  <c r="F25" i="2"/>
  <c r="F26" i="2" s="1"/>
  <c r="M26" i="2" s="1"/>
  <c r="E26" i="2"/>
  <c r="K26" i="2" s="1"/>
  <c r="J25" i="2"/>
  <c r="J26" i="2" s="1"/>
  <c r="C30" i="2"/>
  <c r="G29" i="2"/>
  <c r="E29" i="2"/>
  <c r="I29" i="2"/>
  <c r="J29" i="2" s="1"/>
  <c r="I32" i="4"/>
  <c r="P42" i="4"/>
  <c r="H32" i="4"/>
  <c r="E32" i="4"/>
  <c r="O32" i="4" s="1"/>
  <c r="J27" i="4"/>
  <c r="D33" i="4"/>
  <c r="C37" i="4"/>
  <c r="D30" i="2" l="1"/>
  <c r="A30" i="2"/>
  <c r="L30" i="2" s="1"/>
  <c r="H30" i="2"/>
  <c r="C31" i="2"/>
  <c r="F29" i="2"/>
  <c r="M33" i="4"/>
  <c r="H33" i="4"/>
  <c r="J28" i="4"/>
  <c r="K28" i="4" s="1"/>
  <c r="L33" i="4" s="1"/>
  <c r="K27" i="4"/>
  <c r="L32" i="4" s="1"/>
  <c r="I33" i="4"/>
  <c r="D37" i="4"/>
  <c r="M37" i="4" s="1"/>
  <c r="C38" i="4"/>
  <c r="C39" i="4" s="1"/>
  <c r="E33" i="4"/>
  <c r="G32" i="4"/>
  <c r="H34" i="4" s="1"/>
  <c r="C32" i="2" l="1"/>
  <c r="C34" i="2" s="1"/>
  <c r="H31" i="2"/>
  <c r="G30" i="2"/>
  <c r="I30" i="2"/>
  <c r="E30" i="2"/>
  <c r="D31" i="2"/>
  <c r="A31" i="2" s="1"/>
  <c r="L31" i="2" s="1"/>
  <c r="N33" i="4"/>
  <c r="O33" i="4"/>
  <c r="I37" i="4"/>
  <c r="C42" i="4"/>
  <c r="P33" i="4"/>
  <c r="G33" i="4"/>
  <c r="J32" i="4"/>
  <c r="E37" i="4"/>
  <c r="O37" i="4" s="1"/>
  <c r="H37" i="4"/>
  <c r="D38" i="4"/>
  <c r="D34" i="2" l="1"/>
  <c r="H34" i="2"/>
  <c r="I31" i="2"/>
  <c r="J30" i="2"/>
  <c r="J31" i="2" s="1"/>
  <c r="E31" i="2"/>
  <c r="K31" i="2" s="1"/>
  <c r="F30" i="2"/>
  <c r="F31" i="2" s="1"/>
  <c r="M31" i="2" s="1"/>
  <c r="C35" i="2"/>
  <c r="M38" i="4"/>
  <c r="H38" i="4"/>
  <c r="J33" i="4"/>
  <c r="K33" i="4" s="1"/>
  <c r="L38" i="4" s="1"/>
  <c r="K32" i="4"/>
  <c r="L37" i="4" s="1"/>
  <c r="I38" i="4"/>
  <c r="E38" i="4"/>
  <c r="D42" i="4"/>
  <c r="M42" i="4" s="1"/>
  <c r="C43" i="4"/>
  <c r="C44" i="4" s="1"/>
  <c r="G37" i="4"/>
  <c r="H39" i="4" s="1"/>
  <c r="G34" i="2" l="1"/>
  <c r="E34" i="2"/>
  <c r="F34" i="2" s="1"/>
  <c r="C37" i="2" s="1"/>
  <c r="C39" i="2" s="1"/>
  <c r="I34" i="2"/>
  <c r="J34" i="2"/>
  <c r="D35" i="2"/>
  <c r="A35" i="2"/>
  <c r="L35" i="2" s="1"/>
  <c r="H35" i="2"/>
  <c r="H36" i="2" s="1"/>
  <c r="C36" i="2"/>
  <c r="N38" i="4"/>
  <c r="O38" i="4"/>
  <c r="J37" i="4"/>
  <c r="H42" i="4"/>
  <c r="E42" i="4"/>
  <c r="D43" i="4"/>
  <c r="P38" i="4"/>
  <c r="G38" i="4"/>
  <c r="D39" i="2" l="1"/>
  <c r="H39" i="2"/>
  <c r="G35" i="2"/>
  <c r="I35" i="2"/>
  <c r="E35" i="2"/>
  <c r="D36" i="2"/>
  <c r="A36" i="2" s="1"/>
  <c r="L36" i="2" s="1"/>
  <c r="M43" i="4"/>
  <c r="H43" i="4"/>
  <c r="J38" i="4"/>
  <c r="K38" i="4" s="1"/>
  <c r="L43" i="4" s="1"/>
  <c r="K37" i="4"/>
  <c r="L42" i="4" s="1"/>
  <c r="E43" i="4"/>
  <c r="O43" i="4" s="1"/>
  <c r="G42" i="4"/>
  <c r="H44" i="4" s="1"/>
  <c r="J35" i="2" l="1"/>
  <c r="J36" i="2" s="1"/>
  <c r="I36" i="2"/>
  <c r="I39" i="2"/>
  <c r="J39" i="2" s="1"/>
  <c r="E39" i="2"/>
  <c r="G39" i="2"/>
  <c r="C40" i="2"/>
  <c r="F35" i="2"/>
  <c r="F36" i="2" s="1"/>
  <c r="M36" i="2" s="1"/>
  <c r="E36" i="2"/>
  <c r="K36" i="2" s="1"/>
  <c r="N43" i="4"/>
  <c r="P43" i="4"/>
  <c r="G43" i="4"/>
  <c r="F39" i="2" l="1"/>
  <c r="C42" i="2" s="1"/>
  <c r="C44" i="2" s="1"/>
  <c r="A40" i="2"/>
  <c r="L40" i="2" s="1"/>
  <c r="H40" i="2"/>
  <c r="D40" i="2"/>
  <c r="C41" i="2"/>
  <c r="D44" i="2" l="1"/>
  <c r="H44" i="2"/>
  <c r="H41" i="2"/>
  <c r="G40" i="2"/>
  <c r="I40" i="2"/>
  <c r="E40" i="2"/>
  <c r="D41" i="2"/>
  <c r="A41" i="2" s="1"/>
  <c r="L41" i="2" s="1"/>
  <c r="I41" i="2" l="1"/>
  <c r="J40" i="2"/>
  <c r="J41" i="2" s="1"/>
  <c r="C45" i="2"/>
  <c r="F40" i="2"/>
  <c r="F41" i="2" s="1"/>
  <c r="M41" i="2" s="1"/>
  <c r="E41" i="2"/>
  <c r="K41" i="2" s="1"/>
  <c r="E44" i="2"/>
  <c r="G44" i="2"/>
  <c r="I44" i="2"/>
  <c r="J44" i="2" s="1"/>
  <c r="H45" i="2" l="1"/>
  <c r="D45" i="2"/>
  <c r="A45" i="2"/>
  <c r="L45" i="2" s="1"/>
  <c r="C46" i="2"/>
  <c r="F44" i="2"/>
  <c r="C47" i="2" l="1"/>
  <c r="I45" i="2"/>
  <c r="I46" i="2" s="1"/>
  <c r="E45" i="2"/>
  <c r="F45" i="2" s="1"/>
  <c r="F46" i="2" s="1"/>
  <c r="M46" i="2" s="1"/>
  <c r="G45" i="2"/>
  <c r="D46" i="2"/>
  <c r="A46" i="2" s="1"/>
  <c r="L46" i="2" s="1"/>
  <c r="H46" i="2"/>
  <c r="J45" i="2"/>
  <c r="J46" i="2" s="1"/>
  <c r="D49" i="2"/>
  <c r="C49" i="2" l="1"/>
  <c r="H49" i="2" s="1"/>
  <c r="C50" i="2"/>
  <c r="C51" i="2" s="1"/>
  <c r="H50" i="2"/>
  <c r="D50" i="2"/>
  <c r="D51" i="2" s="1"/>
  <c r="A51" i="2" s="1"/>
  <c r="L51" i="2" s="1"/>
  <c r="A50" i="2"/>
  <c r="L50" i="2" s="1"/>
  <c r="H51" i="2"/>
  <c r="J49" i="2"/>
  <c r="E49" i="2"/>
  <c r="F49" i="2" s="1"/>
  <c r="C52" i="2" s="1"/>
  <c r="G49" i="2"/>
  <c r="I49" i="2"/>
  <c r="E46" i="2"/>
  <c r="K46" i="2" s="1"/>
  <c r="I50" i="2" l="1"/>
  <c r="E50" i="2"/>
  <c r="E51" i="2" s="1"/>
  <c r="K51" i="2" s="1"/>
  <c r="G50" i="2"/>
  <c r="F50" i="2" l="1"/>
  <c r="F51" i="2" s="1"/>
  <c r="M51" i="2" s="1"/>
  <c r="I51" i="2"/>
  <c r="J50" i="2"/>
  <c r="J5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Alan Freeman</author>
  </authors>
  <commentList>
    <comment ref="F10" authorId="0" shapeId="0" xr:uid="{00000000-0006-0000-0200-000001000000}">
      <text>
        <r>
          <rPr>
            <b/>
            <sz val="9"/>
            <color indexed="81"/>
            <rFont val="Tahoma"/>
            <family val="2"/>
          </rPr>
          <t xml:space="preserve">S = output - V
</t>
        </r>
      </text>
    </comment>
    <comment ref="H10" authorId="0" shapeId="0" xr:uid="{00000000-0006-0000-0200-000002000000}">
      <text>
        <r>
          <rPr>
            <b/>
            <sz val="9"/>
            <color indexed="81"/>
            <rFont val="Tahoma"/>
            <family val="2"/>
          </rPr>
          <t>Capital = C+V</t>
        </r>
      </text>
    </comment>
    <comment ref="I10" authorId="0" shapeId="0" xr:uid="{00000000-0006-0000-0200-000003000000}">
      <text>
        <r>
          <rPr>
            <b/>
            <sz val="9"/>
            <color indexed="81"/>
            <rFont val="Tahoma"/>
            <family val="2"/>
          </rPr>
          <t>r = S/(C+V)</t>
        </r>
      </text>
    </comment>
    <comment ref="J10" authorId="0" shapeId="0" xr:uid="{00000000-0006-0000-0200-000004000000}">
      <text>
        <r>
          <rPr>
            <b/>
            <sz val="9"/>
            <color indexed="81"/>
            <rFont val="Tahoma"/>
            <family val="2"/>
          </rPr>
          <t>Profit = r * Invested Capital</t>
        </r>
      </text>
    </comment>
    <comment ref="K10" authorId="0" shapeId="0" xr:uid="{00000000-0006-0000-0200-000005000000}">
      <text>
        <r>
          <rPr>
            <b/>
            <sz val="9"/>
            <color indexed="81"/>
            <rFont val="Tahoma"/>
            <family val="2"/>
          </rPr>
          <t>Transfer = profit -S</t>
        </r>
      </text>
    </comment>
    <comment ref="L10" authorId="0" shapeId="0" xr:uid="{00000000-0006-0000-0200-000006000000}">
      <text>
        <r>
          <rPr>
            <b/>
            <sz val="9"/>
            <color indexed="81"/>
            <rFont val="Tahoma"/>
            <family val="2"/>
          </rPr>
          <t xml:space="preserve">Price of production = C+V+Profit
</t>
        </r>
      </text>
    </comment>
    <comment ref="M10" authorId="0" shapeId="0" xr:uid="{00000000-0006-0000-0200-000007000000}">
      <text>
        <r>
          <rPr>
            <b/>
            <sz val="9"/>
            <color indexed="81"/>
            <rFont val="Tahoma"/>
            <family val="2"/>
          </rPr>
          <t>Output/Input (used to calculate the values of inputs in the next period)</t>
        </r>
      </text>
    </comment>
    <comment ref="B16" authorId="0" shapeId="0" xr:uid="{00000000-0006-0000-0200-000008000000}">
      <text>
        <r>
          <rPr>
            <b/>
            <sz val="9"/>
            <color indexed="81"/>
            <rFont val="Tahoma"/>
            <family val="2"/>
          </rPr>
          <t>Equal to  the value of constant capital in this department at the start of the previous period, times the relative price of the output of Department I at the end of the last period</t>
        </r>
      </text>
    </comment>
    <comment ref="E16" authorId="0" shapeId="0" xr:uid="{00000000-0006-0000-0200-000009000000}">
      <text>
        <r>
          <rPr>
            <b/>
            <sz val="9"/>
            <color indexed="81"/>
            <rFont val="Tahoma"/>
            <family val="2"/>
          </rPr>
          <t>Equal to  the value of the wage in this department at the start of the previous period, times the relative price of the output of Department II at the end of the last period</t>
        </r>
        <r>
          <rPr>
            <sz val="9"/>
            <color indexed="81"/>
            <rFont val="Tahoma"/>
            <family val="2"/>
          </rPr>
          <t xml:space="preserve">
</t>
        </r>
      </text>
    </comment>
  </commentList>
</comments>
</file>

<file path=xl/sharedStrings.xml><?xml version="1.0" encoding="utf-8"?>
<sst xmlns="http://schemas.openxmlformats.org/spreadsheetml/2006/main" count="284" uniqueCount="104">
  <si>
    <t>DI</t>
  </si>
  <si>
    <t>DII</t>
  </si>
  <si>
    <t>Surplus</t>
  </si>
  <si>
    <t>C</t>
  </si>
  <si>
    <t>S</t>
  </si>
  <si>
    <t>V</t>
  </si>
  <si>
    <t>Out(total)</t>
  </si>
  <si>
    <t>Total</t>
  </si>
  <si>
    <t>Coeff</t>
  </si>
  <si>
    <t>Delta C</t>
  </si>
  <si>
    <t>Delta V</t>
  </si>
  <si>
    <t>Rate of profit</t>
  </si>
  <si>
    <t>Capitalist consumption</t>
  </si>
  <si>
    <t>OCC measures</t>
  </si>
  <si>
    <t>Change in OCC</t>
  </si>
  <si>
    <t>Growth</t>
  </si>
  <si>
    <t>Total Consumption</t>
  </si>
  <si>
    <t>Workers' Consumption</t>
  </si>
  <si>
    <t>Investment Fund</t>
  </si>
  <si>
    <t>Growth rate of DI</t>
  </si>
  <si>
    <t>Value Composition</t>
  </si>
  <si>
    <t>DI/D2</t>
  </si>
  <si>
    <t>unknown</t>
  </si>
  <si>
    <t>Money received</t>
  </si>
  <si>
    <t>Money spent</t>
  </si>
  <si>
    <t>+Accumulation funds received</t>
  </si>
  <si>
    <t>-Profits repatriated</t>
  </si>
  <si>
    <t>1 good</t>
  </si>
  <si>
    <t>2 goods</t>
  </si>
  <si>
    <t>DIIa</t>
  </si>
  <si>
    <t>DIIb</t>
  </si>
  <si>
    <t>Rate of exploitation</t>
  </si>
  <si>
    <t>Capitalist Consumption</t>
  </si>
  <si>
    <t>Production Split Luxuries/Total</t>
  </si>
  <si>
    <t>Proportion of Luxury Consumption in Capitalist Consumption</t>
  </si>
  <si>
    <t>Fixed</t>
  </si>
  <si>
    <t>Raw Materials</t>
  </si>
  <si>
    <t>Consumption</t>
  </si>
  <si>
    <r>
      <t>(Changes from SR highlighted in</t>
    </r>
    <r>
      <rPr>
        <sz val="11"/>
        <color rgb="FFFF0000"/>
        <rFont val="Calibri"/>
        <family val="2"/>
        <scheme val="minor"/>
      </rPr>
      <t xml:space="preserve"> red</t>
    </r>
    <r>
      <rPr>
        <sz val="11"/>
        <color theme="1"/>
        <rFont val="Calibri"/>
        <family val="2"/>
        <scheme val="minor"/>
      </rPr>
      <t>)</t>
    </r>
  </si>
  <si>
    <t>Money</t>
  </si>
  <si>
    <t>Price-value ratio</t>
  </si>
  <si>
    <t>Price of output</t>
  </si>
  <si>
    <t>Wage</t>
  </si>
  <si>
    <t>Workers</t>
  </si>
  <si>
    <t>Capitalists</t>
  </si>
  <si>
    <t>With money included</t>
  </si>
  <si>
    <t>Capital ex Money (K)</t>
  </si>
  <si>
    <t>K+S</t>
  </si>
  <si>
    <t>Profit (P)</t>
  </si>
  <si>
    <t>K+P</t>
  </si>
  <si>
    <t>Capital inc Money (KM)</t>
  </si>
  <si>
    <t>P</t>
  </si>
  <si>
    <t>KM+P</t>
  </si>
  <si>
    <t>KM+S</t>
  </si>
  <si>
    <t>Expanded Reproduction with Fixed Labour goes here</t>
  </si>
  <si>
    <t>MELT</t>
  </si>
  <si>
    <t>Intrinsic</t>
  </si>
  <si>
    <t>Out (quantity)</t>
  </si>
  <si>
    <t>Out (fixed prices)</t>
  </si>
  <si>
    <t>Out(monetary expression of intrinsic)</t>
  </si>
  <si>
    <t>Out (values calculated from new MELT)</t>
  </si>
  <si>
    <t>New MELT</t>
  </si>
  <si>
    <t>The price of production of each output serves as the value of the corresponding input in the next period</t>
  </si>
  <si>
    <t>BUT: value is defined within the system</t>
  </si>
  <si>
    <t>Note: prices are converging to simultaneous prices</t>
  </si>
  <si>
    <t>III</t>
  </si>
  <si>
    <t>II</t>
  </si>
  <si>
    <t>I</t>
  </si>
  <si>
    <t>Relative price</t>
  </si>
  <si>
    <t>Price of production</t>
  </si>
  <si>
    <t>Transfer</t>
  </si>
  <si>
    <t>Profit</t>
  </si>
  <si>
    <t>profit rate</t>
  </si>
  <si>
    <t>Invested capital</t>
  </si>
  <si>
    <t>output</t>
  </si>
  <si>
    <t>Period 3</t>
  </si>
  <si>
    <t>Prices of production are completely consistent with Marx</t>
  </si>
  <si>
    <t>But this was never required by Marx's transformation procedure</t>
  </si>
  <si>
    <t>Period 2</t>
  </si>
  <si>
    <t>(relative price of wage goods)</t>
  </si>
  <si>
    <t>(relative price of constant capital)</t>
  </si>
  <si>
    <t>Profit rate</t>
  </si>
  <si>
    <t>L(=V+S)</t>
  </si>
  <si>
    <t>Calculation of price of production</t>
  </si>
  <si>
    <t>Inputs</t>
  </si>
  <si>
    <t>Period 1</t>
  </si>
  <si>
    <t>E5=D6  (capitalist consumption = output of department III)</t>
  </si>
  <si>
    <t>E4=C6 (wages = output of department II)</t>
  </si>
  <si>
    <t>E3=B6 (constant capital consumed = output of department 1)</t>
  </si>
  <si>
    <t>Conditions for reproduction</t>
  </si>
  <si>
    <t>Department</t>
  </si>
  <si>
    <t>Parameters</t>
  </si>
  <si>
    <t>A temporal single system solution to the  system proposed by Bortkiewicz</t>
  </si>
  <si>
    <t>Constant share of the surplus product of I (an attempt to see if a different assumption yields a possible trajectory)</t>
  </si>
  <si>
    <t>This example is not included among the projects</t>
  </si>
  <si>
    <t>System does reproduce exactly (costs of the inputs of C are note the same as the price of the output of capital goods)</t>
  </si>
  <si>
    <t>However, prices after transformation are different from prices at the beginning</t>
  </si>
  <si>
    <t>Money Hoard in the simulation</t>
  </si>
  <si>
    <t>Initial Capital in the spreadsheet</t>
  </si>
  <si>
    <t>After trade, Departments are left with</t>
  </si>
  <si>
    <t>Should be 5000</t>
  </si>
  <si>
    <t>Should be 2250</t>
  </si>
  <si>
    <t>The spreadsheet (before starting work on the simulation)</t>
  </si>
  <si>
    <t>Simulation start 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</si>
</sst>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3" formatCode="_-* #,##0.00_-;\-* #,##0.00_-;_-* &quot;-&quot;??_-;_-@_-"/>
    <numFmt numFmtId="164" formatCode="_-* #,##0_-;\-* #,##0_-;_-* &quot;-&quot;??_-;_-@_-"/>
    <numFmt numFmtId="165" formatCode="0.0%"/>
    <numFmt numFmtId="166" formatCode="_-* #,##0.0_-;\-* #,##0.0_-;_-* &quot;-&quot;?_-;_-@_-"/>
    <numFmt numFmtId="167" formatCode="_-* #,##0.0000_-;\-* #,##0.0000_-;_-* &quot;-&quot;??_-;_-@_-"/>
    <numFmt numFmtId="168" formatCode="_-[$$-47C]* #,##0_-;\-[$$-47C]* #,##0_-;_-[$$-47C]* &quot;-&quot;??_-;_-@_-"/>
    <numFmt numFmtId="169" formatCode="0.00000"/>
    <numFmt numFmtId="170" formatCode="0.000000"/>
  </numFmts>
  <fonts count="10" x14ac:knownFonts="1">
    <font>
      <sz val="11"/>
      <color theme="1"/>
      <name val="Calibri"/>
      <family val="2"/>
      <scheme val="minor"/>
    </font>
    <font>
      <sz val="11"/>
      <color theme="1"/>
      <name val="Calibri"/>
      <family val="2"/>
      <scheme val="minor"/>
    </font>
    <font>
      <sz val="11"/>
      <color rgb="FFFF0000"/>
      <name val="Calibri"/>
      <family val="2"/>
      <scheme val="minor"/>
    </font>
    <font>
      <sz val="11"/>
      <color theme="9"/>
      <name val="Calibri"/>
      <family val="2"/>
      <scheme val="minor"/>
    </font>
    <font>
      <b/>
      <sz val="11"/>
      <color theme="9" tint="-0.249977111117893"/>
      <name val="Calibri"/>
      <family val="2"/>
      <scheme val="minor"/>
    </font>
    <font>
      <b/>
      <sz val="11"/>
      <color theme="1"/>
      <name val="Calibri"/>
      <family val="2"/>
      <scheme val="minor"/>
    </font>
    <font>
      <i/>
      <sz val="11"/>
      <color theme="1"/>
      <name val="Calibri"/>
      <family val="2"/>
      <scheme val="minor"/>
    </font>
    <font>
      <b/>
      <sz val="9"/>
      <color indexed="81"/>
      <name val="Tahoma"/>
      <family val="2"/>
    </font>
    <font>
      <sz val="9"/>
      <color indexed="81"/>
      <name val="Tahoma"/>
      <family val="2"/>
    </font>
    <font>
      <i/>
      <sz val="11"/>
      <color rgb="FFFF0000"/>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5" tint="0.39997558519241921"/>
        <bgColor indexed="64"/>
      </patternFill>
    </fill>
    <fill>
      <patternFill patternType="solid">
        <fgColor rgb="FFFFFF00"/>
        <bgColor indexed="64"/>
      </patternFill>
    </fill>
    <fill>
      <patternFill patternType="solid">
        <fgColor theme="9" tint="0.59999389629810485"/>
        <bgColor indexed="64"/>
      </patternFill>
    </fill>
    <fill>
      <patternFill patternType="solid">
        <fgColor theme="5" tint="0.59999389629810485"/>
        <bgColor indexed="64"/>
      </patternFill>
    </fill>
  </fills>
  <borders count="10">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style="medium">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74">
    <xf numFmtId="0" fontId="0" fillId="0" borderId="0" xfId="0"/>
    <xf numFmtId="164" fontId="0" fillId="0" borderId="0" xfId="1" applyNumberFormat="1" applyFont="1"/>
    <xf numFmtId="164" fontId="0" fillId="0" borderId="0" xfId="0" applyNumberFormat="1"/>
    <xf numFmtId="9" fontId="0" fillId="0" borderId="0" xfId="2" applyFont="1"/>
    <xf numFmtId="43" fontId="0" fillId="0" borderId="0" xfId="0" applyNumberFormat="1"/>
    <xf numFmtId="165" fontId="0" fillId="0" borderId="0" xfId="2" applyNumberFormat="1" applyFont="1"/>
    <xf numFmtId="0" fontId="0" fillId="0" borderId="0" xfId="0" applyAlignment="1">
      <alignment horizontal="center" wrapText="1"/>
    </xf>
    <xf numFmtId="0" fontId="2" fillId="0" borderId="0" xfId="0" applyFont="1"/>
    <xf numFmtId="166" fontId="2" fillId="0" borderId="0" xfId="0" applyNumberFormat="1" applyFont="1"/>
    <xf numFmtId="10" fontId="0" fillId="0" borderId="0" xfId="2" applyNumberFormat="1" applyFont="1"/>
    <xf numFmtId="43" fontId="0" fillId="0" borderId="0" xfId="1" applyFont="1"/>
    <xf numFmtId="164" fontId="0" fillId="0" borderId="0" xfId="0" applyNumberFormat="1" applyAlignment="1">
      <alignment horizontal="right"/>
    </xf>
    <xf numFmtId="0" fontId="0" fillId="0" borderId="0" xfId="0" quotePrefix="1" applyAlignment="1">
      <alignment horizontal="center" wrapText="1"/>
    </xf>
    <xf numFmtId="0" fontId="3" fillId="0" borderId="0" xfId="0" applyFont="1"/>
    <xf numFmtId="167" fontId="0" fillId="0" borderId="0" xfId="1" applyNumberFormat="1" applyFont="1"/>
    <xf numFmtId="164" fontId="4" fillId="0" borderId="0" xfId="1" applyNumberFormat="1" applyFont="1"/>
    <xf numFmtId="164" fontId="2" fillId="0" borderId="0" xfId="1" applyNumberFormat="1" applyFont="1"/>
    <xf numFmtId="168" fontId="0" fillId="0" borderId="0" xfId="0" applyNumberFormat="1"/>
    <xf numFmtId="43" fontId="6" fillId="0" borderId="1" xfId="1" applyFont="1" applyBorder="1"/>
    <xf numFmtId="43" fontId="6" fillId="0" borderId="2" xfId="1" applyFont="1" applyBorder="1"/>
    <xf numFmtId="43" fontId="6" fillId="0" borderId="3" xfId="1" applyFont="1" applyBorder="1"/>
    <xf numFmtId="2" fontId="6" fillId="2" borderId="1" xfId="0" applyNumberFormat="1" applyFont="1" applyFill="1" applyBorder="1"/>
    <xf numFmtId="2" fontId="6" fillId="3" borderId="2" xfId="0" applyNumberFormat="1" applyFont="1" applyFill="1" applyBorder="1"/>
    <xf numFmtId="43" fontId="6" fillId="4" borderId="3" xfId="1" applyFont="1" applyFill="1" applyBorder="1"/>
    <xf numFmtId="43" fontId="0" fillId="0" borderId="4" xfId="1" applyFont="1" applyBorder="1"/>
    <xf numFmtId="43" fontId="0" fillId="0" borderId="0" xfId="1" applyFont="1" applyBorder="1"/>
    <xf numFmtId="43" fontId="0" fillId="0" borderId="5" xfId="1" applyFont="1" applyBorder="1"/>
    <xf numFmtId="2" fontId="0" fillId="2" borderId="0" xfId="0" applyNumberFormat="1" applyFill="1"/>
    <xf numFmtId="2" fontId="0" fillId="3" borderId="0" xfId="0" applyNumberFormat="1" applyFill="1"/>
    <xf numFmtId="2" fontId="0" fillId="4" borderId="0" xfId="0" applyNumberFormat="1" applyFill="1"/>
    <xf numFmtId="0" fontId="5" fillId="0" borderId="4" xfId="0" applyFont="1" applyBorder="1" applyAlignment="1">
      <alignment horizontal="center" wrapText="1"/>
    </xf>
    <xf numFmtId="0" fontId="5" fillId="0" borderId="6" xfId="0" applyFont="1" applyBorder="1" applyAlignment="1">
      <alignment horizontal="center" wrapText="1"/>
    </xf>
    <xf numFmtId="0" fontId="5" fillId="0" borderId="7" xfId="0" applyFont="1" applyBorder="1" applyAlignment="1">
      <alignment horizontal="center" wrapText="1"/>
    </xf>
    <xf numFmtId="0" fontId="5" fillId="0" borderId="0" xfId="0" applyFont="1" applyAlignment="1">
      <alignment horizontal="center" wrapText="1"/>
    </xf>
    <xf numFmtId="0" fontId="5" fillId="0" borderId="8" xfId="0" applyFont="1" applyBorder="1" applyAlignment="1">
      <alignment horizontal="center" wrapText="1"/>
    </xf>
    <xf numFmtId="0" fontId="5" fillId="0" borderId="6" xfId="0" applyFont="1" applyBorder="1" applyAlignment="1">
      <alignment horizontal="center"/>
    </xf>
    <xf numFmtId="0" fontId="5" fillId="0" borderId="7" xfId="0" applyFont="1" applyBorder="1" applyAlignment="1">
      <alignment horizontal="center"/>
    </xf>
    <xf numFmtId="0" fontId="0" fillId="0" borderId="2" xfId="0" applyBorder="1"/>
    <xf numFmtId="0" fontId="5" fillId="0" borderId="0" xfId="0" applyFont="1"/>
    <xf numFmtId="0" fontId="0" fillId="0" borderId="9" xfId="0" applyBorder="1"/>
    <xf numFmtId="0" fontId="0" fillId="0" borderId="1" xfId="0" applyBorder="1"/>
    <xf numFmtId="0" fontId="6" fillId="0" borderId="2" xfId="0" applyFont="1" applyBorder="1"/>
    <xf numFmtId="0" fontId="6" fillId="0" borderId="3" xfId="0" applyFont="1" applyBorder="1"/>
    <xf numFmtId="0" fontId="6" fillId="0" borderId="0" xfId="0" applyFont="1"/>
    <xf numFmtId="43" fontId="0" fillId="0" borderId="4" xfId="0" applyNumberFormat="1" applyBorder="1"/>
    <xf numFmtId="0" fontId="0" fillId="0" borderId="5" xfId="0" applyBorder="1"/>
    <xf numFmtId="0" fontId="0" fillId="0" borderId="4" xfId="0" applyBorder="1"/>
    <xf numFmtId="43" fontId="0" fillId="5" borderId="4" xfId="0" applyNumberFormat="1" applyFill="1" applyBorder="1"/>
    <xf numFmtId="0" fontId="5" fillId="0" borderId="5" xfId="0" applyFont="1" applyBorder="1" applyAlignment="1">
      <alignment horizontal="center" wrapText="1"/>
    </xf>
    <xf numFmtId="0" fontId="6" fillId="0" borderId="1" xfId="0" applyFont="1" applyBorder="1"/>
    <xf numFmtId="0" fontId="6" fillId="2" borderId="2" xfId="0" applyFont="1" applyFill="1" applyBorder="1"/>
    <xf numFmtId="0" fontId="6" fillId="3" borderId="2" xfId="0" applyFont="1" applyFill="1" applyBorder="1"/>
    <xf numFmtId="0" fontId="6" fillId="4" borderId="3" xfId="0" applyFont="1" applyFill="1" applyBorder="1"/>
    <xf numFmtId="0" fontId="0" fillId="2" borderId="4" xfId="0" applyFill="1" applyBorder="1"/>
    <xf numFmtId="0" fontId="0" fillId="3" borderId="4" xfId="0" applyFill="1" applyBorder="1"/>
    <xf numFmtId="0" fontId="0" fillId="4" borderId="4" xfId="0" applyFill="1" applyBorder="1"/>
    <xf numFmtId="0" fontId="5" fillId="0" borderId="8" xfId="0" applyFont="1" applyBorder="1" applyAlignment="1">
      <alignment horizontal="center"/>
    </xf>
    <xf numFmtId="169" fontId="0" fillId="0" borderId="0" xfId="0" applyNumberFormat="1"/>
    <xf numFmtId="170" fontId="0" fillId="0" borderId="0" xfId="0" applyNumberFormat="1"/>
    <xf numFmtId="43" fontId="5" fillId="0" borderId="0" xfId="1" applyFont="1"/>
    <xf numFmtId="164" fontId="5" fillId="0" borderId="0" xfId="1" applyNumberFormat="1" applyFont="1"/>
    <xf numFmtId="164" fontId="5" fillId="0" borderId="0" xfId="0" applyNumberFormat="1" applyFont="1"/>
    <xf numFmtId="164" fontId="6" fillId="0" borderId="0" xfId="1" applyNumberFormat="1" applyFont="1"/>
    <xf numFmtId="0" fontId="9" fillId="0" borderId="0" xfId="0" applyFont="1"/>
    <xf numFmtId="43" fontId="6" fillId="0" borderId="0" xfId="1" applyFont="1"/>
    <xf numFmtId="0" fontId="0" fillId="0" borderId="0" xfId="0" applyAlignment="1">
      <alignment horizontal="center"/>
    </xf>
    <xf numFmtId="0" fontId="5" fillId="0" borderId="0" xfId="0" applyFont="1" applyAlignment="1">
      <alignment horizontal="center"/>
    </xf>
    <xf numFmtId="0" fontId="0" fillId="0" borderId="7" xfId="0" applyBorder="1" applyAlignment="1">
      <alignment horizontal="center"/>
    </xf>
    <xf numFmtId="0" fontId="0" fillId="0" borderId="6" xfId="0" applyBorder="1" applyAlignment="1">
      <alignment horizontal="center"/>
    </xf>
    <xf numFmtId="0" fontId="0" fillId="0" borderId="8" xfId="0" applyBorder="1" applyAlignment="1">
      <alignment horizontal="center"/>
    </xf>
    <xf numFmtId="0" fontId="0" fillId="0" borderId="0" xfId="0" applyAlignment="1">
      <alignment horizontal="left"/>
    </xf>
    <xf numFmtId="0" fontId="0" fillId="4" borderId="0" xfId="0" applyFill="1" applyAlignment="1">
      <alignment horizontal="left"/>
    </xf>
    <xf numFmtId="0" fontId="0" fillId="6" borderId="0" xfId="0" applyFill="1" applyAlignment="1">
      <alignment horizontal="left"/>
    </xf>
    <xf numFmtId="0" fontId="0" fillId="2" borderId="0" xfId="0" applyFill="1" applyAlignment="1">
      <alignment horizontal="left"/>
    </xf>
  </cellXfs>
  <cellStyles count="3">
    <cellStyle name="Comma" xfId="1" builtinId="3"/>
    <cellStyle name="Normal" xfId="0" builtinId="0"/>
    <cellStyle name="Percent" xfId="2" builtinId="5"/>
  </cellStyles>
  <dxfs count="0"/>
  <tableStyles count="1" defaultTableStyle="TableStyleMedium2" defaultPivotStyle="PivotStyleLight16">
    <tableStyle name="Invisible" pivot="0" table="0" count="0" xr9:uid="{DDD010CC-CB7E-455C-BD97-AA43006FB87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5</xdr:col>
      <xdr:colOff>550334</xdr:colOff>
      <xdr:row>11</xdr:row>
      <xdr:rowOff>46567</xdr:rowOff>
    </xdr:from>
    <xdr:to>
      <xdr:col>7</xdr:col>
      <xdr:colOff>486834</xdr:colOff>
      <xdr:row>11</xdr:row>
      <xdr:rowOff>55033</xdr:rowOff>
    </xdr:to>
    <xdr:cxnSp macro="">
      <xdr:nvCxnSpPr>
        <xdr:cNvPr id="2" name="Straight Arrow Connector 1">
          <a:extLst>
            <a:ext uri="{FF2B5EF4-FFF2-40B4-BE49-F238E27FC236}">
              <a16:creationId xmlns:a16="http://schemas.microsoft.com/office/drawing/2014/main" id="{6C652C11-B952-4BF9-93C1-7CED12DC25A3}"/>
            </a:ext>
          </a:extLst>
        </xdr:cNvPr>
        <xdr:cNvCxnSpPr/>
      </xdr:nvCxnSpPr>
      <xdr:spPr>
        <a:xfrm>
          <a:off x="4550834" y="2241127"/>
          <a:ext cx="1692910" cy="8466"/>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524934</xdr:colOff>
      <xdr:row>11</xdr:row>
      <xdr:rowOff>127000</xdr:rowOff>
    </xdr:from>
    <xdr:to>
      <xdr:col>6</xdr:col>
      <xdr:colOff>749300</xdr:colOff>
      <xdr:row>11</xdr:row>
      <xdr:rowOff>135467</xdr:rowOff>
    </xdr:to>
    <xdr:cxnSp macro="">
      <xdr:nvCxnSpPr>
        <xdr:cNvPr id="3" name="Straight Arrow Connector 2">
          <a:extLst>
            <a:ext uri="{FF2B5EF4-FFF2-40B4-BE49-F238E27FC236}">
              <a16:creationId xmlns:a16="http://schemas.microsoft.com/office/drawing/2014/main" id="{47AF461E-FF4D-4B93-80C1-A3486A904D09}"/>
            </a:ext>
          </a:extLst>
        </xdr:cNvPr>
        <xdr:cNvCxnSpPr/>
      </xdr:nvCxnSpPr>
      <xdr:spPr>
        <a:xfrm>
          <a:off x="4525434" y="2321560"/>
          <a:ext cx="864446" cy="8467"/>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906780</xdr:colOff>
      <xdr:row>0</xdr:row>
      <xdr:rowOff>171450</xdr:rowOff>
    </xdr:from>
    <xdr:to>
      <xdr:col>9</xdr:col>
      <xdr:colOff>121920</xdr:colOff>
      <xdr:row>4</xdr:row>
      <xdr:rowOff>72390</xdr:rowOff>
    </xdr:to>
    <xdr:sp macro="" textlink="">
      <xdr:nvSpPr>
        <xdr:cNvPr id="2" name="Callout: Line 1">
          <a:extLst>
            <a:ext uri="{FF2B5EF4-FFF2-40B4-BE49-F238E27FC236}">
              <a16:creationId xmlns:a16="http://schemas.microsoft.com/office/drawing/2014/main" id="{5E1EB175-013A-41E5-B76D-A0351784F70F}"/>
            </a:ext>
          </a:extLst>
        </xdr:cNvPr>
        <xdr:cNvSpPr/>
      </xdr:nvSpPr>
      <xdr:spPr>
        <a:xfrm>
          <a:off x="5821680" y="171450"/>
          <a:ext cx="1832610" cy="632460"/>
        </a:xfrm>
        <a:prstGeom prst="borderCallout1">
          <a:avLst>
            <a:gd name="adj1" fmla="val 100075"/>
            <a:gd name="adj2" fmla="val 49879"/>
            <a:gd name="adj3" fmla="val 199775"/>
            <a:gd name="adj4" fmla="val 2488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100"/>
            <a:t>This</a:t>
          </a:r>
          <a:r>
            <a:rPr lang="en-GB" sz="1100" baseline="0"/>
            <a:t> is what output values would be in money terms, if the MELT did not change</a:t>
          </a:r>
          <a:endParaRPr lang="en-GB" sz="1100"/>
        </a:p>
      </xdr:txBody>
    </xdr:sp>
    <xdr:clientData/>
  </xdr:twoCellAnchor>
  <xdr:twoCellAnchor>
    <xdr:from>
      <xdr:col>9</xdr:col>
      <xdr:colOff>369570</xdr:colOff>
      <xdr:row>2</xdr:row>
      <xdr:rowOff>148590</xdr:rowOff>
    </xdr:from>
    <xdr:to>
      <xdr:col>12</xdr:col>
      <xdr:colOff>60960</xdr:colOff>
      <xdr:row>6</xdr:row>
      <xdr:rowOff>49530</xdr:rowOff>
    </xdr:to>
    <xdr:sp macro="" textlink="">
      <xdr:nvSpPr>
        <xdr:cNvPr id="3" name="Callout: Line 2">
          <a:extLst>
            <a:ext uri="{FF2B5EF4-FFF2-40B4-BE49-F238E27FC236}">
              <a16:creationId xmlns:a16="http://schemas.microsoft.com/office/drawing/2014/main" id="{7FAD2E93-BA49-4DE6-86A8-E75E3FC3DD89}"/>
            </a:ext>
          </a:extLst>
        </xdr:cNvPr>
        <xdr:cNvSpPr/>
      </xdr:nvSpPr>
      <xdr:spPr>
        <a:xfrm>
          <a:off x="7901940" y="514350"/>
          <a:ext cx="1832610" cy="632460"/>
        </a:xfrm>
        <a:prstGeom prst="borderCallout1">
          <a:avLst>
            <a:gd name="adj1" fmla="val 47063"/>
            <a:gd name="adj2" fmla="val 1230"/>
            <a:gd name="adj3" fmla="val 166041"/>
            <a:gd name="adj4" fmla="val -3395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100"/>
            <a:t>This</a:t>
          </a:r>
          <a:r>
            <a:rPr lang="en-GB" sz="1100" baseline="0"/>
            <a:t> is what output prices are in money terms, if unit prices stay constant</a:t>
          </a:r>
          <a:endParaRPr lang="en-GB" sz="1100"/>
        </a:p>
      </xdr:txBody>
    </xdr:sp>
    <xdr:clientData/>
  </xdr:twoCellAnchor>
  <xdr:twoCellAnchor>
    <xdr:from>
      <xdr:col>5</xdr:col>
      <xdr:colOff>354330</xdr:colOff>
      <xdr:row>16</xdr:row>
      <xdr:rowOff>148590</xdr:rowOff>
    </xdr:from>
    <xdr:to>
      <xdr:col>7</xdr:col>
      <xdr:colOff>582930</xdr:colOff>
      <xdr:row>19</xdr:row>
      <xdr:rowOff>64770</xdr:rowOff>
    </xdr:to>
    <xdr:sp macro="" textlink="">
      <xdr:nvSpPr>
        <xdr:cNvPr id="4" name="Callout: Line 3">
          <a:extLst>
            <a:ext uri="{FF2B5EF4-FFF2-40B4-BE49-F238E27FC236}">
              <a16:creationId xmlns:a16="http://schemas.microsoft.com/office/drawing/2014/main" id="{493B9E52-2428-4D7E-B19E-E76F2299B6B4}"/>
            </a:ext>
          </a:extLst>
        </xdr:cNvPr>
        <xdr:cNvSpPr/>
      </xdr:nvSpPr>
      <xdr:spPr>
        <a:xfrm>
          <a:off x="4560570" y="3623310"/>
          <a:ext cx="1851660" cy="464820"/>
        </a:xfrm>
        <a:prstGeom prst="borderCallout1">
          <a:avLst>
            <a:gd name="adj1" fmla="val -2384"/>
            <a:gd name="adj2" fmla="val 47908"/>
            <a:gd name="adj3" fmla="val -224806"/>
            <a:gd name="adj4" fmla="val 28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100"/>
            <a:t>This</a:t>
          </a:r>
          <a:r>
            <a:rPr lang="en-GB" sz="1100" baseline="0"/>
            <a:t> is the output in intrinsic (labour time) terms</a:t>
          </a:r>
          <a:endParaRPr lang="en-GB" sz="1100"/>
        </a:p>
      </xdr:txBody>
    </xdr:sp>
    <xdr:clientData/>
  </xdr:twoCellAnchor>
  <xdr:twoCellAnchor>
    <xdr:from>
      <xdr:col>5</xdr:col>
      <xdr:colOff>651510</xdr:colOff>
      <xdr:row>10</xdr:row>
      <xdr:rowOff>41910</xdr:rowOff>
    </xdr:from>
    <xdr:to>
      <xdr:col>9</xdr:col>
      <xdr:colOff>72390</xdr:colOff>
      <xdr:row>10</xdr:row>
      <xdr:rowOff>53340</xdr:rowOff>
    </xdr:to>
    <xdr:cxnSp macro="">
      <xdr:nvCxnSpPr>
        <xdr:cNvPr id="6" name="Straight Arrow Connector 5">
          <a:extLst>
            <a:ext uri="{FF2B5EF4-FFF2-40B4-BE49-F238E27FC236}">
              <a16:creationId xmlns:a16="http://schemas.microsoft.com/office/drawing/2014/main" id="{6812C64C-0E24-4E39-9640-DE776FE5B715}"/>
            </a:ext>
          </a:extLst>
        </xdr:cNvPr>
        <xdr:cNvCxnSpPr/>
      </xdr:nvCxnSpPr>
      <xdr:spPr>
        <a:xfrm flipV="1">
          <a:off x="4857750" y="2419350"/>
          <a:ext cx="2747010" cy="1143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6</xdr:col>
      <xdr:colOff>853440</xdr:colOff>
      <xdr:row>10</xdr:row>
      <xdr:rowOff>114300</xdr:rowOff>
    </xdr:from>
    <xdr:to>
      <xdr:col>9</xdr:col>
      <xdr:colOff>49530</xdr:colOff>
      <xdr:row>10</xdr:row>
      <xdr:rowOff>121920</xdr:rowOff>
    </xdr:to>
    <xdr:cxnSp macro="">
      <xdr:nvCxnSpPr>
        <xdr:cNvPr id="7" name="Straight Arrow Connector 6">
          <a:extLst>
            <a:ext uri="{FF2B5EF4-FFF2-40B4-BE49-F238E27FC236}">
              <a16:creationId xmlns:a16="http://schemas.microsoft.com/office/drawing/2014/main" id="{59E1C2E3-4603-4E46-9FD5-48969AE53E23}"/>
            </a:ext>
          </a:extLst>
        </xdr:cNvPr>
        <xdr:cNvCxnSpPr/>
      </xdr:nvCxnSpPr>
      <xdr:spPr>
        <a:xfrm flipV="1">
          <a:off x="5768340" y="2491740"/>
          <a:ext cx="1813560" cy="762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575734</xdr:colOff>
      <xdr:row>8</xdr:row>
      <xdr:rowOff>114300</xdr:rowOff>
    </xdr:from>
    <xdr:to>
      <xdr:col>13</xdr:col>
      <xdr:colOff>228600</xdr:colOff>
      <xdr:row>15</xdr:row>
      <xdr:rowOff>88900</xdr:rowOff>
    </xdr:to>
    <xdr:cxnSp macro="">
      <xdr:nvCxnSpPr>
        <xdr:cNvPr id="3" name="Straight Arrow Connector 2">
          <a:extLst>
            <a:ext uri="{FF2B5EF4-FFF2-40B4-BE49-F238E27FC236}">
              <a16:creationId xmlns:a16="http://schemas.microsoft.com/office/drawing/2014/main" id="{62A0DACB-57FC-4CB6-97A4-7C2B4AB36761}"/>
            </a:ext>
          </a:extLst>
        </xdr:cNvPr>
        <xdr:cNvCxnSpPr/>
      </xdr:nvCxnSpPr>
      <xdr:spPr>
        <a:xfrm>
          <a:off x="3793067" y="1024467"/>
          <a:ext cx="4720166" cy="1066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609600</xdr:colOff>
      <xdr:row>14</xdr:row>
      <xdr:rowOff>84667</xdr:rowOff>
    </xdr:from>
    <xdr:to>
      <xdr:col>13</xdr:col>
      <xdr:colOff>228600</xdr:colOff>
      <xdr:row>21</xdr:row>
      <xdr:rowOff>55034</xdr:rowOff>
    </xdr:to>
    <xdr:cxnSp macro="">
      <xdr:nvCxnSpPr>
        <xdr:cNvPr id="4" name="Straight Arrow Connector 3">
          <a:extLst>
            <a:ext uri="{FF2B5EF4-FFF2-40B4-BE49-F238E27FC236}">
              <a16:creationId xmlns:a16="http://schemas.microsoft.com/office/drawing/2014/main" id="{74A51BE8-8DBD-488E-9424-BC0C7FFC06F8}"/>
            </a:ext>
          </a:extLst>
        </xdr:cNvPr>
        <xdr:cNvCxnSpPr/>
      </xdr:nvCxnSpPr>
      <xdr:spPr>
        <a:xfrm>
          <a:off x="3826933" y="1905000"/>
          <a:ext cx="4686300" cy="10625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529166</xdr:colOff>
      <xdr:row>9</xdr:row>
      <xdr:rowOff>122767</xdr:rowOff>
    </xdr:from>
    <xdr:to>
      <xdr:col>11</xdr:col>
      <xdr:colOff>406400</xdr:colOff>
      <xdr:row>15</xdr:row>
      <xdr:rowOff>118533</xdr:rowOff>
    </xdr:to>
    <xdr:cxnSp macro="">
      <xdr:nvCxnSpPr>
        <xdr:cNvPr id="5" name="Straight Arrow Connector 4">
          <a:extLst>
            <a:ext uri="{FF2B5EF4-FFF2-40B4-BE49-F238E27FC236}">
              <a16:creationId xmlns:a16="http://schemas.microsoft.com/office/drawing/2014/main" id="{EC580F9D-B36A-4765-AB17-67B2620F350F}"/>
            </a:ext>
          </a:extLst>
        </xdr:cNvPr>
        <xdr:cNvCxnSpPr/>
      </xdr:nvCxnSpPr>
      <xdr:spPr>
        <a:xfrm>
          <a:off x="3103033" y="1397000"/>
          <a:ext cx="3962400" cy="905933"/>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571500</xdr:colOff>
      <xdr:row>9</xdr:row>
      <xdr:rowOff>97367</xdr:rowOff>
    </xdr:from>
    <xdr:to>
      <xdr:col>10</xdr:col>
      <xdr:colOff>397933</xdr:colOff>
      <xdr:row>9</xdr:row>
      <xdr:rowOff>122767</xdr:rowOff>
    </xdr:to>
    <xdr:cxnSp macro="">
      <xdr:nvCxnSpPr>
        <xdr:cNvPr id="7" name="Straight Arrow Connector 6">
          <a:extLst>
            <a:ext uri="{FF2B5EF4-FFF2-40B4-BE49-F238E27FC236}">
              <a16:creationId xmlns:a16="http://schemas.microsoft.com/office/drawing/2014/main" id="{98529F54-EE19-4BEF-ADF8-5076CBD55841}"/>
            </a:ext>
          </a:extLst>
        </xdr:cNvPr>
        <xdr:cNvCxnSpPr/>
      </xdr:nvCxnSpPr>
      <xdr:spPr>
        <a:xfrm>
          <a:off x="3145367" y="1189567"/>
          <a:ext cx="3166533" cy="2540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592666</xdr:colOff>
      <xdr:row>15</xdr:row>
      <xdr:rowOff>55033</xdr:rowOff>
    </xdr:from>
    <xdr:to>
      <xdr:col>11</xdr:col>
      <xdr:colOff>444500</xdr:colOff>
      <xdr:row>21</xdr:row>
      <xdr:rowOff>46567</xdr:rowOff>
    </xdr:to>
    <xdr:cxnSp macro="">
      <xdr:nvCxnSpPr>
        <xdr:cNvPr id="10" name="Straight Connector 9">
          <a:extLst>
            <a:ext uri="{FF2B5EF4-FFF2-40B4-BE49-F238E27FC236}">
              <a16:creationId xmlns:a16="http://schemas.microsoft.com/office/drawing/2014/main" id="{164B918A-1677-4BBC-99E7-BC222CB0C028}"/>
            </a:ext>
          </a:extLst>
        </xdr:cNvPr>
        <xdr:cNvCxnSpPr/>
      </xdr:nvCxnSpPr>
      <xdr:spPr>
        <a:xfrm>
          <a:off x="3166533" y="2057400"/>
          <a:ext cx="3937000" cy="901700"/>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6</xdr:col>
      <xdr:colOff>0</xdr:colOff>
      <xdr:row>15</xdr:row>
      <xdr:rowOff>67734</xdr:rowOff>
    </xdr:from>
    <xdr:to>
      <xdr:col>10</xdr:col>
      <xdr:colOff>423333</xdr:colOff>
      <xdr:row>15</xdr:row>
      <xdr:rowOff>105833</xdr:rowOff>
    </xdr:to>
    <xdr:cxnSp macro="">
      <xdr:nvCxnSpPr>
        <xdr:cNvPr id="12" name="Straight Arrow Connector 11">
          <a:extLst>
            <a:ext uri="{FF2B5EF4-FFF2-40B4-BE49-F238E27FC236}">
              <a16:creationId xmlns:a16="http://schemas.microsoft.com/office/drawing/2014/main" id="{F7B7CD43-7651-4E24-9757-AC39AC430F67}"/>
            </a:ext>
          </a:extLst>
        </xdr:cNvPr>
        <xdr:cNvCxnSpPr/>
      </xdr:nvCxnSpPr>
      <xdr:spPr>
        <a:xfrm>
          <a:off x="3217333" y="2070101"/>
          <a:ext cx="3119967" cy="38099"/>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2C02D3-D3A2-4B19-B233-AA79ED6FA192}">
  <dimension ref="A1:H16"/>
  <sheetViews>
    <sheetView workbookViewId="0"/>
  </sheetViews>
  <sheetFormatPr defaultRowHeight="14.6" x14ac:dyDescent="0.4"/>
  <cols>
    <col min="1" max="1" width="19.84375" customWidth="1"/>
    <col min="7" max="7" width="15.3828125" customWidth="1"/>
    <col min="8" max="8" width="14.4609375" customWidth="1"/>
    <col min="9" max="9" width="12.15234375" customWidth="1"/>
    <col min="10" max="10" width="12.921875" customWidth="1"/>
    <col min="11" max="11" width="11.15234375" customWidth="1"/>
    <col min="12" max="12" width="10.765625" bestFit="1" customWidth="1"/>
    <col min="13" max="13" width="11.765625" bestFit="1" customWidth="1"/>
  </cols>
  <sheetData>
    <row r="1" spans="1:8" x14ac:dyDescent="0.4">
      <c r="A1" t="s">
        <v>27</v>
      </c>
      <c r="B1" t="s">
        <v>31</v>
      </c>
      <c r="E1" s="13">
        <v>1</v>
      </c>
    </row>
    <row r="3" spans="1:8" ht="29.15" x14ac:dyDescent="0.4">
      <c r="C3" s="6" t="s">
        <v>3</v>
      </c>
      <c r="D3" s="6" t="s">
        <v>5</v>
      </c>
      <c r="E3" s="6" t="s">
        <v>4</v>
      </c>
      <c r="F3" s="6" t="s">
        <v>6</v>
      </c>
      <c r="G3" s="6" t="s">
        <v>17</v>
      </c>
      <c r="H3" s="6" t="s">
        <v>32</v>
      </c>
    </row>
    <row r="4" spans="1:8" x14ac:dyDescent="0.4">
      <c r="B4" t="s">
        <v>0</v>
      </c>
      <c r="C4">
        <v>4000</v>
      </c>
      <c r="D4">
        <f>(F4-C4)/(1+$E$1)</f>
        <v>1000</v>
      </c>
      <c r="E4">
        <f>D4*$E$1</f>
        <v>1000</v>
      </c>
      <c r="F4">
        <v>6000</v>
      </c>
    </row>
    <row r="5" spans="1:8" x14ac:dyDescent="0.4">
      <c r="B5" t="s">
        <v>1</v>
      </c>
      <c r="C5">
        <v>2000</v>
      </c>
      <c r="D5">
        <f>(F5-C5)/(1+$E$1)</f>
        <v>500</v>
      </c>
      <c r="E5">
        <f>D5*$E$1</f>
        <v>500</v>
      </c>
      <c r="F5">
        <v>3000</v>
      </c>
      <c r="G5">
        <f>D6</f>
        <v>1500</v>
      </c>
      <c r="H5">
        <f>E6</f>
        <v>1500</v>
      </c>
    </row>
    <row r="6" spans="1:8" x14ac:dyDescent="0.4">
      <c r="B6" t="s">
        <v>7</v>
      </c>
      <c r="C6">
        <f t="shared" ref="C6:H6" si="0">SUM(C4:C5)</f>
        <v>6000</v>
      </c>
      <c r="D6">
        <f t="shared" si="0"/>
        <v>1500</v>
      </c>
      <c r="E6">
        <f t="shared" si="0"/>
        <v>1500</v>
      </c>
      <c r="F6">
        <f t="shared" si="0"/>
        <v>9000</v>
      </c>
      <c r="G6">
        <f t="shared" si="0"/>
        <v>1500</v>
      </c>
      <c r="H6">
        <f t="shared" si="0"/>
        <v>1500</v>
      </c>
    </row>
    <row r="8" spans="1:8" x14ac:dyDescent="0.4">
      <c r="A8" t="s">
        <v>28</v>
      </c>
    </row>
    <row r="9" spans="1:8" x14ac:dyDescent="0.4">
      <c r="B9" t="s">
        <v>33</v>
      </c>
      <c r="E9" s="13">
        <f>0.2</f>
        <v>0.2</v>
      </c>
    </row>
    <row r="10" spans="1:8" x14ac:dyDescent="0.4">
      <c r="C10" s="6" t="s">
        <v>3</v>
      </c>
      <c r="D10" s="6" t="s">
        <v>5</v>
      </c>
      <c r="E10" s="6" t="s">
        <v>4</v>
      </c>
      <c r="F10" s="6" t="s">
        <v>6</v>
      </c>
      <c r="G10" s="6"/>
      <c r="H10" s="6"/>
    </row>
    <row r="11" spans="1:8" x14ac:dyDescent="0.4">
      <c r="B11" t="s">
        <v>0</v>
      </c>
      <c r="C11">
        <v>4000</v>
      </c>
      <c r="D11">
        <f>(F11-C11)/(1+$E$1)</f>
        <v>1000</v>
      </c>
      <c r="E11">
        <f>D11*$E$1</f>
        <v>1000</v>
      </c>
      <c r="F11">
        <f>F4</f>
        <v>6000</v>
      </c>
    </row>
    <row r="12" spans="1:8" x14ac:dyDescent="0.4">
      <c r="B12" t="s">
        <v>29</v>
      </c>
      <c r="C12">
        <f>C5-C13</f>
        <v>1600</v>
      </c>
      <c r="D12">
        <f>(F12-C12)/(1+$E$1)</f>
        <v>400</v>
      </c>
      <c r="E12">
        <f>D12*$E$1</f>
        <v>400</v>
      </c>
      <c r="F12">
        <f>F5-F13</f>
        <v>2400</v>
      </c>
      <c r="G12">
        <f>D14</f>
        <v>1500</v>
      </c>
      <c r="H12">
        <f>F12-G12</f>
        <v>900</v>
      </c>
    </row>
    <row r="13" spans="1:8" x14ac:dyDescent="0.4">
      <c r="B13" t="s">
        <v>30</v>
      </c>
      <c r="C13">
        <f>C5*$E$9</f>
        <v>400</v>
      </c>
      <c r="D13">
        <f>(F13-C13)/(1+$E$1)</f>
        <v>100</v>
      </c>
      <c r="E13">
        <f>D13*$E$1</f>
        <v>100</v>
      </c>
      <c r="F13">
        <f>F5*$E$9</f>
        <v>600</v>
      </c>
      <c r="H13">
        <f>F13</f>
        <v>600</v>
      </c>
    </row>
    <row r="14" spans="1:8" x14ac:dyDescent="0.4">
      <c r="B14" t="s">
        <v>7</v>
      </c>
      <c r="C14">
        <f>SUM(C11:C13)</f>
        <v>6000</v>
      </c>
      <c r="D14">
        <f>SUM(D11:D13)</f>
        <v>1500</v>
      </c>
      <c r="E14">
        <f>SUM(E11:E13)</f>
        <v>1500</v>
      </c>
      <c r="F14">
        <f>SUM(F11:F13)</f>
        <v>9000</v>
      </c>
      <c r="G14">
        <f>D14</f>
        <v>1500</v>
      </c>
      <c r="H14">
        <f>E14</f>
        <v>1500</v>
      </c>
    </row>
    <row r="16" spans="1:8" x14ac:dyDescent="0.4">
      <c r="B16" t="s">
        <v>34</v>
      </c>
      <c r="H16">
        <f>H13/H14</f>
        <v>0.4</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E59FE-C8CF-46B2-8E67-2ECAE9AA0094}">
  <dimension ref="A1:K11"/>
  <sheetViews>
    <sheetView workbookViewId="0"/>
  </sheetViews>
  <sheetFormatPr defaultRowHeight="14.6" x14ac:dyDescent="0.4"/>
  <cols>
    <col min="1" max="1" width="19.84375" customWidth="1"/>
    <col min="3" max="6" width="9.765625" bestFit="1" customWidth="1"/>
    <col min="7" max="7" width="12.61328125" customWidth="1"/>
    <col min="8" max="8" width="11.921875" bestFit="1" customWidth="1"/>
    <col min="9" max="9" width="11.61328125" customWidth="1"/>
    <col min="10" max="10" width="5.4609375" customWidth="1"/>
    <col min="11" max="11" width="12.921875" customWidth="1"/>
    <col min="12" max="12" width="11.15234375" customWidth="1"/>
    <col min="13" max="13" width="10.765625" bestFit="1" customWidth="1"/>
    <col min="14" max="14" width="11.765625" bestFit="1" customWidth="1"/>
  </cols>
  <sheetData>
    <row r="1" spans="1:11" x14ac:dyDescent="0.4">
      <c r="B1" t="s">
        <v>31</v>
      </c>
      <c r="E1" s="13">
        <v>1</v>
      </c>
    </row>
    <row r="2" spans="1:11" x14ac:dyDescent="0.4">
      <c r="B2" t="s">
        <v>55</v>
      </c>
      <c r="E2">
        <v>0.5</v>
      </c>
    </row>
    <row r="3" spans="1:11" x14ac:dyDescent="0.4">
      <c r="C3" s="6" t="s">
        <v>3</v>
      </c>
      <c r="D3" s="6" t="s">
        <v>5</v>
      </c>
      <c r="E3" s="6" t="s">
        <v>4</v>
      </c>
      <c r="F3" s="6" t="s">
        <v>6</v>
      </c>
      <c r="G3" s="6"/>
      <c r="H3" s="6"/>
      <c r="I3" s="6"/>
    </row>
    <row r="4" spans="1:11" x14ac:dyDescent="0.4">
      <c r="B4" t="s">
        <v>0</v>
      </c>
      <c r="C4" s="17">
        <v>4000</v>
      </c>
      <c r="D4" s="17">
        <f>(F4-C4)/(1+$E$1)</f>
        <v>1000</v>
      </c>
      <c r="E4" s="17">
        <f>D4*$E$1</f>
        <v>1000</v>
      </c>
      <c r="F4" s="17">
        <v>6000</v>
      </c>
      <c r="G4" s="17"/>
      <c r="H4" s="17"/>
      <c r="I4" s="17"/>
    </row>
    <row r="5" spans="1:11" x14ac:dyDescent="0.4">
      <c r="B5" t="s">
        <v>1</v>
      </c>
      <c r="C5" s="17">
        <v>2000</v>
      </c>
      <c r="D5" s="17">
        <f>(F5-C5)/(1+$E$1)</f>
        <v>500</v>
      </c>
      <c r="E5" s="17">
        <f>D5*$E$1</f>
        <v>500</v>
      </c>
      <c r="F5" s="17">
        <v>3000</v>
      </c>
      <c r="G5" s="17"/>
      <c r="H5" s="17"/>
      <c r="I5" s="17"/>
    </row>
    <row r="6" spans="1:11" x14ac:dyDescent="0.4">
      <c r="B6" t="s">
        <v>7</v>
      </c>
      <c r="C6" s="17">
        <f t="shared" ref="C6:F6" si="0">SUM(C4:C5)</f>
        <v>6000</v>
      </c>
      <c r="D6" s="17">
        <f t="shared" si="0"/>
        <v>1500</v>
      </c>
      <c r="E6" s="17">
        <f t="shared" si="0"/>
        <v>1500</v>
      </c>
      <c r="F6" s="17">
        <f t="shared" si="0"/>
        <v>9000</v>
      </c>
      <c r="G6" s="17"/>
      <c r="H6" s="17"/>
      <c r="I6" s="17"/>
    </row>
    <row r="8" spans="1:11" ht="58.3" x14ac:dyDescent="0.4">
      <c r="A8" t="s">
        <v>56</v>
      </c>
      <c r="C8" t="str">
        <f t="shared" ref="C8:F8" si="1">C3</f>
        <v>C</v>
      </c>
      <c r="D8" t="str">
        <f t="shared" si="1"/>
        <v>V</v>
      </c>
      <c r="E8" t="str">
        <f t="shared" si="1"/>
        <v>S</v>
      </c>
      <c r="F8" t="str">
        <f t="shared" si="1"/>
        <v>Out(total)</v>
      </c>
      <c r="G8" t="s">
        <v>57</v>
      </c>
      <c r="H8" s="6" t="s">
        <v>59</v>
      </c>
      <c r="I8" s="6" t="s">
        <v>58</v>
      </c>
      <c r="J8" s="6" t="s">
        <v>61</v>
      </c>
      <c r="K8" s="6" t="s">
        <v>60</v>
      </c>
    </row>
    <row r="9" spans="1:11" x14ac:dyDescent="0.4">
      <c r="B9" t="str">
        <f t="shared" ref="B9" si="2">B4</f>
        <v>DI</v>
      </c>
      <c r="C9" s="1">
        <f>C4/$E$2</f>
        <v>8000</v>
      </c>
      <c r="D9" s="1">
        <f>D4</f>
        <v>1000</v>
      </c>
      <c r="E9" s="1">
        <f>E4</f>
        <v>1000</v>
      </c>
      <c r="F9" s="1">
        <f>SUM(C9:E9)</f>
        <v>10000</v>
      </c>
      <c r="G9" s="1">
        <f>F4</f>
        <v>6000</v>
      </c>
      <c r="H9" s="17">
        <f>F9*$E$2</f>
        <v>5000</v>
      </c>
      <c r="I9" s="17">
        <f>G9*1</f>
        <v>6000</v>
      </c>
      <c r="K9" s="17">
        <f>F9*$J$11</f>
        <v>6000</v>
      </c>
    </row>
    <row r="10" spans="1:11" x14ac:dyDescent="0.4">
      <c r="B10" t="str">
        <f t="shared" ref="B10" si="3">B5</f>
        <v>DII</v>
      </c>
      <c r="C10" s="1">
        <f>C5/$E$2</f>
        <v>4000</v>
      </c>
      <c r="D10" s="1">
        <f>D5</f>
        <v>500</v>
      </c>
      <c r="E10" s="1">
        <f>E5</f>
        <v>500</v>
      </c>
      <c r="F10" s="1">
        <f>SUM(C10:E10)</f>
        <v>5000</v>
      </c>
      <c r="G10" s="1">
        <f>F5</f>
        <v>3000</v>
      </c>
      <c r="H10" s="17">
        <f>F10*$E$2</f>
        <v>2500</v>
      </c>
      <c r="I10" s="17">
        <f>G10*1</f>
        <v>3000</v>
      </c>
      <c r="K10" s="17">
        <f>F10*$J$11</f>
        <v>3000</v>
      </c>
    </row>
    <row r="11" spans="1:11" x14ac:dyDescent="0.4">
      <c r="C11" s="2">
        <f>SUM(C9:C10)</f>
        <v>12000</v>
      </c>
      <c r="D11" s="2">
        <f t="shared" ref="D11:K11" si="4">SUM(D9:D10)</f>
        <v>1500</v>
      </c>
      <c r="E11" s="2">
        <f t="shared" si="4"/>
        <v>1500</v>
      </c>
      <c r="F11" s="2">
        <f t="shared" si="4"/>
        <v>15000</v>
      </c>
      <c r="G11" s="2">
        <f t="shared" si="4"/>
        <v>9000</v>
      </c>
      <c r="H11" s="17">
        <f t="shared" si="4"/>
        <v>7500</v>
      </c>
      <c r="I11" s="17">
        <f t="shared" si="4"/>
        <v>9000</v>
      </c>
      <c r="J11" s="4">
        <f>I11/F11</f>
        <v>0.6</v>
      </c>
      <c r="K11" s="17">
        <f t="shared" si="4"/>
        <v>9000</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FBB03-2118-4987-A5B0-62F260E68AFF}">
  <dimension ref="A1:P16"/>
  <sheetViews>
    <sheetView workbookViewId="0">
      <selection activeCell="J9" sqref="J9"/>
    </sheetView>
  </sheetViews>
  <sheetFormatPr defaultRowHeight="14.6" x14ac:dyDescent="0.4"/>
  <cols>
    <col min="1" max="1" width="5.3828125" customWidth="1"/>
    <col min="2" max="2" width="7.3828125" customWidth="1"/>
    <col min="3" max="3" width="8.3828125" customWidth="1"/>
    <col min="4" max="4" width="6.69140625" customWidth="1"/>
    <col min="5" max="5" width="8.84375" customWidth="1"/>
    <col min="7" max="7" width="7.3828125" bestFit="1" customWidth="1"/>
    <col min="8" max="8" width="8.61328125" bestFit="1" customWidth="1"/>
    <col min="11" max="11" width="10.765625" bestFit="1" customWidth="1"/>
    <col min="12" max="13" width="9.84375" bestFit="1" customWidth="1"/>
    <col min="14" max="14" width="10.61328125" customWidth="1"/>
    <col min="15" max="15" width="9.765625" bestFit="1" customWidth="1"/>
    <col min="16" max="16" width="8.84375" bestFit="1" customWidth="1"/>
  </cols>
  <sheetData>
    <row r="1" spans="1:16" x14ac:dyDescent="0.4">
      <c r="A1" t="s">
        <v>38</v>
      </c>
    </row>
    <row r="3" spans="1:16" x14ac:dyDescent="0.4">
      <c r="A3" t="s">
        <v>31</v>
      </c>
      <c r="D3" s="13">
        <v>1</v>
      </c>
    </row>
    <row r="4" spans="1:16" x14ac:dyDescent="0.4">
      <c r="G4" s="65" t="s">
        <v>37</v>
      </c>
      <c r="H4" s="65"/>
    </row>
    <row r="5" spans="1:16" ht="43.75" x14ac:dyDescent="0.4">
      <c r="B5" s="6" t="s">
        <v>3</v>
      </c>
      <c r="C5" s="6" t="s">
        <v>5</v>
      </c>
      <c r="D5" s="6" t="s">
        <v>4</v>
      </c>
      <c r="E5" s="6" t="s">
        <v>6</v>
      </c>
      <c r="F5" s="6" t="s">
        <v>39</v>
      </c>
      <c r="G5" s="6" t="s">
        <v>43</v>
      </c>
      <c r="H5" s="6" t="s">
        <v>44</v>
      </c>
      <c r="I5" s="6" t="s">
        <v>46</v>
      </c>
      <c r="J5" s="6" t="s">
        <v>11</v>
      </c>
      <c r="K5" s="6" t="s">
        <v>48</v>
      </c>
      <c r="L5" s="6" t="s">
        <v>49</v>
      </c>
      <c r="M5" s="6" t="s">
        <v>47</v>
      </c>
      <c r="N5" s="6" t="s">
        <v>40</v>
      </c>
      <c r="O5" s="6" t="s">
        <v>41</v>
      </c>
      <c r="P5" s="6" t="s">
        <v>42</v>
      </c>
    </row>
    <row r="6" spans="1:16" x14ac:dyDescent="0.4">
      <c r="A6" t="s">
        <v>0</v>
      </c>
      <c r="B6">
        <v>4000</v>
      </c>
      <c r="C6">
        <f>(E6-B6)/(1+'SR with low MELT'!$E$1)</f>
        <v>1000</v>
      </c>
      <c r="D6">
        <f>C6*$D$3</f>
        <v>1000</v>
      </c>
      <c r="E6">
        <v>6000</v>
      </c>
      <c r="F6">
        <v>7000</v>
      </c>
      <c r="I6">
        <f>B6+C6</f>
        <v>5000</v>
      </c>
      <c r="J6" s="14">
        <f>D6/I6</f>
        <v>0.2</v>
      </c>
      <c r="K6" s="1">
        <f>I6*$J$8</f>
        <v>1666.6666666666665</v>
      </c>
      <c r="L6" s="1">
        <f>I6*(1+$J$8)</f>
        <v>6666.6666666666661</v>
      </c>
      <c r="M6" s="1">
        <f>I6+D6</f>
        <v>6000</v>
      </c>
      <c r="N6" s="14">
        <f>L6/M6</f>
        <v>1.1111111111111109</v>
      </c>
      <c r="O6" s="1">
        <f>E6*N6</f>
        <v>6666.6666666666661</v>
      </c>
      <c r="P6" s="1">
        <f>C6*N7</f>
        <v>888.8888888888888</v>
      </c>
    </row>
    <row r="7" spans="1:16" x14ac:dyDescent="0.4">
      <c r="A7" t="s">
        <v>1</v>
      </c>
      <c r="B7">
        <v>2000</v>
      </c>
      <c r="C7" s="7">
        <f>(E7-B7)/(1+'SR with low MELT'!$E$1)</f>
        <v>2000</v>
      </c>
      <c r="D7" s="7">
        <f>C7*$D$3</f>
        <v>2000</v>
      </c>
      <c r="E7" s="7">
        <v>6000</v>
      </c>
      <c r="F7">
        <v>6000</v>
      </c>
      <c r="G7" s="7">
        <f>C8</f>
        <v>3000</v>
      </c>
      <c r="H7" s="7">
        <f>D8</f>
        <v>3000</v>
      </c>
      <c r="I7">
        <f>B7+C7</f>
        <v>4000</v>
      </c>
      <c r="J7" s="14">
        <f>D7/I7</f>
        <v>0.5</v>
      </c>
      <c r="K7" s="1">
        <f>I7*$J$8</f>
        <v>1333.3333333333333</v>
      </c>
      <c r="L7" s="1">
        <f>I7*(1+$J$8)</f>
        <v>5333.333333333333</v>
      </c>
      <c r="M7" s="1">
        <f>I7+D7</f>
        <v>6000</v>
      </c>
      <c r="N7" s="14">
        <f>L7/M7</f>
        <v>0.88888888888888884</v>
      </c>
      <c r="O7" s="1">
        <f>E7*N7</f>
        <v>5333.333333333333</v>
      </c>
      <c r="P7" s="1">
        <f>C7*N7</f>
        <v>1777.7777777777776</v>
      </c>
    </row>
    <row r="8" spans="1:16" x14ac:dyDescent="0.4">
      <c r="A8" t="s">
        <v>7</v>
      </c>
      <c r="B8">
        <f t="shared" ref="B8:H8" si="0">SUM(B6:B7)</f>
        <v>6000</v>
      </c>
      <c r="C8" s="7">
        <f t="shared" si="0"/>
        <v>3000</v>
      </c>
      <c r="D8" s="7">
        <f t="shared" si="0"/>
        <v>3000</v>
      </c>
      <c r="E8" s="7">
        <f t="shared" si="0"/>
        <v>12000</v>
      </c>
      <c r="F8" s="7">
        <f t="shared" si="0"/>
        <v>13000</v>
      </c>
      <c r="G8" s="7">
        <f t="shared" si="0"/>
        <v>3000</v>
      </c>
      <c r="H8" s="7">
        <f t="shared" si="0"/>
        <v>3000</v>
      </c>
      <c r="I8">
        <f>B8+C8</f>
        <v>9000</v>
      </c>
      <c r="J8" s="14">
        <f>D8/I8</f>
        <v>0.33333333333333331</v>
      </c>
      <c r="K8" s="1">
        <f>D8+E8</f>
        <v>15000</v>
      </c>
      <c r="L8" s="15">
        <f>L6+L7</f>
        <v>12000</v>
      </c>
      <c r="M8" s="15">
        <f>I8+D8</f>
        <v>12000</v>
      </c>
      <c r="N8" s="14">
        <f>L8/M8</f>
        <v>1</v>
      </c>
      <c r="O8" s="16">
        <f>SUM(O6:O7)</f>
        <v>12000</v>
      </c>
      <c r="P8" s="16">
        <f>SUM(P6:P7)</f>
        <v>2666.6666666666665</v>
      </c>
    </row>
    <row r="10" spans="1:16" x14ac:dyDescent="0.4">
      <c r="A10" t="s">
        <v>45</v>
      </c>
    </row>
    <row r="12" spans="1:16" x14ac:dyDescent="0.4">
      <c r="G12" s="65" t="s">
        <v>37</v>
      </c>
      <c r="H12" s="65"/>
    </row>
    <row r="13" spans="1:16" ht="58.3" x14ac:dyDescent="0.4">
      <c r="B13" s="6" t="s">
        <v>3</v>
      </c>
      <c r="C13" s="6" t="s">
        <v>5</v>
      </c>
      <c r="D13" s="6" t="s">
        <v>4</v>
      </c>
      <c r="E13" s="6" t="s">
        <v>6</v>
      </c>
      <c r="F13" s="6" t="s">
        <v>39</v>
      </c>
      <c r="G13" s="6" t="s">
        <v>43</v>
      </c>
      <c r="H13" s="6" t="s">
        <v>44</v>
      </c>
      <c r="I13" s="6" t="s">
        <v>50</v>
      </c>
      <c r="J13" s="6" t="s">
        <v>11</v>
      </c>
      <c r="K13" s="6" t="s">
        <v>51</v>
      </c>
      <c r="L13" s="6" t="s">
        <v>52</v>
      </c>
      <c r="M13" s="6" t="s">
        <v>53</v>
      </c>
      <c r="N13" s="6" t="s">
        <v>40</v>
      </c>
      <c r="O13" s="6" t="s">
        <v>41</v>
      </c>
      <c r="P13" s="6" t="s">
        <v>42</v>
      </c>
    </row>
    <row r="14" spans="1:16" x14ac:dyDescent="0.4">
      <c r="A14" t="s">
        <v>0</v>
      </c>
      <c r="B14">
        <v>4000</v>
      </c>
      <c r="C14">
        <f>(E14-B14)/(1+'SR with low MELT'!$E$1)</f>
        <v>1000</v>
      </c>
      <c r="D14">
        <f>C14*$D$3</f>
        <v>1000</v>
      </c>
      <c r="E14">
        <v>6000</v>
      </c>
      <c r="F14">
        <v>7000</v>
      </c>
      <c r="I14">
        <f>B14+C14+F14</f>
        <v>12000</v>
      </c>
      <c r="J14" s="14">
        <f>D14/I14</f>
        <v>8.3333333333333329E-2</v>
      </c>
      <c r="K14" s="1">
        <f>I14*$J$16</f>
        <v>1636.3636363636363</v>
      </c>
      <c r="L14" s="1">
        <f>I14+K14</f>
        <v>13636.363636363636</v>
      </c>
      <c r="M14" s="1">
        <f>I14+D14</f>
        <v>13000</v>
      </c>
      <c r="N14" s="14">
        <f>L14/M14</f>
        <v>1.048951048951049</v>
      </c>
      <c r="O14" s="1">
        <f>E14*N14</f>
        <v>6293.7062937062938</v>
      </c>
      <c r="P14" s="1">
        <f>C14*N15</f>
        <v>946.969696969697</v>
      </c>
    </row>
    <row r="15" spans="1:16" x14ac:dyDescent="0.4">
      <c r="A15" t="s">
        <v>1</v>
      </c>
      <c r="B15">
        <v>2000</v>
      </c>
      <c r="C15" s="7">
        <f>(E15-B15)/(1+'SR with low MELT'!$E$1)</f>
        <v>2000</v>
      </c>
      <c r="D15" s="7">
        <f>C15*$D$3</f>
        <v>2000</v>
      </c>
      <c r="E15" s="7">
        <v>6000</v>
      </c>
      <c r="F15">
        <v>6000</v>
      </c>
      <c r="G15" s="7">
        <f>C16</f>
        <v>3000</v>
      </c>
      <c r="H15" s="7">
        <f>D16</f>
        <v>3000</v>
      </c>
      <c r="I15">
        <f>B15+C15+F15</f>
        <v>10000</v>
      </c>
      <c r="J15" s="14">
        <f>D15/I15</f>
        <v>0.2</v>
      </c>
      <c r="K15" s="1">
        <f>I15*$J$16</f>
        <v>1363.6363636363635</v>
      </c>
      <c r="L15" s="1">
        <f>I15+K15</f>
        <v>11363.636363636364</v>
      </c>
      <c r="M15" s="1">
        <f>I15+D15</f>
        <v>12000</v>
      </c>
      <c r="N15" s="14">
        <f>L15/M15</f>
        <v>0.94696969696969702</v>
      </c>
      <c r="O15" s="1">
        <f>E15*N15</f>
        <v>5681.818181818182</v>
      </c>
      <c r="P15" s="1">
        <f>C15*N15</f>
        <v>1893.939393939394</v>
      </c>
    </row>
    <row r="16" spans="1:16" x14ac:dyDescent="0.4">
      <c r="A16" t="s">
        <v>7</v>
      </c>
      <c r="B16">
        <f t="shared" ref="B16:I16" si="1">SUM(B14:B15)</f>
        <v>6000</v>
      </c>
      <c r="C16" s="7">
        <f t="shared" si="1"/>
        <v>3000</v>
      </c>
      <c r="D16" s="7">
        <f t="shared" si="1"/>
        <v>3000</v>
      </c>
      <c r="E16" s="7">
        <f t="shared" si="1"/>
        <v>12000</v>
      </c>
      <c r="F16" s="7">
        <f t="shared" si="1"/>
        <v>13000</v>
      </c>
      <c r="G16" s="7">
        <f t="shared" si="1"/>
        <v>3000</v>
      </c>
      <c r="H16" s="7">
        <f t="shared" si="1"/>
        <v>3000</v>
      </c>
      <c r="I16" s="7">
        <f t="shared" si="1"/>
        <v>22000</v>
      </c>
      <c r="J16" s="14">
        <f>D16/I16</f>
        <v>0.13636363636363635</v>
      </c>
      <c r="K16" s="7">
        <f>SUM(K14:K15)</f>
        <v>3000</v>
      </c>
      <c r="L16" s="15">
        <f>L14+L15</f>
        <v>25000</v>
      </c>
      <c r="M16" s="15">
        <f>I16+D16</f>
        <v>25000</v>
      </c>
      <c r="N16" s="14">
        <f>L16/M16</f>
        <v>1</v>
      </c>
      <c r="O16" s="16">
        <f>SUM(O14:O15)</f>
        <v>11975.524475524475</v>
      </c>
      <c r="P16" s="16">
        <f>SUM(P14:P15)</f>
        <v>2840.909090909091</v>
      </c>
    </row>
  </sheetData>
  <mergeCells count="2">
    <mergeCell ref="G4:H4"/>
    <mergeCell ref="G12:H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C77ED3-DCBF-4325-9E6B-9BF828DE079E}">
  <dimension ref="A1:I7"/>
  <sheetViews>
    <sheetView workbookViewId="0">
      <selection activeCell="H4" sqref="H4"/>
    </sheetView>
  </sheetViews>
  <sheetFormatPr defaultRowHeight="14.6" x14ac:dyDescent="0.4"/>
  <cols>
    <col min="2" max="2" width="16.15234375" bestFit="1" customWidth="1"/>
    <col min="8" max="8" width="11.3046875" customWidth="1"/>
    <col min="9" max="9" width="13.15234375" customWidth="1"/>
  </cols>
  <sheetData>
    <row r="1" spans="1:9" x14ac:dyDescent="0.4">
      <c r="A1" t="s">
        <v>27</v>
      </c>
      <c r="B1" t="s">
        <v>31</v>
      </c>
      <c r="F1" s="7">
        <v>1</v>
      </c>
    </row>
    <row r="3" spans="1:9" ht="43.75" x14ac:dyDescent="0.4">
      <c r="C3" t="s">
        <v>35</v>
      </c>
      <c r="D3" s="6" t="s">
        <v>36</v>
      </c>
      <c r="E3" s="6" t="s">
        <v>5</v>
      </c>
      <c r="F3" s="6" t="s">
        <v>4</v>
      </c>
      <c r="G3" s="6" t="s">
        <v>6</v>
      </c>
      <c r="H3" s="6" t="s">
        <v>17</v>
      </c>
      <c r="I3" s="6" t="s">
        <v>32</v>
      </c>
    </row>
    <row r="4" spans="1:9" x14ac:dyDescent="0.4">
      <c r="B4" t="s">
        <v>35</v>
      </c>
      <c r="C4">
        <v>1000</v>
      </c>
      <c r="D4">
        <v>1000</v>
      </c>
      <c r="E4">
        <v>500</v>
      </c>
      <c r="F4">
        <v>500</v>
      </c>
      <c r="G4">
        <v>3000</v>
      </c>
      <c r="H4">
        <f>E4</f>
        <v>500</v>
      </c>
      <c r="I4">
        <f t="shared" ref="I4:I6" si="0">F4</f>
        <v>500</v>
      </c>
    </row>
    <row r="5" spans="1:9" x14ac:dyDescent="0.4">
      <c r="B5" t="s">
        <v>36</v>
      </c>
      <c r="C5">
        <v>2000</v>
      </c>
      <c r="E5">
        <v>500</v>
      </c>
      <c r="F5">
        <f>E5*$F$1</f>
        <v>500</v>
      </c>
      <c r="G5">
        <v>3000</v>
      </c>
      <c r="H5">
        <f t="shared" ref="H5:H6" si="1">E5</f>
        <v>500</v>
      </c>
      <c r="I5">
        <f t="shared" si="0"/>
        <v>500</v>
      </c>
    </row>
    <row r="6" spans="1:9" x14ac:dyDescent="0.4">
      <c r="B6" t="s">
        <v>37</v>
      </c>
      <c r="D6">
        <v>2000</v>
      </c>
      <c r="E6">
        <f>(G6-D6)/(1+$F$1)</f>
        <v>500</v>
      </c>
      <c r="F6">
        <f>E6*$F$1</f>
        <v>500</v>
      </c>
      <c r="G6">
        <v>3000</v>
      </c>
      <c r="H6">
        <f t="shared" si="1"/>
        <v>500</v>
      </c>
      <c r="I6">
        <f t="shared" si="0"/>
        <v>500</v>
      </c>
    </row>
    <row r="7" spans="1:9" x14ac:dyDescent="0.4">
      <c r="B7" t="s">
        <v>7</v>
      </c>
      <c r="C7">
        <f t="shared" ref="C7:I7" si="2">SUM(C4:C6)</f>
        <v>3000</v>
      </c>
      <c r="D7">
        <f t="shared" si="2"/>
        <v>3000</v>
      </c>
      <c r="E7">
        <f t="shared" si="2"/>
        <v>1500</v>
      </c>
      <c r="F7">
        <f t="shared" si="2"/>
        <v>1500</v>
      </c>
      <c r="G7">
        <f t="shared" si="2"/>
        <v>9000</v>
      </c>
      <c r="H7">
        <f t="shared" si="2"/>
        <v>1500</v>
      </c>
      <c r="I7">
        <f t="shared" si="2"/>
        <v>1500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B651D-F4FB-4BF9-BD8B-3835EA09B3FA}">
  <dimension ref="A1:X59"/>
  <sheetViews>
    <sheetView tabSelected="1" workbookViewId="0">
      <selection activeCell="F3" sqref="F3"/>
    </sheetView>
  </sheetViews>
  <sheetFormatPr defaultRowHeight="14.6" x14ac:dyDescent="0.4"/>
  <cols>
    <col min="1" max="1" width="19.61328125" customWidth="1"/>
    <col min="5" max="7" width="8.921875" customWidth="1"/>
    <col min="8" max="8" width="13.765625" customWidth="1"/>
    <col min="11" max="11" width="10.3828125" customWidth="1"/>
    <col min="12" max="13" width="12.84375" customWidth="1"/>
    <col min="14" max="14" width="13.3046875" customWidth="1"/>
    <col min="15" max="15" width="8.921875" style="3"/>
    <col min="19" max="19" width="13.3046875" customWidth="1"/>
    <col min="20" max="20" width="10.15234375" customWidth="1"/>
    <col min="21" max="21" width="16.07421875" customWidth="1"/>
    <col min="22" max="22" width="14.3828125" customWidth="1"/>
    <col min="23" max="23" width="14.53515625" customWidth="1"/>
    <col min="24" max="24" width="18.3046875" customWidth="1"/>
  </cols>
  <sheetData>
    <row r="1" spans="1:24" x14ac:dyDescent="0.4">
      <c r="A1" t="s">
        <v>19</v>
      </c>
      <c r="C1" s="7">
        <v>0.1</v>
      </c>
      <c r="O1"/>
      <c r="Q1" s="65" t="s">
        <v>0</v>
      </c>
      <c r="R1" s="65"/>
    </row>
    <row r="2" spans="1:24" ht="43.75" x14ac:dyDescent="0.4">
      <c r="C2" s="6" t="s">
        <v>3</v>
      </c>
      <c r="D2" s="6" t="s">
        <v>5</v>
      </c>
      <c r="E2" s="6" t="s">
        <v>4</v>
      </c>
      <c r="F2" s="6" t="s">
        <v>39</v>
      </c>
      <c r="G2" s="6" t="s">
        <v>6</v>
      </c>
      <c r="H2" s="6" t="s">
        <v>20</v>
      </c>
      <c r="I2" s="6" t="s">
        <v>9</v>
      </c>
      <c r="J2" s="6" t="s">
        <v>10</v>
      </c>
      <c r="K2" s="6" t="s">
        <v>18</v>
      </c>
      <c r="L2" s="6" t="s">
        <v>12</v>
      </c>
      <c r="M2" s="6" t="s">
        <v>17</v>
      </c>
      <c r="N2" s="6" t="s">
        <v>16</v>
      </c>
      <c r="O2" s="6" t="s">
        <v>11</v>
      </c>
      <c r="P2" s="6" t="s">
        <v>15</v>
      </c>
      <c r="Q2" s="6" t="s">
        <v>23</v>
      </c>
      <c r="R2" s="6" t="s">
        <v>24</v>
      </c>
      <c r="S2" s="12" t="s">
        <v>25</v>
      </c>
      <c r="T2" s="12" t="s">
        <v>26</v>
      </c>
      <c r="U2" s="6" t="s">
        <v>97</v>
      </c>
      <c r="V2" s="6" t="s">
        <v>98</v>
      </c>
      <c r="W2" s="6"/>
      <c r="X2" s="6" t="s">
        <v>99</v>
      </c>
    </row>
    <row r="3" spans="1:24" x14ac:dyDescent="0.4">
      <c r="A3" t="s">
        <v>103</v>
      </c>
      <c r="C3" s="6">
        <v>0</v>
      </c>
      <c r="D3" s="6">
        <v>0</v>
      </c>
      <c r="E3" s="6">
        <v>0</v>
      </c>
      <c r="F3" s="6"/>
      <c r="G3" s="6"/>
      <c r="H3" s="6"/>
      <c r="I3" s="6"/>
      <c r="J3" s="6"/>
      <c r="K3" s="6"/>
      <c r="L3" s="6"/>
      <c r="M3" s="6"/>
      <c r="N3" s="6"/>
      <c r="O3" s="6"/>
      <c r="P3" s="6"/>
      <c r="Q3" s="6"/>
      <c r="R3" s="6"/>
      <c r="S3" s="12"/>
      <c r="T3" s="12"/>
      <c r="U3" s="6"/>
      <c r="V3" s="6"/>
      <c r="W3" s="6"/>
      <c r="X3" s="6"/>
    </row>
    <row r="4" spans="1:24" x14ac:dyDescent="0.4">
      <c r="C4" s="6">
        <v>0</v>
      </c>
      <c r="D4" s="6">
        <v>0</v>
      </c>
      <c r="E4" s="6">
        <v>0</v>
      </c>
      <c r="F4" s="6"/>
      <c r="G4" s="6"/>
      <c r="H4" s="6"/>
      <c r="I4" s="6"/>
      <c r="J4" s="6"/>
      <c r="K4" s="6"/>
      <c r="L4" s="6"/>
      <c r="M4" s="6"/>
      <c r="N4" s="6"/>
      <c r="O4" s="6"/>
      <c r="P4" s="6"/>
      <c r="Q4" s="6"/>
      <c r="R4" s="6"/>
      <c r="S4" s="12"/>
      <c r="T4" s="12"/>
      <c r="U4" s="6"/>
      <c r="V4" s="6"/>
      <c r="W4" s="6"/>
      <c r="X4" s="6"/>
    </row>
    <row r="5" spans="1:24" x14ac:dyDescent="0.4">
      <c r="C5" s="6"/>
      <c r="D5" s="6"/>
      <c r="E5" s="6"/>
      <c r="F5" s="6"/>
      <c r="G5" s="6"/>
      <c r="H5" s="6"/>
      <c r="I5" s="6"/>
      <c r="J5" s="6"/>
      <c r="K5" s="6"/>
      <c r="L5" s="6"/>
      <c r="M5" s="6"/>
      <c r="N5" s="6"/>
      <c r="O5" s="6"/>
      <c r="P5" s="6"/>
      <c r="Q5" s="6"/>
      <c r="R5" s="6"/>
      <c r="S5" s="12"/>
      <c r="T5" s="12"/>
      <c r="U5" s="6"/>
      <c r="V5" s="6"/>
      <c r="W5" s="6"/>
      <c r="X5" s="6"/>
    </row>
    <row r="6" spans="1:24" x14ac:dyDescent="0.4">
      <c r="C6" s="6"/>
      <c r="D6" s="6"/>
      <c r="E6" s="6"/>
      <c r="F6" s="6"/>
      <c r="G6" s="6"/>
      <c r="H6" s="6"/>
      <c r="I6" s="6"/>
      <c r="J6" s="6"/>
      <c r="K6" s="6"/>
      <c r="L6" s="6"/>
      <c r="M6" s="6"/>
      <c r="N6" s="6"/>
      <c r="O6" s="6"/>
      <c r="P6" s="6"/>
      <c r="Q6" s="6"/>
      <c r="R6" s="6"/>
      <c r="S6" s="12"/>
      <c r="T6" s="12"/>
      <c r="U6" s="6"/>
      <c r="V6" s="6"/>
      <c r="W6" s="6"/>
      <c r="X6" s="6"/>
    </row>
    <row r="7" spans="1:24" x14ac:dyDescent="0.4">
      <c r="A7" t="s">
        <v>102</v>
      </c>
      <c r="C7" s="6"/>
      <c r="D7" s="6"/>
      <c r="E7" s="6"/>
      <c r="F7" s="6"/>
      <c r="G7" s="6"/>
      <c r="H7" s="6"/>
      <c r="I7" s="6"/>
      <c r="J7" s="6"/>
      <c r="K7" s="6"/>
      <c r="L7" s="6"/>
      <c r="M7" s="6"/>
      <c r="N7" s="6"/>
      <c r="O7" s="6"/>
      <c r="P7" s="6"/>
      <c r="Q7" s="6"/>
      <c r="R7" s="6"/>
      <c r="S7" s="12"/>
      <c r="T7" s="12"/>
      <c r="U7" s="6"/>
      <c r="V7" s="6"/>
      <c r="W7" s="6"/>
      <c r="X7" s="6"/>
    </row>
    <row r="8" spans="1:24" x14ac:dyDescent="0.4">
      <c r="B8" t="s">
        <v>0</v>
      </c>
      <c r="C8">
        <v>4000</v>
      </c>
      <c r="D8">
        <v>1000</v>
      </c>
      <c r="E8">
        <v>1000</v>
      </c>
      <c r="G8">
        <f>SUM(C8:E8)</f>
        <v>6000</v>
      </c>
      <c r="H8" s="10">
        <f>D8/C8</f>
        <v>0.25</v>
      </c>
      <c r="I8" s="2">
        <f>C8*$C$1</f>
        <v>400</v>
      </c>
      <c r="J8" s="2">
        <f>D14-D8</f>
        <v>100</v>
      </c>
      <c r="K8" s="2">
        <f>I8+J8</f>
        <v>500</v>
      </c>
      <c r="L8" s="11" t="s">
        <v>22</v>
      </c>
      <c r="M8" s="2">
        <f>D8</f>
        <v>1000</v>
      </c>
      <c r="N8" s="11" t="s">
        <v>22</v>
      </c>
      <c r="O8" s="3">
        <f>E8/(C8+D8)</f>
        <v>0.2</v>
      </c>
      <c r="U8">
        <v>9000</v>
      </c>
      <c r="V8">
        <v>14500</v>
      </c>
      <c r="W8" t="s">
        <v>100</v>
      </c>
      <c r="X8">
        <v>9500</v>
      </c>
    </row>
    <row r="9" spans="1:24" x14ac:dyDescent="0.4">
      <c r="B9" t="s">
        <v>1</v>
      </c>
      <c r="C9">
        <v>1500</v>
      </c>
      <c r="D9">
        <v>750</v>
      </c>
      <c r="E9">
        <v>750</v>
      </c>
      <c r="G9">
        <f>SUM(C9:E9)</f>
        <v>3000</v>
      </c>
      <c r="H9" s="10">
        <f>D9/C9</f>
        <v>0.5</v>
      </c>
      <c r="I9" s="2">
        <f>C11-I8</f>
        <v>100</v>
      </c>
      <c r="J9" s="2">
        <f>D15-D9</f>
        <v>50</v>
      </c>
      <c r="K9" s="2">
        <f>I9+J9</f>
        <v>150</v>
      </c>
      <c r="L9" s="11" t="s">
        <v>22</v>
      </c>
      <c r="M9" s="2">
        <f>D9</f>
        <v>750</v>
      </c>
      <c r="N9" s="11" t="s">
        <v>22</v>
      </c>
      <c r="O9" s="3">
        <f>E9/(C9+D9)</f>
        <v>0.33333333333333331</v>
      </c>
      <c r="U9">
        <v>3000</v>
      </c>
      <c r="V9">
        <v>6250</v>
      </c>
      <c r="W9" t="s">
        <v>101</v>
      </c>
      <c r="X9">
        <v>4000</v>
      </c>
    </row>
    <row r="10" spans="1:24" x14ac:dyDescent="0.4">
      <c r="B10" s="38" t="s">
        <v>7</v>
      </c>
      <c r="C10" s="38">
        <f>SUM(C8:C9)</f>
        <v>5500</v>
      </c>
      <c r="D10" s="38">
        <f t="shared" ref="D10:G10" si="0">SUM(D8:D9)</f>
        <v>1750</v>
      </c>
      <c r="E10" s="38">
        <f t="shared" si="0"/>
        <v>1750</v>
      </c>
      <c r="F10" s="38"/>
      <c r="G10" s="38">
        <f t="shared" si="0"/>
        <v>9000</v>
      </c>
      <c r="H10" s="59">
        <f>D10/C10</f>
        <v>0.31818181818181818</v>
      </c>
      <c r="I10" s="60">
        <f>SUM(I8:I9)</f>
        <v>500</v>
      </c>
      <c r="J10" s="60">
        <f>SUM(J8:J9)</f>
        <v>150</v>
      </c>
      <c r="K10" s="61">
        <f>I10+J10</f>
        <v>650</v>
      </c>
      <c r="L10" s="11" t="s">
        <v>22</v>
      </c>
      <c r="M10" s="2">
        <f>D10</f>
        <v>1750</v>
      </c>
      <c r="N10" s="11" t="s">
        <v>22</v>
      </c>
      <c r="O10" s="3">
        <f>E10/(C10+D10)</f>
        <v>0.2413793103448276</v>
      </c>
    </row>
    <row r="11" spans="1:24" x14ac:dyDescent="0.4">
      <c r="B11" s="43" t="s">
        <v>2</v>
      </c>
      <c r="C11" s="43">
        <f>G8-C10</f>
        <v>500</v>
      </c>
      <c r="I11" s="4"/>
    </row>
    <row r="12" spans="1:24" x14ac:dyDescent="0.4">
      <c r="B12" t="s">
        <v>21</v>
      </c>
      <c r="H12">
        <f>G9/G8</f>
        <v>0.5</v>
      </c>
    </row>
    <row r="14" spans="1:24" x14ac:dyDescent="0.4">
      <c r="B14" t="s">
        <v>0</v>
      </c>
      <c r="C14" s="1">
        <f>C8+I8</f>
        <v>4400</v>
      </c>
      <c r="D14" s="1">
        <f>C14*H8</f>
        <v>1100</v>
      </c>
      <c r="E14" s="1">
        <f>D14</f>
        <v>1100</v>
      </c>
      <c r="F14" s="1"/>
      <c r="G14" s="1">
        <f>SUM(C14:E14)</f>
        <v>6600</v>
      </c>
      <c r="H14" s="10">
        <f>D14/C14</f>
        <v>0.25</v>
      </c>
      <c r="I14" s="2">
        <f>C14*$C$1</f>
        <v>440</v>
      </c>
      <c r="J14" s="2">
        <f>D20-D14</f>
        <v>110</v>
      </c>
      <c r="K14" s="2">
        <f>I14+J14</f>
        <v>550</v>
      </c>
      <c r="L14" s="2">
        <f>E8-K8</f>
        <v>500</v>
      </c>
      <c r="M14" s="2">
        <f>D14</f>
        <v>1100</v>
      </c>
      <c r="N14" s="2"/>
      <c r="O14" s="3">
        <f>E14/(C14+D14)</f>
        <v>0.2</v>
      </c>
    </row>
    <row r="15" spans="1:24" x14ac:dyDescent="0.4">
      <c r="B15" t="s">
        <v>1</v>
      </c>
      <c r="C15" s="1">
        <f>C9+C11-I8</f>
        <v>1600</v>
      </c>
      <c r="D15" s="1">
        <f>C15*H9</f>
        <v>800</v>
      </c>
      <c r="E15" s="1">
        <f>D15</f>
        <v>800</v>
      </c>
      <c r="F15" s="1"/>
      <c r="G15" s="1">
        <f>SUM(C15:E15)</f>
        <v>3200</v>
      </c>
      <c r="H15" s="10">
        <f>D15/C15</f>
        <v>0.5</v>
      </c>
      <c r="I15" s="2">
        <f>C17-I14</f>
        <v>160</v>
      </c>
      <c r="J15" s="2">
        <f>D21-D15</f>
        <v>80</v>
      </c>
      <c r="K15" s="2">
        <f>I15+J15</f>
        <v>240</v>
      </c>
      <c r="L15" s="2">
        <f>E9-K9</f>
        <v>600</v>
      </c>
      <c r="M15" s="2">
        <f>D15</f>
        <v>800</v>
      </c>
      <c r="N15" s="2"/>
      <c r="O15" s="3">
        <f>E15/(C15+D15)</f>
        <v>0.33333333333333331</v>
      </c>
      <c r="P15" s="5">
        <f>G14/G8</f>
        <v>1.1000000000000001</v>
      </c>
    </row>
    <row r="16" spans="1:24" x14ac:dyDescent="0.4">
      <c r="B16" s="60" t="s">
        <v>7</v>
      </c>
      <c r="C16" s="60">
        <f>SUM(C14:C15)</f>
        <v>6000</v>
      </c>
      <c r="D16" s="60">
        <f t="shared" ref="D16:G16" si="1">SUM(D14:D15)</f>
        <v>1900</v>
      </c>
      <c r="E16" s="60">
        <f t="shared" si="1"/>
        <v>1900</v>
      </c>
      <c r="F16" s="60"/>
      <c r="G16" s="60">
        <f t="shared" si="1"/>
        <v>9800</v>
      </c>
      <c r="H16" s="59">
        <f>D16/C16</f>
        <v>0.31666666666666665</v>
      </c>
      <c r="I16" s="60">
        <f>SUM(I14:I15)</f>
        <v>600</v>
      </c>
      <c r="J16" s="60">
        <f t="shared" ref="J16" si="2">SUM(J14:J15)</f>
        <v>190</v>
      </c>
      <c r="K16" s="61">
        <f>I16+J16</f>
        <v>790</v>
      </c>
      <c r="L16" s="2">
        <f>E10-K10</f>
        <v>1100</v>
      </c>
      <c r="M16" s="2">
        <f>D16</f>
        <v>1900</v>
      </c>
      <c r="N16" s="2">
        <f>L16+M16</f>
        <v>3000</v>
      </c>
      <c r="O16" s="3">
        <f>E16/(C16+D16)</f>
        <v>0.24050632911392406</v>
      </c>
      <c r="P16" s="5">
        <f>G15/G9</f>
        <v>1.0666666666666667</v>
      </c>
      <c r="S16" s="2"/>
    </row>
    <row r="17" spans="2:17" x14ac:dyDescent="0.4">
      <c r="B17" s="62" t="s">
        <v>2</v>
      </c>
      <c r="C17" s="62">
        <f>G14-C16</f>
        <v>600</v>
      </c>
      <c r="D17" s="1"/>
      <c r="E17" s="1"/>
      <c r="F17" s="1"/>
      <c r="I17" s="4"/>
    </row>
    <row r="18" spans="2:17" x14ac:dyDescent="0.4">
      <c r="B18" s="43" t="s">
        <v>21</v>
      </c>
      <c r="C18" s="43"/>
      <c r="D18" s="63"/>
      <c r="E18" s="43"/>
      <c r="F18" s="43"/>
      <c r="G18" s="43"/>
      <c r="H18" s="64">
        <f>G15/G14</f>
        <v>0.48484848484848486</v>
      </c>
    </row>
    <row r="19" spans="2:17" x14ac:dyDescent="0.4">
      <c r="B19" s="43"/>
      <c r="C19" s="43"/>
      <c r="D19" s="63"/>
      <c r="E19" s="43"/>
      <c r="F19" s="43"/>
      <c r="G19" s="43"/>
      <c r="H19" s="64"/>
    </row>
    <row r="20" spans="2:17" x14ac:dyDescent="0.4">
      <c r="B20" t="s">
        <v>0</v>
      </c>
      <c r="C20" s="1">
        <f>C14+I14</f>
        <v>4840</v>
      </c>
      <c r="D20" s="1">
        <f>C20*H14</f>
        <v>1210</v>
      </c>
      <c r="E20" s="1">
        <f>D20</f>
        <v>1210</v>
      </c>
      <c r="F20" s="1"/>
      <c r="G20" s="1">
        <f>SUM(C20:E20)</f>
        <v>7260</v>
      </c>
      <c r="H20" s="10">
        <f>D20/C20</f>
        <v>0.25</v>
      </c>
      <c r="I20" s="2">
        <f>C20*$C$1</f>
        <v>484</v>
      </c>
      <c r="J20" s="2">
        <f>D26-D20</f>
        <v>121</v>
      </c>
      <c r="K20" s="2">
        <f>I20+J20</f>
        <v>605</v>
      </c>
      <c r="L20" s="2">
        <f>E14-K14</f>
        <v>550</v>
      </c>
      <c r="M20" s="2">
        <f>D20</f>
        <v>1210</v>
      </c>
      <c r="N20" s="2"/>
      <c r="O20" s="3">
        <f>E20/(C20+D20)</f>
        <v>0.2</v>
      </c>
      <c r="P20" s="5"/>
    </row>
    <row r="21" spans="2:17" x14ac:dyDescent="0.4">
      <c r="B21" t="s">
        <v>1</v>
      </c>
      <c r="C21" s="1">
        <f>C15+C17-I14</f>
        <v>1760</v>
      </c>
      <c r="D21" s="1">
        <f>C21*H15</f>
        <v>880</v>
      </c>
      <c r="E21" s="1">
        <f>D21</f>
        <v>880</v>
      </c>
      <c r="F21" s="1"/>
      <c r="G21" s="1">
        <f>SUM(C21:E21)</f>
        <v>3520</v>
      </c>
      <c r="H21" s="10">
        <f>D21/C21</f>
        <v>0.5</v>
      </c>
      <c r="I21" s="2">
        <f>C23-I20</f>
        <v>176</v>
      </c>
      <c r="J21" s="2">
        <f>D27-D21</f>
        <v>88</v>
      </c>
      <c r="K21" s="2">
        <f>I21+J21</f>
        <v>264</v>
      </c>
      <c r="L21" s="2">
        <f>E15-K15</f>
        <v>560</v>
      </c>
      <c r="M21" s="2">
        <f>D21</f>
        <v>880</v>
      </c>
      <c r="N21" s="2"/>
      <c r="O21" s="3">
        <f>E21/(C21+D21)</f>
        <v>0.33333333333333331</v>
      </c>
      <c r="P21" s="5">
        <f>G20/G14</f>
        <v>1.1000000000000001</v>
      </c>
    </row>
    <row r="22" spans="2:17" x14ac:dyDescent="0.4">
      <c r="B22" s="60" t="s">
        <v>7</v>
      </c>
      <c r="C22" s="60">
        <f>SUM(C20:C21)</f>
        <v>6600</v>
      </c>
      <c r="D22" s="60">
        <f t="shared" ref="D22:G22" si="3">SUM(D20:D21)</f>
        <v>2090</v>
      </c>
      <c r="E22" s="60">
        <f t="shared" si="3"/>
        <v>2090</v>
      </c>
      <c r="F22" s="60"/>
      <c r="G22" s="60">
        <f t="shared" si="3"/>
        <v>10780</v>
      </c>
      <c r="H22" s="59">
        <f>D22/C22</f>
        <v>0.31666666666666665</v>
      </c>
      <c r="I22" s="60">
        <f>SUM(I20:I21)</f>
        <v>660</v>
      </c>
      <c r="J22" s="60">
        <f t="shared" ref="J22" si="4">SUM(J20:J21)</f>
        <v>209</v>
      </c>
      <c r="K22" s="61">
        <f>I22+J22</f>
        <v>869</v>
      </c>
      <c r="L22" s="2">
        <f>E16-K16</f>
        <v>1110</v>
      </c>
      <c r="M22" s="2">
        <f>D22</f>
        <v>2090</v>
      </c>
      <c r="N22" s="2">
        <f>L22+M22</f>
        <v>3200</v>
      </c>
      <c r="O22" s="3">
        <f>E22/(C22+D22)</f>
        <v>0.24050632911392406</v>
      </c>
      <c r="P22" s="5">
        <f>G21/G15</f>
        <v>1.1000000000000001</v>
      </c>
    </row>
    <row r="23" spans="2:17" x14ac:dyDescent="0.4">
      <c r="B23" s="1" t="s">
        <v>2</v>
      </c>
      <c r="C23" s="1">
        <f>G20-C22</f>
        <v>660</v>
      </c>
      <c r="D23" s="1"/>
      <c r="E23" s="1"/>
      <c r="F23" s="1"/>
      <c r="I23" s="4"/>
    </row>
    <row r="24" spans="2:17" x14ac:dyDescent="0.4">
      <c r="B24" t="s">
        <v>21</v>
      </c>
      <c r="H24" s="10">
        <f>G21/G20</f>
        <v>0.48484848484848486</v>
      </c>
    </row>
    <row r="25" spans="2:17" x14ac:dyDescent="0.4">
      <c r="H25" s="10"/>
    </row>
    <row r="26" spans="2:17" x14ac:dyDescent="0.4">
      <c r="B26" t="s">
        <v>0</v>
      </c>
      <c r="C26" s="1">
        <f>C20+I20</f>
        <v>5324</v>
      </c>
      <c r="D26" s="1">
        <f>C26*H20</f>
        <v>1331</v>
      </c>
      <c r="E26" s="1">
        <f>D26</f>
        <v>1331</v>
      </c>
      <c r="F26" s="1"/>
      <c r="G26" s="1">
        <f>SUM(C26:E26)</f>
        <v>7986</v>
      </c>
      <c r="H26" s="10">
        <f>D26/C26</f>
        <v>0.25</v>
      </c>
      <c r="I26" s="2">
        <f>C26*$C$1</f>
        <v>532.4</v>
      </c>
      <c r="J26" s="2">
        <f>D31-D26</f>
        <v>133.10000000000014</v>
      </c>
      <c r="K26" s="2">
        <f>I26+J26</f>
        <v>665.50000000000011</v>
      </c>
      <c r="L26" s="2">
        <f>E20-K20</f>
        <v>605</v>
      </c>
      <c r="M26" s="2">
        <f>D26</f>
        <v>1331</v>
      </c>
      <c r="N26" s="2"/>
      <c r="O26" s="3">
        <f>E26/(C26+D26)</f>
        <v>0.2</v>
      </c>
      <c r="P26" s="5"/>
    </row>
    <row r="27" spans="2:17" x14ac:dyDescent="0.4">
      <c r="B27" t="s">
        <v>1</v>
      </c>
      <c r="C27" s="1">
        <f>C21+C23-I20</f>
        <v>1936</v>
      </c>
      <c r="D27" s="1">
        <f>C27*H21</f>
        <v>968</v>
      </c>
      <c r="E27" s="1">
        <f>D27</f>
        <v>968</v>
      </c>
      <c r="F27" s="1"/>
      <c r="G27" s="1">
        <f>SUM(C27:E27)</f>
        <v>3872</v>
      </c>
      <c r="H27" s="10">
        <f>D27/C27</f>
        <v>0.5</v>
      </c>
      <c r="I27" s="2">
        <f>C29-I26</f>
        <v>193.60000000000002</v>
      </c>
      <c r="J27" s="2">
        <f>D32-D27</f>
        <v>96.799999999999955</v>
      </c>
      <c r="K27" s="2">
        <f>I27+J27</f>
        <v>290.39999999999998</v>
      </c>
      <c r="L27" s="2">
        <f>E21-K21</f>
        <v>616</v>
      </c>
      <c r="M27" s="2">
        <f>D27</f>
        <v>968</v>
      </c>
      <c r="N27" s="2"/>
      <c r="O27" s="3">
        <f>E27/(C27+D27)</f>
        <v>0.33333333333333331</v>
      </c>
      <c r="P27" s="5">
        <f>G26/G20</f>
        <v>1.1000000000000001</v>
      </c>
    </row>
    <row r="28" spans="2:17" x14ac:dyDescent="0.4">
      <c r="B28" s="1" t="s">
        <v>7</v>
      </c>
      <c r="C28" s="1">
        <f>SUM(C26:C27)</f>
        <v>7260</v>
      </c>
      <c r="D28" s="1">
        <f t="shared" ref="D28:G28" si="5">SUM(D26:D27)</f>
        <v>2299</v>
      </c>
      <c r="E28" s="1">
        <f t="shared" si="5"/>
        <v>2299</v>
      </c>
      <c r="F28" s="1"/>
      <c r="G28" s="1">
        <f t="shared" si="5"/>
        <v>11858</v>
      </c>
      <c r="H28" s="10">
        <f>D28/C28</f>
        <v>0.31666666666666665</v>
      </c>
      <c r="I28" s="1">
        <f>SUM(I26:I27)</f>
        <v>726</v>
      </c>
      <c r="J28" s="1">
        <f t="shared" ref="J28" si="6">SUM(J26:J27)</f>
        <v>229.90000000000009</v>
      </c>
      <c r="K28" s="2">
        <f>I28+J28</f>
        <v>955.90000000000009</v>
      </c>
      <c r="L28" s="2">
        <f>E22-K22</f>
        <v>1221</v>
      </c>
      <c r="M28" s="2">
        <f>D28</f>
        <v>2299</v>
      </c>
      <c r="N28" s="2">
        <f>L28+M28</f>
        <v>3520</v>
      </c>
      <c r="O28" s="3">
        <f>E28/(C28+D28)</f>
        <v>0.24050632911392406</v>
      </c>
      <c r="P28" s="5">
        <f>G27/G21</f>
        <v>1.1000000000000001</v>
      </c>
      <c r="Q28" s="58"/>
    </row>
    <row r="29" spans="2:17" x14ac:dyDescent="0.4">
      <c r="B29" s="1" t="s">
        <v>2</v>
      </c>
      <c r="C29" s="1">
        <f>G26-C28</f>
        <v>726</v>
      </c>
      <c r="D29" s="1"/>
      <c r="E29" s="1"/>
      <c r="F29" s="1"/>
      <c r="G29" t="s">
        <v>21</v>
      </c>
      <c r="H29" s="10">
        <f>G27/G26</f>
        <v>0.48484848484848486</v>
      </c>
    </row>
    <row r="30" spans="2:17" x14ac:dyDescent="0.4">
      <c r="H30" s="10"/>
    </row>
    <row r="31" spans="2:17" x14ac:dyDescent="0.4">
      <c r="B31" t="s">
        <v>0</v>
      </c>
      <c r="C31" s="1">
        <f>C26*1.1</f>
        <v>5856.4000000000005</v>
      </c>
      <c r="D31" s="1">
        <f>C31*H26</f>
        <v>1464.1000000000001</v>
      </c>
      <c r="E31" s="1">
        <f>D31</f>
        <v>1464.1000000000001</v>
      </c>
      <c r="F31" s="1"/>
      <c r="G31" s="1">
        <f>SUM(C31:E31)</f>
        <v>8784.6</v>
      </c>
      <c r="H31" s="10">
        <f>D31/C31</f>
        <v>0.25</v>
      </c>
      <c r="I31" s="2">
        <f>C31*$C$1</f>
        <v>585.6400000000001</v>
      </c>
      <c r="J31" s="2">
        <f>D36-D31</f>
        <v>146.41000000000008</v>
      </c>
      <c r="K31" s="2">
        <f>I31+J31</f>
        <v>732.05000000000018</v>
      </c>
      <c r="L31" s="2">
        <f>E26-K26</f>
        <v>665.49999999999989</v>
      </c>
      <c r="M31" s="2">
        <f>D31</f>
        <v>1464.1000000000001</v>
      </c>
      <c r="N31" s="2"/>
      <c r="O31" s="3">
        <f>E31/(C31+D31)</f>
        <v>0.19999999999999998</v>
      </c>
      <c r="P31" s="5"/>
    </row>
    <row r="32" spans="2:17" x14ac:dyDescent="0.4">
      <c r="B32" t="s">
        <v>1</v>
      </c>
      <c r="C32" s="1">
        <f>C27+C29-I26</f>
        <v>2129.6</v>
      </c>
      <c r="D32" s="1">
        <f>C32*H27</f>
        <v>1064.8</v>
      </c>
      <c r="E32" s="1">
        <f>D32</f>
        <v>1064.8</v>
      </c>
      <c r="F32" s="1"/>
      <c r="G32" s="1">
        <f>SUM(C32:E32)</f>
        <v>4259.2</v>
      </c>
      <c r="H32" s="10">
        <f>D32/C32</f>
        <v>0.5</v>
      </c>
      <c r="I32" s="2">
        <f>C34-I31</f>
        <v>212.96000000000026</v>
      </c>
      <c r="J32" s="2">
        <f>D37-D32</f>
        <v>106.48000000000025</v>
      </c>
      <c r="K32" s="2">
        <f>I32+J32</f>
        <v>319.44000000000051</v>
      </c>
      <c r="L32" s="2">
        <f>E27-K27</f>
        <v>677.6</v>
      </c>
      <c r="M32" s="2">
        <f>D32</f>
        <v>1064.8</v>
      </c>
      <c r="N32" s="2"/>
      <c r="O32" s="3">
        <f>E32/(C32+D32)</f>
        <v>0.33333333333333337</v>
      </c>
      <c r="P32" s="5">
        <f>G31/G26</f>
        <v>1.1000000000000001</v>
      </c>
    </row>
    <row r="33" spans="2:17" x14ac:dyDescent="0.4">
      <c r="B33" s="1" t="s">
        <v>7</v>
      </c>
      <c r="C33" s="1">
        <f>SUM(C31:C32)</f>
        <v>7986</v>
      </c>
      <c r="D33" s="1">
        <f t="shared" ref="D33:G33" si="7">SUM(D31:D32)</f>
        <v>2528.9</v>
      </c>
      <c r="E33" s="1">
        <f t="shared" si="7"/>
        <v>2528.9</v>
      </c>
      <c r="F33" s="1"/>
      <c r="G33" s="1">
        <f t="shared" si="7"/>
        <v>13043.8</v>
      </c>
      <c r="H33" s="10">
        <f>D33/C33</f>
        <v>0.31666666666666665</v>
      </c>
      <c r="I33" s="1">
        <f>SUM(I31:I32)</f>
        <v>798.60000000000036</v>
      </c>
      <c r="J33" s="1">
        <f t="shared" ref="J33" si="8">SUM(J31:J32)</f>
        <v>252.89000000000033</v>
      </c>
      <c r="K33" s="2">
        <f>I33+J33</f>
        <v>1051.4900000000007</v>
      </c>
      <c r="L33" s="2">
        <f>E28-K28</f>
        <v>1343.1</v>
      </c>
      <c r="M33" s="2">
        <f>D33</f>
        <v>2528.9</v>
      </c>
      <c r="N33" s="2">
        <f>L33+M33</f>
        <v>3872</v>
      </c>
      <c r="O33" s="3">
        <f>E33/(C33+D33)</f>
        <v>0.24050632911392406</v>
      </c>
      <c r="P33" s="5">
        <f>G32/G27</f>
        <v>1.0999999999999999</v>
      </c>
      <c r="Q33" s="57"/>
    </row>
    <row r="34" spans="2:17" x14ac:dyDescent="0.4">
      <c r="B34" s="1" t="s">
        <v>2</v>
      </c>
      <c r="C34" s="1">
        <f>G31-C33</f>
        <v>798.60000000000036</v>
      </c>
      <c r="D34" s="1"/>
      <c r="E34" s="1"/>
      <c r="F34" s="1"/>
      <c r="G34" t="s">
        <v>21</v>
      </c>
      <c r="H34" s="10">
        <f>G32/G31</f>
        <v>0.48484848484848481</v>
      </c>
    </row>
    <row r="35" spans="2:17" x14ac:dyDescent="0.4">
      <c r="H35" s="10"/>
    </row>
    <row r="36" spans="2:17" x14ac:dyDescent="0.4">
      <c r="B36" t="s">
        <v>0</v>
      </c>
      <c r="C36" s="1">
        <f>C31*1.1</f>
        <v>6442.0400000000009</v>
      </c>
      <c r="D36" s="1">
        <f>C36*H31</f>
        <v>1610.5100000000002</v>
      </c>
      <c r="E36" s="1">
        <f>D36</f>
        <v>1610.5100000000002</v>
      </c>
      <c r="F36" s="1"/>
      <c r="G36" s="1">
        <f>SUM(C36:E36)</f>
        <v>9663.0600000000013</v>
      </c>
      <c r="H36" s="10">
        <f>D36/C36</f>
        <v>0.25</v>
      </c>
      <c r="I36" s="2">
        <f>C36*$C$1</f>
        <v>644.20400000000018</v>
      </c>
      <c r="J36" s="2">
        <f>D41-D36</f>
        <v>161.05100000000016</v>
      </c>
      <c r="K36" s="2">
        <f>I36+J36</f>
        <v>805.25500000000034</v>
      </c>
      <c r="L36" s="2">
        <f>E31-K31</f>
        <v>732.05</v>
      </c>
      <c r="M36" s="2">
        <f>D36</f>
        <v>1610.5100000000002</v>
      </c>
      <c r="N36" s="2"/>
      <c r="O36" s="3">
        <f>E36/(C36+D36)</f>
        <v>0.2</v>
      </c>
      <c r="P36" s="5"/>
    </row>
    <row r="37" spans="2:17" x14ac:dyDescent="0.4">
      <c r="B37" t="s">
        <v>1</v>
      </c>
      <c r="C37" s="1">
        <f>C32+C34-I31</f>
        <v>2342.5600000000004</v>
      </c>
      <c r="D37" s="1">
        <f>C37*H32</f>
        <v>1171.2800000000002</v>
      </c>
      <c r="E37" s="1">
        <f>D37</f>
        <v>1171.2800000000002</v>
      </c>
      <c r="F37" s="1"/>
      <c r="G37" s="1">
        <f>SUM(C37:E37)</f>
        <v>4685.1200000000008</v>
      </c>
      <c r="H37" s="10">
        <f>D37/C37</f>
        <v>0.5</v>
      </c>
      <c r="I37" s="2">
        <f>C39-I36</f>
        <v>234.25599999999895</v>
      </c>
      <c r="J37" s="2">
        <f>D42-D37</f>
        <v>117.12799999999947</v>
      </c>
      <c r="K37" s="2">
        <f>I37+J37</f>
        <v>351.38399999999842</v>
      </c>
      <c r="L37" s="2">
        <f>E32-K32</f>
        <v>745.35999999999945</v>
      </c>
      <c r="M37" s="2">
        <f>D37</f>
        <v>1171.2800000000002</v>
      </c>
      <c r="N37" s="2"/>
      <c r="O37" s="3">
        <f>E37/(C37+D37)</f>
        <v>0.33333333333333331</v>
      </c>
      <c r="P37" s="5">
        <f>G36/G31</f>
        <v>1.1000000000000001</v>
      </c>
    </row>
    <row r="38" spans="2:17" x14ac:dyDescent="0.4">
      <c r="B38" s="1" t="s">
        <v>7</v>
      </c>
      <c r="C38" s="1">
        <f>SUM(C36:C37)</f>
        <v>8784.6000000000022</v>
      </c>
      <c r="D38" s="1">
        <f t="shared" ref="D38:G38" si="9">SUM(D36:D37)</f>
        <v>2781.7900000000004</v>
      </c>
      <c r="E38" s="1">
        <f t="shared" si="9"/>
        <v>2781.7900000000004</v>
      </c>
      <c r="F38" s="1"/>
      <c r="G38" s="1">
        <f t="shared" si="9"/>
        <v>14348.180000000002</v>
      </c>
      <c r="H38" s="10">
        <f>D38/C38</f>
        <v>0.31666666666666665</v>
      </c>
      <c r="I38" s="1">
        <f>SUM(I36:I37)</f>
        <v>878.45999999999913</v>
      </c>
      <c r="J38" s="1">
        <f t="shared" ref="J38" si="10">SUM(J36:J37)</f>
        <v>278.17899999999963</v>
      </c>
      <c r="K38" s="2">
        <f>I38+J38</f>
        <v>1156.6389999999988</v>
      </c>
      <c r="L38" s="2">
        <f>E33-K33</f>
        <v>1477.4099999999994</v>
      </c>
      <c r="M38" s="2">
        <f>D38</f>
        <v>2781.7900000000004</v>
      </c>
      <c r="N38" s="2">
        <f>L38+M38</f>
        <v>4259.2</v>
      </c>
      <c r="O38" s="3">
        <f>E38/(C38+D38)</f>
        <v>0.24050632911392403</v>
      </c>
      <c r="P38" s="5">
        <f>G37/G32</f>
        <v>1.1000000000000003</v>
      </c>
      <c r="Q38" s="57"/>
    </row>
    <row r="39" spans="2:17" x14ac:dyDescent="0.4">
      <c r="B39" s="1" t="s">
        <v>2</v>
      </c>
      <c r="C39" s="1">
        <f>G36-C38</f>
        <v>878.45999999999913</v>
      </c>
      <c r="D39" s="1"/>
      <c r="E39" s="1"/>
      <c r="F39" s="1"/>
      <c r="G39" t="s">
        <v>21</v>
      </c>
      <c r="H39" s="10">
        <f>G37/G36</f>
        <v>0.48484848484848486</v>
      </c>
    </row>
    <row r="40" spans="2:17" x14ac:dyDescent="0.4">
      <c r="H40" s="10"/>
    </row>
    <row r="41" spans="2:17" x14ac:dyDescent="0.4">
      <c r="B41" t="s">
        <v>0</v>
      </c>
      <c r="C41" s="1">
        <f>C36*1.1</f>
        <v>7086.2440000000015</v>
      </c>
      <c r="D41" s="1">
        <f>C41*H36</f>
        <v>1771.5610000000004</v>
      </c>
      <c r="E41" s="1">
        <f>D41</f>
        <v>1771.5610000000004</v>
      </c>
      <c r="F41" s="1"/>
      <c r="G41" s="1">
        <f>SUM(C41:E41)</f>
        <v>10629.366000000002</v>
      </c>
      <c r="H41" s="10">
        <f>D41/C41</f>
        <v>0.25</v>
      </c>
      <c r="K41" s="2"/>
      <c r="L41" s="2">
        <f>E36-K36</f>
        <v>805.25499999999988</v>
      </c>
      <c r="M41" s="2">
        <f>D41</f>
        <v>1771.5610000000004</v>
      </c>
      <c r="N41" s="2"/>
      <c r="P41" s="5"/>
    </row>
    <row r="42" spans="2:17" x14ac:dyDescent="0.4">
      <c r="B42" t="s">
        <v>1</v>
      </c>
      <c r="C42" s="1">
        <f>C37+C39-I36</f>
        <v>2576.8159999999993</v>
      </c>
      <c r="D42" s="1">
        <f>C42*H37</f>
        <v>1288.4079999999997</v>
      </c>
      <c r="E42" s="1">
        <f>D42</f>
        <v>1288.4079999999997</v>
      </c>
      <c r="F42" s="1"/>
      <c r="G42" s="1">
        <f>SUM(C42:E42)</f>
        <v>5153.6319999999987</v>
      </c>
      <c r="H42" s="10">
        <f>D42/C42</f>
        <v>0.5</v>
      </c>
      <c r="K42" s="2"/>
      <c r="L42" s="2">
        <f>E37-K37</f>
        <v>819.89600000000178</v>
      </c>
      <c r="M42" s="2">
        <f>D42</f>
        <v>1288.4079999999997</v>
      </c>
      <c r="N42" s="2"/>
      <c r="P42" s="5">
        <f>G41/G36</f>
        <v>1.1000000000000001</v>
      </c>
    </row>
    <row r="43" spans="2:17" x14ac:dyDescent="0.4">
      <c r="B43" s="1" t="s">
        <v>7</v>
      </c>
      <c r="C43" s="1">
        <f>SUM(C41:C42)</f>
        <v>9663.0600000000013</v>
      </c>
      <c r="D43" s="1">
        <f t="shared" ref="D43:G43" si="11">SUM(D41:D42)</f>
        <v>3059.9690000000001</v>
      </c>
      <c r="E43" s="1">
        <f t="shared" si="11"/>
        <v>3059.9690000000001</v>
      </c>
      <c r="F43" s="1"/>
      <c r="G43" s="1">
        <f t="shared" si="11"/>
        <v>15782.998</v>
      </c>
      <c r="H43" s="10">
        <f>D43/C43</f>
        <v>0.31666666666666665</v>
      </c>
      <c r="K43" s="2"/>
      <c r="L43" s="2">
        <f>E38-K38</f>
        <v>1625.1510000000017</v>
      </c>
      <c r="M43" s="2">
        <f>D43</f>
        <v>3059.9690000000001</v>
      </c>
      <c r="N43" s="2">
        <f>L43+M43</f>
        <v>4685.1200000000017</v>
      </c>
      <c r="O43" s="3">
        <f>E43/(C43+D43)</f>
        <v>0.240506329113924</v>
      </c>
      <c r="P43" s="5">
        <f>G42/G37</f>
        <v>1.0999999999999996</v>
      </c>
    </row>
    <row r="44" spans="2:17" x14ac:dyDescent="0.4">
      <c r="B44" s="1" t="s">
        <v>2</v>
      </c>
      <c r="C44" s="1">
        <f>G41-C43</f>
        <v>966.30600000000049</v>
      </c>
      <c r="D44" s="1"/>
      <c r="E44" s="1"/>
      <c r="F44" s="1"/>
      <c r="G44" t="s">
        <v>21</v>
      </c>
      <c r="H44" s="10">
        <f>G42/G41</f>
        <v>0.48484848484848464</v>
      </c>
    </row>
    <row r="46" spans="2:17" x14ac:dyDescent="0.4">
      <c r="C46" s="1"/>
      <c r="D46" s="1"/>
      <c r="E46" s="1"/>
      <c r="F46" s="1"/>
      <c r="G46" s="1"/>
      <c r="I46" s="2"/>
      <c r="J46" s="2"/>
      <c r="K46" s="2"/>
      <c r="L46" s="2"/>
      <c r="M46" s="2"/>
      <c r="N46" s="2"/>
    </row>
    <row r="47" spans="2:17" x14ac:dyDescent="0.4">
      <c r="C47" s="1"/>
      <c r="D47" s="1"/>
      <c r="E47" s="1"/>
      <c r="F47" s="1"/>
      <c r="G47" s="1"/>
      <c r="I47" s="2"/>
      <c r="J47" s="2"/>
      <c r="K47" s="2"/>
      <c r="L47" s="2"/>
      <c r="M47" s="2"/>
      <c r="N47" s="2"/>
      <c r="P47" s="5"/>
    </row>
    <row r="48" spans="2:17" x14ac:dyDescent="0.4">
      <c r="B48" s="1"/>
      <c r="C48" s="1"/>
      <c r="D48" s="1"/>
      <c r="E48" s="1"/>
      <c r="F48" s="1"/>
      <c r="G48" s="1"/>
      <c r="I48" s="1"/>
      <c r="J48" s="1"/>
      <c r="K48" s="1"/>
      <c r="L48" s="1"/>
      <c r="M48" s="1"/>
      <c r="N48" s="1"/>
      <c r="P48" s="5"/>
    </row>
    <row r="49" spans="2:16" x14ac:dyDescent="0.4">
      <c r="B49" s="1"/>
      <c r="C49" s="1"/>
      <c r="D49" s="1"/>
      <c r="E49" s="1"/>
      <c r="F49" s="1"/>
    </row>
    <row r="51" spans="2:16" x14ac:dyDescent="0.4">
      <c r="C51" s="1"/>
      <c r="D51" s="1"/>
      <c r="E51" s="1"/>
      <c r="F51" s="1"/>
      <c r="G51" s="1"/>
      <c r="I51" s="2"/>
      <c r="J51" s="2"/>
      <c r="K51" s="2"/>
      <c r="L51" s="2"/>
      <c r="M51" s="2"/>
      <c r="N51" s="2"/>
    </row>
    <row r="52" spans="2:16" x14ac:dyDescent="0.4">
      <c r="C52" s="1"/>
      <c r="D52" s="1"/>
      <c r="E52" s="1"/>
      <c r="F52" s="1"/>
      <c r="G52" s="1"/>
      <c r="I52" s="2"/>
      <c r="J52" s="2"/>
      <c r="K52" s="2"/>
      <c r="L52" s="2"/>
      <c r="M52" s="2"/>
      <c r="N52" s="2"/>
      <c r="P52" s="5"/>
    </row>
    <row r="53" spans="2:16" x14ac:dyDescent="0.4">
      <c r="B53" s="1"/>
      <c r="C53" s="1"/>
      <c r="D53" s="1"/>
      <c r="E53" s="1"/>
      <c r="F53" s="1"/>
      <c r="G53" s="1"/>
      <c r="I53" s="1"/>
      <c r="J53" s="1"/>
      <c r="K53" s="1"/>
      <c r="L53" s="1"/>
      <c r="M53" s="1"/>
      <c r="N53" s="1"/>
      <c r="P53" s="5"/>
    </row>
    <row r="54" spans="2:16" x14ac:dyDescent="0.4">
      <c r="B54" s="1"/>
      <c r="C54" s="1"/>
      <c r="D54" s="1"/>
      <c r="E54" s="1"/>
      <c r="F54" s="1"/>
    </row>
    <row r="56" spans="2:16" x14ac:dyDescent="0.4">
      <c r="C56" s="1"/>
      <c r="D56" s="1"/>
      <c r="E56" s="1"/>
      <c r="F56" s="1"/>
      <c r="G56" s="1"/>
      <c r="I56" s="2"/>
      <c r="J56" s="2"/>
      <c r="K56" s="2"/>
      <c r="L56" s="2"/>
      <c r="M56" s="2"/>
      <c r="N56" s="2"/>
    </row>
    <row r="57" spans="2:16" x14ac:dyDescent="0.4">
      <c r="C57" s="1"/>
      <c r="D57" s="1"/>
      <c r="E57" s="1"/>
      <c r="F57" s="1"/>
      <c r="G57" s="1"/>
      <c r="I57" s="2"/>
      <c r="J57" s="2"/>
      <c r="K57" s="2"/>
      <c r="L57" s="2"/>
      <c r="M57" s="2"/>
      <c r="N57" s="2"/>
      <c r="P57" s="5"/>
    </row>
    <row r="58" spans="2:16" x14ac:dyDescent="0.4">
      <c r="B58" s="1"/>
      <c r="C58" s="1"/>
      <c r="D58" s="1"/>
      <c r="E58" s="1"/>
      <c r="F58" s="1"/>
      <c r="G58" s="1"/>
      <c r="I58" s="1"/>
      <c r="J58" s="1"/>
      <c r="K58" s="1"/>
      <c r="L58" s="1"/>
      <c r="M58" s="1"/>
      <c r="N58" s="1"/>
      <c r="P58" s="5"/>
    </row>
    <row r="59" spans="2:16" x14ac:dyDescent="0.4">
      <c r="B59" s="1"/>
      <c r="C59" s="1"/>
      <c r="D59" s="1"/>
      <c r="E59" s="1"/>
      <c r="F59" s="1"/>
    </row>
  </sheetData>
  <mergeCells count="1">
    <mergeCell ref="Q1:R1"/>
  </mergeCells>
  <pageMargins left="0.7" right="0.7" top="0.75" bottom="0.75" header="0.3" footer="0.3"/>
  <pageSetup orientation="portrait" r:id="rId1"/>
  <ignoredErrors>
    <ignoredError sqref="H10 H16" formula="1"/>
  </ignoredError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ACF69-7FFE-4A2A-B113-59212DF34BEC}">
  <dimension ref="A1"/>
  <sheetViews>
    <sheetView workbookViewId="0">
      <selection activeCell="B3" sqref="B3"/>
    </sheetView>
  </sheetViews>
  <sheetFormatPr defaultRowHeight="14.6" x14ac:dyDescent="0.4"/>
  <sheetData>
    <row r="1" spans="1:1" x14ac:dyDescent="0.4">
      <c r="A1" t="s">
        <v>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047CB-DBCC-4C79-8E88-4CF9C44E7C42}">
  <dimension ref="A1:M52"/>
  <sheetViews>
    <sheetView workbookViewId="0">
      <pane xSplit="2" ySplit="3" topLeftCell="C4" activePane="bottomRight" state="frozen"/>
      <selection pane="topRight" activeCell="C1" sqref="C1"/>
      <selection pane="bottomLeft" activeCell="A3" sqref="A3"/>
      <selection pane="bottomRight" activeCell="G4" sqref="G4"/>
    </sheetView>
  </sheetViews>
  <sheetFormatPr defaultRowHeight="14.6" x14ac:dyDescent="0.4"/>
  <cols>
    <col min="10" max="10" width="11.3046875" customWidth="1"/>
  </cols>
  <sheetData>
    <row r="1" spans="1:13" x14ac:dyDescent="0.4">
      <c r="A1" t="s">
        <v>93</v>
      </c>
    </row>
    <row r="2" spans="1:13" x14ac:dyDescent="0.4">
      <c r="A2" t="s">
        <v>94</v>
      </c>
    </row>
    <row r="3" spans="1:13" ht="43.75" x14ac:dyDescent="0.4">
      <c r="A3" t="s">
        <v>13</v>
      </c>
      <c r="C3" t="s">
        <v>3</v>
      </c>
      <c r="D3" t="s">
        <v>5</v>
      </c>
      <c r="E3" t="s">
        <v>4</v>
      </c>
      <c r="F3" t="s">
        <v>6</v>
      </c>
      <c r="G3" t="s">
        <v>8</v>
      </c>
      <c r="H3" t="s">
        <v>9</v>
      </c>
      <c r="I3" t="s">
        <v>10</v>
      </c>
      <c r="J3" s="6" t="s">
        <v>12</v>
      </c>
      <c r="K3" s="6" t="s">
        <v>11</v>
      </c>
      <c r="L3" s="6" t="s">
        <v>14</v>
      </c>
      <c r="M3" s="6" t="s">
        <v>15</v>
      </c>
    </row>
    <row r="4" spans="1:13" x14ac:dyDescent="0.4">
      <c r="B4" t="s">
        <v>0</v>
      </c>
      <c r="C4">
        <v>4000</v>
      </c>
      <c r="D4">
        <v>1000</v>
      </c>
      <c r="E4">
        <v>1000</v>
      </c>
      <c r="F4">
        <f>SUM(C4:E4)</f>
        <v>6000</v>
      </c>
      <c r="G4">
        <f>D4/C4</f>
        <v>0.25</v>
      </c>
    </row>
    <row r="5" spans="1:13" x14ac:dyDescent="0.4">
      <c r="A5">
        <f>C5/C4</f>
        <v>0.375</v>
      </c>
      <c r="B5" t="s">
        <v>1</v>
      </c>
      <c r="C5">
        <v>1500</v>
      </c>
      <c r="D5">
        <v>750</v>
      </c>
      <c r="E5">
        <v>750</v>
      </c>
      <c r="F5">
        <f>SUM(C5:E5)</f>
        <v>3000</v>
      </c>
      <c r="G5">
        <f>D5/C5</f>
        <v>0.5</v>
      </c>
    </row>
    <row r="6" spans="1:13" x14ac:dyDescent="0.4">
      <c r="A6">
        <f>D6/C6</f>
        <v>0.31818181818181818</v>
      </c>
      <c r="B6" t="s">
        <v>7</v>
      </c>
      <c r="C6">
        <f>SUM(C4:C5)</f>
        <v>5500</v>
      </c>
      <c r="D6">
        <f t="shared" ref="D6:F6" si="0">SUM(D4:D5)</f>
        <v>1750</v>
      </c>
      <c r="E6">
        <f t="shared" si="0"/>
        <v>1750</v>
      </c>
      <c r="F6">
        <f t="shared" si="0"/>
        <v>9000</v>
      </c>
    </row>
    <row r="7" spans="1:13" x14ac:dyDescent="0.4">
      <c r="B7" t="s">
        <v>2</v>
      </c>
      <c r="C7">
        <f>F4-C6</f>
        <v>500</v>
      </c>
    </row>
    <row r="9" spans="1:13" x14ac:dyDescent="0.4">
      <c r="B9" t="s">
        <v>0</v>
      </c>
      <c r="C9" s="1">
        <f>C4+C7*0.8</f>
        <v>4400</v>
      </c>
      <c r="D9" s="1">
        <f>C9*G4</f>
        <v>1100</v>
      </c>
      <c r="E9" s="1">
        <f>D9</f>
        <v>1100</v>
      </c>
      <c r="F9" s="1">
        <f>SUM(C9:E9)</f>
        <v>6600</v>
      </c>
      <c r="G9">
        <f>D9/C9</f>
        <v>0.25</v>
      </c>
      <c r="H9" s="2">
        <f>C9-C4</f>
        <v>400</v>
      </c>
      <c r="I9" s="2">
        <f>D9-D4</f>
        <v>100</v>
      </c>
      <c r="J9" s="2">
        <f>E4-(H9+I9)</f>
        <v>500</v>
      </c>
    </row>
    <row r="10" spans="1:13" x14ac:dyDescent="0.4">
      <c r="A10">
        <f>C10/C9</f>
        <v>0.36363636363636365</v>
      </c>
      <c r="B10" t="s">
        <v>1</v>
      </c>
      <c r="C10" s="1">
        <f>C5+C7-H9</f>
        <v>1600</v>
      </c>
      <c r="D10" s="1">
        <f>C10*G5</f>
        <v>800</v>
      </c>
      <c r="E10" s="1">
        <f>D10</f>
        <v>800</v>
      </c>
      <c r="F10" s="1">
        <f>SUM(C10:E10)</f>
        <v>3200</v>
      </c>
      <c r="G10">
        <f>D10/C10</f>
        <v>0.5</v>
      </c>
      <c r="H10" s="2">
        <f>C10-C5</f>
        <v>100</v>
      </c>
      <c r="I10" s="2">
        <f>D10-D5</f>
        <v>50</v>
      </c>
      <c r="J10" s="2">
        <f>E5-(H10+I10)</f>
        <v>600</v>
      </c>
      <c r="L10" s="3">
        <f>A10/A5</f>
        <v>0.96969696969696972</v>
      </c>
      <c r="M10" s="5"/>
    </row>
    <row r="11" spans="1:13" x14ac:dyDescent="0.4">
      <c r="A11">
        <f>D11/C11</f>
        <v>0.31666666666666665</v>
      </c>
      <c r="B11" s="1" t="s">
        <v>7</v>
      </c>
      <c r="C11" s="1">
        <f>SUM(C9:C10)</f>
        <v>6000</v>
      </c>
      <c r="D11" s="1">
        <f t="shared" ref="D11:I11" si="1">SUM(D9:D10)</f>
        <v>1900</v>
      </c>
      <c r="E11" s="1">
        <f t="shared" si="1"/>
        <v>1900</v>
      </c>
      <c r="F11" s="1">
        <f t="shared" si="1"/>
        <v>9800</v>
      </c>
      <c r="H11" s="1">
        <f t="shared" si="1"/>
        <v>500</v>
      </c>
      <c r="I11" s="1">
        <f t="shared" si="1"/>
        <v>150</v>
      </c>
      <c r="J11" s="1">
        <f>SUM(J9:J10)</f>
        <v>1100</v>
      </c>
      <c r="K11" s="4">
        <f>E11/(C11+D11)</f>
        <v>0.24050632911392406</v>
      </c>
      <c r="L11" s="9">
        <f>A11/A6</f>
        <v>0.99523809523809526</v>
      </c>
      <c r="M11" s="5">
        <f>F11/F6-1</f>
        <v>8.8888888888888795E-2</v>
      </c>
    </row>
    <row r="12" spans="1:13" x14ac:dyDescent="0.4">
      <c r="B12" s="1" t="s">
        <v>2</v>
      </c>
      <c r="C12" s="1">
        <f>F9-C11</f>
        <v>600</v>
      </c>
      <c r="D12" s="1"/>
      <c r="E12" s="1"/>
    </row>
    <row r="13" spans="1:13" x14ac:dyDescent="0.4">
      <c r="B13" s="7"/>
      <c r="C13" s="8"/>
      <c r="D13" s="7"/>
    </row>
    <row r="14" spans="1:13" x14ac:dyDescent="0.4">
      <c r="B14" t="s">
        <v>0</v>
      </c>
      <c r="C14" s="1">
        <f>C9+C12*0.8</f>
        <v>4880</v>
      </c>
      <c r="D14" s="1">
        <f>C14*G9</f>
        <v>1220</v>
      </c>
      <c r="E14" s="1">
        <f>D14</f>
        <v>1220</v>
      </c>
      <c r="F14" s="1">
        <f>SUM(C14:E14)</f>
        <v>7320</v>
      </c>
      <c r="G14">
        <f>D14/C14</f>
        <v>0.25</v>
      </c>
      <c r="H14" s="2">
        <f>C14-C9</f>
        <v>480</v>
      </c>
      <c r="I14" s="2">
        <f>D14-D9</f>
        <v>120</v>
      </c>
      <c r="J14" s="2">
        <f>E9-(H14+I14)</f>
        <v>500</v>
      </c>
    </row>
    <row r="15" spans="1:13" x14ac:dyDescent="0.4">
      <c r="A15">
        <f>C15/C14</f>
        <v>0.35245901639344263</v>
      </c>
      <c r="B15" t="s">
        <v>1</v>
      </c>
      <c r="C15" s="1">
        <f>C10+C12-H14</f>
        <v>1720</v>
      </c>
      <c r="D15" s="1">
        <f>C15*G10</f>
        <v>860</v>
      </c>
      <c r="E15" s="1">
        <f>D15</f>
        <v>860</v>
      </c>
      <c r="F15" s="1">
        <f>SUM(C15:E15)</f>
        <v>3440</v>
      </c>
      <c r="G15">
        <f>D15/C15</f>
        <v>0.5</v>
      </c>
      <c r="H15" s="2">
        <f>C15-C10</f>
        <v>120</v>
      </c>
      <c r="I15" s="2">
        <f>D15-D10</f>
        <v>60</v>
      </c>
      <c r="J15" s="2">
        <f>E10-(H15+I15)</f>
        <v>620</v>
      </c>
      <c r="L15" s="3">
        <f>A15/A10</f>
        <v>0.96926229508196715</v>
      </c>
      <c r="M15" s="5"/>
    </row>
    <row r="16" spans="1:13" x14ac:dyDescent="0.4">
      <c r="A16">
        <f>D16/C16</f>
        <v>0.31515151515151513</v>
      </c>
      <c r="B16" s="1" t="s">
        <v>7</v>
      </c>
      <c r="C16" s="1">
        <f>SUM(C14:C15)</f>
        <v>6600</v>
      </c>
      <c r="D16" s="1">
        <f t="shared" ref="D16:F16" si="2">SUM(D14:D15)</f>
        <v>2080</v>
      </c>
      <c r="E16" s="1">
        <f t="shared" si="2"/>
        <v>2080</v>
      </c>
      <c r="F16" s="1">
        <f t="shared" si="2"/>
        <v>10760</v>
      </c>
      <c r="H16" s="1">
        <f t="shared" ref="H16:I16" si="3">SUM(H14:H15)</f>
        <v>600</v>
      </c>
      <c r="I16" s="1">
        <f t="shared" si="3"/>
        <v>180</v>
      </c>
      <c r="J16" s="1">
        <f>SUM(J14:J15)</f>
        <v>1120</v>
      </c>
      <c r="K16" s="4">
        <f>E16/(C16+D16)</f>
        <v>0.23963133640552994</v>
      </c>
      <c r="L16" s="9">
        <f>A16/A11</f>
        <v>0.99521531100478466</v>
      </c>
      <c r="M16" s="5">
        <f>F16/F11-1</f>
        <v>9.7959183673469452E-2</v>
      </c>
    </row>
    <row r="17" spans="1:13" x14ac:dyDescent="0.4">
      <c r="B17" s="1" t="s">
        <v>2</v>
      </c>
      <c r="C17" s="1">
        <f>F14-C16</f>
        <v>720</v>
      </c>
      <c r="D17" s="1"/>
      <c r="E17" s="1"/>
    </row>
    <row r="19" spans="1:13" x14ac:dyDescent="0.4">
      <c r="B19" t="s">
        <v>0</v>
      </c>
      <c r="C19" s="1">
        <f>C14+C17*0.8</f>
        <v>5456</v>
      </c>
      <c r="D19" s="1">
        <f>C19*G14</f>
        <v>1364</v>
      </c>
      <c r="E19" s="1">
        <f>D19</f>
        <v>1364</v>
      </c>
      <c r="F19" s="1">
        <f>SUM(C19:E19)</f>
        <v>8184</v>
      </c>
      <c r="G19">
        <f>D19/C19</f>
        <v>0.25</v>
      </c>
      <c r="H19" s="2">
        <f>C19-C14</f>
        <v>576</v>
      </c>
      <c r="I19" s="2">
        <f>D19-D14</f>
        <v>144</v>
      </c>
      <c r="J19" s="2">
        <f>E14-(H19+I19)</f>
        <v>500</v>
      </c>
    </row>
    <row r="20" spans="1:13" x14ac:dyDescent="0.4">
      <c r="A20">
        <f>C20/C19</f>
        <v>0.34164222873900291</v>
      </c>
      <c r="B20" t="s">
        <v>1</v>
      </c>
      <c r="C20" s="1">
        <f>C15+C17-H19</f>
        <v>1864</v>
      </c>
      <c r="D20" s="1">
        <f>C20*G15</f>
        <v>932</v>
      </c>
      <c r="E20" s="1">
        <f>D20</f>
        <v>932</v>
      </c>
      <c r="F20" s="1">
        <f>SUM(C20:E20)</f>
        <v>3728</v>
      </c>
      <c r="G20">
        <f>D20/C20</f>
        <v>0.5</v>
      </c>
      <c r="H20" s="2">
        <f>C20-C15</f>
        <v>144</v>
      </c>
      <c r="I20" s="2">
        <f>D20-D15</f>
        <v>72</v>
      </c>
      <c r="J20" s="2">
        <f>E15-(H20+I20)</f>
        <v>644</v>
      </c>
      <c r="L20" s="3">
        <f>A20/A15</f>
        <v>0.96931050944554309</v>
      </c>
      <c r="M20" s="5"/>
    </row>
    <row r="21" spans="1:13" x14ac:dyDescent="0.4">
      <c r="A21">
        <f>D21/C21</f>
        <v>0.31366120218579235</v>
      </c>
      <c r="B21" s="1" t="s">
        <v>7</v>
      </c>
      <c r="C21" s="1">
        <f>SUM(C19:C20)</f>
        <v>7320</v>
      </c>
      <c r="D21" s="1">
        <f t="shared" ref="D21:F21" si="4">SUM(D19:D20)</f>
        <v>2296</v>
      </c>
      <c r="E21" s="1">
        <f t="shared" si="4"/>
        <v>2296</v>
      </c>
      <c r="F21" s="1">
        <f t="shared" si="4"/>
        <v>11912</v>
      </c>
      <c r="H21" s="1">
        <f t="shared" ref="H21:I21" si="5">SUM(H19:H20)</f>
        <v>720</v>
      </c>
      <c r="I21" s="1">
        <f t="shared" si="5"/>
        <v>216</v>
      </c>
      <c r="J21" s="1">
        <f>SUM(J19:J20)</f>
        <v>1144</v>
      </c>
      <c r="K21" s="4">
        <f>E21/(C21+D21)</f>
        <v>0.23876871880199668</v>
      </c>
      <c r="L21" s="9">
        <f>A21/A16</f>
        <v>0.99527112232030279</v>
      </c>
      <c r="M21" s="5">
        <f>F21/F16-1</f>
        <v>0.10706319702602229</v>
      </c>
    </row>
    <row r="22" spans="1:13" x14ac:dyDescent="0.4">
      <c r="B22" s="1" t="s">
        <v>2</v>
      </c>
      <c r="C22" s="1">
        <f>F19-C21</f>
        <v>864</v>
      </c>
      <c r="D22" s="1"/>
      <c r="E22" s="1"/>
    </row>
    <row r="24" spans="1:13" x14ac:dyDescent="0.4">
      <c r="B24" t="s">
        <v>0</v>
      </c>
      <c r="C24" s="1">
        <f>C19+C22*0.8</f>
        <v>6147.2</v>
      </c>
      <c r="D24" s="1">
        <f>C24*G19</f>
        <v>1536.8</v>
      </c>
      <c r="E24" s="1">
        <f>D24</f>
        <v>1536.8</v>
      </c>
      <c r="F24" s="1">
        <f>SUM(C24:E24)</f>
        <v>9220.7999999999993</v>
      </c>
      <c r="G24">
        <f>D24/C24</f>
        <v>0.25</v>
      </c>
      <c r="H24" s="2">
        <f>C24-C19</f>
        <v>691.19999999999982</v>
      </c>
      <c r="I24" s="2">
        <f>D24-D19</f>
        <v>172.79999999999995</v>
      </c>
      <c r="J24" s="2">
        <f>E19-(H24+I24)</f>
        <v>500.00000000000023</v>
      </c>
    </row>
    <row r="25" spans="1:13" x14ac:dyDescent="0.4">
      <c r="A25">
        <f>C25/C24</f>
        <v>0.33133784487246232</v>
      </c>
      <c r="B25" t="s">
        <v>1</v>
      </c>
      <c r="C25" s="1">
        <f>C20+C22-H24</f>
        <v>2036.8000000000002</v>
      </c>
      <c r="D25" s="1">
        <f>C25*G20</f>
        <v>1018.4000000000001</v>
      </c>
      <c r="E25" s="1">
        <f>D25</f>
        <v>1018.4000000000001</v>
      </c>
      <c r="F25" s="1">
        <f>SUM(C25:E25)</f>
        <v>4073.6000000000004</v>
      </c>
      <c r="G25">
        <f>D25/C25</f>
        <v>0.5</v>
      </c>
      <c r="H25" s="2">
        <f>C25-C20</f>
        <v>172.80000000000018</v>
      </c>
      <c r="I25" s="2">
        <f>D25-D20</f>
        <v>86.400000000000091</v>
      </c>
      <c r="J25" s="2">
        <f>E20-(H25+I25)</f>
        <v>672.79999999999973</v>
      </c>
      <c r="L25" s="3">
        <f>A25/A20</f>
        <v>0.96983867039922456</v>
      </c>
      <c r="M25" s="5"/>
    </row>
    <row r="26" spans="1:13" x14ac:dyDescent="0.4">
      <c r="A26">
        <f>D26/C26</f>
        <v>0.31221896383186704</v>
      </c>
      <c r="B26" s="1" t="s">
        <v>7</v>
      </c>
      <c r="C26" s="1">
        <f>SUM(C24:C25)</f>
        <v>8184</v>
      </c>
      <c r="D26" s="1">
        <f t="shared" ref="D26:F26" si="6">SUM(D24:D25)</f>
        <v>2555.1999999999998</v>
      </c>
      <c r="E26" s="1">
        <f t="shared" si="6"/>
        <v>2555.1999999999998</v>
      </c>
      <c r="F26" s="1">
        <f t="shared" si="6"/>
        <v>13294.4</v>
      </c>
      <c r="H26" s="1">
        <f t="shared" ref="H26:I26" si="7">SUM(H24:H25)</f>
        <v>864</v>
      </c>
      <c r="I26" s="1">
        <f t="shared" si="7"/>
        <v>259.20000000000005</v>
      </c>
      <c r="J26" s="1">
        <f>SUM(J24:J25)</f>
        <v>1172.8</v>
      </c>
      <c r="K26" s="4">
        <f>E26/(C26+D26)</f>
        <v>0.23793206197854586</v>
      </c>
      <c r="L26" s="9">
        <f>A26/A21</f>
        <v>0.99540192301797326</v>
      </c>
      <c r="M26" s="5">
        <f>F26/F21-1</f>
        <v>0.11605104096709207</v>
      </c>
    </row>
    <row r="27" spans="1:13" x14ac:dyDescent="0.4">
      <c r="B27" s="1" t="s">
        <v>2</v>
      </c>
      <c r="C27" s="1">
        <f>F24-C26</f>
        <v>1036.7999999999993</v>
      </c>
      <c r="D27" s="1"/>
      <c r="E27" s="1"/>
    </row>
    <row r="29" spans="1:13" x14ac:dyDescent="0.4">
      <c r="B29" t="s">
        <v>0</v>
      </c>
      <c r="C29" s="1">
        <f>C24+C27*0.8</f>
        <v>6976.6399999999994</v>
      </c>
      <c r="D29" s="1">
        <f>C29*G24</f>
        <v>1744.1599999999999</v>
      </c>
      <c r="E29" s="1">
        <f>D29</f>
        <v>1744.1599999999999</v>
      </c>
      <c r="F29" s="1">
        <f>SUM(C29:E29)</f>
        <v>10464.959999999999</v>
      </c>
      <c r="G29">
        <f>D29/C29</f>
        <v>0.25</v>
      </c>
      <c r="H29" s="2">
        <f>C29-C24</f>
        <v>829.4399999999996</v>
      </c>
      <c r="I29" s="2">
        <f>D29-D24</f>
        <v>207.3599999999999</v>
      </c>
      <c r="J29" s="2">
        <f>E24-(H29+I29)</f>
        <v>500.00000000000045</v>
      </c>
    </row>
    <row r="30" spans="1:13" x14ac:dyDescent="0.4">
      <c r="A30">
        <f>C30/C29</f>
        <v>0.3216677369048711</v>
      </c>
      <c r="B30" t="s">
        <v>1</v>
      </c>
      <c r="C30" s="1">
        <f>C25+C27-H29</f>
        <v>2244.16</v>
      </c>
      <c r="D30" s="1">
        <f>C30*G25</f>
        <v>1122.08</v>
      </c>
      <c r="E30" s="1">
        <f>D30</f>
        <v>1122.08</v>
      </c>
      <c r="F30" s="1">
        <f>SUM(C30:E30)</f>
        <v>4488.32</v>
      </c>
      <c r="G30">
        <f>D30/C30</f>
        <v>0.5</v>
      </c>
      <c r="H30" s="2">
        <f>C30-C25</f>
        <v>207.35999999999967</v>
      </c>
      <c r="I30" s="2">
        <f>D30-D25</f>
        <v>103.67999999999984</v>
      </c>
      <c r="J30" s="2">
        <f>E25-(H30+I30)</f>
        <v>707.36000000000058</v>
      </c>
      <c r="L30" s="3">
        <f>A30/A25</f>
        <v>0.97081496087078911</v>
      </c>
      <c r="M30" s="5"/>
    </row>
    <row r="31" spans="1:13" x14ac:dyDescent="0.4">
      <c r="A31">
        <f>D31/C31</f>
        <v>0.31084504598299495</v>
      </c>
      <c r="B31" s="1" t="s">
        <v>7</v>
      </c>
      <c r="C31" s="1">
        <f>SUM(C29:C30)</f>
        <v>9220.7999999999993</v>
      </c>
      <c r="D31" s="1">
        <f t="shared" ref="D31:F31" si="8">SUM(D29:D30)</f>
        <v>2866.24</v>
      </c>
      <c r="E31" s="1">
        <f t="shared" si="8"/>
        <v>2866.24</v>
      </c>
      <c r="F31" s="1">
        <f t="shared" si="8"/>
        <v>14953.279999999999</v>
      </c>
      <c r="H31" s="1">
        <f t="shared" ref="H31:I31" si="9">SUM(H29:H30)</f>
        <v>1036.7999999999993</v>
      </c>
      <c r="I31" s="1">
        <f t="shared" si="9"/>
        <v>311.03999999999974</v>
      </c>
      <c r="J31" s="1">
        <f>SUM(J29:J30)</f>
        <v>1207.360000000001</v>
      </c>
      <c r="K31" s="4">
        <f>E31/(C31+D31)</f>
        <v>0.23713332627343006</v>
      </c>
      <c r="L31" s="9">
        <f>A31/A26</f>
        <v>0.99559950544960507</v>
      </c>
      <c r="M31" s="5">
        <f>F31/F26-1</f>
        <v>0.12478035864725001</v>
      </c>
    </row>
    <row r="32" spans="1:13" x14ac:dyDescent="0.4">
      <c r="B32" s="1" t="s">
        <v>2</v>
      </c>
      <c r="C32" s="1">
        <f>F29-C31</f>
        <v>1244.1599999999999</v>
      </c>
      <c r="D32" s="1"/>
      <c r="E32" s="1"/>
    </row>
    <row r="34" spans="1:13" x14ac:dyDescent="0.4">
      <c r="B34" t="s">
        <v>0</v>
      </c>
      <c r="C34" s="1">
        <f>C29+C32*0.8</f>
        <v>7971.9679999999989</v>
      </c>
      <c r="D34" s="1">
        <f>C34*G29</f>
        <v>1992.9919999999997</v>
      </c>
      <c r="E34" s="1">
        <f>D34</f>
        <v>1992.9919999999997</v>
      </c>
      <c r="F34" s="1">
        <f>SUM(C34:E34)</f>
        <v>11957.951999999999</v>
      </c>
      <c r="G34">
        <f>D34/C34</f>
        <v>0.25</v>
      </c>
      <c r="H34" s="2">
        <f>C34-C29</f>
        <v>995.32799999999952</v>
      </c>
      <c r="I34" s="2">
        <f>D34-D29</f>
        <v>248.83199999999988</v>
      </c>
      <c r="J34" s="2">
        <f>E29-(H34+I34)</f>
        <v>500.00000000000045</v>
      </c>
    </row>
    <row r="35" spans="1:13" x14ac:dyDescent="0.4">
      <c r="A35">
        <f>C35/C34</f>
        <v>0.31271977007434054</v>
      </c>
      <c r="B35" t="s">
        <v>1</v>
      </c>
      <c r="C35" s="1">
        <f>C30+C32-H34</f>
        <v>2492.9920000000002</v>
      </c>
      <c r="D35" s="1">
        <f>C35*G30</f>
        <v>1246.4960000000001</v>
      </c>
      <c r="E35" s="1">
        <f>D35</f>
        <v>1246.4960000000001</v>
      </c>
      <c r="F35" s="1">
        <f>SUM(C35:E35)</f>
        <v>4985.9840000000004</v>
      </c>
      <c r="G35">
        <f>D35/C35</f>
        <v>0.5</v>
      </c>
      <c r="H35" s="2">
        <f>C35-C30</f>
        <v>248.83200000000033</v>
      </c>
      <c r="I35" s="2">
        <f>D35-D30</f>
        <v>124.41600000000017</v>
      </c>
      <c r="J35" s="2">
        <f>E30-(H35+I35)</f>
        <v>748.83199999999943</v>
      </c>
      <c r="L35" s="3">
        <f>A35/A30</f>
        <v>0.97218257909037109</v>
      </c>
      <c r="M35" s="5"/>
    </row>
    <row r="36" spans="1:13" x14ac:dyDescent="0.4">
      <c r="A36">
        <f>D36/C36</f>
        <v>0.30955569825398283</v>
      </c>
      <c r="B36" s="1" t="s">
        <v>7</v>
      </c>
      <c r="C36" s="1">
        <f>SUM(C34:C35)</f>
        <v>10464.959999999999</v>
      </c>
      <c r="D36" s="1">
        <f t="shared" ref="D36:F36" si="10">SUM(D34:D35)</f>
        <v>3239.4879999999998</v>
      </c>
      <c r="E36" s="1">
        <f t="shared" si="10"/>
        <v>3239.4879999999998</v>
      </c>
      <c r="F36" s="1">
        <f t="shared" si="10"/>
        <v>16943.936000000002</v>
      </c>
      <c r="H36" s="1">
        <f t="shared" ref="H36:I36" si="11">SUM(H34:H35)</f>
        <v>1244.1599999999999</v>
      </c>
      <c r="I36" s="1">
        <f t="shared" si="11"/>
        <v>373.24800000000005</v>
      </c>
      <c r="J36" s="1">
        <f>SUM(J34:J35)</f>
        <v>1248.8319999999999</v>
      </c>
      <c r="K36" s="4">
        <f>E36/(C36+D36)</f>
        <v>0.23638223152074422</v>
      </c>
      <c r="L36" s="9">
        <f>A36/A31</f>
        <v>0.99585212070877704</v>
      </c>
      <c r="M36" s="5">
        <f>F36/F31-1</f>
        <v>0.13312504012497617</v>
      </c>
    </row>
    <row r="37" spans="1:13" x14ac:dyDescent="0.4">
      <c r="B37" s="1" t="s">
        <v>2</v>
      </c>
      <c r="C37" s="1">
        <f>F34-C36</f>
        <v>1492.9920000000002</v>
      </c>
      <c r="D37" s="1"/>
      <c r="E37" s="1"/>
    </row>
    <row r="39" spans="1:13" x14ac:dyDescent="0.4">
      <c r="B39" t="s">
        <v>0</v>
      </c>
      <c r="C39" s="1">
        <f>C34+C37*0.8</f>
        <v>9166.3615999999984</v>
      </c>
      <c r="D39" s="1">
        <f>C39*G34</f>
        <v>2291.5903999999996</v>
      </c>
      <c r="E39" s="1">
        <f>D39</f>
        <v>2291.5903999999996</v>
      </c>
      <c r="F39" s="1">
        <f>SUM(C39:E39)</f>
        <v>13749.542399999997</v>
      </c>
      <c r="G39">
        <f>D39/C39</f>
        <v>0.25</v>
      </c>
      <c r="H39" s="2">
        <f>C39-C34</f>
        <v>1194.3935999999994</v>
      </c>
      <c r="I39" s="2">
        <f>D39-D34</f>
        <v>298.59839999999986</v>
      </c>
      <c r="J39" s="2">
        <f>E34-(H39+I39)</f>
        <v>500.00000000000045</v>
      </c>
    </row>
    <row r="40" spans="1:13" x14ac:dyDescent="0.4">
      <c r="A40">
        <f>C40/C39</f>
        <v>0.30454726987859626</v>
      </c>
      <c r="B40" t="s">
        <v>1</v>
      </c>
      <c r="C40" s="1">
        <f>C35+C37-H39</f>
        <v>2791.590400000001</v>
      </c>
      <c r="D40" s="1">
        <f>C40*G35</f>
        <v>1395.7952000000005</v>
      </c>
      <c r="E40" s="1">
        <f>D40</f>
        <v>1395.7952000000005</v>
      </c>
      <c r="F40" s="1">
        <f>SUM(C40:E40)</f>
        <v>5583.1808000000019</v>
      </c>
      <c r="G40">
        <f>D40/C40</f>
        <v>0.5</v>
      </c>
      <c r="H40" s="2">
        <f>C40-C35</f>
        <v>298.59840000000077</v>
      </c>
      <c r="I40" s="2">
        <f>D40-D35</f>
        <v>149.29920000000038</v>
      </c>
      <c r="J40" s="2">
        <f>E35-(H40+I40)</f>
        <v>798.59839999999895</v>
      </c>
      <c r="L40" s="3">
        <f>A40/A35</f>
        <v>0.97386637821522604</v>
      </c>
      <c r="M40" s="5"/>
    </row>
    <row r="41" spans="1:13" x14ac:dyDescent="0.4">
      <c r="A41">
        <f>D41/C41</f>
        <v>0.30836263600991209</v>
      </c>
      <c r="B41" s="1" t="s">
        <v>7</v>
      </c>
      <c r="C41" s="1">
        <f>SUM(C39:C40)</f>
        <v>11957.951999999999</v>
      </c>
      <c r="D41" s="1">
        <f t="shared" ref="D41:F41" si="12">SUM(D39:D40)</f>
        <v>3687.3856000000001</v>
      </c>
      <c r="E41" s="1">
        <f t="shared" si="12"/>
        <v>3687.3856000000001</v>
      </c>
      <c r="F41" s="1">
        <f t="shared" si="12"/>
        <v>19332.7232</v>
      </c>
      <c r="H41" s="1">
        <f t="shared" ref="H41:I41" si="13">SUM(H39:H40)</f>
        <v>1492.9920000000002</v>
      </c>
      <c r="I41" s="1">
        <f t="shared" si="13"/>
        <v>447.89760000000024</v>
      </c>
      <c r="J41" s="1">
        <f>SUM(J39:J40)</f>
        <v>1298.5983999999994</v>
      </c>
      <c r="K41" s="4">
        <f>E41/(C41+D41)</f>
        <v>0.23568590811360954</v>
      </c>
      <c r="L41" s="9">
        <f>A41/A36</f>
        <v>0.99614588828181783</v>
      </c>
      <c r="M41" s="5">
        <f>F41/F36-1</f>
        <v>0.14098183562544131</v>
      </c>
    </row>
    <row r="42" spans="1:13" x14ac:dyDescent="0.4">
      <c r="B42" s="1" t="s">
        <v>2</v>
      </c>
      <c r="C42" s="1">
        <f>F39-C41</f>
        <v>1791.5903999999973</v>
      </c>
      <c r="D42" s="1"/>
      <c r="E42" s="1"/>
    </row>
    <row r="44" spans="1:13" x14ac:dyDescent="0.4">
      <c r="B44" t="s">
        <v>0</v>
      </c>
      <c r="C44" s="1">
        <f>C39+C42*0.8</f>
        <v>10599.633919999997</v>
      </c>
      <c r="D44" s="1">
        <f>C44*G39</f>
        <v>2649.9084799999991</v>
      </c>
      <c r="E44" s="1">
        <f>D44</f>
        <v>2649.9084799999991</v>
      </c>
      <c r="F44" s="1">
        <f>SUM(C44:E44)</f>
        <v>15899.450879999993</v>
      </c>
      <c r="G44">
        <f>D44/C44</f>
        <v>0.25</v>
      </c>
      <c r="H44" s="2">
        <f>C44-C39</f>
        <v>1433.2723199999982</v>
      </c>
      <c r="I44" s="2">
        <f>D44-D39</f>
        <v>358.31807999999955</v>
      </c>
      <c r="J44" s="2">
        <f>E39-(H44+I44)</f>
        <v>500.00000000000182</v>
      </c>
    </row>
    <row r="45" spans="1:13" x14ac:dyDescent="0.4">
      <c r="A45">
        <f>C45/C44</f>
        <v>0.29717144042650118</v>
      </c>
      <c r="B45" t="s">
        <v>1</v>
      </c>
      <c r="C45" s="1">
        <f>C40+C42-H44</f>
        <v>3149.9084800000001</v>
      </c>
      <c r="D45" s="1">
        <f>C45*G40</f>
        <v>1574.95424</v>
      </c>
      <c r="E45" s="1">
        <f>D45</f>
        <v>1574.95424</v>
      </c>
      <c r="F45" s="1">
        <f>SUM(C45:E45)</f>
        <v>6299.8169600000001</v>
      </c>
      <c r="G45">
        <f>D45/C45</f>
        <v>0.5</v>
      </c>
      <c r="H45" s="2">
        <f>C45-C40</f>
        <v>358.3180799999991</v>
      </c>
      <c r="I45" s="2">
        <f>D45-D40</f>
        <v>179.15903999999955</v>
      </c>
      <c r="J45" s="2">
        <f>E40-(H45+I45)</f>
        <v>858.31808000000183</v>
      </c>
      <c r="L45" s="3">
        <f>A45/A40</f>
        <v>0.97578100287999503</v>
      </c>
      <c r="M45" s="5"/>
    </row>
    <row r="46" spans="1:13" x14ac:dyDescent="0.4">
      <c r="A46">
        <f>D46/C46</f>
        <v>0.30727296931714615</v>
      </c>
      <c r="B46" s="1" t="s">
        <v>7</v>
      </c>
      <c r="C46" s="1">
        <f>SUM(C44:C45)</f>
        <v>13749.542399999997</v>
      </c>
      <c r="D46" s="1">
        <f t="shared" ref="D46:F46" si="14">SUM(D44:D45)</f>
        <v>4224.8627199999992</v>
      </c>
      <c r="E46" s="1">
        <f t="shared" si="14"/>
        <v>4224.8627199999992</v>
      </c>
      <c r="F46" s="1">
        <f t="shared" si="14"/>
        <v>22199.267839999993</v>
      </c>
      <c r="H46" s="1">
        <f t="shared" ref="H46:I46" si="15">SUM(H44:H45)</f>
        <v>1791.5903999999973</v>
      </c>
      <c r="I46" s="1">
        <f t="shared" si="15"/>
        <v>537.4771199999991</v>
      </c>
      <c r="J46" s="1">
        <f>SUM(J44:J45)</f>
        <v>1358.3180800000036</v>
      </c>
      <c r="K46" s="4">
        <f>E46/(C46+D46)</f>
        <v>0.23504882035283736</v>
      </c>
      <c r="L46" s="9">
        <f>A46/A41</f>
        <v>0.99646628169072038</v>
      </c>
      <c r="M46" s="5">
        <f>F46/F41-1</f>
        <v>0.14827422967499948</v>
      </c>
    </row>
    <row r="47" spans="1:13" x14ac:dyDescent="0.4">
      <c r="B47" s="1" t="s">
        <v>2</v>
      </c>
      <c r="C47" s="1">
        <f>F44-C46</f>
        <v>2149.9084799999964</v>
      </c>
      <c r="D47" s="1"/>
      <c r="E47" s="1"/>
    </row>
    <row r="49" spans="1:13" x14ac:dyDescent="0.4">
      <c r="B49" t="s">
        <v>0</v>
      </c>
      <c r="C49" s="1">
        <f>C44+C47*0.8</f>
        <v>12319.560703999994</v>
      </c>
      <c r="D49" s="1">
        <f>C49*G44</f>
        <v>3079.8901759999985</v>
      </c>
      <c r="E49" s="1">
        <f>D49</f>
        <v>3079.8901759999985</v>
      </c>
      <c r="F49" s="1">
        <f>SUM(C49:E49)</f>
        <v>18479.34105599999</v>
      </c>
      <c r="G49">
        <f>D49/C49</f>
        <v>0.25</v>
      </c>
      <c r="H49" s="2">
        <f>C49-C44</f>
        <v>1719.9267839999975</v>
      </c>
      <c r="I49" s="2">
        <f>D49-D44</f>
        <v>429.98169599999937</v>
      </c>
      <c r="J49" s="2">
        <f>E44-(H49+I49)</f>
        <v>500.00000000000227</v>
      </c>
    </row>
    <row r="50" spans="1:13" x14ac:dyDescent="0.4">
      <c r="A50">
        <f>C50/C49</f>
        <v>0.29058586276032206</v>
      </c>
      <c r="B50" t="s">
        <v>1</v>
      </c>
      <c r="C50" s="1">
        <f>C45+C47-H49</f>
        <v>3579.890175999999</v>
      </c>
      <c r="D50" s="1">
        <f>C50*G45</f>
        <v>1789.9450879999995</v>
      </c>
      <c r="E50" s="1">
        <f>D50</f>
        <v>1789.9450879999995</v>
      </c>
      <c r="F50" s="1">
        <f>SUM(C50:E50)</f>
        <v>7159.7803519999979</v>
      </c>
      <c r="G50">
        <f>D50/C50</f>
        <v>0.5</v>
      </c>
      <c r="H50" s="2">
        <f>C50-C45</f>
        <v>429.98169599999892</v>
      </c>
      <c r="I50" s="2">
        <f>D50-D45</f>
        <v>214.99084799999946</v>
      </c>
      <c r="J50" s="2">
        <f>E45-(H50+I50)</f>
        <v>929.98169600000165</v>
      </c>
      <c r="L50" s="3">
        <f>A50/A45</f>
        <v>0.97783912997585676</v>
      </c>
      <c r="M50" s="5"/>
    </row>
    <row r="51" spans="1:13" x14ac:dyDescent="0.4">
      <c r="A51">
        <f>D51/C51</f>
        <v>0.3062895253902001</v>
      </c>
      <c r="B51" s="1" t="s">
        <v>7</v>
      </c>
      <c r="C51" s="1">
        <f>SUM(C49:C50)</f>
        <v>15899.450879999993</v>
      </c>
      <c r="D51" s="1">
        <f t="shared" ref="D51:F51" si="16">SUM(D49:D50)</f>
        <v>4869.8352639999976</v>
      </c>
      <c r="E51" s="1">
        <f t="shared" si="16"/>
        <v>4869.8352639999976</v>
      </c>
      <c r="F51" s="1">
        <f t="shared" si="16"/>
        <v>25639.121407999988</v>
      </c>
      <c r="H51" s="1">
        <f t="shared" ref="H51:I51" si="17">SUM(H49:H50)</f>
        <v>2149.9084799999964</v>
      </c>
      <c r="I51" s="1">
        <f t="shared" si="17"/>
        <v>644.97254399999883</v>
      </c>
      <c r="J51" s="1">
        <f>SUM(J49:J50)</f>
        <v>1429.9816960000039</v>
      </c>
      <c r="K51" s="4">
        <f>E51/(C51+D51)</f>
        <v>0.2344729245981734</v>
      </c>
      <c r="L51" s="9">
        <f>A51/A46</f>
        <v>0.99679944536243603</v>
      </c>
      <c r="M51" s="5">
        <f>F51/F46-1</f>
        <v>0.15495346931225629</v>
      </c>
    </row>
    <row r="52" spans="1:13" x14ac:dyDescent="0.4">
      <c r="B52" s="1" t="s">
        <v>2</v>
      </c>
      <c r="C52" s="1">
        <f>F49-C51</f>
        <v>2579.8901759999972</v>
      </c>
      <c r="D52" s="1"/>
      <c r="E52" s="1"/>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95B74-9862-418D-BA3B-462B9CE1D294}">
  <dimension ref="A1:N35"/>
  <sheetViews>
    <sheetView topLeftCell="A7" workbookViewId="0">
      <selection activeCell="H26" sqref="H26"/>
    </sheetView>
  </sheetViews>
  <sheetFormatPr defaultRowHeight="14.6" x14ac:dyDescent="0.4"/>
  <cols>
    <col min="1" max="1" width="16.23046875" customWidth="1"/>
    <col min="7" max="7" width="2.61328125" customWidth="1"/>
    <col min="8" max="8" width="18.3828125" customWidth="1"/>
    <col min="9" max="11" width="12.61328125" customWidth="1"/>
    <col min="12" max="12" width="15" customWidth="1"/>
    <col min="14" max="14" width="26.921875" customWidth="1"/>
  </cols>
  <sheetData>
    <row r="1" spans="1:14" x14ac:dyDescent="0.4">
      <c r="A1" s="66" t="s">
        <v>92</v>
      </c>
      <c r="B1" s="66"/>
      <c r="C1" s="66"/>
      <c r="D1" s="66"/>
      <c r="E1" s="66"/>
      <c r="F1" s="66"/>
      <c r="G1" s="66"/>
      <c r="H1" s="66"/>
      <c r="I1" s="66"/>
      <c r="J1" s="66"/>
      <c r="K1" s="66"/>
      <c r="L1" s="66"/>
      <c r="M1" s="66"/>
    </row>
    <row r="2" spans="1:14" ht="15" thickBot="1" x14ac:dyDescent="0.45">
      <c r="A2" s="38" t="s">
        <v>91</v>
      </c>
    </row>
    <row r="3" spans="1:14" x14ac:dyDescent="0.4">
      <c r="A3" t="s">
        <v>90</v>
      </c>
      <c r="B3" s="36" t="s">
        <v>3</v>
      </c>
      <c r="C3" s="35" t="s">
        <v>5</v>
      </c>
      <c r="D3" s="35" t="s">
        <v>4</v>
      </c>
      <c r="E3" s="56" t="s">
        <v>74</v>
      </c>
      <c r="H3" s="70" t="s">
        <v>89</v>
      </c>
      <c r="I3" s="70"/>
      <c r="J3" s="70"/>
      <c r="K3" s="70"/>
    </row>
    <row r="4" spans="1:14" x14ac:dyDescent="0.4">
      <c r="A4" t="s">
        <v>67</v>
      </c>
      <c r="B4" s="45">
        <v>225</v>
      </c>
      <c r="C4">
        <v>90</v>
      </c>
      <c r="D4">
        <v>60</v>
      </c>
      <c r="E4" s="55">
        <f>B4+C4+D4</f>
        <v>375</v>
      </c>
      <c r="H4" s="71" t="s">
        <v>88</v>
      </c>
      <c r="I4" s="71"/>
      <c r="J4" s="71"/>
      <c r="K4" s="71"/>
    </row>
    <row r="5" spans="1:14" x14ac:dyDescent="0.4">
      <c r="A5" t="s">
        <v>66</v>
      </c>
      <c r="B5" s="45">
        <v>100</v>
      </c>
      <c r="C5">
        <v>120</v>
      </c>
      <c r="D5">
        <v>80</v>
      </c>
      <c r="E5" s="54">
        <f>B5+C5+D5</f>
        <v>300</v>
      </c>
      <c r="H5" s="72" t="s">
        <v>87</v>
      </c>
      <c r="I5" s="72"/>
      <c r="J5" s="72"/>
      <c r="K5" s="72"/>
    </row>
    <row r="6" spans="1:14" x14ac:dyDescent="0.4">
      <c r="A6" t="s">
        <v>65</v>
      </c>
      <c r="B6" s="45">
        <v>50</v>
      </c>
      <c r="C6">
        <v>90</v>
      </c>
      <c r="D6">
        <v>60</v>
      </c>
      <c r="E6" s="53">
        <f>B6+C6+D6</f>
        <v>200</v>
      </c>
      <c r="H6" s="73" t="s">
        <v>86</v>
      </c>
      <c r="I6" s="73"/>
      <c r="J6" s="73"/>
      <c r="K6" s="73"/>
    </row>
    <row r="7" spans="1:14" ht="15" thickBot="1" x14ac:dyDescent="0.45">
      <c r="A7" s="43" t="s">
        <v>7</v>
      </c>
      <c r="B7" s="52">
        <f>SUM(B4:B6)</f>
        <v>375</v>
      </c>
      <c r="C7" s="51">
        <f>SUM(C4:C6)</f>
        <v>300</v>
      </c>
      <c r="D7" s="50">
        <f>SUM(D4:D6)</f>
        <v>200</v>
      </c>
      <c r="E7" s="49">
        <f>B7+C7+D7</f>
        <v>875</v>
      </c>
    </row>
    <row r="8" spans="1:14" ht="15" thickBot="1" x14ac:dyDescent="0.45"/>
    <row r="9" spans="1:14" x14ac:dyDescent="0.4">
      <c r="A9" s="38" t="s">
        <v>85</v>
      </c>
      <c r="B9" s="67" t="s">
        <v>84</v>
      </c>
      <c r="C9" s="68"/>
      <c r="D9" s="68"/>
      <c r="E9" s="68"/>
      <c r="F9" s="69"/>
      <c r="H9" s="67" t="s">
        <v>83</v>
      </c>
      <c r="I9" s="68"/>
      <c r="J9" s="68"/>
      <c r="K9" s="68"/>
      <c r="L9" s="68"/>
      <c r="M9" s="69"/>
    </row>
    <row r="10" spans="1:14" ht="29.15" x14ac:dyDescent="0.4">
      <c r="B10" s="48" t="s">
        <v>3</v>
      </c>
      <c r="C10" s="33" t="s">
        <v>82</v>
      </c>
      <c r="D10" s="33" t="s">
        <v>74</v>
      </c>
      <c r="E10" s="33" t="s">
        <v>5</v>
      </c>
      <c r="F10" s="30" t="s">
        <v>4</v>
      </c>
      <c r="G10" s="6"/>
      <c r="H10" s="48" t="s">
        <v>73</v>
      </c>
      <c r="I10" s="33" t="s">
        <v>81</v>
      </c>
      <c r="J10" s="33" t="s">
        <v>71</v>
      </c>
      <c r="K10" s="33" t="s">
        <v>70</v>
      </c>
      <c r="L10" s="33" t="s">
        <v>69</v>
      </c>
      <c r="M10" s="30" t="s">
        <v>68</v>
      </c>
    </row>
    <row r="11" spans="1:14" x14ac:dyDescent="0.4">
      <c r="A11" t="s">
        <v>67</v>
      </c>
      <c r="B11" s="45">
        <v>225</v>
      </c>
      <c r="C11">
        <f>C4+D4</f>
        <v>150</v>
      </c>
      <c r="D11" s="29">
        <f>B11+C11</f>
        <v>375</v>
      </c>
      <c r="E11">
        <f>C4</f>
        <v>90</v>
      </c>
      <c r="F11" s="46">
        <f>C11-E11</f>
        <v>60</v>
      </c>
      <c r="H11" s="45">
        <f>B11+E11</f>
        <v>315</v>
      </c>
      <c r="I11" s="25">
        <f>F11/H11</f>
        <v>0.19047619047619047</v>
      </c>
      <c r="J11" s="25">
        <f>H11*I14</f>
        <v>93.333333333333329</v>
      </c>
      <c r="K11" s="25">
        <f>J11-F11</f>
        <v>33.333333333333329</v>
      </c>
      <c r="L11" s="4">
        <f>B11+E11+J11</f>
        <v>408.33333333333331</v>
      </c>
      <c r="M11" s="47">
        <f>L11/D11</f>
        <v>1.0888888888888888</v>
      </c>
      <c r="N11" t="s">
        <v>80</v>
      </c>
    </row>
    <row r="12" spans="1:14" x14ac:dyDescent="0.4">
      <c r="A12" t="s">
        <v>66</v>
      </c>
      <c r="B12" s="45">
        <v>100</v>
      </c>
      <c r="C12">
        <f>C5+D5</f>
        <v>200</v>
      </c>
      <c r="D12" s="28">
        <f>B12+C12</f>
        <v>300</v>
      </c>
      <c r="E12">
        <f>C5</f>
        <v>120</v>
      </c>
      <c r="F12" s="46">
        <f>C12-E12</f>
        <v>80</v>
      </c>
      <c r="H12" s="45">
        <f>B12+E12</f>
        <v>220</v>
      </c>
      <c r="I12" s="25">
        <f>F12/H12</f>
        <v>0.36363636363636365</v>
      </c>
      <c r="J12" s="25">
        <f>H12*I14</f>
        <v>65.185185185185176</v>
      </c>
      <c r="K12" s="25">
        <f>J12-F12</f>
        <v>-14.814814814814824</v>
      </c>
      <c r="L12" s="4">
        <f>B12+E12+J12</f>
        <v>285.18518518518516</v>
      </c>
      <c r="M12" s="47">
        <f>L12/D12</f>
        <v>0.95061728395061718</v>
      </c>
      <c r="N12" t="s">
        <v>79</v>
      </c>
    </row>
    <row r="13" spans="1:14" x14ac:dyDescent="0.4">
      <c r="A13" t="s">
        <v>65</v>
      </c>
      <c r="B13" s="45">
        <v>50</v>
      </c>
      <c r="C13">
        <f>C6+D6</f>
        <v>150</v>
      </c>
      <c r="D13" s="27">
        <f>B13+C13</f>
        <v>200</v>
      </c>
      <c r="E13">
        <f>C6</f>
        <v>90</v>
      </c>
      <c r="F13" s="46">
        <f>C13-E13</f>
        <v>60</v>
      </c>
      <c r="H13" s="45">
        <f>B13+E13</f>
        <v>140</v>
      </c>
      <c r="I13" s="25">
        <f>F13/H13</f>
        <v>0.42857142857142855</v>
      </c>
      <c r="J13" s="25">
        <f>H13*I14</f>
        <v>41.481481481481481</v>
      </c>
      <c r="K13" s="25">
        <f>J13-F13</f>
        <v>-18.518518518518519</v>
      </c>
      <c r="L13" s="4">
        <f>B13+E13+J13</f>
        <v>181.48148148148147</v>
      </c>
      <c r="M13" s="44">
        <f>L13/D13</f>
        <v>0.90740740740740733</v>
      </c>
    </row>
    <row r="14" spans="1:14" ht="15" thickBot="1" x14ac:dyDescent="0.45">
      <c r="A14" s="43" t="s">
        <v>7</v>
      </c>
      <c r="B14" s="23">
        <f>SUM(B11:B13)</f>
        <v>375</v>
      </c>
      <c r="C14" s="41">
        <f>SUM(C11:C13)</f>
        <v>500</v>
      </c>
      <c r="D14" s="41">
        <f>SUM(D11:D13)</f>
        <v>875</v>
      </c>
      <c r="E14" s="22">
        <f>SUM(E11:E13)</f>
        <v>300</v>
      </c>
      <c r="F14" s="21">
        <f>SUM(F11:F13)</f>
        <v>200</v>
      </c>
      <c r="H14" s="42">
        <f>SUM(H11:H13)</f>
        <v>675</v>
      </c>
      <c r="I14" s="19">
        <f>F14/H14</f>
        <v>0.29629629629629628</v>
      </c>
      <c r="J14" s="41">
        <f>SUM(J11:J13)</f>
        <v>200</v>
      </c>
      <c r="K14" s="41">
        <f>SUM(K11:K13)</f>
        <v>0</v>
      </c>
      <c r="L14" s="41">
        <f>SUM(L11:L13)</f>
        <v>875</v>
      </c>
      <c r="M14" s="40"/>
    </row>
    <row r="15" spans="1:14" ht="15" thickBot="1" x14ac:dyDescent="0.45">
      <c r="M15" s="39"/>
    </row>
    <row r="16" spans="1:14" ht="29.15" x14ac:dyDescent="0.4">
      <c r="A16" s="38" t="s">
        <v>78</v>
      </c>
      <c r="B16" s="36" t="s">
        <v>3</v>
      </c>
      <c r="C16" s="35" t="str">
        <f>C10</f>
        <v>L(=V+S)</v>
      </c>
      <c r="D16" s="31" t="s">
        <v>74</v>
      </c>
      <c r="E16" s="35" t="s">
        <v>5</v>
      </c>
      <c r="F16" s="34" t="s">
        <v>4</v>
      </c>
      <c r="G16" s="6"/>
      <c r="H16" s="32" t="s">
        <v>73</v>
      </c>
      <c r="I16" s="31" t="s">
        <v>72</v>
      </c>
      <c r="J16" s="31" t="s">
        <v>71</v>
      </c>
      <c r="K16" s="31" t="s">
        <v>70</v>
      </c>
      <c r="L16" s="31" t="s">
        <v>69</v>
      </c>
      <c r="M16" s="30" t="s">
        <v>68</v>
      </c>
    </row>
    <row r="17" spans="1:13" x14ac:dyDescent="0.4">
      <c r="A17" t="s">
        <v>67</v>
      </c>
      <c r="B17" s="26">
        <f>B11*M11</f>
        <v>244.99999999999997</v>
      </c>
      <c r="C17">
        <f>C11</f>
        <v>150</v>
      </c>
      <c r="D17" s="29">
        <f>B17+C17</f>
        <v>395</v>
      </c>
      <c r="E17" s="4">
        <f>E11*M12</f>
        <v>85.555555555555543</v>
      </c>
      <c r="F17" s="24">
        <f>C17-E17</f>
        <v>64.444444444444457</v>
      </c>
      <c r="G17" s="10"/>
      <c r="H17" s="26">
        <f>B17+E17</f>
        <v>330.55555555555554</v>
      </c>
      <c r="I17" s="25">
        <f>F17/H17</f>
        <v>0.19495798319327737</v>
      </c>
      <c r="J17" s="25">
        <f>H17*I20</f>
        <v>102.38836967808932</v>
      </c>
      <c r="K17" s="25">
        <f>J17-F17</f>
        <v>37.943925233644862</v>
      </c>
      <c r="L17" s="25">
        <f>B17+E17+J17</f>
        <v>432.94392523364485</v>
      </c>
      <c r="M17" s="24">
        <f>L17/D17</f>
        <v>1.0960605702117592</v>
      </c>
    </row>
    <row r="18" spans="1:13" x14ac:dyDescent="0.4">
      <c r="A18" t="s">
        <v>66</v>
      </c>
      <c r="B18" s="26">
        <f>B12*M11</f>
        <v>108.88888888888889</v>
      </c>
      <c r="C18">
        <f>C12</f>
        <v>200</v>
      </c>
      <c r="D18" s="28">
        <f>B18+C18</f>
        <v>308.88888888888891</v>
      </c>
      <c r="E18" s="4">
        <f>E12*M12</f>
        <v>114.07407407407406</v>
      </c>
      <c r="F18" s="24">
        <f>C18-E18</f>
        <v>85.925925925925938</v>
      </c>
      <c r="G18" s="10"/>
      <c r="H18" s="26">
        <f>B18+E18</f>
        <v>222.96296296296293</v>
      </c>
      <c r="I18" s="25">
        <f>F18/H18</f>
        <v>0.38538205980066453</v>
      </c>
      <c r="J18" s="25">
        <f>H18*I20</f>
        <v>69.0619591554171</v>
      </c>
      <c r="K18" s="25">
        <f>J18-F18</f>
        <v>-16.863966770508839</v>
      </c>
      <c r="L18" s="25">
        <f>B18+E18+J18</f>
        <v>292.02492211838</v>
      </c>
      <c r="M18" s="24">
        <f>L18/D18</f>
        <v>0.94540442412425174</v>
      </c>
    </row>
    <row r="19" spans="1:13" x14ac:dyDescent="0.4">
      <c r="A19" t="s">
        <v>65</v>
      </c>
      <c r="B19" s="26">
        <f>B13*M11</f>
        <v>54.444444444444443</v>
      </c>
      <c r="C19">
        <f>C13</f>
        <v>150</v>
      </c>
      <c r="D19" s="27">
        <f>B19+C19</f>
        <v>204.44444444444446</v>
      </c>
      <c r="E19" s="4">
        <f>E13*M12</f>
        <v>85.555555555555543</v>
      </c>
      <c r="F19" s="24">
        <f>C19-E19</f>
        <v>64.444444444444457</v>
      </c>
      <c r="G19" s="10"/>
      <c r="H19" s="26">
        <f>B19+E19</f>
        <v>140</v>
      </c>
      <c r="I19" s="25">
        <f>F19/H19</f>
        <v>0.4603174603174604</v>
      </c>
      <c r="J19" s="25">
        <f>H19*I20</f>
        <v>43.36448598130842</v>
      </c>
      <c r="K19" s="25">
        <f>J19-F19</f>
        <v>-21.079958463136037</v>
      </c>
      <c r="L19" s="25">
        <f>B19+E19+J19</f>
        <v>183.36448598130841</v>
      </c>
      <c r="M19" s="24">
        <f>L19/D19</f>
        <v>0.89689150751726932</v>
      </c>
    </row>
    <row r="20" spans="1:13" ht="15" thickBot="1" x14ac:dyDescent="0.45">
      <c r="B20" s="23">
        <f>SUM(B17:B19)</f>
        <v>408.33333333333331</v>
      </c>
      <c r="C20" s="19">
        <f>SUM(C17:C19)</f>
        <v>500</v>
      </c>
      <c r="D20" s="19">
        <f>SUM(D17:D19)</f>
        <v>908.33333333333337</v>
      </c>
      <c r="E20" s="22">
        <f>SUM(E17:E19)</f>
        <v>285.18518518518516</v>
      </c>
      <c r="F20" s="21">
        <f>SUM(F17:F19)</f>
        <v>214.81481481481484</v>
      </c>
      <c r="G20" s="10"/>
      <c r="H20" s="20">
        <f>SUM(H17:H19)</f>
        <v>693.51851851851848</v>
      </c>
      <c r="I20" s="19">
        <f>F20/H20</f>
        <v>0.30974632843791727</v>
      </c>
      <c r="J20" s="19">
        <f>SUM(J17:J19)</f>
        <v>214.81481481481484</v>
      </c>
      <c r="K20" s="19">
        <f>SUM(K17:K19)</f>
        <v>0</v>
      </c>
      <c r="L20" s="19">
        <f>SUM(L17:L19)</f>
        <v>908.33333333333326</v>
      </c>
      <c r="M20" s="18"/>
    </row>
    <row r="22" spans="1:13" x14ac:dyDescent="0.4">
      <c r="H22" s="7" t="s">
        <v>95</v>
      </c>
    </row>
    <row r="23" spans="1:13" x14ac:dyDescent="0.4">
      <c r="H23" s="7" t="s">
        <v>77</v>
      </c>
    </row>
    <row r="24" spans="1:13" x14ac:dyDescent="0.4">
      <c r="H24" s="7" t="s">
        <v>76</v>
      </c>
    </row>
    <row r="25" spans="1:13" x14ac:dyDescent="0.4">
      <c r="H25" s="7" t="s">
        <v>96</v>
      </c>
    </row>
    <row r="26" spans="1:13" ht="15" thickBot="1" x14ac:dyDescent="0.45">
      <c r="A26" s="38" t="s">
        <v>75</v>
      </c>
      <c r="M26" s="37"/>
    </row>
    <row r="27" spans="1:13" ht="29.15" x14ac:dyDescent="0.4">
      <c r="B27" s="36" t="s">
        <v>3</v>
      </c>
      <c r="C27" s="35" t="str">
        <f>C16</f>
        <v>L(=V+S)</v>
      </c>
      <c r="D27" s="31" t="s">
        <v>74</v>
      </c>
      <c r="E27" s="35" t="s">
        <v>5</v>
      </c>
      <c r="F27" s="34" t="s">
        <v>4</v>
      </c>
      <c r="G27" s="33"/>
      <c r="H27" s="32" t="s">
        <v>73</v>
      </c>
      <c r="I27" s="31" t="s">
        <v>72</v>
      </c>
      <c r="J27" s="31" t="s">
        <v>71</v>
      </c>
      <c r="K27" s="31" t="s">
        <v>70</v>
      </c>
      <c r="L27" s="31" t="s">
        <v>69</v>
      </c>
      <c r="M27" s="30" t="s">
        <v>68</v>
      </c>
    </row>
    <row r="28" spans="1:13" x14ac:dyDescent="0.4">
      <c r="A28" t="s">
        <v>67</v>
      </c>
      <c r="B28" s="26">
        <f>B17*M17</f>
        <v>268.53483970188097</v>
      </c>
      <c r="C28">
        <f>C17</f>
        <v>150</v>
      </c>
      <c r="D28" s="29">
        <f>B28+C28</f>
        <v>418.53483970188097</v>
      </c>
      <c r="E28" s="4">
        <f>E17*$M$12</f>
        <v>81.33058984910835</v>
      </c>
      <c r="F28" s="24">
        <f>C28-E28</f>
        <v>68.66941015089165</v>
      </c>
      <c r="G28" s="10"/>
      <c r="H28" s="26">
        <f>B28+E28</f>
        <v>349.86542955098935</v>
      </c>
      <c r="I28" s="25">
        <f>F28/H28</f>
        <v>0.1962737794329113</v>
      </c>
      <c r="J28" s="25">
        <f>H28*I31</f>
        <v>111.43448268784891</v>
      </c>
      <c r="K28" s="25">
        <f>J28-F28</f>
        <v>42.765072536957263</v>
      </c>
      <c r="L28" s="25">
        <f>B28+E28+J28</f>
        <v>461.29991223883826</v>
      </c>
      <c r="M28" s="24">
        <f>L28/D28</f>
        <v>1.1021780470352684</v>
      </c>
    </row>
    <row r="29" spans="1:13" x14ac:dyDescent="0.4">
      <c r="A29" t="s">
        <v>66</v>
      </c>
      <c r="B29" s="26">
        <f>B18*M17</f>
        <v>119.34881764528043</v>
      </c>
      <c r="C29">
        <f>C18</f>
        <v>200</v>
      </c>
      <c r="D29" s="28">
        <f>B29+C29</f>
        <v>319.34881764528041</v>
      </c>
      <c r="E29" s="4">
        <f>E18*$M$12</f>
        <v>108.4407864654778</v>
      </c>
      <c r="F29" s="24">
        <f>C29-E29</f>
        <v>91.5592135345222</v>
      </c>
      <c r="G29" s="10"/>
      <c r="H29" s="26">
        <f>B29+E29</f>
        <v>227.78960411075823</v>
      </c>
      <c r="I29" s="25">
        <f>F29/H29</f>
        <v>0.40194640967900941</v>
      </c>
      <c r="J29" s="25">
        <f>H29*I31</f>
        <v>72.552514629207863</v>
      </c>
      <c r="K29" s="25">
        <f>J29-F29</f>
        <v>-19.006698905314337</v>
      </c>
      <c r="L29" s="25">
        <f>B29+E29+J29</f>
        <v>300.34211873996611</v>
      </c>
      <c r="M29" s="24">
        <f>L29/D29</f>
        <v>0.9404829520100928</v>
      </c>
    </row>
    <row r="30" spans="1:13" x14ac:dyDescent="0.4">
      <c r="A30" t="s">
        <v>65</v>
      </c>
      <c r="B30" s="26">
        <f>B19*M17</f>
        <v>59.674408822640217</v>
      </c>
      <c r="C30">
        <f>C19</f>
        <v>150</v>
      </c>
      <c r="D30" s="27">
        <f>B30+C30</f>
        <v>209.6744088226402</v>
      </c>
      <c r="E30" s="4">
        <f>E19*$M$12</f>
        <v>81.33058984910835</v>
      </c>
      <c r="F30" s="24">
        <f>C30-E30</f>
        <v>68.66941015089165</v>
      </c>
      <c r="G30" s="10"/>
      <c r="H30" s="26">
        <f>B30+E30</f>
        <v>141.00499867174858</v>
      </c>
      <c r="I30" s="25">
        <f>F30/H30</f>
        <v>0.48699982835892247</v>
      </c>
      <c r="J30" s="25">
        <f>H30*I31</f>
        <v>44.911036519248732</v>
      </c>
      <c r="K30" s="25">
        <f>J30-F30</f>
        <v>-23.758373631642918</v>
      </c>
      <c r="L30" s="25">
        <f>B30+E30+J30</f>
        <v>185.91603519099732</v>
      </c>
      <c r="M30" s="24">
        <f>L30/D30</f>
        <v>0.88668920654146366</v>
      </c>
    </row>
    <row r="31" spans="1:13" ht="15" thickBot="1" x14ac:dyDescent="0.45">
      <c r="B31" s="23">
        <f>SUM(B28:B30)</f>
        <v>447.55806616980158</v>
      </c>
      <c r="C31" s="19">
        <f>SUM(C28:C30)</f>
        <v>500</v>
      </c>
      <c r="D31" s="19">
        <f>SUM(D28:D30)</f>
        <v>947.55806616980158</v>
      </c>
      <c r="E31" s="22">
        <f>SUM(E28:E30)</f>
        <v>271.1019661636945</v>
      </c>
      <c r="F31" s="21">
        <f>SUM(F28:F30)</f>
        <v>228.8980338363055</v>
      </c>
      <c r="G31" s="10"/>
      <c r="H31" s="20">
        <f>SUM(H28:H30)</f>
        <v>718.66003233349613</v>
      </c>
      <c r="I31" s="19">
        <f>F31/H31</f>
        <v>0.31850669793486547</v>
      </c>
      <c r="J31" s="19">
        <f>SUM(J28:J30)</f>
        <v>228.8980338363055</v>
      </c>
      <c r="K31" s="19">
        <f>SUM(K28:K30)</f>
        <v>0</v>
      </c>
      <c r="L31" s="19">
        <f>SUM(L28:L30)</f>
        <v>947.55806616980158</v>
      </c>
      <c r="M31" s="18"/>
    </row>
    <row r="33" spans="8:8" x14ac:dyDescent="0.4">
      <c r="H33" t="s">
        <v>64</v>
      </c>
    </row>
    <row r="34" spans="8:8" x14ac:dyDescent="0.4">
      <c r="H34" t="s">
        <v>63</v>
      </c>
    </row>
    <row r="35" spans="8:8" x14ac:dyDescent="0.4">
      <c r="H35" t="s">
        <v>62</v>
      </c>
    </row>
  </sheetData>
  <mergeCells count="7">
    <mergeCell ref="A1:M1"/>
    <mergeCell ref="B9:F9"/>
    <mergeCell ref="H9:M9"/>
    <mergeCell ref="H3:K3"/>
    <mergeCell ref="H4:K4"/>
    <mergeCell ref="H5:K5"/>
    <mergeCell ref="H6:K6"/>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Simple Reproduction</vt:lpstr>
      <vt:lpstr>SR with low MELT</vt:lpstr>
      <vt:lpstr>SR profit rate equalization</vt:lpstr>
      <vt:lpstr>SR  with two MP</vt:lpstr>
      <vt:lpstr>Marx 1</vt:lpstr>
      <vt:lpstr>Marx 2</vt:lpstr>
      <vt:lpstr>constant shares of I surplus</vt:lpstr>
      <vt:lpstr>Bortkiewicz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Freeman</dc:creator>
  <cp:lastModifiedBy>Alan Freeman</cp:lastModifiedBy>
  <dcterms:created xsi:type="dcterms:W3CDTF">2018-01-22T13:35:52Z</dcterms:created>
  <dcterms:modified xsi:type="dcterms:W3CDTF">2024-09-20T19:59:21Z</dcterms:modified>
</cp:coreProperties>
</file>