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casdev\sbxs\github.conti.de\TESS\TESS_Docs\"/>
    </mc:Choice>
  </mc:AlternateContent>
  <xr:revisionPtr revIDLastSave="0" documentId="13_ncr:1_{1DD41DCB-D4FE-402D-906F-5EE6A8ED4110}" xr6:coauthVersionLast="41" xr6:coauthVersionMax="41" xr10:uidLastSave="{00000000-0000-0000-0000-000000000000}"/>
  <bookViews>
    <workbookView minimized="1" xWindow="3510" yWindow="3510" windowWidth="21600" windowHeight="11385" tabRatio="744" firstSheet="1" activeTab="8" xr2:uid="{00000000-000D-0000-FFFF-FFFF00000000}"/>
  </bookViews>
  <sheets>
    <sheet name="Mot_Param" sheetId="4" r:id="rId1"/>
    <sheet name="Controller Gain" sheetId="5" r:id="rId2"/>
    <sheet name="pwm_top" sheetId="1" r:id="rId3"/>
    <sheet name="speed_encoder" sheetId="2" r:id="rId4"/>
    <sheet name="Filters" sheetId="6" r:id="rId5"/>
    <sheet name="bemf_Kt" sheetId="3" r:id="rId6"/>
    <sheet name="SpeedSensorOpAmpG&amp;O" sheetId="8" r:id="rId7"/>
    <sheet name="CurrentSensingOpAmpGain" sheetId="9" r:id="rId8"/>
    <sheet name="TImer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" l="1"/>
  <c r="C5" i="10"/>
  <c r="C4" i="10"/>
  <c r="E5" i="10"/>
  <c r="B6" i="10"/>
  <c r="B2" i="10" s="1"/>
  <c r="B3" i="6" l="1"/>
  <c r="B8" i="9"/>
  <c r="B11" i="9" s="1"/>
  <c r="B8" i="8"/>
  <c r="B9" i="8" s="1"/>
  <c r="B12" i="8" l="1"/>
  <c r="B14" i="8" s="1"/>
  <c r="B4" i="3" l="1"/>
  <c r="C14" i="4"/>
  <c r="C15" i="4"/>
  <c r="C16" i="4"/>
  <c r="C17" i="4"/>
  <c r="C18" i="4"/>
  <c r="C19" i="4"/>
  <c r="C20" i="4"/>
  <c r="C21" i="4"/>
  <c r="C13" i="4"/>
  <c r="B7" i="4" l="1"/>
  <c r="B8" i="6"/>
  <c r="B9" i="6" s="1"/>
  <c r="B10" i="6" s="1"/>
  <c r="B4" i="6"/>
  <c r="B5" i="6" s="1"/>
  <c r="B8" i="4" l="1"/>
  <c r="B11" i="5" s="1"/>
  <c r="B10" i="4"/>
  <c r="B15" i="5"/>
  <c r="B16" i="5" s="1"/>
  <c r="B12" i="5"/>
  <c r="B3" i="4"/>
  <c r="B6" i="5" s="1"/>
  <c r="B7" i="5" s="1"/>
  <c r="B2" i="5" l="1"/>
  <c r="B3" i="5" s="1"/>
  <c r="C4" i="3"/>
  <c r="D4" i="3"/>
  <c r="E4" i="3"/>
  <c r="F4" i="3"/>
  <c r="G4" i="3"/>
  <c r="H4" i="3"/>
  <c r="B6" i="3"/>
  <c r="B7" i="3" l="1"/>
  <c r="B9" i="3"/>
  <c r="B4" i="2"/>
  <c r="E5" i="1" l="1"/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Electrical Constant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Moment of Inertia.
(including the gear box)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Mechanical Constant</t>
        </r>
      </text>
    </comment>
  </commentList>
</comments>
</file>

<file path=xl/sharedStrings.xml><?xml version="1.0" encoding="utf-8"?>
<sst xmlns="http://schemas.openxmlformats.org/spreadsheetml/2006/main" count="92" uniqueCount="59">
  <si>
    <t>clock_f</t>
  </si>
  <si>
    <t>prescale</t>
  </si>
  <si>
    <t>desired f</t>
  </si>
  <si>
    <t>TOP</t>
  </si>
  <si>
    <t>desired TOP</t>
  </si>
  <si>
    <t>PWM Frecq</t>
  </si>
  <si>
    <t>time_on</t>
  </si>
  <si>
    <t>time_off</t>
  </si>
  <si>
    <t>speed</t>
  </si>
  <si>
    <t>speeed</t>
  </si>
  <si>
    <t>bemf</t>
  </si>
  <si>
    <t>R</t>
  </si>
  <si>
    <t>L</t>
  </si>
  <si>
    <t>J</t>
  </si>
  <si>
    <t>D</t>
  </si>
  <si>
    <t>Speed</t>
  </si>
  <si>
    <t>Kp</t>
  </si>
  <si>
    <t>Ki</t>
  </si>
  <si>
    <t>Current</t>
  </si>
  <si>
    <t>Current Filter</t>
  </si>
  <si>
    <t>C</t>
  </si>
  <si>
    <t>Tf</t>
  </si>
  <si>
    <t>Speed Filter</t>
  </si>
  <si>
    <t>fC</t>
  </si>
  <si>
    <t>wcc</t>
  </si>
  <si>
    <t>wcs</t>
  </si>
  <si>
    <t>Tm</t>
  </si>
  <si>
    <t>Measure R</t>
  </si>
  <si>
    <t>Applied Voltage[V]</t>
  </si>
  <si>
    <t>Calculated Resistance[Ohm]</t>
  </si>
  <si>
    <t>Measured Current[A]</t>
  </si>
  <si>
    <t>ks</t>
  </si>
  <si>
    <t>Speed Constant - Ks_m(rad/Vs)</t>
  </si>
  <si>
    <t>Torque Constant - kt (Nm/A)</t>
  </si>
  <si>
    <t>Speed Constant - Ks_m(rpm/Vs)</t>
  </si>
  <si>
    <t>Kt</t>
  </si>
  <si>
    <t>Te</t>
  </si>
  <si>
    <t>Gear Ratio</t>
  </si>
  <si>
    <t>Enter values in the green panels</t>
  </si>
  <si>
    <t>Volts</t>
  </si>
  <si>
    <t>GAIN</t>
  </si>
  <si>
    <t>OFFSET</t>
  </si>
  <si>
    <t>R1</t>
  </si>
  <si>
    <t>Ω</t>
  </si>
  <si>
    <t>R2</t>
  </si>
  <si>
    <t>Rf</t>
  </si>
  <si>
    <t>Rg</t>
  </si>
  <si>
    <r>
      <t xml:space="preserve">The voltage level of a stable reference   </t>
    </r>
    <r>
      <rPr>
        <b/>
        <sz val="11"/>
        <color theme="1"/>
        <rFont val="Calibri"/>
        <family val="2"/>
        <charset val="238"/>
        <scheme val="minor"/>
      </rPr>
      <t xml:space="preserve">Vref = </t>
    </r>
  </si>
  <si>
    <r>
      <t xml:space="preserve">The full-scale output voltage                </t>
    </r>
    <r>
      <rPr>
        <b/>
        <sz val="11"/>
        <color theme="1"/>
        <rFont val="Calibri"/>
        <family val="2"/>
        <charset val="238"/>
        <scheme val="minor"/>
      </rPr>
      <t xml:space="preserve">Voutfs = </t>
    </r>
  </si>
  <si>
    <r>
      <t xml:space="preserve">The zero-scale output voltage              </t>
    </r>
    <r>
      <rPr>
        <b/>
        <sz val="11"/>
        <color theme="1"/>
        <rFont val="Calibri"/>
        <family val="2"/>
        <charset val="238"/>
        <scheme val="minor"/>
      </rPr>
      <t>Voutzs =</t>
    </r>
  </si>
  <si>
    <r>
      <t xml:space="preserve">The full-scale input voltage                      </t>
    </r>
    <r>
      <rPr>
        <b/>
        <sz val="11"/>
        <color theme="1"/>
        <rFont val="Calibri"/>
        <family val="2"/>
        <charset val="238"/>
        <scheme val="minor"/>
      </rPr>
      <t xml:space="preserve">Vinfs </t>
    </r>
    <r>
      <rPr>
        <sz val="11"/>
        <color theme="1"/>
        <rFont val="Calibri"/>
        <family val="2"/>
        <charset val="238"/>
        <scheme val="minor"/>
      </rPr>
      <t>=</t>
    </r>
  </si>
  <si>
    <r>
      <t xml:space="preserve">The zero-scale input voltage                    </t>
    </r>
    <r>
      <rPr>
        <b/>
        <sz val="11"/>
        <color theme="1"/>
        <rFont val="Calibri"/>
        <family val="2"/>
        <charset val="238"/>
        <scheme val="minor"/>
      </rPr>
      <t xml:space="preserve">Vinzs </t>
    </r>
    <r>
      <rPr>
        <sz val="11"/>
        <color theme="1"/>
        <rFont val="Calibri"/>
        <family val="2"/>
        <charset val="238"/>
        <scheme val="minor"/>
      </rPr>
      <t>=</t>
    </r>
  </si>
  <si>
    <t>Rin</t>
  </si>
  <si>
    <t>Desired interrupt period</t>
  </si>
  <si>
    <t>Tcnt</t>
  </si>
  <si>
    <t>Tarr</t>
  </si>
  <si>
    <t>SysClk</t>
  </si>
  <si>
    <t>Tpsc</t>
  </si>
  <si>
    <t>Actual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</si>
</sst>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0"/>
    <numFmt numFmtId="172" formatCode="0.0000000000"/>
    <numFmt numFmtId="174" formatCode="0.000000000000"/>
  </numFmts>
  <fonts count="6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5" fillId="2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Border="1"/>
    <xf numFmtId="0" fontId="0" fillId="0" borderId="0" xfId="0" applyAlignment="1">
      <alignment horizontal="center"/>
    </xf>
    <xf numFmtId="170" fontId="0" fillId="0" borderId="0" xfId="0" applyNumberFormat="1"/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14286</xdr:colOff>
      <xdr:row>0</xdr:row>
      <xdr:rowOff>69057</xdr:rowOff>
    </xdr:from>
    <xdr:to>
      <xdr:col>8</xdr:col>
      <xdr:colOff>90922</xdr:colOff>
      <xdr:row>8</xdr:row>
      <xdr:rowOff>40691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9986" y="69057"/>
          <a:ext cx="3124636" cy="1495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35719</xdr:colOff>
      <xdr:row>0</xdr:row>
      <xdr:rowOff>39415</xdr:rowOff>
    </xdr:from>
    <xdr:to>
      <xdr:col>7</xdr:col>
      <xdr:colOff>551793</xdr:colOff>
      <xdr:row>8</xdr:row>
      <xdr:rowOff>86535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4047" y="39415"/>
          <a:ext cx="2959729" cy="1571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20" bestFit="1" customWidth="1"/>
    <col min="3" max="3" width="26.42578125" bestFit="1" customWidth="1"/>
  </cols>
  <sheetData>
    <row r="1" spans="1:3" x14ac:dyDescent="0.25">
      <c r="A1" s="2" t="s">
        <v>11</v>
      </c>
      <c r="B1">
        <v>2</v>
      </c>
    </row>
    <row r="2" spans="1:3" x14ac:dyDescent="0.25">
      <c r="A2" s="2" t="s">
        <v>12</v>
      </c>
      <c r="B2" s="1">
        <v>6.5099999999999999E-4</v>
      </c>
    </row>
    <row r="3" spans="1:3" x14ac:dyDescent="0.25">
      <c r="A3" s="2" t="s">
        <v>36</v>
      </c>
      <c r="B3">
        <f>1/500</f>
        <v>2E-3</v>
      </c>
    </row>
    <row r="4" spans="1:3" x14ac:dyDescent="0.25">
      <c r="A4" s="2" t="s">
        <v>13</v>
      </c>
      <c r="B4">
        <v>2.8000000000000002E-7</v>
      </c>
    </row>
    <row r="5" spans="1:3" x14ac:dyDescent="0.25">
      <c r="A5" s="2" t="s">
        <v>14</v>
      </c>
      <c r="B5">
        <v>9.9999999999999995E-7</v>
      </c>
    </row>
    <row r="6" spans="1:3" x14ac:dyDescent="0.25">
      <c r="A6" s="2" t="s">
        <v>35</v>
      </c>
      <c r="B6">
        <v>3.5000000000000001E-3</v>
      </c>
    </row>
    <row r="7" spans="1:3" x14ac:dyDescent="0.25">
      <c r="A7" s="2" t="s">
        <v>24</v>
      </c>
      <c r="B7">
        <f>500*2*3.14159265358979</f>
        <v>3141.5926535897902</v>
      </c>
    </row>
    <row r="8" spans="1:3" x14ac:dyDescent="0.25">
      <c r="A8" s="2" t="s">
        <v>25</v>
      </c>
      <c r="B8">
        <f>B7/10</f>
        <v>314.15926535897904</v>
      </c>
    </row>
    <row r="9" spans="1:3" x14ac:dyDescent="0.25">
      <c r="A9" s="2" t="s">
        <v>26</v>
      </c>
      <c r="B9">
        <v>4.5999999999999999E-2</v>
      </c>
    </row>
    <row r="10" spans="1:3" x14ac:dyDescent="0.25">
      <c r="A10" s="2" t="s">
        <v>37</v>
      </c>
      <c r="B10">
        <f>4.02*Mot_Param!B7/198</f>
        <v>63.783850845610885</v>
      </c>
    </row>
    <row r="11" spans="1:3" x14ac:dyDescent="0.25">
      <c r="A11" s="13" t="s">
        <v>27</v>
      </c>
      <c r="B11" s="13"/>
    </row>
    <row r="12" spans="1:3" x14ac:dyDescent="0.25">
      <c r="A12" t="s">
        <v>28</v>
      </c>
      <c r="B12" t="s">
        <v>30</v>
      </c>
      <c r="C12" t="s">
        <v>29</v>
      </c>
    </row>
    <row r="13" spans="1:3" x14ac:dyDescent="0.25">
      <c r="A13">
        <v>1</v>
      </c>
      <c r="B13">
        <v>0.22</v>
      </c>
      <c r="C13">
        <f>A13/B13</f>
        <v>4.5454545454545459</v>
      </c>
    </row>
    <row r="14" spans="1:3" x14ac:dyDescent="0.25">
      <c r="A14">
        <v>2.6</v>
      </c>
      <c r="B14">
        <v>0.60199999999999998</v>
      </c>
      <c r="C14">
        <f t="shared" ref="C14:C21" si="0">A14/B14</f>
        <v>4.3189368770764123</v>
      </c>
    </row>
    <row r="15" spans="1:3" x14ac:dyDescent="0.25">
      <c r="A15">
        <v>3.3</v>
      </c>
      <c r="B15">
        <v>0.82</v>
      </c>
      <c r="C15">
        <f t="shared" si="0"/>
        <v>4.024390243902439</v>
      </c>
    </row>
    <row r="16" spans="1:3" x14ac:dyDescent="0.25">
      <c r="A16">
        <v>4.8</v>
      </c>
      <c r="B16">
        <v>1.2250000000000001</v>
      </c>
      <c r="C16">
        <f t="shared" si="0"/>
        <v>3.918367346938775</v>
      </c>
    </row>
    <row r="17" spans="1:3" x14ac:dyDescent="0.25">
      <c r="A17">
        <v>5.6</v>
      </c>
      <c r="B17">
        <v>1.56</v>
      </c>
      <c r="C17">
        <f t="shared" si="0"/>
        <v>3.5897435897435894</v>
      </c>
    </row>
    <row r="18" spans="1:3" x14ac:dyDescent="0.25">
      <c r="A18">
        <v>9.3000000000000007</v>
      </c>
      <c r="B18">
        <v>2.65</v>
      </c>
      <c r="C18">
        <f t="shared" si="0"/>
        <v>3.5094339622641515</v>
      </c>
    </row>
    <row r="19" spans="1:3" x14ac:dyDescent="0.25">
      <c r="A19">
        <v>7.8</v>
      </c>
      <c r="B19">
        <v>2.1800000000000002</v>
      </c>
      <c r="C19">
        <f t="shared" si="0"/>
        <v>3.5779816513761467</v>
      </c>
    </row>
    <row r="20" spans="1:3" x14ac:dyDescent="0.25">
      <c r="A20">
        <v>6.8</v>
      </c>
      <c r="B20">
        <v>2</v>
      </c>
      <c r="C20">
        <f t="shared" si="0"/>
        <v>3.4</v>
      </c>
    </row>
    <row r="21" spans="1:3" x14ac:dyDescent="0.25">
      <c r="A21">
        <v>8</v>
      </c>
      <c r="B21">
        <v>2.2999999999999998</v>
      </c>
      <c r="C21">
        <f t="shared" si="0"/>
        <v>3.4782608695652177</v>
      </c>
    </row>
  </sheetData>
  <mergeCells count="1">
    <mergeCell ref="A11:B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E10" sqref="E10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15</v>
      </c>
    </row>
    <row r="2" spans="1:2" x14ac:dyDescent="0.25">
      <c r="A2" t="s">
        <v>17</v>
      </c>
      <c r="B2">
        <f>Mot_Param!B5/(16*Mot_Param!B3*Mot_Param!B6)</f>
        <v>8.9285714285714281E-3</v>
      </c>
    </row>
    <row r="3" spans="1:2" x14ac:dyDescent="0.25">
      <c r="A3" t="s">
        <v>16</v>
      </c>
      <c r="B3">
        <f>B2*Mot_Param!B4/Mot_Param!B5</f>
        <v>2.5000000000000001E-3</v>
      </c>
    </row>
    <row r="5" spans="1:2" x14ac:dyDescent="0.25">
      <c r="A5" t="s">
        <v>18</v>
      </c>
    </row>
    <row r="6" spans="1:2" x14ac:dyDescent="0.25">
      <c r="A6" t="s">
        <v>17</v>
      </c>
      <c r="B6">
        <f>Mot_Param!B1/(4*Mot_Param!B3)</f>
        <v>250</v>
      </c>
    </row>
    <row r="7" spans="1:2" x14ac:dyDescent="0.25">
      <c r="A7" t="s">
        <v>16</v>
      </c>
      <c r="B7" s="1">
        <f>B6*Mot_Param!B2/Mot_Param!B1</f>
        <v>8.1375000000000003E-2</v>
      </c>
    </row>
    <row r="10" spans="1:2" x14ac:dyDescent="0.25">
      <c r="A10" t="s">
        <v>15</v>
      </c>
    </row>
    <row r="11" spans="1:2" x14ac:dyDescent="0.25">
      <c r="A11" t="s">
        <v>17</v>
      </c>
      <c r="B11">
        <f>Mot_Param!B8*Mot_Param!B5/Mot_Param!B6</f>
        <v>8.9759790102565434E-2</v>
      </c>
    </row>
    <row r="12" spans="1:2" x14ac:dyDescent="0.25">
      <c r="A12" t="s">
        <v>16</v>
      </c>
      <c r="B12">
        <f>B11*Mot_Param!B9</f>
        <v>4.1289503447180095E-3</v>
      </c>
    </row>
    <row r="14" spans="1:2" x14ac:dyDescent="0.25">
      <c r="A14" t="s">
        <v>18</v>
      </c>
    </row>
    <row r="15" spans="1:2" x14ac:dyDescent="0.25">
      <c r="A15" t="s">
        <v>17</v>
      </c>
      <c r="B15">
        <f>Mot_Param!B7*Mot_Param!B1</f>
        <v>6283.1853071795804</v>
      </c>
    </row>
    <row r="16" spans="1:2" x14ac:dyDescent="0.25">
      <c r="A16" t="s">
        <v>16</v>
      </c>
      <c r="B16" s="1">
        <f>B15*Mot_Param!B2/Mot_Param!B1</f>
        <v>2.0451768174869533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G7" sqref="G7"/>
    </sheetView>
  </sheetViews>
  <sheetFormatPr defaultRowHeight="15" x14ac:dyDescent="0.25"/>
  <cols>
    <col min="4" max="4" width="11.7109375" bestFit="1" customWidth="1"/>
  </cols>
  <sheetData>
    <row r="1" spans="1:5" x14ac:dyDescent="0.25">
      <c r="A1" t="s">
        <v>0</v>
      </c>
      <c r="B1">
        <v>16000000</v>
      </c>
      <c r="D1" t="s">
        <v>0</v>
      </c>
      <c r="E1">
        <v>16000000</v>
      </c>
    </row>
    <row r="2" spans="1:5" x14ac:dyDescent="0.25">
      <c r="A2" t="s">
        <v>1</v>
      </c>
      <c r="B2">
        <v>1</v>
      </c>
      <c r="D2" t="s">
        <v>1</v>
      </c>
      <c r="E2">
        <v>1</v>
      </c>
    </row>
    <row r="3" spans="1:5" x14ac:dyDescent="0.25">
      <c r="A3" t="s">
        <v>2</v>
      </c>
      <c r="B3">
        <v>500</v>
      </c>
      <c r="D3" t="s">
        <v>4</v>
      </c>
      <c r="E3">
        <v>2457</v>
      </c>
    </row>
    <row r="5" spans="1:5" x14ac:dyDescent="0.25">
      <c r="A5" t="s">
        <v>3</v>
      </c>
      <c r="B5">
        <f>B1/(2*B2*B3)</f>
        <v>16000</v>
      </c>
      <c r="D5" t="s">
        <v>5</v>
      </c>
      <c r="E5">
        <f>E1/(2*E2*E3)</f>
        <v>3256.003256003256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6</v>
      </c>
      <c r="B1">
        <v>2.3999999999999998E-3</v>
      </c>
    </row>
    <row r="2" spans="1:2" x14ac:dyDescent="0.25">
      <c r="A2" t="s">
        <v>7</v>
      </c>
      <c r="B2">
        <v>2.0500000000000002E-3</v>
      </c>
    </row>
    <row r="4" spans="1:2" x14ac:dyDescent="0.25">
      <c r="A4" t="s">
        <v>8</v>
      </c>
      <c r="B4">
        <f>60/(15*(B1+B2))</f>
        <v>898.87640449438197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2" bestFit="1" customWidth="1"/>
  </cols>
  <sheetData>
    <row r="1" spans="1:2" x14ac:dyDescent="0.25">
      <c r="A1" t="s">
        <v>19</v>
      </c>
    </row>
    <row r="2" spans="1:2" x14ac:dyDescent="0.25">
      <c r="A2" t="s">
        <v>11</v>
      </c>
      <c r="B2">
        <v>100000</v>
      </c>
    </row>
    <row r="3" spans="1:2" x14ac:dyDescent="0.25">
      <c r="A3" t="s">
        <v>20</v>
      </c>
      <c r="B3">
        <f>0.000000047</f>
        <v>4.6999999999999997E-8</v>
      </c>
    </row>
    <row r="4" spans="1:2" x14ac:dyDescent="0.25">
      <c r="A4" t="s">
        <v>23</v>
      </c>
      <c r="B4">
        <f>1/(B2*B3)</f>
        <v>212.76595744680853</v>
      </c>
    </row>
    <row r="5" spans="1:2" x14ac:dyDescent="0.25">
      <c r="A5" t="s">
        <v>21</v>
      </c>
      <c r="B5">
        <f>1/B4</f>
        <v>4.6999999999999993E-3</v>
      </c>
    </row>
    <row r="6" spans="1:2" x14ac:dyDescent="0.25">
      <c r="A6" t="s">
        <v>22</v>
      </c>
    </row>
    <row r="7" spans="1:2" x14ac:dyDescent="0.25">
      <c r="A7" t="s">
        <v>11</v>
      </c>
      <c r="B7">
        <v>47000</v>
      </c>
    </row>
    <row r="8" spans="1:2" x14ac:dyDescent="0.25">
      <c r="A8" t="s">
        <v>20</v>
      </c>
      <c r="B8">
        <f>0.00000022</f>
        <v>2.2000000000000001E-7</v>
      </c>
    </row>
    <row r="9" spans="1:2" x14ac:dyDescent="0.25">
      <c r="A9" t="s">
        <v>23</v>
      </c>
      <c r="B9">
        <f>1/(B7*B8)</f>
        <v>96.71179883945841</v>
      </c>
    </row>
    <row r="10" spans="1:2" x14ac:dyDescent="0.25">
      <c r="A10" t="s">
        <v>21</v>
      </c>
      <c r="B10">
        <f>1/B9</f>
        <v>1.034E-2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A12" sqref="A12"/>
    </sheetView>
  </sheetViews>
  <sheetFormatPr defaultRowHeight="15" x14ac:dyDescent="0.25"/>
  <cols>
    <col min="1" max="1" width="29" bestFit="1" customWidth="1"/>
    <col min="2" max="2" width="12" bestFit="1" customWidth="1"/>
  </cols>
  <sheetData>
    <row r="1" spans="1:8" x14ac:dyDescent="0.25">
      <c r="A1" t="s">
        <v>9</v>
      </c>
      <c r="B1">
        <v>888</v>
      </c>
      <c r="C1">
        <v>890</v>
      </c>
      <c r="D1">
        <v>892</v>
      </c>
      <c r="E1">
        <v>895</v>
      </c>
      <c r="F1">
        <v>898</v>
      </c>
      <c r="G1">
        <v>900</v>
      </c>
      <c r="H1">
        <v>905</v>
      </c>
    </row>
    <row r="2" spans="1:8" x14ac:dyDescent="0.25">
      <c r="A2" t="s">
        <v>10</v>
      </c>
      <c r="B2">
        <v>0.32200000000000001</v>
      </c>
      <c r="C2">
        <v>0.32500000000000001</v>
      </c>
      <c r="D2">
        <v>0.32700000000000001</v>
      </c>
      <c r="E2">
        <v>0.32900000000000001</v>
      </c>
      <c r="F2">
        <v>0.32950000000000002</v>
      </c>
      <c r="G2">
        <v>0.33</v>
      </c>
      <c r="H2">
        <v>0.33500000000000002</v>
      </c>
    </row>
    <row r="4" spans="1:8" x14ac:dyDescent="0.25">
      <c r="A4" t="s">
        <v>31</v>
      </c>
      <c r="B4">
        <f>(B1*3.14159265358979/30)/B2</f>
        <v>288.7923681560801</v>
      </c>
      <c r="C4">
        <f t="shared" ref="C4:H4" si="0">(C1*3.14159265358979/30)/C2</f>
        <v>286.77102171229876</v>
      </c>
      <c r="D4">
        <f t="shared" si="0"/>
        <v>285.65755830806245</v>
      </c>
      <c r="E4">
        <f t="shared" si="0"/>
        <v>284.87592958083712</v>
      </c>
      <c r="F4">
        <f t="shared" si="0"/>
        <v>285.39708679045333</v>
      </c>
      <c r="G4">
        <f t="shared" si="0"/>
        <v>285.59933214452633</v>
      </c>
      <c r="H4">
        <f t="shared" si="0"/>
        <v>282.89963696505072</v>
      </c>
    </row>
    <row r="6" spans="1:8" x14ac:dyDescent="0.25">
      <c r="A6" t="s">
        <v>32</v>
      </c>
      <c r="B6">
        <f>SUM(B4:H4)/7</f>
        <v>285.71327623675842</v>
      </c>
    </row>
    <row r="7" spans="1:8" x14ac:dyDescent="0.25">
      <c r="A7" t="s">
        <v>34</v>
      </c>
      <c r="B7">
        <f>B6*30/3.14159265358979</f>
        <v>2728.3608132036184</v>
      </c>
    </row>
    <row r="9" spans="1:8" x14ac:dyDescent="0.25">
      <c r="A9" t="s">
        <v>33</v>
      </c>
      <c r="B9">
        <f>1/B6</f>
        <v>3.500012366143401E-3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zoomScale="160" zoomScaleNormal="160" workbookViewId="0">
      <selection activeCell="B11" sqref="B11"/>
    </sheetView>
  </sheetViews>
  <sheetFormatPr defaultRowHeight="15" x14ac:dyDescent="0.25"/>
  <cols>
    <col min="1" max="1" width="40.7109375" bestFit="1" customWidth="1"/>
    <col min="3" max="3" width="5.5703125" bestFit="1" customWidth="1"/>
  </cols>
  <sheetData>
    <row r="1" spans="1:8" x14ac:dyDescent="0.25">
      <c r="A1" s="3" t="s">
        <v>38</v>
      </c>
      <c r="D1" s="4"/>
      <c r="E1" s="4"/>
      <c r="F1" s="4"/>
      <c r="G1" s="4"/>
      <c r="H1" s="4"/>
    </row>
    <row r="2" spans="1:8" x14ac:dyDescent="0.25">
      <c r="A2" s="4" t="s">
        <v>47</v>
      </c>
      <c r="B2" s="5">
        <v>5</v>
      </c>
      <c r="C2" s="6" t="s">
        <v>39</v>
      </c>
      <c r="D2" s="4"/>
      <c r="E2" s="4"/>
      <c r="F2" s="4"/>
      <c r="G2" s="4"/>
      <c r="H2" s="4"/>
    </row>
    <row r="3" spans="1:8" x14ac:dyDescent="0.25">
      <c r="A3" s="4" t="s">
        <v>48</v>
      </c>
      <c r="B3" s="5">
        <v>4.82</v>
      </c>
      <c r="C3" s="6" t="s">
        <v>39</v>
      </c>
      <c r="D3" s="4"/>
      <c r="E3" s="4"/>
      <c r="F3" s="4"/>
      <c r="G3" s="4"/>
      <c r="H3" s="4"/>
    </row>
    <row r="4" spans="1:8" x14ac:dyDescent="0.25">
      <c r="A4" s="4" t="s">
        <v>49</v>
      </c>
      <c r="B4" s="5">
        <v>2.5</v>
      </c>
      <c r="C4" s="6" t="s">
        <v>39</v>
      </c>
      <c r="D4" s="4"/>
      <c r="E4" s="4"/>
      <c r="F4" s="4"/>
      <c r="G4" s="4"/>
      <c r="H4" s="4"/>
    </row>
    <row r="5" spans="1:8" x14ac:dyDescent="0.25">
      <c r="A5" s="4" t="s">
        <v>50</v>
      </c>
      <c r="B5" s="5">
        <v>0.17</v>
      </c>
      <c r="C5" s="6" t="s">
        <v>39</v>
      </c>
      <c r="D5" s="4"/>
      <c r="E5" s="4"/>
      <c r="F5" s="4"/>
      <c r="G5" s="4"/>
      <c r="H5" s="4"/>
    </row>
    <row r="6" spans="1:8" x14ac:dyDescent="0.25">
      <c r="A6" s="4" t="s">
        <v>51</v>
      </c>
      <c r="B6" s="5">
        <v>0</v>
      </c>
      <c r="C6" s="6" t="s">
        <v>39</v>
      </c>
      <c r="D6" s="4"/>
      <c r="E6" s="4"/>
      <c r="F6" s="4"/>
      <c r="G6" s="4"/>
      <c r="H6" s="4"/>
    </row>
    <row r="7" spans="1:8" x14ac:dyDescent="0.25">
      <c r="A7" s="4"/>
      <c r="B7" s="4"/>
      <c r="C7" s="6"/>
      <c r="D7" s="4"/>
      <c r="E7" s="4"/>
      <c r="F7" s="4"/>
      <c r="G7" s="4"/>
      <c r="H7" s="4"/>
    </row>
    <row r="8" spans="1:8" x14ac:dyDescent="0.25">
      <c r="A8" s="7" t="s">
        <v>40</v>
      </c>
      <c r="B8" s="8">
        <f>(B3-B4)/(B5-B6)</f>
        <v>13.647058823529413</v>
      </c>
      <c r="C8" s="6" t="s">
        <v>39</v>
      </c>
      <c r="D8" s="4"/>
      <c r="E8" s="4"/>
      <c r="F8" s="4"/>
      <c r="G8" s="4"/>
      <c r="H8" s="4"/>
    </row>
    <row r="9" spans="1:8" x14ac:dyDescent="0.25">
      <c r="A9" s="7" t="s">
        <v>41</v>
      </c>
      <c r="B9" s="8">
        <f>B4-(B8*B6)</f>
        <v>2.5</v>
      </c>
      <c r="C9" s="6" t="s">
        <v>39</v>
      </c>
      <c r="D9" s="4"/>
      <c r="E9" s="4"/>
      <c r="F9" s="4"/>
      <c r="G9" s="4"/>
      <c r="H9" s="4"/>
    </row>
    <row r="10" spans="1:8" x14ac:dyDescent="0.25">
      <c r="A10" s="4"/>
      <c r="B10" s="4"/>
      <c r="C10" s="6"/>
      <c r="D10" s="4"/>
      <c r="E10" s="4"/>
      <c r="F10" s="4"/>
      <c r="G10" s="4"/>
      <c r="H10" s="4"/>
    </row>
    <row r="11" spans="1:8" x14ac:dyDescent="0.25">
      <c r="A11" s="6" t="s">
        <v>42</v>
      </c>
      <c r="B11" s="9">
        <v>1720</v>
      </c>
      <c r="C11" s="10" t="s">
        <v>43</v>
      </c>
      <c r="D11" s="4"/>
      <c r="E11" s="4"/>
      <c r="F11" s="4"/>
      <c r="G11" s="4"/>
      <c r="H11" s="4"/>
    </row>
    <row r="12" spans="1:8" x14ac:dyDescent="0.25">
      <c r="A12" s="6" t="s">
        <v>44</v>
      </c>
      <c r="B12" s="8">
        <f>B2*B11*B8/B9</f>
        <v>46945.882352941182</v>
      </c>
      <c r="C12" s="10" t="s">
        <v>43</v>
      </c>
      <c r="D12" s="4"/>
      <c r="E12" s="4"/>
      <c r="F12" s="4"/>
      <c r="G12" s="4"/>
      <c r="H12" s="4"/>
    </row>
    <row r="13" spans="1:8" x14ac:dyDescent="0.25">
      <c r="A13" s="6" t="s">
        <v>45</v>
      </c>
      <c r="B13" s="9">
        <v>1330</v>
      </c>
      <c r="C13" s="10" t="s">
        <v>43</v>
      </c>
      <c r="D13" s="4"/>
      <c r="E13" s="4"/>
      <c r="F13" s="4"/>
      <c r="G13" s="4"/>
      <c r="H13" s="4"/>
    </row>
    <row r="14" spans="1:8" x14ac:dyDescent="0.25">
      <c r="A14" s="6" t="s">
        <v>46</v>
      </c>
      <c r="B14" s="8">
        <f>B12*B13/(B8*(B11+B12)-B12)</f>
        <v>101.16331096196868</v>
      </c>
      <c r="C14" s="10" t="s">
        <v>43</v>
      </c>
      <c r="D14" s="4"/>
      <c r="E14" s="4"/>
      <c r="F14" s="4"/>
      <c r="G14" s="4"/>
      <c r="H14" s="4"/>
    </row>
    <row r="15" spans="1:8" x14ac:dyDescent="0.25">
      <c r="A15" s="11"/>
      <c r="B15" s="11"/>
      <c r="C15" s="11"/>
      <c r="D15" s="11"/>
      <c r="E15" s="11"/>
      <c r="F15" s="11"/>
      <c r="G15" s="11"/>
    </row>
    <row r="16" spans="1:8" x14ac:dyDescent="0.25">
      <c r="A16" s="11"/>
      <c r="B16" s="11"/>
      <c r="C16" s="11"/>
      <c r="D16" s="11"/>
      <c r="E16" s="1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topLeftCell="B1" zoomScale="145" zoomScaleNormal="145" workbookViewId="0">
      <selection activeCell="B6" sqref="B6"/>
    </sheetView>
  </sheetViews>
  <sheetFormatPr defaultRowHeight="15" x14ac:dyDescent="0.25"/>
  <cols>
    <col min="1" max="1" width="40.7109375" bestFit="1" customWidth="1"/>
    <col min="3" max="3" width="5.5703125" bestFit="1" customWidth="1"/>
  </cols>
  <sheetData>
    <row r="1" spans="1:8" x14ac:dyDescent="0.25">
      <c r="A1" s="3" t="s">
        <v>38</v>
      </c>
      <c r="D1" s="4"/>
      <c r="E1" s="4"/>
      <c r="F1" s="4"/>
      <c r="G1" s="4"/>
      <c r="H1" s="4"/>
    </row>
    <row r="2" spans="1:8" x14ac:dyDescent="0.25">
      <c r="A2" s="4"/>
      <c r="B2" s="12"/>
      <c r="C2" s="6"/>
      <c r="D2" s="4"/>
      <c r="E2" s="4"/>
      <c r="F2" s="4"/>
      <c r="G2" s="4"/>
      <c r="H2" s="4"/>
    </row>
    <row r="3" spans="1:8" x14ac:dyDescent="0.25">
      <c r="A3" s="4" t="s">
        <v>48</v>
      </c>
      <c r="B3" s="5">
        <v>4.82</v>
      </c>
      <c r="C3" s="6" t="s">
        <v>39</v>
      </c>
      <c r="D3" s="4"/>
      <c r="E3" s="4"/>
      <c r="F3" s="4"/>
      <c r="G3" s="4"/>
      <c r="H3" s="4"/>
    </row>
    <row r="4" spans="1:8" x14ac:dyDescent="0.25">
      <c r="A4" s="4"/>
      <c r="B4" s="12"/>
      <c r="C4" s="6"/>
      <c r="D4" s="4"/>
      <c r="E4" s="4"/>
      <c r="F4" s="4"/>
      <c r="G4" s="4"/>
      <c r="H4" s="4"/>
    </row>
    <row r="5" spans="1:8" x14ac:dyDescent="0.25">
      <c r="A5" s="4" t="s">
        <v>50</v>
      </c>
      <c r="B5" s="5">
        <v>0.81</v>
      </c>
      <c r="C5" s="6" t="s">
        <v>39</v>
      </c>
      <c r="D5" s="4"/>
      <c r="E5" s="4"/>
      <c r="F5" s="4"/>
      <c r="G5" s="4"/>
      <c r="H5" s="4"/>
    </row>
    <row r="6" spans="1:8" x14ac:dyDescent="0.25">
      <c r="A6" s="4"/>
      <c r="B6" s="12"/>
      <c r="C6" s="6"/>
      <c r="D6" s="4"/>
      <c r="E6" s="4"/>
      <c r="F6" s="4"/>
      <c r="G6" s="4"/>
      <c r="H6" s="4"/>
    </row>
    <row r="7" spans="1:8" x14ac:dyDescent="0.25">
      <c r="A7" s="4"/>
      <c r="B7" s="4"/>
      <c r="C7" s="6"/>
      <c r="D7" s="4"/>
      <c r="E7" s="4"/>
      <c r="F7" s="4"/>
      <c r="G7" s="4"/>
      <c r="H7" s="4"/>
    </row>
    <row r="8" spans="1:8" x14ac:dyDescent="0.25">
      <c r="A8" s="7" t="s">
        <v>40</v>
      </c>
      <c r="B8" s="8">
        <f>(B3)/(B5)</f>
        <v>5.9506172839506171</v>
      </c>
      <c r="C8" s="6"/>
      <c r="D8" s="4"/>
      <c r="E8" s="4"/>
      <c r="F8" s="4"/>
      <c r="G8" s="4"/>
      <c r="H8" s="4"/>
    </row>
    <row r="9" spans="1:8" x14ac:dyDescent="0.25">
      <c r="A9" s="7"/>
      <c r="B9" s="11"/>
      <c r="C9" s="6"/>
      <c r="D9" s="4"/>
      <c r="E9" s="4"/>
      <c r="F9" s="4"/>
      <c r="G9" s="4"/>
      <c r="H9" s="4"/>
    </row>
    <row r="10" spans="1:8" x14ac:dyDescent="0.25">
      <c r="A10" s="7" t="s">
        <v>52</v>
      </c>
      <c r="B10" s="5">
        <v>180</v>
      </c>
      <c r="C10" s="6" t="s">
        <v>39</v>
      </c>
      <c r="D10" s="4"/>
      <c r="E10" s="4"/>
      <c r="F10" s="4"/>
      <c r="G10" s="4"/>
      <c r="H10" s="4"/>
    </row>
    <row r="11" spans="1:8" x14ac:dyDescent="0.25">
      <c r="A11" s="6" t="s">
        <v>45</v>
      </c>
      <c r="B11" s="8">
        <f>(B8-1)*B10</f>
        <v>891.11111111111109</v>
      </c>
      <c r="C11" s="6" t="s">
        <v>39</v>
      </c>
      <c r="D11" s="4"/>
      <c r="E11" s="4"/>
      <c r="F11" s="4"/>
      <c r="G11" s="4"/>
      <c r="H11" s="4"/>
    </row>
    <row r="12" spans="1:8" x14ac:dyDescent="0.25">
      <c r="A12" s="6"/>
      <c r="B12" s="4"/>
      <c r="C12" s="10"/>
      <c r="D12" s="4"/>
      <c r="E12" s="4"/>
      <c r="F12" s="4"/>
      <c r="G12" s="4"/>
      <c r="H12" s="4"/>
    </row>
    <row r="13" spans="1:8" x14ac:dyDescent="0.25">
      <c r="A13" s="6"/>
      <c r="B13" s="4"/>
      <c r="C13" s="10"/>
      <c r="D13" s="4"/>
      <c r="E13" s="4"/>
      <c r="F13" s="4"/>
      <c r="G13" s="4"/>
      <c r="H13" s="4"/>
    </row>
    <row r="14" spans="1:8" x14ac:dyDescent="0.25">
      <c r="A14" s="6"/>
      <c r="B14" s="4"/>
      <c r="C14" s="10"/>
      <c r="D14" s="4"/>
      <c r="E14" s="4"/>
      <c r="F14" s="4"/>
      <c r="G14" s="4"/>
      <c r="H14" s="4"/>
    </row>
    <row r="15" spans="1:8" x14ac:dyDescent="0.25">
      <c r="A15" s="11"/>
      <c r="B15" s="11"/>
      <c r="C15" s="11"/>
      <c r="D15" s="11"/>
      <c r="E15" s="11"/>
      <c r="F15" s="11"/>
      <c r="G15" s="11"/>
    </row>
    <row r="16" spans="1:8" x14ac:dyDescent="0.25">
      <c r="A16" s="11"/>
      <c r="B16" s="11"/>
      <c r="C16" s="11"/>
      <c r="D16" s="11"/>
      <c r="E16" s="1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34E8-AF84-4E17-B244-6C0CEE42590C}">
  <dimension ref="A1:E6"/>
  <sheetViews>
    <sheetView tabSelected="1" workbookViewId="0">
      <selection activeCell="E13" sqref="E13"/>
    </sheetView>
  </sheetViews>
  <sheetFormatPr defaultRowHeight="15" x14ac:dyDescent="0.25"/>
  <cols>
    <col min="1" max="1" width="23" bestFit="1" customWidth="1"/>
    <col min="2" max="2" width="12.5703125" bestFit="1" customWidth="1"/>
    <col min="5" max="5" width="14.7109375" bestFit="1" customWidth="1"/>
  </cols>
  <sheetData>
    <row r="1" spans="1:5" x14ac:dyDescent="0.25">
      <c r="A1" t="s">
        <v>53</v>
      </c>
      <c r="B1">
        <v>1E-4</v>
      </c>
    </row>
    <row r="2" spans="1:5" x14ac:dyDescent="0.25">
      <c r="A2" t="s">
        <v>58</v>
      </c>
      <c r="B2" s="14">
        <f>B6*B5</f>
        <v>1E-4</v>
      </c>
    </row>
    <row r="3" spans="1:5" x14ac:dyDescent="0.25">
      <c r="A3" t="s">
        <v>56</v>
      </c>
      <c r="B3">
        <v>84000000</v>
      </c>
    </row>
    <row r="4" spans="1:5" x14ac:dyDescent="0.25">
      <c r="A4" t="s">
        <v>57</v>
      </c>
      <c r="B4">
        <v>0</v>
      </c>
      <c r="C4">
        <f>((B1*B3)/B5)-1</f>
        <v>0</v>
      </c>
    </row>
    <row r="5" spans="1:5" x14ac:dyDescent="0.25">
      <c r="A5" t="s">
        <v>55</v>
      </c>
      <c r="B5">
        <v>8400</v>
      </c>
      <c r="C5">
        <f>B1/B6</f>
        <v>8400</v>
      </c>
      <c r="E5">
        <f>4000/0.0001</f>
        <v>40000000</v>
      </c>
    </row>
    <row r="6" spans="1:5" x14ac:dyDescent="0.25">
      <c r="A6" t="s">
        <v>54</v>
      </c>
      <c r="B6" s="15">
        <f>(B4+1)/B3</f>
        <v>1.1904761904761905E-8</v>
      </c>
      <c r="E6" s="16">
        <f>B6*12</f>
        <v>1.4285714285714287E-7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Mot_Param</vt:lpstr>
      <vt:lpstr>Controller Gain</vt:lpstr>
      <vt:lpstr>pwm_top</vt:lpstr>
      <vt:lpstr>speed_encoder</vt:lpstr>
      <vt:lpstr>Filters</vt:lpstr>
      <vt:lpstr>bemf_Kt</vt:lpstr>
      <vt:lpstr>SpeedSensorOpAmpG&amp;O</vt:lpstr>
      <vt:lpstr>CurrentSensingOpAmpGain</vt:lpstr>
      <vt:lpstr>TImers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AnAx</dc:creator>
  <cp:lastModifiedBy>Axinte, Andrei</cp:lastModifiedBy>
  <dcterms:created xsi:type="dcterms:W3CDTF">2017-10-31T18:56:04Z</dcterms:created>
  <dcterms:modified xsi:type="dcterms:W3CDTF">2020-04-14T07:34:11Z</dcterms:modified>
</cp:coreProperties>
</file>