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.amoroso/Desktop/"/>
    </mc:Choice>
  </mc:AlternateContent>
  <xr:revisionPtr revIDLastSave="0" documentId="13_ncr:1_{51102D21-81D9-B042-BE9F-DB1C2ADCBA10}" xr6:coauthVersionLast="47" xr6:coauthVersionMax="47" xr10:uidLastSave="{00000000-0000-0000-0000-000000000000}"/>
  <bookViews>
    <workbookView xWindow="38400" yWindow="0" windowWidth="38400" windowHeight="25600" firstSheet="1" activeTab="1" xr2:uid="{58EE15FB-11EE-4ED0-84D3-AACD37EF164E}"/>
  </bookViews>
  <sheets>
    <sheet name="Summry" sheetId="2" r:id="rId1"/>
    <sheet name="IT VALUES" sheetId="1" r:id="rId2"/>
  </sheets>
  <externalReferences>
    <externalReference r:id="rId3"/>
  </externalReferences>
  <definedNames>
    <definedName name="_Fill" hidden="1">#REF!</definedName>
    <definedName name="_Key1" hidden="1">#REF!</definedName>
    <definedName name="_Order1" hidden="1">255</definedName>
    <definedName name="_Sort" hidden="1">#REF!</definedName>
    <definedName name="a">#REF!</definedName>
    <definedName name="AA">#REF!</definedName>
    <definedName name="ACQUISTI">#REF!</definedName>
    <definedName name="Actual_YTD_vs_PY_2001">#REF!</definedName>
    <definedName name="ActualvsBudget">#REF!</definedName>
    <definedName name="ActualvsPriorYear">#REF!</definedName>
    <definedName name="Ammortamento">#REF!</definedName>
    <definedName name="Amort">#REF!</definedName>
    <definedName name="Average_pay_increases">#REF!</definedName>
    <definedName name="b">#REF!</definedName>
    <definedName name="Benefit_rate">#REF!</definedName>
    <definedName name="Budget">#REF!</definedName>
    <definedName name="Budgetlire">#REF!,#REF!,#REF!,#REF!,#REF!,#REF!,#REF!,#REF!,#REF!,#REF!,#REF!,#REF!,#REF!,#REF!,#REF!,#REF!,#REF!,#REF!,#REF!,#REF!,#REF!,#REF!,#REF!,#REF!,#REF!,#REF!,#REF!,#REF!,#REF!,#REF!,#REF!,#REF!,#REF!,#REF!,#REF!,#REF!</definedName>
    <definedName name="Canone">#REF!</definedName>
    <definedName name="Cap_residuo">#REF!</definedName>
    <definedName name="cazzo">#REF!</definedName>
    <definedName name="CICCIO">#REF!,#REF!,#REF!,#REF!,#REF!,#REF!,#REF!,#REF!,#REF!,#REF!,#REF!,#REF!,#REF!,#REF!,#REF!,#REF!,#REF!,#REF!,#REF!,#REF!,#REF!,#REF!,#REF!,#REF!,#REF!,#REF!,#REF!,#REF!,#REF!,#REF!,#REF!,#REF!,#REF!,#REF!,#REF!,#REF!</definedName>
    <definedName name="Classe">#REF!</definedName>
    <definedName name="Classi">#REF!</definedName>
    <definedName name="Classirisorse">#REF!</definedName>
    <definedName name="ClientData1">#REF!</definedName>
    <definedName name="Coeff">#REF!</definedName>
    <definedName name="CorDev">#REF!</definedName>
    <definedName name="costomat">#REF!</definedName>
    <definedName name="d">#REF!</definedName>
    <definedName name="Data_di_riferimento">#REF!</definedName>
    <definedName name="Data_pagamento_ultimo_canone">#REF!</definedName>
    <definedName name="_xlnm.Database">#REF!</definedName>
    <definedName name="Database1">#REF!</definedName>
    <definedName name="DD" hidden="1">#REF!</definedName>
    <definedName name="Descrizione">#REF!</definedName>
    <definedName name="Durata_anni">#REF!</definedName>
    <definedName name="Durata_mesi">#REF!</definedName>
    <definedName name="e">#REF!</definedName>
    <definedName name="End_date">#REF!</definedName>
    <definedName name="Ex_rate">#REF!</definedName>
    <definedName name="find" hidden="1">{#N/A,#N/A,TRUE,"AHPFOR95"}</definedName>
    <definedName name="FINE">#REF!</definedName>
    <definedName name="FormulaTable1">#REF!</definedName>
    <definedName name="fornitore">#REF!</definedName>
    <definedName name="GandA">#REF!</definedName>
    <definedName name="gianluca" hidden="1">{#N/A,#N/A,TRUE,"AHPFOR95"}</definedName>
    <definedName name="Headcount">#REF!</definedName>
    <definedName name="Headcount_increases">#REF!</definedName>
    <definedName name="hhh" hidden="1">#REF!</definedName>
    <definedName name="HypProd">#REF!</definedName>
    <definedName name="Income_Taxes">#REF!</definedName>
    <definedName name="MainTable1">#REF!</definedName>
    <definedName name="manobase">#REF!</definedName>
    <definedName name="manodir">#REF!</definedName>
    <definedName name="Marketing">#REF!</definedName>
    <definedName name="MarketingA">#REF!</definedName>
    <definedName name="master">#REF!</definedName>
    <definedName name="Maxicanone">#REF!</definedName>
    <definedName name="Medical_dental_monthly_charge">#REF!</definedName>
    <definedName name="Medical_rates">#REF!</definedName>
    <definedName name="Mese">#REF!</definedName>
    <definedName name="Mesi_trascorsi">#REF!</definedName>
    <definedName name="Mesi_trscorsi">#REF!</definedName>
    <definedName name="mydata1">#REF!</definedName>
    <definedName name="Niz">#REF!</definedName>
    <definedName name="Niz_UNIT_COST_SUMMARY">#REF!</definedName>
    <definedName name="Numero_pagamenti">#REF!</definedName>
    <definedName name="other">#REF!</definedName>
    <definedName name="other_mark_and_sales_expsenses">#REF!</definedName>
    <definedName name="OtherIncome">#REF!</definedName>
    <definedName name="Pagamento_riscatto_con_ultimo_canone">#REF!</definedName>
    <definedName name="Payroll">#REF!</definedName>
    <definedName name="Periodicità_annua_pagamenti">#REF!</definedName>
    <definedName name="Piano">#REF!</definedName>
    <definedName name="Pippo">#REF!,#REF!,#REF!,#REF!,#REF!,#REF!,#REF!,#REF!,#REF!,#REF!,#REF!,#REF!,#REF!,#REF!,#REF!,#REF!,#REF!,#REF!,#REF!,#REF!,#REF!,#REF!,#REF!,#REF!,#REF!,#REF!,#REF!,#REF!,#REF!,#REF!,#REF!,#REF!,#REF!,#REF!,#REF!,#REF!</definedName>
    <definedName name="pippo2">#REF!,#REF!,#REF!,#REF!,#REF!,#REF!,#REF!,#REF!,#REF!,#REF!,#REF!,#REF!,#REF!,#REF!,#REF!,#REF!,#REF!,#REF!,#REF!,#REF!,#REF!</definedName>
    <definedName name="PLLineNo">#REF!</definedName>
    <definedName name="ProdFamName">#REF!</definedName>
    <definedName name="ProdFamNames1">#REF!</definedName>
    <definedName name="RandD">#REF!</definedName>
    <definedName name="Rata">#REF!</definedName>
    <definedName name="Riscatto">#REF!</definedName>
    <definedName name="Risorse">#REF!</definedName>
    <definedName name="Sales_analysis">#REF!</definedName>
    <definedName name="Sales_units">#REF!</definedName>
    <definedName name="SAPCrosstab1">#REF!</definedName>
    <definedName name="SAPCrosstab2">#REF!</definedName>
    <definedName name="SAPCrosstab3">#REF!</definedName>
    <definedName name="Selling">#REF!</definedName>
    <definedName name="Start_date">#REF!</definedName>
    <definedName name="sù" hidden="1">#REF!</definedName>
    <definedName name="Tcosti">#REF!</definedName>
    <definedName name="Tcosto">#REF!</definedName>
    <definedName name="tmese">#REF!</definedName>
    <definedName name="totalelire">#REF!,#REF!,#REF!,#REF!,#REF!,#REF!,#REF!,#REF!,#REF!,#REF!,#REF!,#REF!,#REF!,#REF!,#REF!,#REF!,#REF!,#REF!,#REF!,#REF!,#REF!,#REF!,#REF!,#REF!,#REF!,#REF!,#REF!,#REF!,#REF!,#REF!,#REF!,#REF!,#REF!,#REF!,#REF!,#REF!</definedName>
    <definedName name="tt">#REF!,#REF!,#REF!,#REF!,#REF!,#REF!,#REF!,#REF!,#REF!,#REF!,#REF!,#REF!,#REF!,#REF!,#REF!,#REF!,#REF!,#REF!,#REF!,#REF!,#REF!,#REF!,#REF!,#REF!,#REF!,#REF!,#REF!,#REF!,#REF!,#REF!,#REF!,#REF!,#REF!,#REF!,#REF!,#REF!</definedName>
    <definedName name="Valore_bene">#REF!</definedName>
    <definedName name="WandL">#REF!</definedName>
    <definedName name="wrn.INCOME._.STATEMENT._.FORECAST." hidden="1">{#N/A,#N/A,TRUE,"AHPFOR95"}</definedName>
    <definedName name="xù">#REF!</definedName>
    <definedName name="YTD_Actual_vs_Budget">#REF!</definedName>
  </definedName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2" l="1"/>
  <c r="F30" i="2"/>
  <c r="F28" i="2"/>
  <c r="F25" i="2"/>
  <c r="F24" i="2"/>
  <c r="F23" i="2"/>
  <c r="F22" i="2"/>
  <c r="F18" i="2"/>
  <c r="F17" i="2"/>
  <c r="F16" i="2"/>
  <c r="F15" i="2"/>
  <c r="F14" i="2"/>
  <c r="F13" i="2"/>
  <c r="F12" i="2"/>
  <c r="F11" i="2"/>
  <c r="F9" i="2"/>
  <c r="F8" i="2"/>
  <c r="F7" i="2"/>
  <c r="F6" i="2"/>
  <c r="F5" i="2"/>
  <c r="G12" i="1"/>
  <c r="H55" i="1"/>
  <c r="H13" i="1" l="1"/>
  <c r="H35" i="1"/>
  <c r="D29" i="1"/>
  <c r="H5" i="1" l="1"/>
  <c r="H10" i="1"/>
  <c r="G33" i="2"/>
  <c r="E33" i="2"/>
  <c r="F19" i="2"/>
  <c r="G5" i="2"/>
  <c r="G4" i="2"/>
  <c r="F4" i="2"/>
  <c r="N2" i="1"/>
  <c r="V2" i="1" s="1"/>
  <c r="AD2" i="1"/>
  <c r="T5" i="1"/>
  <c r="X5" i="1"/>
  <c r="Y5" i="1"/>
  <c r="Z5" i="1"/>
  <c r="AA5" i="1"/>
  <c r="H6" i="1"/>
  <c r="AE6" i="1" s="1"/>
  <c r="AF6" i="1" s="1"/>
  <c r="T6" i="1"/>
  <c r="X6" i="1"/>
  <c r="Y6" i="1"/>
  <c r="Z6" i="1"/>
  <c r="AA6" i="1"/>
  <c r="H7" i="1"/>
  <c r="AE7" i="1" s="1"/>
  <c r="AF7" i="1" s="1"/>
  <c r="T7" i="1"/>
  <c r="X7" i="1"/>
  <c r="Y7" i="1"/>
  <c r="Z7" i="1"/>
  <c r="AA7" i="1"/>
  <c r="H8" i="1"/>
  <c r="T8" i="1"/>
  <c r="X8" i="1"/>
  <c r="Y8" i="1"/>
  <c r="Z8" i="1"/>
  <c r="AA8" i="1"/>
  <c r="H9" i="1"/>
  <c r="AE9" i="1" s="1"/>
  <c r="AF9" i="1" s="1"/>
  <c r="T9" i="1"/>
  <c r="X9" i="1"/>
  <c r="Y9" i="1"/>
  <c r="Z9" i="1"/>
  <c r="AA9" i="1"/>
  <c r="T10" i="1"/>
  <c r="X10" i="1"/>
  <c r="Y10" i="1"/>
  <c r="Z10" i="1"/>
  <c r="AA10" i="1"/>
  <c r="H11" i="1"/>
  <c r="T11" i="1"/>
  <c r="X11" i="1"/>
  <c r="Y11" i="1"/>
  <c r="Z11" i="1"/>
  <c r="AA11" i="1"/>
  <c r="D12" i="1"/>
  <c r="E12" i="1"/>
  <c r="F12" i="1"/>
  <c r="K12" i="1"/>
  <c r="P12" i="1"/>
  <c r="Q12" i="1"/>
  <c r="R12" i="1"/>
  <c r="S12" i="1"/>
  <c r="AD12" i="1"/>
  <c r="T13" i="1"/>
  <c r="X13" i="1"/>
  <c r="Y13" i="1"/>
  <c r="Z13" i="1"/>
  <c r="AA13" i="1"/>
  <c r="H14" i="1"/>
  <c r="AE14" i="1" s="1"/>
  <c r="AF14" i="1" s="1"/>
  <c r="T14" i="1"/>
  <c r="X14" i="1"/>
  <c r="Y14" i="1"/>
  <c r="Z14" i="1"/>
  <c r="AA14" i="1"/>
  <c r="H15" i="1"/>
  <c r="AE15" i="1" s="1"/>
  <c r="AF15" i="1" s="1"/>
  <c r="T15" i="1"/>
  <c r="X15" i="1"/>
  <c r="Y15" i="1"/>
  <c r="Z15" i="1"/>
  <c r="AA15" i="1"/>
  <c r="H16" i="1"/>
  <c r="AE16" i="1" s="1"/>
  <c r="AF16" i="1" s="1"/>
  <c r="T16" i="1"/>
  <c r="X16" i="1"/>
  <c r="Y16" i="1"/>
  <c r="Z16" i="1"/>
  <c r="AA16" i="1"/>
  <c r="H17" i="1"/>
  <c r="AE17" i="1" s="1"/>
  <c r="AF17" i="1" s="1"/>
  <c r="T17" i="1"/>
  <c r="X17" i="1"/>
  <c r="Y17" i="1"/>
  <c r="Z17" i="1"/>
  <c r="AA17" i="1"/>
  <c r="H18" i="1"/>
  <c r="T18" i="1"/>
  <c r="X18" i="1"/>
  <c r="Y18" i="1"/>
  <c r="Z18" i="1"/>
  <c r="AA18" i="1"/>
  <c r="D19" i="1"/>
  <c r="E19" i="1"/>
  <c r="F19" i="1"/>
  <c r="G19" i="1"/>
  <c r="K19" i="1"/>
  <c r="K20" i="1" s="1"/>
  <c r="K21" i="1" s="1"/>
  <c r="P19" i="1"/>
  <c r="Q19" i="1"/>
  <c r="Q20" i="1" s="1"/>
  <c r="Q21" i="1" s="1"/>
  <c r="R19" i="1"/>
  <c r="R20" i="1" s="1"/>
  <c r="R21" i="1" s="1"/>
  <c r="S19" i="1"/>
  <c r="AD19" i="1"/>
  <c r="AD20" i="1"/>
  <c r="AD21" i="1" s="1"/>
  <c r="H22" i="1"/>
  <c r="T22" i="1"/>
  <c r="X22" i="1"/>
  <c r="Y22" i="1"/>
  <c r="Z22" i="1"/>
  <c r="AA22" i="1"/>
  <c r="H23" i="1"/>
  <c r="T23" i="1"/>
  <c r="X23" i="1"/>
  <c r="Y23" i="1"/>
  <c r="Z23" i="1"/>
  <c r="AA23" i="1"/>
  <c r="AE23" i="1"/>
  <c r="AF23" i="1" s="1"/>
  <c r="H24" i="1"/>
  <c r="AE24" i="1" s="1"/>
  <c r="AF24" i="1" s="1"/>
  <c r="T24" i="1"/>
  <c r="X24" i="1"/>
  <c r="Y24" i="1"/>
  <c r="Z24" i="1"/>
  <c r="AA24" i="1"/>
  <c r="H25" i="1"/>
  <c r="AE25" i="1" s="1"/>
  <c r="AF25" i="1" s="1"/>
  <c r="T25" i="1"/>
  <c r="X25" i="1"/>
  <c r="Y25" i="1"/>
  <c r="Z25" i="1"/>
  <c r="AA25" i="1"/>
  <c r="H26" i="1"/>
  <c r="T26" i="1"/>
  <c r="X26" i="1"/>
  <c r="Y26" i="1"/>
  <c r="Z26" i="1"/>
  <c r="AA26" i="1"/>
  <c r="D27" i="1"/>
  <c r="E27" i="1"/>
  <c r="F27" i="1"/>
  <c r="G27" i="1"/>
  <c r="K27" i="1"/>
  <c r="P27" i="1"/>
  <c r="Q27" i="1"/>
  <c r="R27" i="1"/>
  <c r="S27" i="1"/>
  <c r="AD27" i="1"/>
  <c r="H28" i="1"/>
  <c r="AE28" i="1" s="1"/>
  <c r="T28" i="1"/>
  <c r="AB28" i="1" s="1"/>
  <c r="X28" i="1"/>
  <c r="Y28" i="1"/>
  <c r="Z28" i="1"/>
  <c r="AA28" i="1"/>
  <c r="H29" i="1"/>
  <c r="AE29" i="1" s="1"/>
  <c r="AF29" i="1" s="1"/>
  <c r="T29" i="1"/>
  <c r="X29" i="1"/>
  <c r="Y29" i="1"/>
  <c r="Z29" i="1"/>
  <c r="AA29" i="1"/>
  <c r="H30" i="1"/>
  <c r="AE30" i="1" s="1"/>
  <c r="AF30" i="1" s="1"/>
  <c r="T30" i="1"/>
  <c r="X30" i="1"/>
  <c r="Y30" i="1"/>
  <c r="Z30" i="1"/>
  <c r="AA30" i="1"/>
  <c r="H31" i="1"/>
  <c r="AE31" i="1" s="1"/>
  <c r="AF31" i="1" s="1"/>
  <c r="T31" i="1"/>
  <c r="X31" i="1"/>
  <c r="Y31" i="1"/>
  <c r="Z31" i="1"/>
  <c r="AA31" i="1"/>
  <c r="H32" i="1"/>
  <c r="T32" i="1"/>
  <c r="X32" i="1"/>
  <c r="Y32" i="1"/>
  <c r="Z32" i="1"/>
  <c r="AA32" i="1"/>
  <c r="D33" i="1"/>
  <c r="E33" i="1"/>
  <c r="F33" i="1"/>
  <c r="G33" i="1"/>
  <c r="K33" i="1"/>
  <c r="P33" i="1"/>
  <c r="Q33" i="1"/>
  <c r="R33" i="1"/>
  <c r="S33" i="1"/>
  <c r="AD33" i="1"/>
  <c r="H34" i="1"/>
  <c r="AE34" i="1" s="1"/>
  <c r="AF34" i="1" s="1"/>
  <c r="T34" i="1"/>
  <c r="X34" i="1"/>
  <c r="Y34" i="1"/>
  <c r="Z34" i="1"/>
  <c r="AA34" i="1"/>
  <c r="AE35" i="1"/>
  <c r="T35" i="1"/>
  <c r="X35" i="1"/>
  <c r="Y35" i="1"/>
  <c r="Z35" i="1"/>
  <c r="AA35" i="1"/>
  <c r="AE36" i="1"/>
  <c r="AF36" i="1" s="1"/>
  <c r="T36" i="1"/>
  <c r="X36" i="1"/>
  <c r="Y36" i="1"/>
  <c r="Z36" i="1"/>
  <c r="AA36" i="1"/>
  <c r="H37" i="1"/>
  <c r="AE37" i="1" s="1"/>
  <c r="AF37" i="1" s="1"/>
  <c r="T37" i="1"/>
  <c r="X37" i="1"/>
  <c r="Y37" i="1"/>
  <c r="Z37" i="1"/>
  <c r="AA37" i="1"/>
  <c r="H38" i="1"/>
  <c r="T38" i="1"/>
  <c r="X38" i="1"/>
  <c r="Y38" i="1"/>
  <c r="Z38" i="1"/>
  <c r="AA38" i="1"/>
  <c r="D39" i="1"/>
  <c r="E39" i="1"/>
  <c r="F39" i="1"/>
  <c r="G39" i="1"/>
  <c r="K39" i="1"/>
  <c r="P39" i="1"/>
  <c r="Q39" i="1"/>
  <c r="R39" i="1"/>
  <c r="S39" i="1"/>
  <c r="AD39" i="1"/>
  <c r="H40" i="1"/>
  <c r="AE40" i="1" s="1"/>
  <c r="AF40" i="1" s="1"/>
  <c r="T40" i="1"/>
  <c r="X40" i="1"/>
  <c r="Y40" i="1"/>
  <c r="Z40" i="1"/>
  <c r="AA40" i="1"/>
  <c r="H41" i="1"/>
  <c r="AE41" i="1" s="1"/>
  <c r="AF41" i="1" s="1"/>
  <c r="T41" i="1"/>
  <c r="X41" i="1"/>
  <c r="Y41" i="1"/>
  <c r="Z41" i="1"/>
  <c r="AA41" i="1"/>
  <c r="H42" i="1"/>
  <c r="T42" i="1"/>
  <c r="X42" i="1"/>
  <c r="Y42" i="1"/>
  <c r="Z42" i="1"/>
  <c r="AA42" i="1"/>
  <c r="H43" i="1"/>
  <c r="AE43" i="1" s="1"/>
  <c r="AF43" i="1" s="1"/>
  <c r="T43" i="1"/>
  <c r="X43" i="1"/>
  <c r="Y43" i="1"/>
  <c r="Z43" i="1"/>
  <c r="AA43" i="1"/>
  <c r="H44" i="1"/>
  <c r="T44" i="1"/>
  <c r="X44" i="1"/>
  <c r="Y44" i="1"/>
  <c r="Z44" i="1"/>
  <c r="AA44" i="1"/>
  <c r="AE44" i="1"/>
  <c r="AF44" i="1"/>
  <c r="H45" i="1"/>
  <c r="T45" i="1"/>
  <c r="X45" i="1"/>
  <c r="Y45" i="1"/>
  <c r="Z45" i="1"/>
  <c r="AA45" i="1"/>
  <c r="D46" i="1"/>
  <c r="E46" i="1"/>
  <c r="F46" i="1"/>
  <c r="G46" i="1"/>
  <c r="K46" i="1"/>
  <c r="P46" i="1"/>
  <c r="Q46" i="1"/>
  <c r="R46" i="1"/>
  <c r="S46" i="1"/>
  <c r="AD46" i="1"/>
  <c r="H49" i="1"/>
  <c r="T49" i="1"/>
  <c r="X49" i="1"/>
  <c r="Y49" i="1"/>
  <c r="Z49" i="1"/>
  <c r="AA49" i="1"/>
  <c r="H50" i="1"/>
  <c r="AE50" i="1" s="1"/>
  <c r="AF50" i="1" s="1"/>
  <c r="T50" i="1"/>
  <c r="X50" i="1"/>
  <c r="Y50" i="1"/>
  <c r="Z50" i="1"/>
  <c r="AA50" i="1"/>
  <c r="H51" i="1"/>
  <c r="AE51" i="1" s="1"/>
  <c r="AF51" i="1" s="1"/>
  <c r="T51" i="1"/>
  <c r="X51" i="1"/>
  <c r="Y51" i="1"/>
  <c r="Z51" i="1"/>
  <c r="AA51" i="1"/>
  <c r="H52" i="1"/>
  <c r="AE52" i="1" s="1"/>
  <c r="AF52" i="1" s="1"/>
  <c r="T52" i="1"/>
  <c r="X52" i="1"/>
  <c r="Y52" i="1"/>
  <c r="Z52" i="1"/>
  <c r="AA52" i="1"/>
  <c r="H53" i="1"/>
  <c r="T53" i="1"/>
  <c r="X53" i="1"/>
  <c r="Y53" i="1"/>
  <c r="Z53" i="1"/>
  <c r="AA53" i="1"/>
  <c r="AE53" i="1"/>
  <c r="AF53" i="1" s="1"/>
  <c r="AF63" i="1" s="1"/>
  <c r="H54" i="1"/>
  <c r="K54" i="1" s="1"/>
  <c r="K55" i="1" s="1"/>
  <c r="T54" i="1"/>
  <c r="X54" i="1"/>
  <c r="Y54" i="1"/>
  <c r="Z54" i="1"/>
  <c r="AA54" i="1"/>
  <c r="AE54" i="1"/>
  <c r="AF54" i="1" s="1"/>
  <c r="D55" i="1"/>
  <c r="E55" i="1"/>
  <c r="F55" i="1"/>
  <c r="G55" i="1"/>
  <c r="P55" i="1"/>
  <c r="Q55" i="1"/>
  <c r="R55" i="1"/>
  <c r="S55" i="1"/>
  <c r="AD55" i="1"/>
  <c r="H58" i="1"/>
  <c r="AE58" i="1" s="1"/>
  <c r="AF58" i="1" s="1"/>
  <c r="K58" i="1"/>
  <c r="T58" i="1"/>
  <c r="W58" i="1"/>
  <c r="X58" i="1"/>
  <c r="Y58" i="1"/>
  <c r="Z58" i="1"/>
  <c r="AA58" i="1"/>
  <c r="H61" i="1"/>
  <c r="AB61" i="1" s="1"/>
  <c r="X61" i="1"/>
  <c r="Y61" i="1"/>
  <c r="Z61" i="1"/>
  <c r="AA61" i="1"/>
  <c r="AE61" i="1"/>
  <c r="AF61" i="1"/>
  <c r="AE62" i="1"/>
  <c r="AF62" i="1" s="1"/>
  <c r="P63" i="1"/>
  <c r="Q63" i="1"/>
  <c r="Y63" i="1" s="1"/>
  <c r="R63" i="1"/>
  <c r="Z63" i="1" s="1"/>
  <c r="S63" i="1"/>
  <c r="AD63" i="1"/>
  <c r="C16" i="2" a="1"/>
  <c r="D11" i="2" a="1"/>
  <c r="C8" i="2" a="1"/>
  <c r="D15" i="2" a="1"/>
  <c r="C18" i="2" a="1"/>
  <c r="C30" i="2" a="1"/>
  <c r="D8" i="2" a="1"/>
  <c r="C9" i="2" a="1"/>
  <c r="D6" i="2" a="1"/>
  <c r="C6" i="2" a="1"/>
  <c r="D30" i="2" a="1"/>
  <c r="D7" i="2" a="1"/>
  <c r="C5" i="2" a="1"/>
  <c r="C12" i="2" a="1"/>
  <c r="C15" i="2" a="1"/>
  <c r="C14" i="2" a="1"/>
  <c r="C17" i="2" a="1"/>
  <c r="C7" i="2" a="1"/>
  <c r="D17" i="2" a="1"/>
  <c r="D9" i="2" a="1"/>
  <c r="C13" i="2" a="1"/>
  <c r="D16" i="2" a="1"/>
  <c r="D18" i="2" a="1"/>
  <c r="D5" i="2" a="1"/>
  <c r="C11" i="2" a="1"/>
  <c r="D12" i="2" a="1"/>
  <c r="D14" i="2" a="1"/>
  <c r="D13" i="2" a="1"/>
  <c r="AE8" i="1" l="1"/>
  <c r="AF8" i="1" s="1"/>
  <c r="H12" i="1"/>
  <c r="AB31" i="1"/>
  <c r="AB50" i="1"/>
  <c r="AB36" i="1"/>
  <c r="E20" i="1"/>
  <c r="E21" i="1" s="1"/>
  <c r="F20" i="1"/>
  <c r="F21" i="1" s="1"/>
  <c r="C9" i="2"/>
  <c r="G9" i="2" s="1"/>
  <c r="C15" i="2"/>
  <c r="G15" i="2" s="1"/>
  <c r="D17" i="2"/>
  <c r="C16" i="2"/>
  <c r="G16" i="2" s="1"/>
  <c r="D16" i="2"/>
  <c r="C7" i="2"/>
  <c r="G7" i="2" s="1"/>
  <c r="C13" i="2"/>
  <c r="G13" i="2" s="1"/>
  <c r="C6" i="2"/>
  <c r="G6" i="2" s="1"/>
  <c r="D8" i="2"/>
  <c r="C12" i="2"/>
  <c r="G12" i="2" s="1"/>
  <c r="D14" i="2"/>
  <c r="C14" i="2"/>
  <c r="G14" i="2" s="1"/>
  <c r="C5" i="2"/>
  <c r="D7" i="2"/>
  <c r="C11" i="2"/>
  <c r="G11" i="2" s="1"/>
  <c r="D13" i="2"/>
  <c r="D18" i="2"/>
  <c r="C8" i="2"/>
  <c r="G8" i="2" s="1"/>
  <c r="D9" i="2"/>
  <c r="D15" i="2"/>
  <c r="D6" i="2"/>
  <c r="D12" i="2"/>
  <c r="C18" i="2"/>
  <c r="G18" i="2" s="1"/>
  <c r="C30" i="2"/>
  <c r="G30" i="2" s="1"/>
  <c r="D30" i="2"/>
  <c r="D5" i="2"/>
  <c r="D11" i="2"/>
  <c r="C17" i="2"/>
  <c r="G17" i="2" s="1"/>
  <c r="F10" i="2"/>
  <c r="AA39" i="1"/>
  <c r="X46" i="1"/>
  <c r="Z33" i="1"/>
  <c r="S20" i="1"/>
  <c r="S21" i="1" s="1"/>
  <c r="Z27" i="1"/>
  <c r="Z19" i="1"/>
  <c r="X12" i="1"/>
  <c r="E47" i="1"/>
  <c r="E48" i="1" s="1"/>
  <c r="AA27" i="1"/>
  <c r="AB38" i="1"/>
  <c r="AA33" i="1"/>
  <c r="AB24" i="1"/>
  <c r="S47" i="1"/>
  <c r="S48" i="1" s="1"/>
  <c r="Z39" i="1"/>
  <c r="AB22" i="1"/>
  <c r="AB13" i="1"/>
  <c r="X55" i="1"/>
  <c r="AB45" i="1"/>
  <c r="AD47" i="1"/>
  <c r="AD48" i="1" s="1"/>
  <c r="AA19" i="1"/>
  <c r="T55" i="1"/>
  <c r="X19" i="1"/>
  <c r="AB9" i="1"/>
  <c r="Z12" i="1"/>
  <c r="AB18" i="1"/>
  <c r="AB53" i="1"/>
  <c r="T46" i="1"/>
  <c r="X39" i="1"/>
  <c r="AB17" i="1"/>
  <c r="AB54" i="1"/>
  <c r="AB52" i="1"/>
  <c r="Q47" i="1"/>
  <c r="Q48" i="1" s="1"/>
  <c r="Z46" i="1"/>
  <c r="T19" i="1"/>
  <c r="AA12" i="1"/>
  <c r="P47" i="1"/>
  <c r="AB37" i="1"/>
  <c r="AB10" i="1"/>
  <c r="AB8" i="1"/>
  <c r="G47" i="1"/>
  <c r="G48" i="1" s="1"/>
  <c r="D47" i="1"/>
  <c r="D48" i="1" s="1"/>
  <c r="H27" i="1"/>
  <c r="P20" i="1"/>
  <c r="Y12" i="1"/>
  <c r="AE63" i="1"/>
  <c r="K61" i="1"/>
  <c r="AD56" i="1"/>
  <c r="AB51" i="1"/>
  <c r="AB41" i="1"/>
  <c r="Y46" i="1"/>
  <c r="Y33" i="1"/>
  <c r="AB26" i="1"/>
  <c r="AB23" i="1"/>
  <c r="D20" i="1"/>
  <c r="D21" i="1" s="1"/>
  <c r="K47" i="1"/>
  <c r="K48" i="1" s="1"/>
  <c r="Q56" i="1"/>
  <c r="Q59" i="1" s="1"/>
  <c r="H46" i="1"/>
  <c r="Y27" i="1"/>
  <c r="Y19" i="1"/>
  <c r="AA63" i="1"/>
  <c r="AA55" i="1"/>
  <c r="AB43" i="1"/>
  <c r="AB42" i="1"/>
  <c r="AB40" i="1"/>
  <c r="AB29" i="1"/>
  <c r="AE22" i="1"/>
  <c r="AF22" i="1" s="1"/>
  <c r="AF27" i="1" s="1"/>
  <c r="X27" i="1"/>
  <c r="F47" i="1"/>
  <c r="F48" i="1" s="1"/>
  <c r="Y39" i="1"/>
  <c r="X33" i="1"/>
  <c r="AE33" i="1"/>
  <c r="AB25" i="1"/>
  <c r="AB7" i="1"/>
  <c r="Z55" i="1"/>
  <c r="Y55" i="1"/>
  <c r="AE49" i="1"/>
  <c r="AB35" i="1"/>
  <c r="R47" i="1"/>
  <c r="R48" i="1" s="1"/>
  <c r="AE5" i="1"/>
  <c r="AA46" i="1"/>
  <c r="T33" i="1"/>
  <c r="AB32" i="1"/>
  <c r="AB58" i="1"/>
  <c r="AE39" i="1"/>
  <c r="AF35" i="1"/>
  <c r="AF39" i="1" s="1"/>
  <c r="AF28" i="1"/>
  <c r="AF33" i="1" s="1"/>
  <c r="H19" i="1"/>
  <c r="G20" i="1"/>
  <c r="P48" i="1"/>
  <c r="K56" i="1"/>
  <c r="AB16" i="1"/>
  <c r="T63" i="1"/>
  <c r="X63" i="1"/>
  <c r="AB49" i="1"/>
  <c r="S56" i="1"/>
  <c r="R56" i="1"/>
  <c r="AB44" i="1"/>
  <c r="AE42" i="1"/>
  <c r="AF42" i="1" s="1"/>
  <c r="AF46" i="1" s="1"/>
  <c r="T39" i="1"/>
  <c r="H33" i="1"/>
  <c r="AB30" i="1"/>
  <c r="AB14" i="1"/>
  <c r="AB11" i="1"/>
  <c r="AB5" i="1"/>
  <c r="AB34" i="1"/>
  <c r="AB15" i="1"/>
  <c r="AE13" i="1"/>
  <c r="AB6" i="1"/>
  <c r="T27" i="1"/>
  <c r="H39" i="1"/>
  <c r="T12" i="1"/>
  <c r="C28" i="2" a="1"/>
  <c r="C24" i="2" a="1"/>
  <c r="D23" i="2" a="1"/>
  <c r="D25" i="2" a="1"/>
  <c r="D24" i="2" a="1"/>
  <c r="C23" i="2" a="1"/>
  <c r="D28" i="2" a="1"/>
  <c r="C25" i="2" a="1"/>
  <c r="D22" i="2" a="1"/>
  <c r="C22" i="2" a="1"/>
  <c r="AE27" i="1" l="1"/>
  <c r="F56" i="1"/>
  <c r="E56" i="1"/>
  <c r="E57" i="1" s="1"/>
  <c r="Y20" i="1"/>
  <c r="Y56" i="1" s="1"/>
  <c r="X20" i="1"/>
  <c r="X21" i="1" s="1"/>
  <c r="Z20" i="1"/>
  <c r="Z21" i="1" s="1"/>
  <c r="E9" i="2"/>
  <c r="AA20" i="1"/>
  <c r="AA21" i="1" s="1"/>
  <c r="E15" i="2"/>
  <c r="Z47" i="1"/>
  <c r="Z48" i="1" s="1"/>
  <c r="E7" i="2"/>
  <c r="E16" i="2"/>
  <c r="D24" i="2"/>
  <c r="D28" i="2"/>
  <c r="D23" i="2"/>
  <c r="C28" i="2"/>
  <c r="G28" i="2" s="1"/>
  <c r="C24" i="2"/>
  <c r="G24" i="2" s="1"/>
  <c r="C25" i="2"/>
  <c r="G25" i="2" s="1"/>
  <c r="C23" i="2"/>
  <c r="G23" i="2" s="1"/>
  <c r="C22" i="2"/>
  <c r="G22" i="2" s="1"/>
  <c r="D22" i="2"/>
  <c r="D25" i="2"/>
  <c r="E11" i="2"/>
  <c r="E12" i="2"/>
  <c r="E30" i="2"/>
  <c r="C19" i="2"/>
  <c r="G19" i="2" s="1"/>
  <c r="C10" i="2"/>
  <c r="G10" i="2" s="1"/>
  <c r="E18" i="2"/>
  <c r="F26" i="2"/>
  <c r="F20" i="2"/>
  <c r="E13" i="2"/>
  <c r="D19" i="2"/>
  <c r="E17" i="2"/>
  <c r="D10" i="2"/>
  <c r="E5" i="2"/>
  <c r="E6" i="2"/>
  <c r="E14" i="2"/>
  <c r="E8" i="2"/>
  <c r="Q57" i="1"/>
  <c r="H47" i="1"/>
  <c r="H48" i="1" s="1"/>
  <c r="D56" i="1"/>
  <c r="D59" i="1" s="1"/>
  <c r="P21" i="1"/>
  <c r="P56" i="1"/>
  <c r="T56" i="1" s="1"/>
  <c r="AD57" i="1"/>
  <c r="AD59" i="1"/>
  <c r="X47" i="1"/>
  <c r="X48" i="1" s="1"/>
  <c r="Y47" i="1"/>
  <c r="Y48" i="1" s="1"/>
  <c r="AE46" i="1"/>
  <c r="S59" i="1"/>
  <c r="S57" i="1"/>
  <c r="T47" i="1"/>
  <c r="G21" i="1"/>
  <c r="G56" i="1"/>
  <c r="AF5" i="1"/>
  <c r="AF12" i="1" s="1"/>
  <c r="AE12" i="1"/>
  <c r="AA47" i="1"/>
  <c r="AA48" i="1" s="1"/>
  <c r="F57" i="1"/>
  <c r="F59" i="1"/>
  <c r="AE19" i="1"/>
  <c r="AF13" i="1"/>
  <c r="AF19" i="1" s="1"/>
  <c r="H20" i="1"/>
  <c r="H21" i="1" s="1"/>
  <c r="K59" i="1"/>
  <c r="K57" i="1"/>
  <c r="Q64" i="1"/>
  <c r="Y64" i="1" s="1"/>
  <c r="Q60" i="1"/>
  <c r="T20" i="1"/>
  <c r="R59" i="1"/>
  <c r="R57" i="1"/>
  <c r="AE55" i="1"/>
  <c r="AF49" i="1"/>
  <c r="AF55" i="1" s="1"/>
  <c r="AB63" i="1"/>
  <c r="Y21" i="1" l="1"/>
  <c r="E59" i="1"/>
  <c r="E62" i="1" s="1"/>
  <c r="Y62" i="1" s="1"/>
  <c r="X56" i="1"/>
  <c r="X59" i="1" s="1"/>
  <c r="X60" i="1" s="1"/>
  <c r="AA56" i="1"/>
  <c r="AA57" i="1" s="1"/>
  <c r="Z56" i="1"/>
  <c r="Z59" i="1" s="1"/>
  <c r="Z60" i="1" s="1"/>
  <c r="E60" i="1"/>
  <c r="E25" i="2"/>
  <c r="E24" i="2"/>
  <c r="E23" i="2"/>
  <c r="E28" i="2"/>
  <c r="E22" i="2"/>
  <c r="C26" i="2"/>
  <c r="C27" i="2" s="1"/>
  <c r="E19" i="2"/>
  <c r="C20" i="2"/>
  <c r="C29" i="2" s="1"/>
  <c r="C31" i="2" s="1"/>
  <c r="F27" i="2"/>
  <c r="D20" i="2"/>
  <c r="E10" i="2"/>
  <c r="D26" i="2"/>
  <c r="F29" i="2"/>
  <c r="F21" i="2"/>
  <c r="T57" i="1"/>
  <c r="T59" i="1"/>
  <c r="T60" i="1" s="1"/>
  <c r="H56" i="1"/>
  <c r="H57" i="1" s="1"/>
  <c r="D57" i="1"/>
  <c r="AD60" i="1"/>
  <c r="AD64" i="1"/>
  <c r="P59" i="1"/>
  <c r="P57" i="1"/>
  <c r="S60" i="1"/>
  <c r="S64" i="1"/>
  <c r="AA64" i="1" s="1"/>
  <c r="AE20" i="1"/>
  <c r="AE47" i="1"/>
  <c r="AE48" i="1" s="1"/>
  <c r="K62" i="1"/>
  <c r="K60" i="1"/>
  <c r="AF47" i="1"/>
  <c r="AF48" i="1" s="1"/>
  <c r="AF20" i="1"/>
  <c r="T21" i="1"/>
  <c r="F60" i="1"/>
  <c r="F62" i="1"/>
  <c r="Z62" i="1" s="1"/>
  <c r="G59" i="1"/>
  <c r="G57" i="1"/>
  <c r="T48" i="1"/>
  <c r="Y57" i="1"/>
  <c r="Y59" i="1"/>
  <c r="Y60" i="1" s="1"/>
  <c r="R60" i="1"/>
  <c r="R64" i="1"/>
  <c r="D60" i="1"/>
  <c r="D62" i="1"/>
  <c r="X57" i="1" l="1"/>
  <c r="AA59" i="1"/>
  <c r="AA60" i="1" s="1"/>
  <c r="Z57" i="1"/>
  <c r="H59" i="1"/>
  <c r="G20" i="2"/>
  <c r="C21" i="2"/>
  <c r="G21" i="2" s="1"/>
  <c r="G27" i="2"/>
  <c r="G26" i="2"/>
  <c r="C32" i="2"/>
  <c r="C34" i="2"/>
  <c r="D27" i="2"/>
  <c r="E27" i="2" s="1"/>
  <c r="E26" i="2"/>
  <c r="G29" i="2"/>
  <c r="F31" i="2"/>
  <c r="D29" i="2"/>
  <c r="D21" i="2"/>
  <c r="E20" i="2"/>
  <c r="P64" i="1"/>
  <c r="X64" i="1" s="1"/>
  <c r="P60" i="1"/>
  <c r="Z64" i="1"/>
  <c r="AF21" i="1"/>
  <c r="AF56" i="1"/>
  <c r="AE21" i="1"/>
  <c r="AE56" i="1"/>
  <c r="X62" i="1"/>
  <c r="G60" i="1"/>
  <c r="G62" i="1"/>
  <c r="AA62" i="1" s="1"/>
  <c r="C37" i="2" a="1"/>
  <c r="H60" i="1" l="1"/>
  <c r="E21" i="2"/>
  <c r="C37" i="2"/>
  <c r="F34" i="2"/>
  <c r="F32" i="2"/>
  <c r="G32" i="2" s="1"/>
  <c r="G31" i="2"/>
  <c r="C35" i="2"/>
  <c r="D31" i="2"/>
  <c r="E29" i="2"/>
  <c r="T64" i="1"/>
  <c r="AB64" i="1" s="1"/>
  <c r="H62" i="1"/>
  <c r="AB62" i="1" s="1"/>
  <c r="AE57" i="1"/>
  <c r="AE59" i="1"/>
  <c r="AF59" i="1"/>
  <c r="AF57" i="1"/>
  <c r="F35" i="2" l="1"/>
  <c r="G35" i="2" s="1"/>
  <c r="G34" i="2"/>
  <c r="E31" i="2"/>
  <c r="D34" i="2"/>
  <c r="D32" i="2"/>
  <c r="E32" i="2" s="1"/>
  <c r="AF60" i="1"/>
  <c r="AF64" i="1"/>
  <c r="AE64" i="1"/>
  <c r="AE60" i="1"/>
  <c r="D37" i="2" a="1"/>
  <c r="D37" i="2" l="1"/>
  <c r="E34" i="2"/>
  <c r="D35" i="2"/>
  <c r="E3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<sst xmlns="http://schemas.openxmlformats.org/spreadsheetml/2006/main" count="269" uniqueCount="104">
  <si>
    <t>IT values</t>
  </si>
  <si>
    <t>VAR %</t>
  </si>
  <si>
    <t>(in thousand Euro)</t>
  </si>
  <si>
    <t>ACT+FCT</t>
  </si>
  <si>
    <t xml:space="preserve">BDG </t>
  </si>
  <si>
    <t>Licenses</t>
  </si>
  <si>
    <t>Maintenance</t>
  </si>
  <si>
    <t>Services</t>
  </si>
  <si>
    <t>Subscriptions</t>
  </si>
  <si>
    <t>Other revenues</t>
  </si>
  <si>
    <t>Revenues</t>
  </si>
  <si>
    <t>- of which Backlog (PO already received 31/12/21)</t>
  </si>
  <si>
    <t>- of which Backlog (recurrent nature)</t>
  </si>
  <si>
    <t>Direct personnel costs</t>
  </si>
  <si>
    <t>Subcontractors</t>
  </si>
  <si>
    <t>Purchases for re-sales</t>
  </si>
  <si>
    <t>Travel cost</t>
  </si>
  <si>
    <t>Other direct costs</t>
  </si>
  <si>
    <t>Delta standard</t>
  </si>
  <si>
    <t>Direct Cost</t>
  </si>
  <si>
    <t>Gross Margin</t>
  </si>
  <si>
    <t>as % of revenues</t>
  </si>
  <si>
    <t>Indirects costs - R&amp;D Total</t>
  </si>
  <si>
    <t>Indirects costs - Mktg Total</t>
  </si>
  <si>
    <t>Indirects costs - Sales Total</t>
  </si>
  <si>
    <t>Indirects costs - BU CORP.MNGMT Total</t>
  </si>
  <si>
    <t>EBITDA Before G&amp;A</t>
  </si>
  <si>
    <t>Indirects costs - G&amp;A</t>
  </si>
  <si>
    <t>EBITDA di LoB</t>
  </si>
  <si>
    <t xml:space="preserve">G&amp;A Management fee </t>
  </si>
  <si>
    <t>EBITDA</t>
  </si>
  <si>
    <t>Depreciations&amp;Amortizations</t>
  </si>
  <si>
    <t>EBIT</t>
  </si>
  <si>
    <t>BUDGET 2026 - P&amp;L</t>
  </si>
  <si>
    <t>EURO</t>
  </si>
  <si>
    <t>FORECAST 2025 - P&amp; L</t>
  </si>
  <si>
    <t>VARIAZIONE FORECAST - BUDGET</t>
  </si>
  <si>
    <t>VARIAZIONE BUDGET - BUSINESS PLAN</t>
  </si>
  <si>
    <t>WORST CASE</t>
  </si>
  <si>
    <t>Profit&amp;Loss</t>
  </si>
  <si>
    <t>Description</t>
  </si>
  <si>
    <t>1Q</t>
  </si>
  <si>
    <t>2Q</t>
  </si>
  <si>
    <t>3Q</t>
  </si>
  <si>
    <t>4Q</t>
  </si>
  <si>
    <t>TOTAL</t>
  </si>
  <si>
    <t>ACT 1Q</t>
  </si>
  <si>
    <t>ACT 2Q</t>
  </si>
  <si>
    <t>Total</t>
  </si>
  <si>
    <t>BP 2026</t>
  </si>
  <si>
    <t>BDG 2026</t>
  </si>
  <si>
    <t>1.0 - Revenues</t>
  </si>
  <si>
    <t>- of which Backlog (PO already received 31/12/25)</t>
  </si>
  <si>
    <t>1.0 - Revenues Total</t>
  </si>
  <si>
    <t>2.0 - Direct costs</t>
  </si>
  <si>
    <t>Delta Standard</t>
  </si>
  <si>
    <t>2.0 - Direct costs Total</t>
  </si>
  <si>
    <t>3.0 - Gross Margin</t>
  </si>
  <si>
    <t>3.0 - Gross Margin %</t>
  </si>
  <si>
    <t>4.0 - Indirects costs - R&amp;D</t>
  </si>
  <si>
    <t>R&amp;D personnel costs</t>
  </si>
  <si>
    <t>Travel costs - R&amp;D team</t>
  </si>
  <si>
    <t>Other R&amp;D Costs</t>
  </si>
  <si>
    <t>4.0 - Indirects costs - R&amp;D Total</t>
  </si>
  <si>
    <t>5.0 - Indirects costs - Mktg</t>
  </si>
  <si>
    <t>Marketing team costs</t>
  </si>
  <si>
    <t>Trhird party services</t>
  </si>
  <si>
    <t>Travel costs - MKT team</t>
  </si>
  <si>
    <t>Other mkt costs</t>
  </si>
  <si>
    <t>5.0 - Indirects costs - Mktg Total</t>
  </si>
  <si>
    <t>6.0 - Indirects costs - Sales</t>
  </si>
  <si>
    <t>Sales team costs</t>
  </si>
  <si>
    <t>Trhird party services (commission)</t>
  </si>
  <si>
    <t>Travel cost - sales team</t>
  </si>
  <si>
    <t>Other sales costs</t>
  </si>
  <si>
    <t>6.0 - Indirects costs - Sales Total</t>
  </si>
  <si>
    <t>7.0 - Indirects costs - BU CORP.MNGMT</t>
  </si>
  <si>
    <t>MGMT team costs</t>
  </si>
  <si>
    <t xml:space="preserve">Third party services </t>
  </si>
  <si>
    <t>Travel costs BUM</t>
  </si>
  <si>
    <t>Other BUM costs</t>
  </si>
  <si>
    <t>G&amp;A costs directly allocated to BU</t>
  </si>
  <si>
    <t>7.0 - Indirects costs - BU CORP.MNGMT Total</t>
  </si>
  <si>
    <t>8.0 EBITDA Before G&amp;A</t>
  </si>
  <si>
    <t>8.0 EBITDA Before G&amp;A %</t>
  </si>
  <si>
    <t>9.0 - Indirects costs - G&amp;A</t>
  </si>
  <si>
    <t>G&amp;A team costs</t>
  </si>
  <si>
    <t>Third party services</t>
  </si>
  <si>
    <t>Consultancy costs (accountants, auditors, lawer..)</t>
  </si>
  <si>
    <t>Other G&amp;A costs (telecoms, insurances, energy..)</t>
  </si>
  <si>
    <t>10. Total G&amp;A Holding Services costs</t>
  </si>
  <si>
    <t xml:space="preserve">G&amp;A Holding Services costs </t>
  </si>
  <si>
    <t>11.0 - Indirects costs - G&amp;A Total</t>
  </si>
  <si>
    <t>12.0 EBITDA di LoB</t>
  </si>
  <si>
    <t>12.0 EBITDA di LoB %</t>
  </si>
  <si>
    <t>13.0 - Indirect costs - G&amp;A</t>
  </si>
  <si>
    <t>14.0 EBITDA</t>
  </si>
  <si>
    <t>14.0 EBITDA %</t>
  </si>
  <si>
    <t>15.0-D&amp;A</t>
  </si>
  <si>
    <t>15.0 - D&amp;A</t>
  </si>
  <si>
    <t>16.0 EBIT</t>
  </si>
  <si>
    <t>Total delta standard</t>
  </si>
  <si>
    <t>EBITDA senza delta standard</t>
  </si>
  <si>
    <t>G&amp;A Management fee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</si>
</sst>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  <numFmt numFmtId="167" formatCode="_(#,##0_);_(\(#,##0\);&quot;-&quot;_)"/>
    <numFmt numFmtId="168" formatCode="_-* #,##0.00\ _€_-;\-* #,##0.00\ _€_-;_-* &quot;-&quot;??\ _€_-;_-@_-"/>
    <numFmt numFmtId="169" formatCode="_-* #,##0\ _€_-;\-* #,##0\ _€_-;_-* &quot;-&quot;??\ _€_-;_-@_-"/>
    <numFmt numFmtId="170" formatCode="_-* #,##0.0_-;\-* #,##0.0_-;_-* &quot;-&quot;??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Poppins"/>
    </font>
    <font>
      <b/>
      <sz val="10"/>
      <color rgb="FFFFFFFF"/>
      <name val="Poppins"/>
    </font>
    <font>
      <sz val="10"/>
      <color theme="1"/>
      <name val="Poppins Regular"/>
    </font>
    <font>
      <sz val="10"/>
      <color indexed="8"/>
      <name val="Poppins Regular"/>
    </font>
    <font>
      <i/>
      <sz val="10"/>
      <color rgb="FFFF0000"/>
      <name val="Arial"/>
      <family val="2"/>
    </font>
    <font>
      <sz val="10"/>
      <color rgb="FF000000"/>
      <name val="Poppins Regular"/>
    </font>
    <font>
      <sz val="10"/>
      <name val="Poppins Regular"/>
    </font>
    <font>
      <i/>
      <sz val="10"/>
      <name val="Arial"/>
      <family val="2"/>
    </font>
    <font>
      <i/>
      <sz val="10"/>
      <color rgb="FF00B050"/>
      <name val="Arial"/>
      <family val="2"/>
    </font>
    <font>
      <sz val="10"/>
      <name val="Poppins"/>
    </font>
    <font>
      <b/>
      <sz val="10"/>
      <color theme="1"/>
      <name val="Calibri"/>
      <family val="2"/>
      <scheme val="minor"/>
    </font>
    <font>
      <i/>
      <sz val="10"/>
      <color indexed="8"/>
      <name val="Poppins Regular"/>
    </font>
    <font>
      <sz val="10"/>
      <color rgb="FF000000"/>
      <name val="Poppins"/>
    </font>
    <font>
      <sz val="10"/>
      <color indexed="8"/>
      <name val="Calibri"/>
      <family val="2"/>
    </font>
    <font>
      <sz val="14"/>
      <color indexed="8"/>
      <name val="Calibri"/>
      <family val="2"/>
    </font>
    <font>
      <sz val="8"/>
      <color theme="0"/>
      <name val="Poppins Light"/>
    </font>
    <font>
      <sz val="14"/>
      <color theme="0"/>
      <name val="Calibri"/>
      <family val="2"/>
    </font>
    <font>
      <sz val="8"/>
      <color theme="1"/>
      <name val="Poppins Light"/>
    </font>
    <font>
      <sz val="26"/>
      <color theme="0"/>
      <name val="Calibri"/>
      <family val="2"/>
      <scheme val="minor"/>
    </font>
    <font>
      <sz val="26"/>
      <color theme="0"/>
      <name val="Calibri"/>
      <family val="2"/>
    </font>
    <font>
      <b/>
      <sz val="18"/>
      <color indexed="8"/>
      <name val="Calibri"/>
      <family val="2"/>
    </font>
    <font>
      <sz val="10"/>
      <color rgb="FFFFFFFF"/>
      <name val="Poppins"/>
    </font>
    <font>
      <b/>
      <sz val="10"/>
      <color indexed="8"/>
      <name val="Poppins Regular"/>
    </font>
    <font>
      <b/>
      <sz val="10"/>
      <color theme="1"/>
      <name val="Poppins Regular"/>
    </font>
    <font>
      <b/>
      <sz val="10"/>
      <name val="Poppins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Poppins Regular"/>
    </font>
    <font>
      <sz val="12"/>
      <color theme="0"/>
      <name val="Poppins Light"/>
    </font>
    <font>
      <sz val="10"/>
      <color theme="0"/>
      <name val="Poppins Regular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rgb="FF000000"/>
      </patternFill>
    </fill>
    <fill>
      <patternFill patternType="solid">
        <fgColor rgb="FF319C8A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0086BF"/>
        <bgColor rgb="FF000000"/>
      </patternFill>
    </fill>
    <fill>
      <patternFill patternType="solid">
        <fgColor rgb="FF00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FF5050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5">
    <xf numFmtId="0" fontId="0" fillId="0" borderId="0" xfId="0"/>
    <xf numFmtId="2" fontId="0" fillId="0" borderId="0" xfId="0" applyNumberFormat="1"/>
    <xf numFmtId="164" fontId="0" fillId="0" borderId="0" xfId="1" applyFont="1"/>
    <xf numFmtId="43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0" fontId="4" fillId="0" borderId="0" xfId="0" applyFont="1"/>
    <xf numFmtId="2" fontId="4" fillId="0" borderId="0" xfId="0" applyNumberFormat="1" applyFont="1"/>
    <xf numFmtId="166" fontId="4" fillId="0" borderId="0" xfId="0" applyNumberFormat="1" applyFont="1"/>
    <xf numFmtId="43" fontId="4" fillId="0" borderId="0" xfId="0" applyNumberFormat="1" applyFont="1"/>
    <xf numFmtId="165" fontId="4" fillId="0" borderId="0" xfId="0" applyNumberFormat="1" applyFont="1"/>
    <xf numFmtId="166" fontId="4" fillId="0" borderId="0" xfId="1" applyNumberFormat="1" applyFont="1"/>
    <xf numFmtId="167" fontId="5" fillId="2" borderId="1" xfId="1" applyNumberFormat="1" applyFont="1" applyFill="1" applyBorder="1" applyProtection="1">
      <protection locked="0"/>
    </xf>
    <xf numFmtId="167" fontId="7" fillId="4" borderId="2" xfId="1" applyNumberFormat="1" applyFont="1" applyFill="1" applyBorder="1" applyAlignment="1">
      <alignment vertical="center"/>
    </xf>
    <xf numFmtId="164" fontId="5" fillId="2" borderId="1" xfId="1" applyFont="1" applyFill="1" applyBorder="1" applyProtection="1">
      <protection locked="0"/>
    </xf>
    <xf numFmtId="43" fontId="5" fillId="2" borderId="1" xfId="1" applyNumberFormat="1" applyFont="1" applyFill="1" applyBorder="1" applyProtection="1">
      <protection locked="0"/>
    </xf>
    <xf numFmtId="165" fontId="5" fillId="2" borderId="1" xfId="1" applyNumberFormat="1" applyFont="1" applyFill="1" applyBorder="1" applyProtection="1">
      <protection locked="0"/>
    </xf>
    <xf numFmtId="167" fontId="5" fillId="2" borderId="3" xfId="1" applyNumberFormat="1" applyFont="1" applyFill="1" applyBorder="1" applyProtection="1">
      <protection locked="0"/>
    </xf>
    <xf numFmtId="166" fontId="7" fillId="4" borderId="2" xfId="1" applyNumberFormat="1" applyFont="1" applyFill="1" applyBorder="1" applyAlignment="1">
      <alignment vertical="center"/>
    </xf>
    <xf numFmtId="167" fontId="7" fillId="0" borderId="5" xfId="1" applyNumberFormat="1" applyFont="1" applyBorder="1" applyAlignment="1" applyProtection="1">
      <alignment vertical="center"/>
      <protection locked="0"/>
    </xf>
    <xf numFmtId="167" fontId="7" fillId="5" borderId="4" xfId="1" applyNumberFormat="1" applyFont="1" applyFill="1" applyBorder="1" applyAlignment="1">
      <alignment vertical="center"/>
    </xf>
    <xf numFmtId="167" fontId="7" fillId="6" borderId="4" xfId="1" applyNumberFormat="1" applyFont="1" applyFill="1" applyBorder="1" applyAlignment="1">
      <alignment vertical="center"/>
    </xf>
    <xf numFmtId="164" fontId="7" fillId="5" borderId="4" xfId="1" applyFont="1" applyFill="1" applyBorder="1" applyAlignment="1">
      <alignment vertical="center"/>
    </xf>
    <xf numFmtId="167" fontId="8" fillId="5" borderId="0" xfId="1" applyNumberFormat="1" applyFont="1" applyFill="1" applyBorder="1" applyAlignment="1" applyProtection="1">
      <alignment vertical="center"/>
      <protection locked="0"/>
    </xf>
    <xf numFmtId="167" fontId="8" fillId="5" borderId="4" xfId="1" applyNumberFormat="1" applyFont="1" applyFill="1" applyBorder="1" applyAlignment="1" applyProtection="1">
      <alignment vertical="center"/>
      <protection locked="0"/>
    </xf>
    <xf numFmtId="43" fontId="7" fillId="5" borderId="4" xfId="1" applyNumberFormat="1" applyFont="1" applyFill="1" applyBorder="1" applyAlignment="1">
      <alignment vertical="center"/>
    </xf>
    <xf numFmtId="165" fontId="7" fillId="5" borderId="4" xfId="1" applyNumberFormat="1" applyFont="1" applyFill="1" applyBorder="1" applyAlignment="1">
      <alignment vertical="center"/>
    </xf>
    <xf numFmtId="167" fontId="6" fillId="3" borderId="3" xfId="1" applyNumberFormat="1" applyFont="1" applyFill="1" applyBorder="1" applyProtection="1">
      <protection locked="0"/>
    </xf>
    <xf numFmtId="167" fontId="6" fillId="3" borderId="1" xfId="1" applyNumberFormat="1" applyFont="1" applyFill="1" applyBorder="1" applyProtection="1">
      <protection locked="0"/>
    </xf>
    <xf numFmtId="167" fontId="8" fillId="5" borderId="6" xfId="1" applyNumberFormat="1" applyFont="1" applyFill="1" applyBorder="1" applyAlignment="1" applyProtection="1">
      <alignment vertical="center"/>
      <protection locked="0"/>
    </xf>
    <xf numFmtId="167" fontId="8" fillId="5" borderId="7" xfId="1" applyNumberFormat="1" applyFont="1" applyFill="1" applyBorder="1" applyAlignment="1" applyProtection="1">
      <alignment vertical="center"/>
      <protection locked="0"/>
    </xf>
    <xf numFmtId="166" fontId="7" fillId="6" borderId="4" xfId="1" applyNumberFormat="1" applyFont="1" applyFill="1" applyBorder="1" applyAlignment="1" applyProtection="1">
      <alignment vertical="center"/>
      <protection locked="0"/>
    </xf>
    <xf numFmtId="9" fontId="6" fillId="3" borderId="1" xfId="2" applyFont="1" applyFill="1" applyBorder="1" applyProtection="1">
      <protection locked="0"/>
    </xf>
    <xf numFmtId="9" fontId="6" fillId="3" borderId="1" xfId="1" applyNumberFormat="1" applyFont="1" applyFill="1" applyBorder="1" applyProtection="1">
      <protection locked="0"/>
    </xf>
    <xf numFmtId="43" fontId="6" fillId="3" borderId="1" xfId="1" applyNumberFormat="1" applyFont="1" applyFill="1" applyBorder="1" applyProtection="1">
      <protection locked="0"/>
    </xf>
    <xf numFmtId="43" fontId="6" fillId="3" borderId="1" xfId="2" applyNumberFormat="1" applyFont="1" applyFill="1" applyBorder="1" applyProtection="1">
      <protection locked="0"/>
    </xf>
    <xf numFmtId="9" fontId="6" fillId="3" borderId="3" xfId="2" applyFont="1" applyFill="1" applyBorder="1" applyProtection="1">
      <protection locked="0"/>
    </xf>
    <xf numFmtId="164" fontId="6" fillId="3" borderId="1" xfId="1" applyFont="1" applyFill="1" applyBorder="1" applyProtection="1">
      <protection locked="0"/>
    </xf>
    <xf numFmtId="166" fontId="6" fillId="3" borderId="1" xfId="1" applyNumberFormat="1" applyFont="1" applyFill="1" applyBorder="1" applyProtection="1">
      <protection locked="0"/>
    </xf>
    <xf numFmtId="165" fontId="6" fillId="3" borderId="1" xfId="1" applyNumberFormat="1" applyFont="1" applyFill="1" applyBorder="1" applyProtection="1">
      <protection locked="0"/>
    </xf>
    <xf numFmtId="167" fontId="7" fillId="7" borderId="4" xfId="1" applyNumberFormat="1" applyFont="1" applyFill="1" applyBorder="1" applyAlignment="1" applyProtection="1">
      <alignment vertical="center"/>
      <protection locked="0"/>
    </xf>
    <xf numFmtId="167" fontId="7" fillId="7" borderId="8" xfId="1" applyNumberFormat="1" applyFont="1" applyFill="1" applyBorder="1" applyAlignment="1" applyProtection="1">
      <alignment vertical="center"/>
      <protection locked="0"/>
    </xf>
    <xf numFmtId="164" fontId="7" fillId="7" borderId="4" xfId="1" applyFont="1" applyFill="1" applyBorder="1" applyAlignment="1" applyProtection="1">
      <alignment vertical="center"/>
      <protection locked="0"/>
    </xf>
    <xf numFmtId="167" fontId="8" fillId="7" borderId="8" xfId="1" applyNumberFormat="1" applyFont="1" applyFill="1" applyBorder="1" applyAlignment="1" applyProtection="1">
      <alignment vertical="center"/>
      <protection locked="0"/>
    </xf>
    <xf numFmtId="167" fontId="8" fillId="5" borderId="9" xfId="1" applyNumberFormat="1" applyFont="1" applyFill="1" applyBorder="1" applyAlignment="1" applyProtection="1">
      <alignment vertical="center"/>
      <protection locked="0"/>
    </xf>
    <xf numFmtId="43" fontId="7" fillId="7" borderId="4" xfId="1" applyNumberFormat="1" applyFont="1" applyFill="1" applyBorder="1" applyAlignment="1" applyProtection="1">
      <alignment vertical="center"/>
      <protection locked="0"/>
    </xf>
    <xf numFmtId="43" fontId="8" fillId="7" borderId="8" xfId="1" applyNumberFormat="1" applyFont="1" applyFill="1" applyBorder="1" applyAlignment="1" applyProtection="1">
      <alignment vertical="center"/>
      <protection locked="0"/>
    </xf>
    <xf numFmtId="165" fontId="8" fillId="7" borderId="8" xfId="1" applyNumberFormat="1" applyFont="1" applyFill="1" applyBorder="1" applyAlignment="1" applyProtection="1">
      <alignment vertical="center"/>
      <protection locked="0"/>
    </xf>
    <xf numFmtId="0" fontId="9" fillId="0" borderId="0" xfId="0" applyFont="1"/>
    <xf numFmtId="168" fontId="9" fillId="0" borderId="0" xfId="0" applyNumberFormat="1" applyFont="1"/>
    <xf numFmtId="10" fontId="4" fillId="0" borderId="0" xfId="2" applyNumberFormat="1" applyFont="1"/>
    <xf numFmtId="167" fontId="7" fillId="8" borderId="8" xfId="1" applyNumberFormat="1" applyFont="1" applyFill="1" applyBorder="1" applyAlignment="1" applyProtection="1">
      <alignment vertical="center"/>
      <protection locked="0"/>
    </xf>
    <xf numFmtId="164" fontId="7" fillId="8" borderId="8" xfId="1" applyFont="1" applyFill="1" applyBorder="1" applyAlignment="1" applyProtection="1">
      <alignment vertical="center"/>
      <protection locked="0"/>
    </xf>
    <xf numFmtId="167" fontId="8" fillId="8" borderId="10" xfId="1" applyNumberFormat="1" applyFont="1" applyFill="1" applyBorder="1" applyAlignment="1" applyProtection="1">
      <alignment vertical="center"/>
      <protection locked="0"/>
    </xf>
    <xf numFmtId="167" fontId="8" fillId="0" borderId="9" xfId="1" applyNumberFormat="1" applyFont="1" applyBorder="1" applyAlignment="1" applyProtection="1">
      <alignment vertical="center"/>
      <protection locked="0"/>
    </xf>
    <xf numFmtId="43" fontId="7" fillId="8" borderId="8" xfId="1" applyNumberFormat="1" applyFont="1" applyFill="1" applyBorder="1" applyAlignment="1" applyProtection="1">
      <alignment vertical="center"/>
      <protection locked="0"/>
    </xf>
    <xf numFmtId="43" fontId="8" fillId="8" borderId="10" xfId="1" applyNumberFormat="1" applyFont="1" applyFill="1" applyBorder="1" applyAlignment="1" applyProtection="1">
      <alignment vertical="center"/>
      <protection locked="0"/>
    </xf>
    <xf numFmtId="165" fontId="8" fillId="8" borderId="10" xfId="1" applyNumberFormat="1" applyFont="1" applyFill="1" applyBorder="1" applyAlignment="1" applyProtection="1">
      <alignment vertical="center"/>
      <protection locked="0"/>
    </xf>
    <xf numFmtId="167" fontId="8" fillId="8" borderId="8" xfId="1" applyNumberFormat="1" applyFont="1" applyFill="1" applyBorder="1" applyAlignment="1" applyProtection="1">
      <alignment vertical="center"/>
      <protection locked="0"/>
    </xf>
    <xf numFmtId="167" fontId="7" fillId="4" borderId="4" xfId="1" applyNumberFormat="1" applyFont="1" applyFill="1" applyBorder="1" applyAlignment="1" applyProtection="1">
      <alignment vertical="center"/>
      <protection locked="0"/>
    </xf>
    <xf numFmtId="164" fontId="7" fillId="4" borderId="4" xfId="1" applyFont="1" applyFill="1" applyBorder="1" applyAlignment="1" applyProtection="1">
      <alignment vertical="center"/>
      <protection locked="0"/>
    </xf>
    <xf numFmtId="167" fontId="8" fillId="4" borderId="9" xfId="1" applyNumberFormat="1" applyFont="1" applyFill="1" applyBorder="1" applyAlignment="1" applyProtection="1">
      <alignment vertical="center"/>
      <protection locked="0"/>
    </xf>
    <xf numFmtId="43" fontId="7" fillId="4" borderId="4" xfId="1" applyNumberFormat="1" applyFont="1" applyFill="1" applyBorder="1" applyAlignment="1" applyProtection="1">
      <alignment vertical="center"/>
      <protection locked="0"/>
    </xf>
    <xf numFmtId="165" fontId="7" fillId="4" borderId="4" xfId="1" applyNumberFormat="1" applyFont="1" applyFill="1" applyBorder="1" applyAlignment="1" applyProtection="1">
      <alignment vertical="center"/>
      <protection locked="0"/>
    </xf>
    <xf numFmtId="2" fontId="7" fillId="4" borderId="4" xfId="1" applyNumberFormat="1" applyFont="1" applyFill="1" applyBorder="1" applyAlignment="1" applyProtection="1">
      <alignment vertical="center"/>
      <protection locked="0"/>
    </xf>
    <xf numFmtId="166" fontId="7" fillId="4" borderId="4" xfId="1" applyNumberFormat="1" applyFont="1" applyFill="1" applyBorder="1" applyAlignment="1" applyProtection="1">
      <alignment vertical="center"/>
      <protection locked="0"/>
    </xf>
    <xf numFmtId="167" fontId="7" fillId="0" borderId="4" xfId="1" applyNumberFormat="1" applyFont="1" applyBorder="1" applyAlignment="1" applyProtection="1">
      <alignment vertical="center"/>
      <protection locked="0"/>
    </xf>
    <xf numFmtId="167" fontId="7" fillId="6" borderId="4" xfId="1" applyNumberFormat="1" applyFont="1" applyFill="1" applyBorder="1" applyAlignment="1" applyProtection="1">
      <alignment vertical="center"/>
      <protection locked="0"/>
    </xf>
    <xf numFmtId="164" fontId="7" fillId="0" borderId="4" xfId="1" applyFont="1" applyBorder="1" applyAlignment="1" applyProtection="1">
      <alignment vertical="center"/>
      <protection locked="0"/>
    </xf>
    <xf numFmtId="165" fontId="8" fillId="0" borderId="5" xfId="1" applyNumberFormat="1" applyFont="1" applyBorder="1" applyAlignment="1" applyProtection="1">
      <alignment vertical="center"/>
      <protection locked="0"/>
    </xf>
    <xf numFmtId="43" fontId="8" fillId="0" borderId="5" xfId="1" applyNumberFormat="1" applyFont="1" applyBorder="1" applyAlignment="1" applyProtection="1">
      <alignment vertical="center"/>
      <protection locked="0"/>
    </xf>
    <xf numFmtId="43" fontId="10" fillId="0" borderId="11" xfId="0" applyNumberFormat="1" applyFont="1" applyBorder="1" applyAlignment="1">
      <alignment vertical="center"/>
    </xf>
    <xf numFmtId="165" fontId="10" fillId="0" borderId="11" xfId="0" applyNumberFormat="1" applyFont="1" applyBorder="1"/>
    <xf numFmtId="165" fontId="7" fillId="0" borderId="4" xfId="1" applyNumberFormat="1" applyFont="1" applyBorder="1" applyAlignment="1" applyProtection="1">
      <alignment vertical="center"/>
      <protection locked="0"/>
    </xf>
    <xf numFmtId="2" fontId="8" fillId="0" borderId="4" xfId="1" applyNumberFormat="1" applyFont="1" applyBorder="1" applyAlignment="1" applyProtection="1">
      <alignment vertical="center"/>
      <protection locked="0"/>
    </xf>
    <xf numFmtId="167" fontId="8" fillId="0" borderId="5" xfId="1" applyNumberFormat="1" applyFont="1" applyBorder="1" applyAlignment="1" applyProtection="1">
      <alignment vertical="center"/>
      <protection locked="0"/>
    </xf>
    <xf numFmtId="167" fontId="7" fillId="6" borderId="7" xfId="1" applyNumberFormat="1" applyFont="1" applyFill="1" applyBorder="1" applyAlignment="1" applyProtection="1">
      <alignment vertical="center"/>
      <protection locked="0"/>
    </xf>
    <xf numFmtId="167" fontId="8" fillId="0" borderId="12" xfId="1" applyNumberFormat="1" applyFont="1" applyBorder="1" applyAlignment="1" applyProtection="1">
      <alignment vertical="center"/>
      <protection locked="0"/>
    </xf>
    <xf numFmtId="167" fontId="8" fillId="5" borderId="13" xfId="1" applyNumberFormat="1" applyFont="1" applyFill="1" applyBorder="1" applyAlignment="1" applyProtection="1">
      <alignment vertical="center"/>
      <protection locked="0"/>
    </xf>
    <xf numFmtId="166" fontId="7" fillId="6" borderId="7" xfId="1" applyNumberFormat="1" applyFont="1" applyFill="1" applyBorder="1" applyAlignment="1" applyProtection="1">
      <alignment vertical="center"/>
      <protection locked="0"/>
    </xf>
    <xf numFmtId="165" fontId="6" fillId="3" borderId="1" xfId="2" applyNumberFormat="1" applyFont="1" applyFill="1" applyBorder="1" applyProtection="1">
      <protection locked="0"/>
    </xf>
    <xf numFmtId="167" fontId="7" fillId="4" borderId="14" xfId="1" applyNumberFormat="1" applyFont="1" applyFill="1" applyBorder="1" applyAlignment="1" applyProtection="1">
      <alignment vertical="center"/>
      <protection locked="0"/>
    </xf>
    <xf numFmtId="167" fontId="11" fillId="0" borderId="9" xfId="1" applyNumberFormat="1" applyFont="1" applyBorder="1" applyAlignment="1" applyProtection="1">
      <alignment horizontal="left" vertical="top"/>
      <protection locked="0"/>
    </xf>
    <xf numFmtId="168" fontId="12" fillId="0" borderId="0" xfId="0" applyNumberFormat="1" applyFont="1"/>
    <xf numFmtId="0" fontId="13" fillId="0" borderId="0" xfId="0" quotePrefix="1" applyFont="1"/>
    <xf numFmtId="166" fontId="7" fillId="4" borderId="14" xfId="1" applyNumberFormat="1" applyFont="1" applyFill="1" applyBorder="1" applyAlignment="1" applyProtection="1">
      <alignment vertical="center"/>
      <protection locked="0"/>
    </xf>
    <xf numFmtId="167" fontId="7" fillId="9" borderId="4" xfId="1" applyNumberFormat="1" applyFont="1" applyFill="1" applyBorder="1" applyAlignment="1" applyProtection="1">
      <alignment vertical="center"/>
      <protection locked="0"/>
    </xf>
    <xf numFmtId="167" fontId="7" fillId="9" borderId="14" xfId="1" applyNumberFormat="1" applyFont="1" applyFill="1" applyBorder="1" applyAlignment="1" applyProtection="1">
      <alignment vertical="center"/>
      <protection locked="0"/>
    </xf>
    <xf numFmtId="164" fontId="7" fillId="9" borderId="4" xfId="1" applyFont="1" applyFill="1" applyBorder="1" applyAlignment="1" applyProtection="1">
      <alignment vertical="center"/>
      <protection locked="0"/>
    </xf>
    <xf numFmtId="167" fontId="8" fillId="5" borderId="9" xfId="1" applyNumberFormat="1" applyFont="1" applyFill="1" applyBorder="1" applyAlignment="1" applyProtection="1">
      <alignment horizontal="left" vertical="top"/>
      <protection locked="0"/>
    </xf>
    <xf numFmtId="43" fontId="7" fillId="9" borderId="4" xfId="1" applyNumberFormat="1" applyFont="1" applyFill="1" applyBorder="1" applyAlignment="1" applyProtection="1">
      <alignment vertical="center"/>
      <protection locked="0"/>
    </xf>
    <xf numFmtId="165" fontId="7" fillId="9" borderId="4" xfId="1" applyNumberFormat="1" applyFont="1" applyFill="1" applyBorder="1" applyAlignment="1" applyProtection="1">
      <alignment vertical="center"/>
      <protection locked="0"/>
    </xf>
    <xf numFmtId="167" fontId="7" fillId="6" borderId="14" xfId="1" applyNumberFormat="1" applyFont="1" applyFill="1" applyBorder="1" applyAlignment="1" applyProtection="1">
      <alignment vertical="center"/>
      <protection locked="0"/>
    </xf>
    <xf numFmtId="167" fontId="8" fillId="5" borderId="4" xfId="1" applyNumberFormat="1" applyFont="1" applyFill="1" applyBorder="1" applyAlignment="1" applyProtection="1">
      <alignment horizontal="left" vertical="top"/>
      <protection locked="0"/>
    </xf>
    <xf numFmtId="166" fontId="7" fillId="6" borderId="14" xfId="1" applyNumberFormat="1" applyFont="1" applyFill="1" applyBorder="1" applyAlignment="1" applyProtection="1">
      <alignment vertical="center"/>
      <protection locked="0"/>
    </xf>
    <xf numFmtId="167" fontId="7" fillId="0" borderId="7" xfId="1" applyNumberFormat="1" applyFont="1" applyBorder="1" applyAlignment="1" applyProtection="1">
      <alignment vertical="center"/>
      <protection locked="0"/>
    </xf>
    <xf numFmtId="167" fontId="7" fillId="6" borderId="15" xfId="1" applyNumberFormat="1" applyFont="1" applyFill="1" applyBorder="1" applyAlignment="1" applyProtection="1">
      <alignment vertical="center"/>
      <protection locked="0"/>
    </xf>
    <xf numFmtId="164" fontId="7" fillId="0" borderId="7" xfId="1" applyFont="1" applyBorder="1" applyAlignment="1" applyProtection="1">
      <alignment vertical="center"/>
      <protection locked="0"/>
    </xf>
    <xf numFmtId="167" fontId="8" fillId="5" borderId="7" xfId="1" applyNumberFormat="1" applyFont="1" applyFill="1" applyBorder="1" applyAlignment="1" applyProtection="1">
      <alignment horizontal="left" vertical="top"/>
      <protection locked="0"/>
    </xf>
    <xf numFmtId="165" fontId="10" fillId="0" borderId="7" xfId="0" applyNumberFormat="1" applyFont="1" applyBorder="1"/>
    <xf numFmtId="165" fontId="7" fillId="0" borderId="7" xfId="1" applyNumberFormat="1" applyFont="1" applyBorder="1" applyAlignment="1" applyProtection="1">
      <alignment vertical="center"/>
      <protection locked="0"/>
    </xf>
    <xf numFmtId="166" fontId="7" fillId="6" borderId="15" xfId="1" applyNumberFormat="1" applyFont="1" applyFill="1" applyBorder="1" applyAlignment="1" applyProtection="1">
      <alignment vertical="center"/>
      <protection locked="0"/>
    </xf>
    <xf numFmtId="167" fontId="7" fillId="4" borderId="5" xfId="1" applyNumberFormat="1" applyFont="1" applyFill="1" applyBorder="1" applyAlignment="1" applyProtection="1">
      <alignment vertical="center"/>
      <protection locked="0"/>
    </xf>
    <xf numFmtId="164" fontId="7" fillId="4" borderId="5" xfId="1" applyFont="1" applyFill="1" applyBorder="1" applyAlignment="1" applyProtection="1">
      <alignment vertical="center"/>
      <protection locked="0"/>
    </xf>
    <xf numFmtId="167" fontId="8" fillId="4" borderId="16" xfId="1" applyNumberFormat="1" applyFont="1" applyFill="1" applyBorder="1" applyAlignment="1" applyProtection="1">
      <alignment vertical="center"/>
      <protection locked="0"/>
    </xf>
    <xf numFmtId="167" fontId="8" fillId="0" borderId="17" xfId="1" applyNumberFormat="1" applyFont="1" applyBorder="1" applyAlignment="1" applyProtection="1">
      <alignment vertical="center"/>
      <protection locked="0"/>
    </xf>
    <xf numFmtId="43" fontId="7" fillId="4" borderId="5" xfId="1" applyNumberFormat="1" applyFont="1" applyFill="1" applyBorder="1" applyAlignment="1" applyProtection="1">
      <alignment vertical="center"/>
      <protection locked="0"/>
    </xf>
    <xf numFmtId="165" fontId="7" fillId="4" borderId="5" xfId="1" applyNumberFormat="1" applyFont="1" applyFill="1" applyBorder="1" applyAlignment="1" applyProtection="1">
      <alignment vertical="center"/>
      <protection locked="0"/>
    </xf>
    <xf numFmtId="164" fontId="7" fillId="0" borderId="5" xfId="1" applyFont="1" applyBorder="1" applyAlignment="1" applyProtection="1">
      <alignment vertical="center"/>
      <protection locked="0"/>
    </xf>
    <xf numFmtId="167" fontId="8" fillId="0" borderId="16" xfId="1" applyNumberFormat="1" applyFont="1" applyBorder="1" applyAlignment="1" applyProtection="1">
      <alignment vertical="center"/>
      <protection locked="0"/>
    </xf>
    <xf numFmtId="43" fontId="7" fillId="0" borderId="5" xfId="1" applyNumberFormat="1" applyFont="1" applyBorder="1" applyAlignment="1" applyProtection="1">
      <alignment vertical="center"/>
      <protection locked="0"/>
    </xf>
    <xf numFmtId="165" fontId="7" fillId="0" borderId="5" xfId="1" applyNumberFormat="1" applyFont="1" applyBorder="1" applyAlignment="1" applyProtection="1">
      <alignment vertical="center"/>
      <protection locked="0"/>
    </xf>
    <xf numFmtId="2" fontId="7" fillId="0" borderId="4" xfId="1" applyNumberFormat="1" applyFont="1" applyBorder="1" applyAlignment="1" applyProtection="1">
      <alignment vertical="center"/>
      <protection locked="0"/>
    </xf>
    <xf numFmtId="167" fontId="8" fillId="0" borderId="18" xfId="1" applyNumberFormat="1" applyFont="1" applyBorder="1" applyAlignment="1" applyProtection="1">
      <alignment vertical="center"/>
      <protection locked="0"/>
    </xf>
    <xf numFmtId="167" fontId="8" fillId="0" borderId="13" xfId="1" applyNumberFormat="1" applyFont="1" applyBorder="1" applyAlignment="1" applyProtection="1">
      <alignment vertical="center"/>
      <protection locked="0"/>
    </xf>
    <xf numFmtId="168" fontId="4" fillId="0" borderId="0" xfId="0" applyNumberFormat="1" applyFont="1"/>
    <xf numFmtId="43" fontId="7" fillId="0" borderId="4" xfId="3" applyNumberFormat="1" applyFont="1" applyBorder="1" applyAlignment="1" applyProtection="1">
      <alignment vertical="center"/>
      <protection locked="0"/>
    </xf>
    <xf numFmtId="43" fontId="10" fillId="0" borderId="14" xfId="0" applyNumberFormat="1" applyFont="1" applyBorder="1"/>
    <xf numFmtId="2" fontId="5" fillId="0" borderId="4" xfId="3" applyNumberFormat="1" applyFont="1" applyFill="1" applyBorder="1" applyAlignment="1"/>
    <xf numFmtId="165" fontId="11" fillId="0" borderId="11" xfId="0" applyNumberFormat="1" applyFont="1" applyBorder="1"/>
    <xf numFmtId="165" fontId="14" fillId="0" borderId="4" xfId="0" applyNumberFormat="1" applyFont="1" applyBorder="1"/>
    <xf numFmtId="169" fontId="9" fillId="0" borderId="0" xfId="0" applyNumberFormat="1" applyFont="1"/>
    <xf numFmtId="166" fontId="15" fillId="0" borderId="0" xfId="1" applyNumberFormat="1" applyFont="1" applyFill="1" applyBorder="1" applyAlignment="1">
      <alignment vertical="center"/>
    </xf>
    <xf numFmtId="167" fontId="7" fillId="6" borderId="8" xfId="1" applyNumberFormat="1" applyFont="1" applyFill="1" applyBorder="1" applyAlignment="1" applyProtection="1">
      <alignment vertical="center"/>
      <protection locked="0"/>
    </xf>
    <xf numFmtId="164" fontId="7" fillId="6" borderId="14" xfId="1" applyFont="1" applyFill="1" applyBorder="1" applyAlignment="1" applyProtection="1">
      <alignment vertical="center"/>
      <protection locked="0"/>
    </xf>
    <xf numFmtId="167" fontId="16" fillId="6" borderId="4" xfId="1" quotePrefix="1" applyNumberFormat="1" applyFont="1" applyFill="1" applyBorder="1" applyAlignment="1" applyProtection="1">
      <alignment vertical="center"/>
      <protection locked="0"/>
    </xf>
    <xf numFmtId="43" fontId="7" fillId="6" borderId="14" xfId="1" applyNumberFormat="1" applyFont="1" applyFill="1" applyBorder="1" applyAlignment="1" applyProtection="1">
      <alignment vertical="center"/>
      <protection locked="0"/>
    </xf>
    <xf numFmtId="43" fontId="7" fillId="6" borderId="4" xfId="1" applyNumberFormat="1" applyFont="1" applyFill="1" applyBorder="1" applyAlignment="1" applyProtection="1">
      <alignment vertical="center"/>
      <protection locked="0"/>
    </xf>
    <xf numFmtId="165" fontId="7" fillId="6" borderId="14" xfId="1" applyNumberFormat="1" applyFont="1" applyFill="1" applyBorder="1" applyAlignment="1" applyProtection="1">
      <alignment vertical="center"/>
      <protection locked="0"/>
    </xf>
    <xf numFmtId="170" fontId="4" fillId="0" borderId="0" xfId="1" applyNumberFormat="1" applyFont="1" applyFill="1" applyBorder="1" applyAlignment="1">
      <alignment vertical="center"/>
    </xf>
    <xf numFmtId="165" fontId="17" fillId="0" borderId="4" xfId="0" applyNumberFormat="1" applyFont="1" applyBorder="1"/>
    <xf numFmtId="165" fontId="10" fillId="0" borderId="11" xfId="0" applyNumberFormat="1" applyFont="1" applyBorder="1" applyAlignment="1">
      <alignment vertical="center"/>
    </xf>
    <xf numFmtId="165" fontId="10" fillId="0" borderId="4" xfId="0" applyNumberFormat="1" applyFont="1" applyBorder="1"/>
    <xf numFmtId="2" fontId="10" fillId="0" borderId="4" xfId="0" applyNumberFormat="1" applyFont="1" applyBorder="1" applyAlignment="1">
      <alignment vertical="center"/>
    </xf>
    <xf numFmtId="43" fontId="7" fillId="0" borderId="4" xfId="1" applyNumberFormat="1" applyFont="1" applyBorder="1" applyAlignment="1" applyProtection="1">
      <alignment vertical="center"/>
      <protection locked="0"/>
    </xf>
    <xf numFmtId="43" fontId="10" fillId="0" borderId="4" xfId="0" applyNumberFormat="1" applyFont="1" applyBorder="1" applyAlignment="1">
      <alignment vertical="center"/>
    </xf>
    <xf numFmtId="43" fontId="7" fillId="0" borderId="7" xfId="1" applyNumberFormat="1" applyFont="1" applyBorder="1" applyAlignment="1" applyProtection="1">
      <alignment vertical="center"/>
      <protection locked="0"/>
    </xf>
    <xf numFmtId="43" fontId="10" fillId="0" borderId="7" xfId="0" applyNumberFormat="1" applyFont="1" applyBorder="1" applyAlignment="1">
      <alignment vertical="center"/>
    </xf>
    <xf numFmtId="2" fontId="7" fillId="0" borderId="7" xfId="1" applyNumberFormat="1" applyFont="1" applyBorder="1" applyAlignment="1" applyProtection="1">
      <alignment vertical="center"/>
      <protection locked="0"/>
    </xf>
    <xf numFmtId="167" fontId="6" fillId="10" borderId="1" xfId="1" applyNumberFormat="1" applyFont="1" applyFill="1" applyBorder="1" applyAlignment="1">
      <alignment horizontal="center" vertical="center"/>
    </xf>
    <xf numFmtId="167" fontId="6" fillId="11" borderId="1" xfId="1" applyNumberFormat="1" applyFont="1" applyFill="1" applyBorder="1" applyAlignment="1">
      <alignment horizontal="center" vertical="center"/>
    </xf>
    <xf numFmtId="164" fontId="6" fillId="11" borderId="1" xfId="1" applyFont="1" applyFill="1" applyBorder="1" applyAlignment="1">
      <alignment horizontal="center" vertical="center"/>
    </xf>
    <xf numFmtId="2" fontId="6" fillId="11" borderId="1" xfId="1" applyNumberFormat="1" applyFont="1" applyFill="1" applyBorder="1" applyAlignment="1">
      <alignment horizontal="center" vertical="center"/>
    </xf>
    <xf numFmtId="167" fontId="6" fillId="11" borderId="1" xfId="1" applyNumberFormat="1" applyFont="1" applyFill="1" applyBorder="1" applyAlignment="1">
      <alignment horizontal="left" vertical="center"/>
    </xf>
    <xf numFmtId="0" fontId="4" fillId="0" borderId="0" xfId="0" applyFont="1" applyProtection="1">
      <protection locked="0"/>
    </xf>
    <xf numFmtId="43" fontId="6" fillId="11" borderId="1" xfId="1" applyNumberFormat="1" applyFont="1" applyFill="1" applyBorder="1" applyAlignment="1">
      <alignment horizontal="center" vertical="center"/>
    </xf>
    <xf numFmtId="165" fontId="6" fillId="10" borderId="1" xfId="1" applyNumberFormat="1" applyFont="1" applyFill="1" applyBorder="1" applyAlignment="1">
      <alignment horizontal="center" vertical="center"/>
    </xf>
    <xf numFmtId="166" fontId="6" fillId="11" borderId="1" xfId="1" applyNumberFormat="1" applyFont="1" applyFill="1" applyBorder="1" applyAlignment="1">
      <alignment horizontal="center" vertical="center"/>
    </xf>
    <xf numFmtId="167" fontId="6" fillId="11" borderId="3" xfId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43" fontId="0" fillId="0" borderId="0" xfId="1" quotePrefix="1" applyNumberFormat="1" applyFont="1"/>
    <xf numFmtId="165" fontId="0" fillId="0" borderId="0" xfId="1" applyNumberFormat="1" applyFont="1" applyBorder="1" applyAlignment="1">
      <alignment horizontal="center"/>
    </xf>
    <xf numFmtId="166" fontId="18" fillId="0" borderId="0" xfId="1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12" borderId="0" xfId="0" applyFont="1" applyFill="1" applyProtection="1">
      <protection locked="0"/>
    </xf>
    <xf numFmtId="0" fontId="3" fillId="12" borderId="0" xfId="0" applyFont="1" applyFill="1"/>
    <xf numFmtId="0" fontId="21" fillId="12" borderId="0" xfId="0" applyFont="1" applyFill="1" applyAlignment="1">
      <alignment vertical="center"/>
    </xf>
    <xf numFmtId="0" fontId="22" fillId="0" borderId="0" xfId="0" applyFont="1"/>
    <xf numFmtId="0" fontId="20" fillId="12" borderId="0" xfId="0" applyFont="1" applyFill="1"/>
    <xf numFmtId="0" fontId="24" fillId="12" borderId="0" xfId="0" applyFont="1" applyFill="1" applyAlignment="1">
      <alignment vertical="center"/>
    </xf>
    <xf numFmtId="0" fontId="23" fillId="12" borderId="0" xfId="0" applyFont="1" applyFill="1" applyAlignment="1" applyProtection="1">
      <alignment vertical="center"/>
      <protection locked="0"/>
    </xf>
    <xf numFmtId="0" fontId="25" fillId="0" borderId="0" xfId="0" applyFont="1" applyAlignment="1">
      <alignment vertical="center"/>
    </xf>
    <xf numFmtId="0" fontId="2" fillId="0" borderId="0" xfId="0" applyFont="1"/>
    <xf numFmtId="0" fontId="18" fillId="14" borderId="12" xfId="0" applyFont="1" applyFill="1" applyBorder="1" applyAlignment="1">
      <alignment vertical="center"/>
    </xf>
    <xf numFmtId="1" fontId="6" fillId="15" borderId="6" xfId="1" applyNumberFormat="1" applyFont="1" applyFill="1" applyBorder="1" applyAlignment="1">
      <alignment horizontal="center" vertical="center"/>
    </xf>
    <xf numFmtId="1" fontId="6" fillId="15" borderId="15" xfId="1" applyNumberFormat="1" applyFont="1" applyFill="1" applyBorder="1" applyAlignment="1">
      <alignment horizontal="center" vertical="center"/>
    </xf>
    <xf numFmtId="167" fontId="26" fillId="15" borderId="10" xfId="1" applyNumberFormat="1" applyFont="1" applyFill="1" applyBorder="1" applyAlignment="1">
      <alignment horizontal="left" vertical="center"/>
    </xf>
    <xf numFmtId="167" fontId="6" fillId="15" borderId="19" xfId="1" applyNumberFormat="1" applyFont="1" applyFill="1" applyBorder="1" applyAlignment="1">
      <alignment horizontal="center" vertical="center"/>
    </xf>
    <xf numFmtId="1" fontId="6" fillId="15" borderId="19" xfId="1" applyNumberFormat="1" applyFont="1" applyFill="1" applyBorder="1" applyAlignment="1">
      <alignment horizontal="center" vertical="center"/>
    </xf>
    <xf numFmtId="167" fontId="6" fillId="15" borderId="19" xfId="1" applyNumberFormat="1" applyFont="1" applyFill="1" applyBorder="1" applyAlignment="1">
      <alignment horizontal="center" vertical="center" wrapText="1"/>
    </xf>
    <xf numFmtId="167" fontId="6" fillId="15" borderId="20" xfId="1" applyNumberFormat="1" applyFont="1" applyFill="1" applyBorder="1" applyAlignment="1">
      <alignment horizontal="center" vertical="center" wrapText="1"/>
    </xf>
    <xf numFmtId="167" fontId="8" fillId="0" borderId="9" xfId="1" applyNumberFormat="1" applyFont="1" applyFill="1" applyBorder="1" applyAlignment="1" applyProtection="1">
      <alignment vertical="center"/>
      <protection locked="0"/>
    </xf>
    <xf numFmtId="167" fontId="7" fillId="0" borderId="4" xfId="1" applyNumberFormat="1" applyFont="1" applyFill="1" applyBorder="1" applyAlignment="1" applyProtection="1">
      <alignment vertical="center"/>
      <protection locked="0"/>
    </xf>
    <xf numFmtId="9" fontId="4" fillId="0" borderId="0" xfId="2" applyFont="1" applyFill="1" applyBorder="1" applyProtection="1">
      <protection locked="0"/>
    </xf>
    <xf numFmtId="167" fontId="7" fillId="16" borderId="4" xfId="1" applyNumberFormat="1" applyFont="1" applyFill="1" applyBorder="1" applyAlignment="1" applyProtection="1">
      <alignment vertical="center"/>
      <protection locked="0"/>
    </xf>
    <xf numFmtId="9" fontId="4" fillId="0" borderId="14" xfId="2" applyFont="1" applyFill="1" applyBorder="1" applyProtection="1">
      <protection locked="0"/>
    </xf>
    <xf numFmtId="167" fontId="8" fillId="0" borderId="10" xfId="1" applyNumberFormat="1" applyFont="1" applyFill="1" applyBorder="1" applyAlignment="1" applyProtection="1">
      <alignment vertical="center"/>
      <protection locked="0"/>
    </xf>
    <xf numFmtId="167" fontId="7" fillId="16" borderId="8" xfId="1" applyNumberFormat="1" applyFont="1" applyFill="1" applyBorder="1" applyAlignment="1" applyProtection="1">
      <alignment vertical="center"/>
      <protection locked="0"/>
    </xf>
    <xf numFmtId="9" fontId="4" fillId="0" borderId="20" xfId="2" applyFont="1" applyFill="1" applyBorder="1" applyProtection="1">
      <protection locked="0"/>
    </xf>
    <xf numFmtId="167" fontId="27" fillId="0" borderId="12" xfId="1" applyNumberFormat="1" applyFont="1" applyFill="1" applyBorder="1" applyAlignment="1" applyProtection="1">
      <alignment vertical="center"/>
      <protection locked="0"/>
    </xf>
    <xf numFmtId="167" fontId="28" fillId="0" borderId="7" xfId="1" applyNumberFormat="1" applyFont="1" applyFill="1" applyBorder="1" applyAlignment="1" applyProtection="1">
      <alignment vertical="center"/>
      <protection locked="0"/>
    </xf>
    <xf numFmtId="9" fontId="15" fillId="0" borderId="6" xfId="2" applyFont="1" applyFill="1" applyBorder="1" applyProtection="1">
      <protection locked="0"/>
    </xf>
    <xf numFmtId="167" fontId="28" fillId="16" borderId="7" xfId="1" applyNumberFormat="1" applyFont="1" applyFill="1" applyBorder="1" applyAlignment="1" applyProtection="1">
      <alignment vertical="center"/>
      <protection locked="0"/>
    </xf>
    <xf numFmtId="9" fontId="4" fillId="0" borderId="15" xfId="2" applyFont="1" applyFill="1" applyBorder="1" applyProtection="1">
      <protection locked="0"/>
    </xf>
    <xf numFmtId="167" fontId="16" fillId="0" borderId="4" xfId="1" quotePrefix="1" applyNumberFormat="1" applyFont="1" applyFill="1" applyBorder="1" applyAlignment="1" applyProtection="1">
      <alignment vertical="center"/>
      <protection locked="0"/>
    </xf>
    <xf numFmtId="9" fontId="12" fillId="0" borderId="0" xfId="2" applyFont="1" applyFill="1" applyBorder="1" applyProtection="1">
      <protection locked="0"/>
    </xf>
    <xf numFmtId="167" fontId="16" fillId="0" borderId="8" xfId="1" quotePrefix="1" applyNumberFormat="1" applyFont="1" applyFill="1" applyBorder="1" applyAlignment="1" applyProtection="1">
      <alignment vertical="center"/>
      <protection locked="0"/>
    </xf>
    <xf numFmtId="9" fontId="12" fillId="0" borderId="19" xfId="2" applyFont="1" applyFill="1" applyBorder="1" applyProtection="1">
      <protection locked="0"/>
    </xf>
    <xf numFmtId="167" fontId="8" fillId="0" borderId="7" xfId="1" applyNumberFormat="1" applyFont="1" applyFill="1" applyBorder="1" applyAlignment="1" applyProtection="1">
      <alignment vertical="center"/>
      <protection locked="0"/>
    </xf>
    <xf numFmtId="167" fontId="7" fillId="0" borderId="7" xfId="1" applyNumberFormat="1" applyFont="1" applyFill="1" applyBorder="1" applyAlignment="1" applyProtection="1">
      <alignment vertical="center"/>
      <protection locked="0"/>
    </xf>
    <xf numFmtId="167" fontId="7" fillId="0" borderId="15" xfId="1" applyNumberFormat="1" applyFont="1" applyFill="1" applyBorder="1" applyAlignment="1" applyProtection="1">
      <alignment vertical="center"/>
      <protection locked="0"/>
    </xf>
    <xf numFmtId="9" fontId="4" fillId="0" borderId="6" xfId="2" applyFont="1" applyFill="1" applyBorder="1" applyProtection="1">
      <protection locked="0"/>
    </xf>
    <xf numFmtId="167" fontId="7" fillId="16" borderId="7" xfId="1" applyNumberFormat="1" applyFont="1" applyFill="1" applyBorder="1" applyAlignment="1" applyProtection="1">
      <alignment vertical="center"/>
      <protection locked="0"/>
    </xf>
    <xf numFmtId="167" fontId="8" fillId="0" borderId="4" xfId="1" applyNumberFormat="1" applyFont="1" applyFill="1" applyBorder="1" applyAlignment="1" applyProtection="1">
      <alignment vertical="center"/>
      <protection locked="0"/>
    </xf>
    <xf numFmtId="167" fontId="7" fillId="0" borderId="14" xfId="1" applyNumberFormat="1" applyFont="1" applyFill="1" applyBorder="1" applyAlignment="1" applyProtection="1">
      <alignment vertical="center"/>
      <protection locked="0"/>
    </xf>
    <xf numFmtId="167" fontId="27" fillId="0" borderId="8" xfId="1" applyNumberFormat="1" applyFont="1" applyFill="1" applyBorder="1" applyAlignment="1" applyProtection="1">
      <alignment vertical="center"/>
      <protection locked="0"/>
    </xf>
    <xf numFmtId="167" fontId="7" fillId="0" borderId="8" xfId="1" applyNumberFormat="1" applyFont="1" applyFill="1" applyBorder="1" applyAlignment="1" applyProtection="1">
      <alignment vertical="center"/>
      <protection locked="0"/>
    </xf>
    <xf numFmtId="167" fontId="7" fillId="0" borderId="20" xfId="1" applyNumberFormat="1" applyFont="1" applyFill="1" applyBorder="1" applyAlignment="1" applyProtection="1">
      <alignment vertical="center"/>
      <protection locked="0"/>
    </xf>
    <xf numFmtId="9" fontId="4" fillId="0" borderId="19" xfId="2" applyFont="1" applyFill="1" applyBorder="1" applyProtection="1">
      <protection locked="0"/>
    </xf>
    <xf numFmtId="167" fontId="29" fillId="0" borderId="12" xfId="1" applyNumberFormat="1" applyFont="1" applyFill="1" applyBorder="1" applyProtection="1">
      <protection locked="0"/>
    </xf>
    <xf numFmtId="167" fontId="29" fillId="0" borderId="0" xfId="1" applyNumberFormat="1" applyFont="1" applyFill="1" applyBorder="1" applyProtection="1">
      <protection locked="0"/>
    </xf>
    <xf numFmtId="167" fontId="29" fillId="16" borderId="6" xfId="1" applyNumberFormat="1" applyFont="1" applyFill="1" applyBorder="1" applyProtection="1">
      <protection locked="0"/>
    </xf>
    <xf numFmtId="167" fontId="29" fillId="0" borderId="10" xfId="1" applyNumberFormat="1" applyFont="1" applyFill="1" applyBorder="1" applyProtection="1">
      <protection locked="0"/>
    </xf>
    <xf numFmtId="9" fontId="29" fillId="0" borderId="19" xfId="2" applyFont="1" applyFill="1" applyBorder="1" applyProtection="1">
      <protection locked="0"/>
    </xf>
    <xf numFmtId="167" fontId="29" fillId="16" borderId="19" xfId="1" applyNumberFormat="1" applyFont="1" applyFill="1" applyBorder="1" applyProtection="1">
      <protection locked="0"/>
    </xf>
    <xf numFmtId="167" fontId="14" fillId="0" borderId="21" xfId="1" applyNumberFormat="1" applyFont="1" applyFill="1" applyBorder="1" applyProtection="1">
      <protection locked="0"/>
    </xf>
    <xf numFmtId="167" fontId="14" fillId="0" borderId="1" xfId="1" applyNumberFormat="1" applyFont="1" applyFill="1" applyBorder="1" applyProtection="1">
      <protection locked="0"/>
    </xf>
    <xf numFmtId="9" fontId="4" fillId="0" borderId="1" xfId="2" applyFont="1" applyFill="1" applyBorder="1" applyProtection="1">
      <protection locked="0"/>
    </xf>
    <xf numFmtId="167" fontId="14" fillId="16" borderId="3" xfId="1" applyNumberFormat="1" applyFont="1" applyFill="1" applyBorder="1" applyProtection="1">
      <protection locked="0"/>
    </xf>
    <xf numFmtId="9" fontId="4" fillId="0" borderId="2" xfId="2" applyFont="1" applyFill="1" applyBorder="1" applyProtection="1">
      <protection locked="0"/>
    </xf>
    <xf numFmtId="9" fontId="30" fillId="0" borderId="1" xfId="2" applyFont="1" applyFill="1" applyBorder="1" applyProtection="1">
      <protection locked="0"/>
    </xf>
    <xf numFmtId="167" fontId="29" fillId="0" borderId="21" xfId="1" applyNumberFormat="1" applyFont="1" applyFill="1" applyBorder="1" applyProtection="1">
      <protection locked="0"/>
    </xf>
    <xf numFmtId="167" fontId="29" fillId="0" borderId="1" xfId="1" applyNumberFormat="1" applyFont="1" applyFill="1" applyBorder="1" applyProtection="1">
      <protection locked="0"/>
    </xf>
    <xf numFmtId="167" fontId="29" fillId="16" borderId="3" xfId="1" applyNumberFormat="1" applyFont="1" applyFill="1" applyBorder="1" applyProtection="1">
      <protection locked="0"/>
    </xf>
    <xf numFmtId="9" fontId="29" fillId="0" borderId="1" xfId="2" applyFont="1" applyFill="1" applyBorder="1" applyProtection="1">
      <protection locked="0"/>
    </xf>
    <xf numFmtId="167" fontId="8" fillId="0" borderId="12" xfId="1" applyNumberFormat="1" applyFont="1" applyFill="1" applyBorder="1" applyAlignment="1" applyProtection="1">
      <alignment vertical="center"/>
      <protection locked="0"/>
    </xf>
    <xf numFmtId="167" fontId="7" fillId="0" borderId="6" xfId="1" applyNumberFormat="1" applyFont="1" applyFill="1" applyBorder="1" applyAlignment="1" applyProtection="1">
      <alignment vertical="center"/>
      <protection locked="0"/>
    </xf>
    <xf numFmtId="9" fontId="30" fillId="0" borderId="6" xfId="2" applyFont="1" applyFill="1" applyBorder="1" applyProtection="1">
      <protection locked="0"/>
    </xf>
    <xf numFmtId="167" fontId="11" fillId="16" borderId="6" xfId="1" applyNumberFormat="1" applyFont="1" applyFill="1" applyBorder="1" applyAlignment="1" applyProtection="1">
      <alignment vertical="center"/>
      <protection locked="0"/>
    </xf>
    <xf numFmtId="167" fontId="29" fillId="0" borderId="6" xfId="1" applyNumberFormat="1" applyFont="1" applyFill="1" applyBorder="1" applyProtection="1">
      <protection locked="0"/>
    </xf>
    <xf numFmtId="167" fontId="11" fillId="0" borderId="19" xfId="1" applyNumberFormat="1" applyFont="1" applyFill="1" applyBorder="1" applyAlignment="1" applyProtection="1">
      <alignment vertical="center"/>
      <protection locked="0"/>
    </xf>
    <xf numFmtId="9" fontId="31" fillId="0" borderId="19" xfId="2" quotePrefix="1" applyFont="1" applyFill="1" applyBorder="1" applyProtection="1">
      <protection locked="0"/>
    </xf>
    <xf numFmtId="167" fontId="11" fillId="16" borderId="19" xfId="1" applyNumberFormat="1" applyFont="1" applyFill="1" applyBorder="1" applyAlignment="1" applyProtection="1">
      <alignment vertical="center"/>
      <protection locked="0"/>
    </xf>
    <xf numFmtId="167" fontId="32" fillId="16" borderId="0" xfId="1" applyNumberFormat="1" applyFont="1" applyFill="1" applyBorder="1" applyAlignment="1" applyProtection="1">
      <alignment vertical="center"/>
      <protection locked="0"/>
    </xf>
    <xf numFmtId="167" fontId="14" fillId="0" borderId="12" xfId="1" applyNumberFormat="1" applyFont="1" applyFill="1" applyBorder="1" applyProtection="1">
      <protection locked="0"/>
    </xf>
    <xf numFmtId="9" fontId="14" fillId="0" borderId="6" xfId="2" applyFont="1" applyFill="1" applyBorder="1" applyProtection="1">
      <protection locked="0"/>
    </xf>
    <xf numFmtId="167" fontId="11" fillId="0" borderId="19" xfId="1" applyNumberFormat="1" applyFont="1" applyFill="1" applyBorder="1" applyAlignment="1">
      <alignment vertical="center"/>
    </xf>
    <xf numFmtId="167" fontId="11" fillId="0" borderId="1" xfId="1" applyNumberFormat="1" applyFont="1" applyFill="1" applyBorder="1" applyAlignment="1">
      <alignment vertical="center"/>
    </xf>
    <xf numFmtId="9" fontId="11" fillId="0" borderId="1" xfId="2" applyFont="1" applyFill="1" applyBorder="1" applyAlignment="1">
      <alignment vertical="center"/>
    </xf>
    <xf numFmtId="164" fontId="0" fillId="0" borderId="0" xfId="1" applyFont="1" applyBorder="1"/>
    <xf numFmtId="167" fontId="11" fillId="0" borderId="0" xfId="1" applyNumberFormat="1" applyFont="1" applyFill="1" applyBorder="1" applyAlignment="1" applyProtection="1">
      <alignment vertical="center"/>
      <protection locked="0"/>
    </xf>
    <xf numFmtId="0" fontId="33" fillId="12" borderId="0" xfId="0" applyFont="1" applyFill="1" applyAlignment="1" applyProtection="1">
      <alignment vertical="center"/>
      <protection locked="0"/>
    </xf>
    <xf numFmtId="166" fontId="34" fillId="13" borderId="0" xfId="1" applyNumberFormat="1" applyFont="1" applyFill="1" applyAlignment="1">
      <alignment horizontal="center" wrapText="1"/>
    </xf>
    <xf numFmtId="165" fontId="1" fillId="0" borderId="0" xfId="1" quotePrefix="1" applyNumberFormat="1" applyFont="1"/>
    <xf numFmtId="16" fontId="0" fillId="0" borderId="0" xfId="0" quotePrefix="1" applyNumberFormat="1"/>
    <xf numFmtId="2" fontId="7" fillId="0" borderId="4" xfId="1" applyNumberFormat="1" applyFont="1" applyFill="1" applyBorder="1" applyAlignment="1" applyProtection="1">
      <alignment vertical="center"/>
      <protection locked="0"/>
    </xf>
    <xf numFmtId="166" fontId="7" fillId="0" borderId="14" xfId="1" applyNumberFormat="1" applyFont="1" applyFill="1" applyBorder="1" applyAlignment="1" applyProtection="1">
      <alignment vertical="center"/>
      <protection locked="0"/>
    </xf>
    <xf numFmtId="167" fontId="7" fillId="17" borderId="5" xfId="1" applyNumberFormat="1" applyFont="1" applyFill="1" applyBorder="1" applyAlignment="1" applyProtection="1">
      <alignment vertical="center"/>
      <protection locked="0"/>
    </xf>
    <xf numFmtId="167" fontId="8" fillId="17" borderId="5" xfId="1" applyNumberFormat="1" applyFont="1" applyFill="1" applyBorder="1" applyAlignment="1" applyProtection="1">
      <alignment vertical="center"/>
      <protection locked="0"/>
    </xf>
    <xf numFmtId="0" fontId="23" fillId="12" borderId="0" xfId="0" applyFont="1" applyFill="1" applyAlignment="1" applyProtection="1">
      <alignment horizontal="center" vertical="center" wrapText="1"/>
      <protection locked="0"/>
    </xf>
    <xf numFmtId="167" fontId="0" fillId="0" borderId="0" xfId="0" applyNumberFormat="1"/>
    <xf numFmtId="166" fontId="7" fillId="0" borderId="8" xfId="1" applyNumberFormat="1" applyFont="1" applyFill="1" applyBorder="1" applyAlignment="1" applyProtection="1">
      <alignment vertical="center"/>
      <protection locked="0"/>
    </xf>
    <xf numFmtId="167" fontId="8" fillId="0" borderId="8" xfId="1" applyNumberFormat="1" applyFont="1" applyFill="1" applyBorder="1" applyAlignment="1" applyProtection="1">
      <alignment vertical="center"/>
      <protection locked="0"/>
    </xf>
  </cellXfs>
  <cellStyles count="5">
    <cellStyle name="Migliaia" xfId="1" builtinId="3"/>
    <cellStyle name="Migliaia 10" xfId="4" xr:uid="{C590D723-0A62-4FCA-A3A6-3CC0AFCAB2CF}"/>
    <cellStyle name="Migliaia 8" xfId="3" xr:uid="{741A7AC8-DD40-4C10-8DD8-30F0E84F3705}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tvsrl-my.sharepoint.com/personal/raffaele_amoroso_itvalues_it/Documents/NAS%20ITV/NUMERI%20ITV/BUDGET%20ITV_20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ITV_2026"/>
      <sheetName val="CE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186B-A717-4A63-938B-3092DC8C53AD}">
  <dimension ref="B1:G37"/>
  <sheetViews>
    <sheetView topLeftCell="A17" workbookViewId="0">
      <selection activeCell="D37" sqref="D37"/>
    </sheetView>
  </sheetViews>
  <sheetFormatPr baseColWidth="10" defaultColWidth="8.83203125" defaultRowHeight="15"/>
  <cols>
    <col min="2" max="2" width="47.6640625" bestFit="1" customWidth="1"/>
    <col min="3" max="3" width="13.5" style="2" bestFit="1" customWidth="1"/>
    <col min="4" max="4" width="10.33203125" bestFit="1" customWidth="1"/>
    <col min="5" max="5" width="9.83203125" bestFit="1" customWidth="1"/>
    <col min="6" max="7" width="12.33203125" customWidth="1"/>
  </cols>
  <sheetData>
    <row r="1" spans="2:7">
      <c r="B1" s="164" t="s">
        <v>0</v>
      </c>
    </row>
    <row r="3" spans="2:7" ht="17">
      <c r="B3" s="165"/>
      <c r="C3" s="166">
        <v>2025</v>
      </c>
      <c r="D3" s="166">
        <v>2026</v>
      </c>
      <c r="E3" s="166" t="s">
        <v>1</v>
      </c>
      <c r="F3" s="166">
        <v>2026</v>
      </c>
      <c r="G3" s="167" t="s">
        <v>1</v>
      </c>
    </row>
    <row r="4" spans="2:7" ht="18">
      <c r="B4" s="168" t="s">
        <v>2</v>
      </c>
      <c r="C4" s="169" t="s">
        <v>3</v>
      </c>
      <c r="D4" s="169" t="s">
        <v>4</v>
      </c>
      <c r="E4" s="170">
        <v>2026</v>
      </c>
      <c r="F4" s="171" t="str">
        <f>B1</f>
        <v>IT values</v>
      </c>
      <c r="G4" s="172" t="str">
        <f>B1</f>
        <v>IT values</v>
      </c>
    </row>
    <row r="5" spans="2:7" ht="17">
      <c r="B5" s="173" t="s">
        <v>5</v>
      </c>
      <c r="C5" s="174" cm="1">
        <f t="array" aca="1" ref="C5" ca="1">INDIRECT("'"&amp;$B$1&amp;"'!$T5")</f>
        <v>1875.2463400000001</v>
      </c>
      <c r="D5" s="174" cm="1">
        <f t="array" aca="1" ref="D5" ca="1">INDIRECT("'"&amp;$B$1&amp;"'!$h5")</f>
        <v>1200000</v>
      </c>
      <c r="E5" s="175">
        <f ca="1">+IFERROR((D5-#REF!)/#REF!,0)</f>
        <v>0</v>
      </c>
      <c r="F5" s="176" t="e">
        <f>+[1]CE!K5</f>
        <v>#REF!</v>
      </c>
      <c r="G5" s="177">
        <f>+IFERROR((F5-#REF!)/#REF!,0)</f>
        <v>0</v>
      </c>
    </row>
    <row r="6" spans="2:7" ht="17">
      <c r="B6" s="173" t="s">
        <v>6</v>
      </c>
      <c r="C6" s="174" cm="1">
        <f t="array" aca="1" ref="C6" ca="1">INDIRECT("'"&amp;$B$1&amp;"'!$T6")</f>
        <v>265.62963999999999</v>
      </c>
      <c r="D6" s="174" cm="1">
        <f t="array" aca="1" ref="D6" ca="1">INDIRECT("'"&amp;$B$1&amp;"'!$h6")</f>
        <v>202600.8</v>
      </c>
      <c r="E6" s="175">
        <f ca="1">+IFERROR((D6-C6)/D6,0)</f>
        <v>0.99868890132714183</v>
      </c>
      <c r="F6" s="176" t="e">
        <f>+[1]CE!K6</f>
        <v>#REF!</v>
      </c>
      <c r="G6" s="177">
        <f t="shared" ref="G6:G10" ca="1" si="0">+IFERROR((F6-C6)/C6,0)</f>
        <v>0</v>
      </c>
    </row>
    <row r="7" spans="2:7" ht="17">
      <c r="B7" s="173" t="s">
        <v>7</v>
      </c>
      <c r="C7" s="174" cm="1">
        <f t="array" aca="1" ref="C7" ca="1">INDIRECT("'"&amp;$B$1&amp;"'!$T7")</f>
        <v>5301.47073</v>
      </c>
      <c r="D7" s="174" cm="1">
        <f t="array" aca="1" ref="D7" ca="1">INDIRECT("'"&amp;$B$1&amp;"'!$h7")</f>
        <v>5216248.5999999996</v>
      </c>
      <c r="E7" s="175">
        <f ca="1">+IFERROR((D7-C7)/D7,0)</f>
        <v>0.99898366218013457</v>
      </c>
      <c r="F7" s="176" t="e">
        <f>+[1]CE!K7</f>
        <v>#REF!</v>
      </c>
      <c r="G7" s="177">
        <f t="shared" ca="1" si="0"/>
        <v>0</v>
      </c>
    </row>
    <row r="8" spans="2:7" ht="17">
      <c r="B8" s="173" t="s">
        <v>8</v>
      </c>
      <c r="C8" s="174" cm="1">
        <f t="array" aca="1" ref="C8" ca="1">INDIRECT("'"&amp;$B$1&amp;"'!$T8")</f>
        <v>-1706.21</v>
      </c>
      <c r="D8" s="174" cm="1">
        <f t="array" aca="1" ref="D8" ca="1">INDIRECT("'"&amp;$B$1&amp;"'!$h8")</f>
        <v>0</v>
      </c>
      <c r="E8" s="175">
        <f ca="1">+IFERROR((D8-C8)/D8,0)</f>
        <v>0</v>
      </c>
      <c r="F8" s="176" t="e">
        <f>+[1]CE!K8</f>
        <v>#REF!</v>
      </c>
      <c r="G8" s="177">
        <f t="shared" ca="1" si="0"/>
        <v>0</v>
      </c>
    </row>
    <row r="9" spans="2:7" ht="17">
      <c r="B9" s="178" t="s">
        <v>9</v>
      </c>
      <c r="C9" s="174" cm="1">
        <f t="array" aca="1" ref="C9" ca="1">INDIRECT("'"&amp;$B$1&amp;"'!$T9")</f>
        <v>50.33</v>
      </c>
      <c r="D9" s="174" cm="1">
        <f t="array" aca="1" ref="D9" ca="1">INDIRECT("'"&amp;$B$1&amp;"'!$h9")</f>
        <v>0</v>
      </c>
      <c r="E9" s="175">
        <f ca="1">+IFERROR((D9-C9)/D9,0)</f>
        <v>0</v>
      </c>
      <c r="F9" s="179" t="e">
        <f>+[1]CE!K9</f>
        <v>#REF!</v>
      </c>
      <c r="G9" s="180">
        <f t="shared" ca="1" si="0"/>
        <v>0</v>
      </c>
    </row>
    <row r="10" spans="2:7" ht="17">
      <c r="B10" s="181" t="s">
        <v>10</v>
      </c>
      <c r="C10" s="182">
        <f ca="1">+SUM(C5:C9)</f>
        <v>5786.4667099999997</v>
      </c>
      <c r="D10" s="182">
        <f ca="1">+SUM(D5:D9)</f>
        <v>6618849.3999999994</v>
      </c>
      <c r="E10" s="183">
        <f t="shared" ref="E10:E28" ca="1" si="1">+IFERROR((D10-C10)/D10,0)</f>
        <v>0.99912575942428905</v>
      </c>
      <c r="F10" s="184" t="e">
        <f>+SUM(F5:F9)</f>
        <v>#REF!</v>
      </c>
      <c r="G10" s="185">
        <f t="shared" ca="1" si="0"/>
        <v>0</v>
      </c>
    </row>
    <row r="11" spans="2:7" ht="17">
      <c r="B11" s="186" t="s">
        <v>11</v>
      </c>
      <c r="C11" s="174" cm="1">
        <f t="array" aca="1" ref="C11" ca="1">INDIRECT("'"&amp;$B$1&amp;"'!$T10")</f>
        <v>0</v>
      </c>
      <c r="D11" s="174" cm="1">
        <f t="array" aca="1" ref="D11" ca="1">INDIRECT("'"&amp;$B$1&amp;"'!$h10")</f>
        <v>2306382.1</v>
      </c>
      <c r="E11" s="187">
        <f t="shared" ca="1" si="1"/>
        <v>1</v>
      </c>
      <c r="F11" s="176" t="e">
        <f>+[1]CE!K10</f>
        <v>#REF!</v>
      </c>
      <c r="G11" s="177">
        <f ca="1">+IFERROR((F11-C11)/C11,0)</f>
        <v>0</v>
      </c>
    </row>
    <row r="12" spans="2:7" ht="17">
      <c r="B12" s="188" t="s">
        <v>12</v>
      </c>
      <c r="C12" s="174" cm="1">
        <f t="array" aca="1" ref="C12" ca="1">INDIRECT("'"&amp;$B$1&amp;"'!$T11")</f>
        <v>0</v>
      </c>
      <c r="D12" s="174" cm="1">
        <f t="array" aca="1" ref="D12" ca="1">INDIRECT("'"&amp;$B$1&amp;"'!$h11")</f>
        <v>264371.48</v>
      </c>
      <c r="E12" s="189">
        <f t="shared" ca="1" si="1"/>
        <v>1</v>
      </c>
      <c r="F12" s="176" t="e">
        <f>+[1]CE!K11</f>
        <v>#REF!</v>
      </c>
      <c r="G12" s="180">
        <f t="shared" ref="G12:G35" ca="1" si="2">+IFERROR((F12-C12)/C12,0)</f>
        <v>0</v>
      </c>
    </row>
    <row r="13" spans="2:7" ht="17">
      <c r="B13" s="190" t="s">
        <v>13</v>
      </c>
      <c r="C13" s="191" cm="1">
        <f t="array" aca="1" ref="C13" ca="1">INDIRECT("'"&amp;$B$1&amp;"'!$T13")</f>
        <v>425.25531999999998</v>
      </c>
      <c r="D13" s="192" cm="1">
        <f t="array" aca="1" ref="D13" ca="1">INDIRECT("'"&amp;$B$1&amp;"'!$h13")</f>
        <v>691038.76</v>
      </c>
      <c r="E13" s="193">
        <f t="shared" ca="1" si="1"/>
        <v>0.99938461437387394</v>
      </c>
      <c r="F13" s="194" t="e">
        <f>+[1]CE!K13</f>
        <v>#REF!</v>
      </c>
      <c r="G13" s="185">
        <f t="shared" ca="1" si="2"/>
        <v>0</v>
      </c>
    </row>
    <row r="14" spans="2:7" ht="17">
      <c r="B14" s="195" t="s">
        <v>14</v>
      </c>
      <c r="C14" s="174" cm="1">
        <f t="array" aca="1" ref="C14" ca="1">INDIRECT("'"&amp;$B$1&amp;"'!$T14")</f>
        <v>1610.0606499999999</v>
      </c>
      <c r="D14" s="196" cm="1">
        <f t="array" aca="1" ref="D14" ca="1">INDIRECT("'"&amp;$B$1&amp;"'!$h14")</f>
        <v>566405.24</v>
      </c>
      <c r="E14" s="175">
        <f t="shared" ca="1" si="1"/>
        <v>0.99715740509392181</v>
      </c>
      <c r="F14" s="176" t="e">
        <f>+[1]CE!K14</f>
        <v>#REF!</v>
      </c>
      <c r="G14" s="177">
        <f t="shared" ca="1" si="2"/>
        <v>0</v>
      </c>
    </row>
    <row r="15" spans="2:7" ht="17">
      <c r="B15" s="195" t="s">
        <v>15</v>
      </c>
      <c r="C15" s="174" cm="1">
        <f t="array" aca="1" ref="C15" ca="1">INDIRECT("'"&amp;$B$1&amp;"'!$T15")</f>
        <v>178.428</v>
      </c>
      <c r="D15" s="196" cm="1">
        <f t="array" aca="1" ref="D15" ca="1">INDIRECT("'"&amp;$B$1&amp;"'!$h15")</f>
        <v>0</v>
      </c>
      <c r="E15" s="175">
        <f t="shared" ca="1" si="1"/>
        <v>0</v>
      </c>
      <c r="F15" s="176" t="e">
        <f>+[1]CE!K15</f>
        <v>#REF!</v>
      </c>
      <c r="G15" s="177">
        <f t="shared" ca="1" si="2"/>
        <v>0</v>
      </c>
    </row>
    <row r="16" spans="2:7" ht="17">
      <c r="B16" s="195" t="s">
        <v>16</v>
      </c>
      <c r="C16" s="174" cm="1">
        <f t="array" aca="1" ref="C16" ca="1">INDIRECT("'"&amp;$B$1&amp;"'!$T16")</f>
        <v>0.81400000000000006</v>
      </c>
      <c r="D16" s="196" cm="1">
        <f t="array" aca="1" ref="D16" ca="1">INDIRECT("'"&amp;$B$1&amp;"'!$h16")</f>
        <v>3000</v>
      </c>
      <c r="E16" s="175">
        <f t="shared" ca="1" si="1"/>
        <v>0.99972866666666671</v>
      </c>
      <c r="F16" s="176" t="e">
        <f>+[1]CE!K16</f>
        <v>#REF!</v>
      </c>
      <c r="G16" s="177">
        <f t="shared" ca="1" si="2"/>
        <v>0</v>
      </c>
    </row>
    <row r="17" spans="2:7" ht="17">
      <c r="B17" s="195" t="s">
        <v>17</v>
      </c>
      <c r="C17" s="174" cm="1">
        <f t="array" aca="1" ref="C17" ca="1">INDIRECT("'"&amp;$B$1&amp;"'!$T17")</f>
        <v>-1191.7160000000001</v>
      </c>
      <c r="D17" s="196" cm="1">
        <f t="array" aca="1" ref="D17" ca="1">INDIRECT("'"&amp;$B$1&amp;"'!$h17")</f>
        <v>10000</v>
      </c>
      <c r="E17" s="175">
        <f t="shared" ca="1" si="1"/>
        <v>1.1191716</v>
      </c>
      <c r="F17" s="176" t="e">
        <f>+[1]CE!K17</f>
        <v>#REF!</v>
      </c>
      <c r="G17" s="177">
        <f t="shared" ca="1" si="2"/>
        <v>0</v>
      </c>
    </row>
    <row r="18" spans="2:7" ht="17">
      <c r="B18" s="195" t="s">
        <v>18</v>
      </c>
      <c r="C18" s="174" cm="1">
        <f t="array" aca="1" ref="C18" ca="1">INDIRECT("'"&amp;$B$1&amp;"'!$T18")</f>
        <v>0</v>
      </c>
      <c r="D18" s="174" cm="1">
        <f t="array" aca="1" ref="D18" ca="1">INDIRECT("'"&amp;$B$1&amp;"'!$h18")</f>
        <v>0</v>
      </c>
      <c r="E18" s="175">
        <f t="shared" ca="1" si="1"/>
        <v>0</v>
      </c>
      <c r="F18" s="176" t="e">
        <f>+[1]CE!K18</f>
        <v>#REF!</v>
      </c>
      <c r="G18" s="177">
        <f t="shared" ca="1" si="2"/>
        <v>0</v>
      </c>
    </row>
    <row r="19" spans="2:7" ht="17">
      <c r="B19" s="197" t="s">
        <v>19</v>
      </c>
      <c r="C19" s="198">
        <f ca="1">SUM(C13:C18)</f>
        <v>1022.8419699999997</v>
      </c>
      <c r="D19" s="199">
        <f ca="1">SUM(D13:D18)</f>
        <v>1270444</v>
      </c>
      <c r="E19" s="200">
        <f t="shared" ca="1" si="1"/>
        <v>0.99919489409214424</v>
      </c>
      <c r="F19" s="179" t="e">
        <f>+SUM(F13:F18)</f>
        <v>#REF!</v>
      </c>
      <c r="G19" s="180">
        <f t="shared" ca="1" si="2"/>
        <v>0</v>
      </c>
    </row>
    <row r="20" spans="2:7" ht="17">
      <c r="B20" s="201" t="s">
        <v>20</v>
      </c>
      <c r="C20" s="202">
        <f ca="1">+C10-C19</f>
        <v>4763.6247400000002</v>
      </c>
      <c r="D20" s="202">
        <f ca="1">+D10-D19</f>
        <v>5348405.3999999994</v>
      </c>
      <c r="E20" s="193">
        <f t="shared" ca="1" si="1"/>
        <v>0.99910933738493346</v>
      </c>
      <c r="F20" s="203" t="e">
        <f>+F10-F19</f>
        <v>#REF!</v>
      </c>
      <c r="G20" s="185">
        <f t="shared" ca="1" si="2"/>
        <v>0</v>
      </c>
    </row>
    <row r="21" spans="2:7" ht="17">
      <c r="B21" s="204" t="s">
        <v>21</v>
      </c>
      <c r="C21" s="205">
        <f ca="1">+C20/C10</f>
        <v>0.82323548699721116</v>
      </c>
      <c r="D21" s="205">
        <f ca="1">+D20/D10</f>
        <v>0.80805666918482844</v>
      </c>
      <c r="E21" s="200">
        <f t="shared" ca="1" si="1"/>
        <v>-1.8784348166688846E-2</v>
      </c>
      <c r="F21" s="206" t="e">
        <f>+F20/F10</f>
        <v>#REF!</v>
      </c>
      <c r="G21" s="180">
        <f t="shared" ca="1" si="2"/>
        <v>0</v>
      </c>
    </row>
    <row r="22" spans="2:7" ht="17">
      <c r="B22" s="207" t="s">
        <v>22</v>
      </c>
      <c r="C22" s="208" cm="1">
        <f t="array" aca="1" ref="C22" ca="1">INDIRECT("'"&amp;$B$1&amp;"'!$T27")</f>
        <v>0</v>
      </c>
      <c r="D22" s="208" cm="1">
        <f t="array" aca="1" ref="D22" ca="1">INDIRECT("'"&amp;$B$1&amp;"'!$h27")</f>
        <v>0</v>
      </c>
      <c r="E22" s="209">
        <f t="shared" ca="1" si="1"/>
        <v>0</v>
      </c>
      <c r="F22" s="210" t="e">
        <f>+[1]CE!K27</f>
        <v>#REF!</v>
      </c>
      <c r="G22" s="211">
        <f t="shared" ca="1" si="2"/>
        <v>0</v>
      </c>
    </row>
    <row r="23" spans="2:7" ht="17">
      <c r="B23" s="207" t="s">
        <v>23</v>
      </c>
      <c r="C23" s="208" cm="1">
        <f t="array" aca="1" ref="C23" ca="1">INDIRECT("'"&amp;$B$1&amp;"'!$T33")</f>
        <v>0.15718000000000001</v>
      </c>
      <c r="D23" s="208" cm="1">
        <f t="array" aca="1" ref="D23" ca="1">INDIRECT("'"&amp;$B$1&amp;"'!$h33")</f>
        <v>10000</v>
      </c>
      <c r="E23" s="209">
        <f t="shared" ca="1" si="1"/>
        <v>0.999984282</v>
      </c>
      <c r="F23" s="210" t="e">
        <f>+[1]CE!K33</f>
        <v>#REF!</v>
      </c>
      <c r="G23" s="211">
        <f t="shared" ca="1" si="2"/>
        <v>0</v>
      </c>
    </row>
    <row r="24" spans="2:7" ht="17">
      <c r="B24" s="207" t="s">
        <v>24</v>
      </c>
      <c r="C24" s="208" cm="1">
        <f t="array" aca="1" ref="C24" ca="1">INDIRECT("'"&amp;$B$1&amp;"'!$T39")</f>
        <v>38.298159999999996</v>
      </c>
      <c r="D24" s="208" cm="1">
        <f t="array" aca="1" ref="D24" ca="1">INDIRECT("'"&amp;$B$1&amp;"'!$h39")</f>
        <v>52004</v>
      </c>
      <c r="E24" s="209">
        <f t="shared" ca="1" si="1"/>
        <v>0.99926355357280217</v>
      </c>
      <c r="F24" s="210" t="e">
        <f>+[1]CE!K39</f>
        <v>#REF!</v>
      </c>
      <c r="G24" s="211">
        <f t="shared" ca="1" si="2"/>
        <v>0</v>
      </c>
    </row>
    <row r="25" spans="2:7" ht="17">
      <c r="B25" s="207" t="s">
        <v>25</v>
      </c>
      <c r="C25" s="208" cm="1">
        <f t="array" aca="1" ref="C25" ca="1">INDIRECT("'"&amp;$B$1&amp;"'!$T46")</f>
        <v>266.11699999999996</v>
      </c>
      <c r="D25" s="208" cm="1">
        <f t="array" aca="1" ref="D25" ca="1">INDIRECT("'"&amp;$B$1&amp;"'!$h46")</f>
        <v>404513.21</v>
      </c>
      <c r="E25" s="212">
        <f t="shared" ca="1" si="1"/>
        <v>0.99934213026071506</v>
      </c>
      <c r="F25" s="210" t="e">
        <f>+[1]CE!K46</f>
        <v>#REF!</v>
      </c>
      <c r="G25" s="211">
        <f t="shared" ca="1" si="2"/>
        <v>0</v>
      </c>
    </row>
    <row r="26" spans="2:7" ht="17">
      <c r="B26" s="213" t="s">
        <v>26</v>
      </c>
      <c r="C26" s="214">
        <f ca="1">+C10-C19-C22-C23-C24-C25</f>
        <v>4459.0523999999996</v>
      </c>
      <c r="D26" s="214">
        <f ca="1">+D10-D19-D22-D23-D24-D25</f>
        <v>4881888.1899999995</v>
      </c>
      <c r="E26" s="212">
        <f t="shared" ca="1" si="1"/>
        <v>0.99908661316555047</v>
      </c>
      <c r="F26" s="215" t="e">
        <f>+F10-F19-F22-F23-F24-F25</f>
        <v>#REF!</v>
      </c>
      <c r="G26" s="211">
        <f t="shared" ca="1" si="2"/>
        <v>0</v>
      </c>
    </row>
    <row r="27" spans="2:7" ht="17">
      <c r="B27" s="213" t="s">
        <v>21</v>
      </c>
      <c r="C27" s="216">
        <f ca="1">+C26/C10</f>
        <v>0.77060019930538926</v>
      </c>
      <c r="D27" s="216">
        <f ca="1">+D26/D10</f>
        <v>0.73757354110519568</v>
      </c>
      <c r="E27" s="212">
        <f t="shared" ca="1" si="1"/>
        <v>-4.477744436264041E-2</v>
      </c>
      <c r="F27" s="215" t="e">
        <f>+F26/F10</f>
        <v>#REF!</v>
      </c>
      <c r="G27" s="211">
        <f t="shared" ca="1" si="2"/>
        <v>0</v>
      </c>
    </row>
    <row r="28" spans="2:7" ht="17">
      <c r="B28" s="217" t="s">
        <v>27</v>
      </c>
      <c r="C28" s="218" cm="1">
        <f t="array" aca="1" ref="C28" ca="1">INDIRECT("'"&amp;$B$1&amp;"'!$T55")</f>
        <v>189.56800000000001</v>
      </c>
      <c r="D28" s="218" cm="1">
        <f t="array" aca="1" ref="D28" ca="1">INDIRECT("'"&amp;$B$1&amp;"'!$h55")</f>
        <v>367483.8</v>
      </c>
      <c r="E28" s="219">
        <f t="shared" ca="1" si="1"/>
        <v>0.999484145967795</v>
      </c>
      <c r="F28" s="220" t="e">
        <f>+[1]CE!K55</f>
        <v>#REF!</v>
      </c>
      <c r="G28" s="185">
        <f t="shared" ca="1" si="2"/>
        <v>0</v>
      </c>
    </row>
    <row r="29" spans="2:7" ht="17">
      <c r="B29" s="201" t="s">
        <v>28</v>
      </c>
      <c r="C29" s="221">
        <f ca="1">+C20-C22-C23-C24-C25-C28</f>
        <v>4269.4843999999994</v>
      </c>
      <c r="D29" s="221">
        <f ca="1">+D20-D22-D23-D24-D25-D28</f>
        <v>4514404.3899999997</v>
      </c>
      <c r="E29" s="219">
        <f ca="1">+IFERROR((D29-C29)/D29,0)</f>
        <v>0.99905425300191142</v>
      </c>
      <c r="F29" s="203" t="e">
        <f>+F20-F22-F23-F24-F25-F28</f>
        <v>#REF!</v>
      </c>
      <c r="G29" s="185">
        <f t="shared" ca="1" si="2"/>
        <v>0</v>
      </c>
    </row>
    <row r="30" spans="2:7" ht="17">
      <c r="B30" s="178" t="s">
        <v>29</v>
      </c>
      <c r="C30" s="222" cm="1">
        <f t="array" aca="1" ref="C30" ca="1">INDIRECT("'"&amp;$B$1&amp;"'!$T58")</f>
        <v>43.825000000000003</v>
      </c>
      <c r="D30" s="222" cm="1">
        <f t="array" aca="1" ref="D30" ca="1">INDIRECT("'"&amp;$B$1&amp;"'!$h58")</f>
        <v>162.28</v>
      </c>
      <c r="E30" s="223">
        <f t="shared" ref="E30:E35" ca="1" si="3">+IFERROR((D30-C30)/D30,0)</f>
        <v>0.72994207542519096</v>
      </c>
      <c r="F30" s="224" t="e">
        <f>+[1]CE!K57</f>
        <v>#REF!</v>
      </c>
      <c r="G30" s="180">
        <f t="shared" ca="1" si="2"/>
        <v>0</v>
      </c>
    </row>
    <row r="31" spans="2:7" ht="17">
      <c r="B31" s="201" t="s">
        <v>30</v>
      </c>
      <c r="C31" s="221">
        <f ca="1">+C29-C30</f>
        <v>4225.6593999999996</v>
      </c>
      <c r="D31" s="221">
        <f ca="1">+D29-D30</f>
        <v>4514242.1099999994</v>
      </c>
      <c r="E31" s="193">
        <f t="shared" ca="1" si="3"/>
        <v>0.9990639271671673</v>
      </c>
      <c r="F31" s="225" t="e">
        <f>+F29-F30</f>
        <v>#REF!</v>
      </c>
      <c r="G31" s="185">
        <f t="shared" ca="1" si="2"/>
        <v>0</v>
      </c>
    </row>
    <row r="32" spans="2:7" ht="17">
      <c r="B32" s="226" t="s">
        <v>21</v>
      </c>
      <c r="C32" s="227">
        <f ca="1">+C31/C10</f>
        <v>0.73026591386023887</v>
      </c>
      <c r="D32" s="227">
        <f ca="1">+D31/D10</f>
        <v>0.68202822532871044</v>
      </c>
      <c r="E32" s="193">
        <f t="shared" ca="1" si="3"/>
        <v>-7.0726821471765025E-2</v>
      </c>
      <c r="F32" s="220" t="e">
        <f>+F31/F10</f>
        <v>#REF!</v>
      </c>
      <c r="G32" s="185">
        <f t="shared" ca="1" si="2"/>
        <v>0</v>
      </c>
    </row>
    <row r="33" spans="2:7" ht="17">
      <c r="B33" s="178" t="s">
        <v>31</v>
      </c>
      <c r="C33" s="228">
        <v>0</v>
      </c>
      <c r="D33" s="222">
        <v>0</v>
      </c>
      <c r="E33" s="200">
        <f t="shared" si="3"/>
        <v>0</v>
      </c>
      <c r="F33" s="224" t="e">
        <f>+[1]CE!K61</f>
        <v>#REF!</v>
      </c>
      <c r="G33" s="180">
        <f t="shared" si="2"/>
        <v>0</v>
      </c>
    </row>
    <row r="34" spans="2:7" ht="17">
      <c r="B34" s="213" t="s">
        <v>32</v>
      </c>
      <c r="C34" s="229">
        <f ca="1">+C31-C33</f>
        <v>4225.6593999999996</v>
      </c>
      <c r="D34" s="229">
        <f ca="1">+D31-D33</f>
        <v>4514242.1099999994</v>
      </c>
      <c r="E34" s="209">
        <f t="shared" ca="1" si="3"/>
        <v>0.9990639271671673</v>
      </c>
      <c r="F34" s="224" t="e">
        <f>+F31-F33</f>
        <v>#REF!</v>
      </c>
      <c r="G34" s="211">
        <f t="shared" ca="1" si="2"/>
        <v>0</v>
      </c>
    </row>
    <row r="35" spans="2:7" ht="17">
      <c r="B35" s="207" t="s">
        <v>21</v>
      </c>
      <c r="C35" s="230">
        <f ca="1">+C34/C10</f>
        <v>0.73026591386023887</v>
      </c>
      <c r="D35" s="230">
        <f ca="1">+D34/D10</f>
        <v>0.68202822532871044</v>
      </c>
      <c r="E35" s="209">
        <f t="shared" ca="1" si="3"/>
        <v>-7.0726821471765025E-2</v>
      </c>
      <c r="F35" s="224" t="e">
        <f>+F34/F10</f>
        <v>#REF!</v>
      </c>
      <c r="G35" s="211">
        <f t="shared" ca="1" si="2"/>
        <v>0</v>
      </c>
    </row>
    <row r="36" spans="2:7">
      <c r="C36" s="231"/>
    </row>
    <row r="37" spans="2:7" ht="17">
      <c r="C37" s="232" cm="1">
        <f t="array" aca="1" ref="C37" ca="1">INDIRECT("'"&amp;$B$1&amp;"'!$T59")-C34</f>
        <v>0</v>
      </c>
      <c r="D37" s="232" cm="1">
        <f t="array" aca="1" ref="D37" ca="1">INDIRECT("'"&amp;$B$1&amp;"'!$H59")-D34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3380-B8D0-4EBB-9180-8C1549A8430E}">
  <sheetPr>
    <tabColor rgb="FF92D050"/>
  </sheetPr>
  <dimension ref="A1:AF65"/>
  <sheetViews>
    <sheetView tabSelected="1" zoomScale="114" zoomScaleNormal="114" workbookViewId="0">
      <selection activeCell="G11" sqref="G11"/>
    </sheetView>
  </sheetViews>
  <sheetFormatPr baseColWidth="10" defaultColWidth="9.1640625" defaultRowHeight="15" outlineLevelRow="1" outlineLevelCol="1"/>
  <cols>
    <col min="1" max="1" width="2.5" customWidth="1" outlineLevel="1"/>
    <col min="2" max="2" width="52.5" bestFit="1" customWidth="1" outlineLevel="1"/>
    <col min="3" max="3" width="47" bestFit="1" customWidth="1" outlineLevel="1"/>
    <col min="4" max="4" width="10.5" bestFit="1" customWidth="1" outlineLevel="1"/>
    <col min="5" max="5" width="11.6640625" bestFit="1" customWidth="1" outlineLevel="1"/>
    <col min="6" max="6" width="11.5" bestFit="1" customWidth="1" outlineLevel="1"/>
    <col min="7" max="7" width="14.33203125" bestFit="1" customWidth="1" outlineLevel="1"/>
    <col min="8" max="8" width="12.33203125" style="6" bestFit="1" customWidth="1" outlineLevel="1"/>
    <col min="9" max="10" width="3.5" customWidth="1" outlineLevel="1"/>
    <col min="11" max="11" width="17.5" style="6" bestFit="1" customWidth="1" outlineLevel="1"/>
    <col min="12" max="12" width="10.1640625" customWidth="1" outlineLevel="1"/>
    <col min="13" max="13" width="3.5" customWidth="1"/>
    <col min="14" max="14" width="52.5" bestFit="1" customWidth="1"/>
    <col min="15" max="15" width="47" bestFit="1" customWidth="1"/>
    <col min="16" max="16" width="11.5" style="5" bestFit="1" customWidth="1"/>
    <col min="17" max="17" width="11.5" style="4" bestFit="1" customWidth="1"/>
    <col min="18" max="18" width="12.5" style="3" bestFit="1" customWidth="1"/>
    <col min="19" max="19" width="12.83203125" style="3" bestFit="1" customWidth="1"/>
    <col min="20" max="20" width="9.6640625" bestFit="1" customWidth="1"/>
    <col min="21" max="21" width="4.5" bestFit="1" customWidth="1"/>
    <col min="22" max="22" width="69.5" customWidth="1" outlineLevel="1"/>
    <col min="23" max="23" width="47" customWidth="1" outlineLevel="1"/>
    <col min="24" max="24" width="11.1640625" customWidth="1" outlineLevel="1"/>
    <col min="25" max="25" width="11.5" style="1" customWidth="1" outlineLevel="1"/>
    <col min="26" max="26" width="11.5" bestFit="1" customWidth="1" outlineLevel="1"/>
    <col min="27" max="27" width="14.33203125" bestFit="1" customWidth="1" outlineLevel="1"/>
    <col min="28" max="28" width="11.33203125" bestFit="1" customWidth="1" outlineLevel="1"/>
    <col min="29" max="29" width="9.1640625" customWidth="1" outlineLevel="1"/>
    <col min="30" max="30" width="12.5" bestFit="1" customWidth="1"/>
    <col min="31" max="31" width="13" bestFit="1" customWidth="1"/>
    <col min="32" max="32" width="12.5" bestFit="1" customWidth="1"/>
  </cols>
  <sheetData>
    <row r="1" spans="2:32" ht="34">
      <c r="B1" s="162" t="s">
        <v>33</v>
      </c>
      <c r="C1" s="154"/>
      <c r="D1" s="154"/>
      <c r="E1" s="163" t="s">
        <v>34</v>
      </c>
      <c r="F1" s="154"/>
      <c r="G1" s="154"/>
      <c r="H1" s="153"/>
      <c r="N1" s="162" t="s">
        <v>35</v>
      </c>
      <c r="O1" s="159"/>
      <c r="U1" s="150"/>
      <c r="V1" s="161" t="s">
        <v>36</v>
      </c>
      <c r="W1" s="160"/>
      <c r="AD1" s="241" t="s">
        <v>37</v>
      </c>
      <c r="AE1" s="241"/>
      <c r="AF1" s="241"/>
    </row>
    <row r="2" spans="2:32" ht="19">
      <c r="B2" s="233" t="s">
        <v>0</v>
      </c>
      <c r="C2" s="154"/>
      <c r="D2" s="154"/>
      <c r="E2" s="154"/>
      <c r="F2" s="1"/>
      <c r="G2" s="154"/>
      <c r="H2" s="153"/>
      <c r="K2" s="234" t="s">
        <v>38</v>
      </c>
      <c r="N2" s="233" t="str">
        <f>B2</f>
        <v>IT values</v>
      </c>
      <c r="P2" s="235"/>
      <c r="Q2" s="236"/>
      <c r="T2" s="242"/>
      <c r="U2" s="150"/>
      <c r="V2" s="158" t="str">
        <f>N2</f>
        <v>IT values</v>
      </c>
      <c r="W2" s="157"/>
      <c r="AD2" s="233" t="str">
        <f>+B2</f>
        <v>IT values</v>
      </c>
      <c r="AE2" s="156"/>
      <c r="AF2" s="156"/>
    </row>
    <row r="3" spans="2:32" ht="19">
      <c r="B3" s="155"/>
      <c r="C3" s="154"/>
      <c r="D3" s="1"/>
      <c r="E3" s="1"/>
      <c r="F3" s="1"/>
      <c r="G3" s="1"/>
      <c r="H3" s="153"/>
      <c r="P3" s="152"/>
      <c r="R3" s="151"/>
      <c r="AD3" s="150"/>
      <c r="AE3" s="150"/>
      <c r="AF3" s="150"/>
    </row>
    <row r="4" spans="2:32" s="7" customFormat="1" ht="17">
      <c r="B4" s="144" t="s">
        <v>39</v>
      </c>
      <c r="C4" s="144" t="s">
        <v>40</v>
      </c>
      <c r="D4" s="141" t="s">
        <v>41</v>
      </c>
      <c r="E4" s="141" t="s">
        <v>42</v>
      </c>
      <c r="F4" s="141" t="s">
        <v>43</v>
      </c>
      <c r="G4" s="141" t="s">
        <v>44</v>
      </c>
      <c r="H4" s="148" t="s">
        <v>45</v>
      </c>
      <c r="K4" s="149" t="s">
        <v>45</v>
      </c>
      <c r="N4" s="144" t="s">
        <v>39</v>
      </c>
      <c r="O4" s="144" t="s">
        <v>40</v>
      </c>
      <c r="P4" s="147" t="s">
        <v>46</v>
      </c>
      <c r="Q4" s="147" t="s">
        <v>47</v>
      </c>
      <c r="R4" s="146" t="s">
        <v>43</v>
      </c>
      <c r="S4" s="146" t="s">
        <v>44</v>
      </c>
      <c r="T4" s="141" t="s">
        <v>45</v>
      </c>
      <c r="U4" s="145"/>
      <c r="V4" s="144" t="s">
        <v>39</v>
      </c>
      <c r="W4" s="144" t="s">
        <v>40</v>
      </c>
      <c r="X4" s="141" t="s">
        <v>41</v>
      </c>
      <c r="Y4" s="143" t="s">
        <v>42</v>
      </c>
      <c r="Z4" s="141" t="s">
        <v>43</v>
      </c>
      <c r="AA4" s="142" t="s">
        <v>44</v>
      </c>
      <c r="AB4" s="141" t="s">
        <v>48</v>
      </c>
      <c r="AD4" s="140" t="s">
        <v>49</v>
      </c>
      <c r="AE4" s="140" t="s">
        <v>50</v>
      </c>
      <c r="AF4" s="140"/>
    </row>
    <row r="5" spans="2:32" s="7" customFormat="1" ht="19.5" customHeight="1" outlineLevel="1">
      <c r="B5" s="115" t="s">
        <v>51</v>
      </c>
      <c r="C5" s="114" t="s">
        <v>5</v>
      </c>
      <c r="D5" s="96">
        <v>70000</v>
      </c>
      <c r="E5" s="67">
        <v>500000</v>
      </c>
      <c r="F5" s="67">
        <v>210000</v>
      </c>
      <c r="G5" s="67">
        <v>420000</v>
      </c>
      <c r="H5" s="32">
        <f>SUM(D5:G5)</f>
        <v>1200000</v>
      </c>
      <c r="I5" s="130"/>
      <c r="K5" s="139"/>
      <c r="L5" s="9"/>
      <c r="N5" s="115" t="s">
        <v>51</v>
      </c>
      <c r="O5" s="114" t="s">
        <v>5</v>
      </c>
      <c r="P5" s="100"/>
      <c r="Q5" s="20">
        <v>1381.931</v>
      </c>
      <c r="R5" s="138">
        <v>351.73</v>
      </c>
      <c r="S5" s="137">
        <v>141.58534</v>
      </c>
      <c r="T5" s="68">
        <f t="shared" ref="T5:T11" si="0">SUM(P5:S5)</f>
        <v>1875.2463400000001</v>
      </c>
      <c r="V5" s="115" t="s">
        <v>51</v>
      </c>
      <c r="W5" s="114" t="s">
        <v>5</v>
      </c>
      <c r="X5" s="101">
        <f t="shared" ref="X5:AB11" si="1">P5-D5</f>
        <v>-70000</v>
      </c>
      <c r="Y5" s="101">
        <f t="shared" si="1"/>
        <v>-498618.06900000002</v>
      </c>
      <c r="Z5" s="101">
        <f t="shared" si="1"/>
        <v>-209648.27</v>
      </c>
      <c r="AA5" s="98">
        <f t="shared" si="1"/>
        <v>-419858.41466000001</v>
      </c>
      <c r="AB5" s="68">
        <f t="shared" si="1"/>
        <v>-1198124.7536599999</v>
      </c>
      <c r="AD5" s="96"/>
      <c r="AE5" s="96">
        <f>+H5</f>
        <v>1200000</v>
      </c>
      <c r="AF5" s="20">
        <f>+AD5-AE5</f>
        <v>-1200000</v>
      </c>
    </row>
    <row r="6" spans="2:32" s="7" customFormat="1" ht="19.5" customHeight="1" outlineLevel="1">
      <c r="B6" s="106"/>
      <c r="C6" s="110" t="s">
        <v>6</v>
      </c>
      <c r="D6" s="67">
        <v>78859.520000000004</v>
      </c>
      <c r="E6" s="67">
        <v>61870.64</v>
      </c>
      <c r="F6" s="67">
        <v>61870.64</v>
      </c>
      <c r="G6" s="20">
        <v>0</v>
      </c>
      <c r="H6" s="32">
        <f t="shared" ref="H6:H11" si="2">SUM(D6:G6)</f>
        <v>202600.8</v>
      </c>
      <c r="I6" s="130"/>
      <c r="K6" s="113"/>
      <c r="N6" s="106"/>
      <c r="O6" s="110" t="s">
        <v>6</v>
      </c>
      <c r="P6" s="73"/>
      <c r="Q6" s="20">
        <v>101.879</v>
      </c>
      <c r="R6" s="136">
        <v>101.88</v>
      </c>
      <c r="S6" s="135">
        <v>61.870640000000002</v>
      </c>
      <c r="T6" s="68">
        <f t="shared" si="0"/>
        <v>265.62963999999999</v>
      </c>
      <c r="V6" s="106"/>
      <c r="W6" s="110" t="s">
        <v>6</v>
      </c>
      <c r="X6" s="74">
        <f t="shared" si="1"/>
        <v>-78859.520000000004</v>
      </c>
      <c r="Y6" s="74">
        <f t="shared" si="1"/>
        <v>-61768.760999999999</v>
      </c>
      <c r="Z6" s="74">
        <f t="shared" si="1"/>
        <v>-61768.76</v>
      </c>
      <c r="AA6" s="109">
        <f t="shared" si="1"/>
        <v>61.870640000000002</v>
      </c>
      <c r="AB6" s="68">
        <f t="shared" si="1"/>
        <v>-202335.17035999999</v>
      </c>
      <c r="AD6" s="67"/>
      <c r="AE6" s="67">
        <f>+H6</f>
        <v>202600.8</v>
      </c>
      <c r="AF6" s="20">
        <f>+AD6-AE6</f>
        <v>-202600.8</v>
      </c>
    </row>
    <row r="7" spans="2:32" s="7" customFormat="1" ht="19.5" customHeight="1" outlineLevel="1">
      <c r="B7" s="106"/>
      <c r="C7" s="110" t="s">
        <v>7</v>
      </c>
      <c r="D7" s="67">
        <v>517920</v>
      </c>
      <c r="E7" s="67">
        <v>994933.25</v>
      </c>
      <c r="F7" s="67">
        <v>1398462.1</v>
      </c>
      <c r="G7" s="67">
        <v>2304933.25</v>
      </c>
      <c r="H7" s="32">
        <f t="shared" si="2"/>
        <v>5216248.5999999996</v>
      </c>
      <c r="I7" s="130"/>
      <c r="J7" s="116"/>
      <c r="K7" s="134"/>
      <c r="L7" s="116"/>
      <c r="M7" s="116"/>
      <c r="N7" s="106"/>
      <c r="O7" s="110" t="s">
        <v>7</v>
      </c>
      <c r="P7" s="133"/>
      <c r="Q7" s="20">
        <v>2411.788</v>
      </c>
      <c r="R7" s="72">
        <v>1162.52</v>
      </c>
      <c r="S7" s="72">
        <v>1727.16273</v>
      </c>
      <c r="T7" s="68">
        <f t="shared" si="0"/>
        <v>5301.47073</v>
      </c>
      <c r="U7" s="9"/>
      <c r="V7" s="106"/>
      <c r="W7" s="110" t="s">
        <v>7</v>
      </c>
      <c r="X7" s="132">
        <f t="shared" si="1"/>
        <v>-517920</v>
      </c>
      <c r="Y7" s="132">
        <f t="shared" si="1"/>
        <v>-992521.46200000006</v>
      </c>
      <c r="Z7" s="132">
        <f t="shared" si="1"/>
        <v>-1397299.58</v>
      </c>
      <c r="AA7" s="109">
        <f t="shared" si="1"/>
        <v>-2303206.08727</v>
      </c>
      <c r="AB7" s="68">
        <f t="shared" si="1"/>
        <v>-5210947.1292699995</v>
      </c>
      <c r="AD7" s="67">
        <v>5929</v>
      </c>
      <c r="AE7" s="67">
        <f>+H7</f>
        <v>5216248.5999999996</v>
      </c>
      <c r="AF7" s="20">
        <f>+AD7-AE7</f>
        <v>-5210319.5999999996</v>
      </c>
    </row>
    <row r="8" spans="2:32" s="7" customFormat="1" ht="19.5" customHeight="1" outlineLevel="1">
      <c r="B8" s="106"/>
      <c r="C8" s="110" t="s">
        <v>8</v>
      </c>
      <c r="D8" s="20">
        <v>0</v>
      </c>
      <c r="E8" s="20">
        <v>0</v>
      </c>
      <c r="F8" s="20">
        <v>0</v>
      </c>
      <c r="G8" s="20">
        <v>0</v>
      </c>
      <c r="H8" s="32">
        <f t="shared" si="2"/>
        <v>0</v>
      </c>
      <c r="I8" s="130"/>
      <c r="K8" s="113"/>
      <c r="N8" s="106"/>
      <c r="O8" s="110" t="s">
        <v>8</v>
      </c>
      <c r="P8" s="73"/>
      <c r="Q8" s="20">
        <v>0</v>
      </c>
      <c r="R8" s="72">
        <v>-1706.21</v>
      </c>
      <c r="S8" s="111">
        <v>0</v>
      </c>
      <c r="T8" s="68">
        <f t="shared" si="0"/>
        <v>-1706.21</v>
      </c>
      <c r="V8" s="106"/>
      <c r="W8" s="110" t="s">
        <v>8</v>
      </c>
      <c r="X8" s="112">
        <f t="shared" si="1"/>
        <v>0</v>
      </c>
      <c r="Y8" s="112">
        <f t="shared" si="1"/>
        <v>0</v>
      </c>
      <c r="Z8" s="112">
        <f t="shared" si="1"/>
        <v>-1706.21</v>
      </c>
      <c r="AA8" s="109">
        <f t="shared" si="1"/>
        <v>0</v>
      </c>
      <c r="AB8" s="68">
        <f t="shared" si="1"/>
        <v>-1706.21</v>
      </c>
      <c r="AD8" s="67"/>
      <c r="AE8" s="67">
        <f>+H8</f>
        <v>0</v>
      </c>
      <c r="AF8" s="20">
        <f>+AD8-AE8</f>
        <v>0</v>
      </c>
    </row>
    <row r="9" spans="2:32" s="7" customFormat="1" ht="19.5" customHeight="1" outlineLevel="1">
      <c r="B9" s="106"/>
      <c r="C9" s="110" t="s">
        <v>9</v>
      </c>
      <c r="D9" s="20">
        <v>0</v>
      </c>
      <c r="E9" s="20">
        <v>0</v>
      </c>
      <c r="F9" s="20">
        <v>0</v>
      </c>
      <c r="G9" s="20">
        <v>0</v>
      </c>
      <c r="H9" s="32">
        <f t="shared" si="2"/>
        <v>0</v>
      </c>
      <c r="I9" s="130"/>
      <c r="K9" s="113"/>
      <c r="N9" s="106"/>
      <c r="O9" s="110" t="s">
        <v>9</v>
      </c>
      <c r="P9" s="131"/>
      <c r="Q9" s="20">
        <v>0.17</v>
      </c>
      <c r="R9" s="72">
        <v>50.16</v>
      </c>
      <c r="S9" s="111">
        <v>0</v>
      </c>
      <c r="T9" s="68">
        <f t="shared" si="0"/>
        <v>50.33</v>
      </c>
      <c r="U9" s="9"/>
      <c r="V9" s="106"/>
      <c r="W9" s="110" t="s">
        <v>9</v>
      </c>
      <c r="X9" s="112">
        <f t="shared" si="1"/>
        <v>0</v>
      </c>
      <c r="Y9" s="112">
        <f t="shared" si="1"/>
        <v>0.17</v>
      </c>
      <c r="Z9" s="112">
        <f t="shared" si="1"/>
        <v>50.16</v>
      </c>
      <c r="AA9" s="109">
        <f t="shared" si="1"/>
        <v>0</v>
      </c>
      <c r="AB9" s="68">
        <f t="shared" si="1"/>
        <v>50.33</v>
      </c>
      <c r="AD9" s="67"/>
      <c r="AE9" s="67">
        <f>+H9</f>
        <v>0</v>
      </c>
      <c r="AF9" s="20">
        <f>+AD9-AE9</f>
        <v>0</v>
      </c>
    </row>
    <row r="10" spans="2:32" s="7" customFormat="1" ht="19.5" customHeight="1" outlineLevel="1">
      <c r="B10" s="55"/>
      <c r="C10" s="126" t="s">
        <v>52</v>
      </c>
      <c r="D10" s="68">
        <v>367920</v>
      </c>
      <c r="E10" s="68">
        <v>450000</v>
      </c>
      <c r="F10" s="68">
        <v>588462.1</v>
      </c>
      <c r="G10" s="68">
        <v>900000</v>
      </c>
      <c r="H10" s="32">
        <f>SUM(D10:G10)</f>
        <v>2306382.1</v>
      </c>
      <c r="I10" s="130"/>
      <c r="K10" s="68"/>
      <c r="N10" s="55"/>
      <c r="O10" s="126" t="s">
        <v>11</v>
      </c>
      <c r="P10" s="129"/>
      <c r="Q10" s="93"/>
      <c r="R10" s="128"/>
      <c r="S10" s="127"/>
      <c r="T10" s="68">
        <f t="shared" si="0"/>
        <v>0</v>
      </c>
      <c r="V10" s="55"/>
      <c r="W10" s="126" t="s">
        <v>11</v>
      </c>
      <c r="X10" s="68">
        <f t="shared" si="1"/>
        <v>-367920</v>
      </c>
      <c r="Y10" s="68">
        <f t="shared" si="1"/>
        <v>-450000</v>
      </c>
      <c r="Z10" s="68">
        <f t="shared" si="1"/>
        <v>-588462.1</v>
      </c>
      <c r="AA10" s="125">
        <f t="shared" si="1"/>
        <v>-900000</v>
      </c>
      <c r="AB10" s="68">
        <f t="shared" si="1"/>
        <v>-2306382.1</v>
      </c>
      <c r="AD10" s="68"/>
      <c r="AE10" s="93"/>
      <c r="AF10" s="93"/>
    </row>
    <row r="11" spans="2:32" s="7" customFormat="1" ht="19.5" customHeight="1" outlineLevel="1">
      <c r="B11" s="55"/>
      <c r="C11" s="126" t="s">
        <v>12</v>
      </c>
      <c r="D11" s="68">
        <v>78759.62</v>
      </c>
      <c r="E11" s="68">
        <v>61870.62</v>
      </c>
      <c r="F11" s="68">
        <v>61870.62</v>
      </c>
      <c r="G11" s="68">
        <v>61870.62</v>
      </c>
      <c r="H11" s="32">
        <f t="shared" si="2"/>
        <v>264371.48</v>
      </c>
      <c r="I11" s="130"/>
      <c r="K11" s="68"/>
      <c r="N11" s="55"/>
      <c r="O11" s="126" t="s">
        <v>12</v>
      </c>
      <c r="P11" s="129"/>
      <c r="Q11" s="93"/>
      <c r="R11" s="128"/>
      <c r="S11" s="127"/>
      <c r="T11" s="68">
        <f t="shared" si="0"/>
        <v>0</v>
      </c>
      <c r="V11" s="55"/>
      <c r="W11" s="126" t="s">
        <v>12</v>
      </c>
      <c r="X11" s="68">
        <f t="shared" si="1"/>
        <v>-78759.62</v>
      </c>
      <c r="Y11" s="68">
        <f t="shared" si="1"/>
        <v>-61870.62</v>
      </c>
      <c r="Z11" s="68">
        <f t="shared" si="1"/>
        <v>-61870.62</v>
      </c>
      <c r="AA11" s="125">
        <f t="shared" si="1"/>
        <v>-61870.62</v>
      </c>
      <c r="AB11" s="68">
        <f t="shared" si="1"/>
        <v>-264371.48</v>
      </c>
      <c r="AD11" s="124"/>
      <c r="AE11" s="93"/>
      <c r="AF11" s="93"/>
    </row>
    <row r="12" spans="2:32" s="7" customFormat="1" ht="17">
      <c r="B12" s="29" t="s">
        <v>53</v>
      </c>
      <c r="C12" s="29"/>
      <c r="D12" s="29">
        <f>SUM(D5:D9)</f>
        <v>666779.52</v>
      </c>
      <c r="E12" s="29">
        <f>SUM(E5:E9)</f>
        <v>1556803.8900000001</v>
      </c>
      <c r="F12" s="29">
        <f>SUM(F5:F9)</f>
        <v>1670332.7400000002</v>
      </c>
      <c r="G12" s="29">
        <f>SUM(G5:G9)</f>
        <v>2724933.25</v>
      </c>
      <c r="H12" s="39">
        <f>SUM(H5:H9)</f>
        <v>6618849.3999999994</v>
      </c>
      <c r="I12" s="123"/>
      <c r="J12" s="122"/>
      <c r="K12" s="28">
        <f>SUM(K5:K9)</f>
        <v>0</v>
      </c>
      <c r="L12" s="49"/>
      <c r="N12" s="29" t="s">
        <v>53</v>
      </c>
      <c r="O12" s="29"/>
      <c r="P12" s="40">
        <f>SUM(P5:P9)</f>
        <v>0</v>
      </c>
      <c r="Q12" s="40">
        <f>SUM(Q5:Q9)</f>
        <v>3895.768</v>
      </c>
      <c r="R12" s="35">
        <f>SUM(R5:R9)</f>
        <v>-39.919999999999931</v>
      </c>
      <c r="S12" s="35">
        <f>SUM(S5:S9)</f>
        <v>1930.61871</v>
      </c>
      <c r="T12" s="29">
        <f>SUM(T5:T9)</f>
        <v>5786.4667099999997</v>
      </c>
      <c r="U12" s="9"/>
      <c r="V12" s="29" t="s">
        <v>53</v>
      </c>
      <c r="W12" s="29"/>
      <c r="X12" s="29">
        <f>SUM(X5:X9)</f>
        <v>-666779.52</v>
      </c>
      <c r="Y12" s="29">
        <f>SUM(Y5:Y9)</f>
        <v>-1552908.1220000002</v>
      </c>
      <c r="Z12" s="29">
        <f>SUM(Z5:Z9)</f>
        <v>-1670372.6600000001</v>
      </c>
      <c r="AA12" s="38">
        <f>SUM(AA5:AA9)</f>
        <v>-2723002.6312899999</v>
      </c>
      <c r="AB12" s="29"/>
      <c r="AD12" s="29">
        <f>SUM(AD5:AD9)</f>
        <v>5929</v>
      </c>
      <c r="AE12" s="29">
        <f>SUM(AE5:AE9)</f>
        <v>6618849.3999999994</v>
      </c>
      <c r="AF12" s="29">
        <f>SUM(AF5:AF9)</f>
        <v>-6612920.3999999994</v>
      </c>
    </row>
    <row r="13" spans="2:32" s="7" customFormat="1" ht="19.5" customHeight="1" outlineLevel="1">
      <c r="B13" s="115" t="s">
        <v>54</v>
      </c>
      <c r="C13" s="114" t="s">
        <v>13</v>
      </c>
      <c r="D13" s="67">
        <v>172759.69</v>
      </c>
      <c r="E13" s="67">
        <v>172759.69</v>
      </c>
      <c r="F13" s="67">
        <v>172759.69</v>
      </c>
      <c r="G13" s="67">
        <v>172759.69</v>
      </c>
      <c r="H13" s="32">
        <f>SUM(D13:G13)</f>
        <v>691038.76</v>
      </c>
      <c r="K13" s="75"/>
      <c r="L13" s="9"/>
      <c r="N13" s="115" t="s">
        <v>54</v>
      </c>
      <c r="O13" s="114" t="s">
        <v>13</v>
      </c>
      <c r="P13" s="121"/>
      <c r="Q13" s="20">
        <v>148.27799999999999</v>
      </c>
      <c r="R13" s="72">
        <v>126.45</v>
      </c>
      <c r="S13" s="71">
        <v>150.52732</v>
      </c>
      <c r="T13" s="68">
        <f t="shared" ref="T13:T18" si="3">SUM(P13:S13)</f>
        <v>425.25531999999998</v>
      </c>
      <c r="U13" s="9"/>
      <c r="V13" s="115" t="s">
        <v>54</v>
      </c>
      <c r="W13" s="114" t="s">
        <v>13</v>
      </c>
      <c r="X13" s="70">
        <f t="shared" ref="X13:AA14" si="4">P13-D13</f>
        <v>-172759.69</v>
      </c>
      <c r="Y13" s="70">
        <f t="shared" si="4"/>
        <v>-172611.41200000001</v>
      </c>
      <c r="Z13" s="70">
        <f t="shared" si="4"/>
        <v>-172633.24</v>
      </c>
      <c r="AA13" s="109">
        <f t="shared" si="4"/>
        <v>-172609.16268000001</v>
      </c>
      <c r="AB13" s="68">
        <f t="shared" ref="X13:AB18" si="5">T13-H13</f>
        <v>-690613.50468000001</v>
      </c>
      <c r="AD13" s="20">
        <v>1245</v>
      </c>
      <c r="AE13" s="67">
        <f>+H13</f>
        <v>691038.76</v>
      </c>
      <c r="AF13" s="20">
        <f>+AD13-AE13</f>
        <v>-689793.76</v>
      </c>
    </row>
    <row r="14" spans="2:32" s="7" customFormat="1" ht="19.5" customHeight="1" outlineLevel="1">
      <c r="B14" s="106"/>
      <c r="C14" s="110" t="s">
        <v>14</v>
      </c>
      <c r="D14" s="76">
        <v>131075.23000000001</v>
      </c>
      <c r="E14" s="76">
        <v>147550.01</v>
      </c>
      <c r="F14" s="76">
        <v>123279</v>
      </c>
      <c r="G14" s="76">
        <v>164501</v>
      </c>
      <c r="H14" s="76">
        <f>SUM(D14:G14)</f>
        <v>566405.24</v>
      </c>
      <c r="K14" s="75"/>
      <c r="N14" s="106"/>
      <c r="O14" s="110" t="s">
        <v>14</v>
      </c>
      <c r="P14" s="121"/>
      <c r="Q14" s="20">
        <v>1180.6669999999999</v>
      </c>
      <c r="R14" s="72">
        <v>235.58</v>
      </c>
      <c r="S14" s="71">
        <v>193.81365</v>
      </c>
      <c r="T14" s="68">
        <f t="shared" si="3"/>
        <v>1610.0606499999999</v>
      </c>
      <c r="U14" s="9"/>
      <c r="V14" s="106"/>
      <c r="W14" s="110" t="s">
        <v>14</v>
      </c>
      <c r="X14" s="70">
        <f t="shared" si="4"/>
        <v>-131075.23000000001</v>
      </c>
      <c r="Y14" s="70">
        <f t="shared" si="4"/>
        <v>-146369.34300000002</v>
      </c>
      <c r="Z14" s="70">
        <f t="shared" si="4"/>
        <v>-123043.42</v>
      </c>
      <c r="AA14" s="109">
        <f t="shared" si="4"/>
        <v>-164307.18635</v>
      </c>
      <c r="AB14" s="68">
        <f t="shared" si="5"/>
        <v>-564795.17934999999</v>
      </c>
      <c r="AD14" s="20"/>
      <c r="AE14" s="67">
        <f>+H14</f>
        <v>566405.24</v>
      </c>
      <c r="AF14" s="20">
        <f>+AD14-AE14</f>
        <v>-566405.24</v>
      </c>
    </row>
    <row r="15" spans="2:32" s="7" customFormat="1" ht="19.5" customHeight="1" outlineLevel="1">
      <c r="B15" s="106"/>
      <c r="C15" s="110" t="s">
        <v>15</v>
      </c>
      <c r="D15" s="20">
        <v>0</v>
      </c>
      <c r="E15" s="20">
        <v>0</v>
      </c>
      <c r="F15" s="20">
        <v>0</v>
      </c>
      <c r="G15" s="20">
        <v>0</v>
      </c>
      <c r="H15" s="32">
        <f t="shared" ref="H15:H18" si="6">SUM(D15:G15)</f>
        <v>0</v>
      </c>
      <c r="K15" s="75"/>
      <c r="N15" s="106"/>
      <c r="O15" s="110" t="s">
        <v>15</v>
      </c>
      <c r="P15" s="120"/>
      <c r="Q15" s="20">
        <v>178.428</v>
      </c>
      <c r="R15" s="72">
        <v>0</v>
      </c>
      <c r="S15" s="71">
        <v>0</v>
      </c>
      <c r="T15" s="68">
        <f t="shared" si="3"/>
        <v>178.428</v>
      </c>
      <c r="U15" s="9"/>
      <c r="V15" s="106"/>
      <c r="W15" s="110" t="s">
        <v>15</v>
      </c>
      <c r="X15" s="70">
        <f t="shared" si="5"/>
        <v>0</v>
      </c>
      <c r="Y15" s="70">
        <f t="shared" si="5"/>
        <v>178.428</v>
      </c>
      <c r="Z15" s="70">
        <f t="shared" si="5"/>
        <v>0</v>
      </c>
      <c r="AA15" s="109">
        <f t="shared" si="5"/>
        <v>0</v>
      </c>
      <c r="AB15" s="68">
        <f t="shared" si="5"/>
        <v>178.428</v>
      </c>
      <c r="AD15" s="20"/>
      <c r="AE15" s="67">
        <f>+H15</f>
        <v>0</v>
      </c>
      <c r="AF15" s="20">
        <f>+AD15-AE15</f>
        <v>0</v>
      </c>
    </row>
    <row r="16" spans="2:32" s="7" customFormat="1" ht="19.5" customHeight="1" outlineLevel="1">
      <c r="B16" s="106"/>
      <c r="C16" s="110" t="s">
        <v>16</v>
      </c>
      <c r="D16" s="240">
        <v>750</v>
      </c>
      <c r="E16" s="240">
        <v>750</v>
      </c>
      <c r="F16" s="240">
        <v>750</v>
      </c>
      <c r="G16" s="240">
        <v>750</v>
      </c>
      <c r="H16" s="32">
        <f t="shared" si="6"/>
        <v>3000</v>
      </c>
      <c r="K16" s="75"/>
      <c r="N16" s="106"/>
      <c r="O16" s="110" t="s">
        <v>16</v>
      </c>
      <c r="P16" s="120"/>
      <c r="Q16" s="20">
        <v>0.104</v>
      </c>
      <c r="R16" s="72">
        <v>0.41</v>
      </c>
      <c r="S16" s="71">
        <v>0.3</v>
      </c>
      <c r="T16" s="68">
        <f t="shared" si="3"/>
        <v>0.81400000000000006</v>
      </c>
      <c r="U16" s="9"/>
      <c r="V16" s="106"/>
      <c r="W16" s="110" t="s">
        <v>16</v>
      </c>
      <c r="X16" s="70">
        <f t="shared" si="5"/>
        <v>-750</v>
      </c>
      <c r="Y16" s="70">
        <f t="shared" si="5"/>
        <v>-749.89599999999996</v>
      </c>
      <c r="Z16" s="70">
        <f t="shared" si="5"/>
        <v>-749.59</v>
      </c>
      <c r="AA16" s="109">
        <f t="shared" si="5"/>
        <v>-749.7</v>
      </c>
      <c r="AB16" s="68">
        <f t="shared" si="5"/>
        <v>-2999.1860000000001</v>
      </c>
      <c r="AD16" s="20"/>
      <c r="AE16" s="67">
        <f>+H16</f>
        <v>3000</v>
      </c>
      <c r="AF16" s="20">
        <f>+AD16-AE16</f>
        <v>-3000</v>
      </c>
    </row>
    <row r="17" spans="2:32" s="7" customFormat="1" ht="19.5" customHeight="1" outlineLevel="1">
      <c r="B17" s="106"/>
      <c r="C17" s="110" t="s">
        <v>17</v>
      </c>
      <c r="D17" s="76">
        <v>2500</v>
      </c>
      <c r="E17" s="76">
        <v>2500</v>
      </c>
      <c r="F17" s="76">
        <v>2500</v>
      </c>
      <c r="G17" s="76">
        <v>2500</v>
      </c>
      <c r="H17" s="32">
        <f t="shared" si="6"/>
        <v>10000</v>
      </c>
      <c r="K17" s="75"/>
      <c r="N17" s="106"/>
      <c r="O17" s="110" t="s">
        <v>17</v>
      </c>
      <c r="P17" s="120"/>
      <c r="Q17" s="20">
        <v>511.29399999999998</v>
      </c>
      <c r="R17" s="72">
        <v>-1706.21</v>
      </c>
      <c r="S17" s="71">
        <v>3.2</v>
      </c>
      <c r="T17" s="68">
        <f t="shared" si="3"/>
        <v>-1191.7160000000001</v>
      </c>
      <c r="U17" s="9"/>
      <c r="V17" s="106"/>
      <c r="W17" s="110" t="s">
        <v>17</v>
      </c>
      <c r="X17" s="70">
        <f t="shared" si="5"/>
        <v>-2500</v>
      </c>
      <c r="Y17" s="70">
        <f t="shared" si="5"/>
        <v>-1988.7060000000001</v>
      </c>
      <c r="Z17" s="70">
        <f t="shared" si="5"/>
        <v>-4206.21</v>
      </c>
      <c r="AA17" s="109">
        <f t="shared" si="5"/>
        <v>-2496.8000000000002</v>
      </c>
      <c r="AB17" s="68">
        <f t="shared" si="5"/>
        <v>-11191.716</v>
      </c>
      <c r="AD17" s="20"/>
      <c r="AE17" s="67">
        <f>+H17</f>
        <v>10000</v>
      </c>
      <c r="AF17" s="20">
        <f>+AD17-AE17</f>
        <v>-10000</v>
      </c>
    </row>
    <row r="18" spans="2:32" s="7" customFormat="1" ht="19.5" customHeight="1" outlineLevel="1">
      <c r="B18" s="106"/>
      <c r="C18" s="105" t="s">
        <v>18</v>
      </c>
      <c r="D18" s="103"/>
      <c r="E18" s="103"/>
      <c r="F18" s="103"/>
      <c r="G18" s="103"/>
      <c r="H18" s="66">
        <f t="shared" si="6"/>
        <v>0</v>
      </c>
      <c r="K18" s="60"/>
      <c r="N18" s="106"/>
      <c r="O18" s="105" t="s">
        <v>55</v>
      </c>
      <c r="P18" s="108"/>
      <c r="Q18" s="103">
        <v>0</v>
      </c>
      <c r="R18" s="107"/>
      <c r="S18" s="107"/>
      <c r="T18" s="60">
        <f t="shared" si="3"/>
        <v>0</v>
      </c>
      <c r="U18" s="9"/>
      <c r="V18" s="106"/>
      <c r="W18" s="105" t="s">
        <v>55</v>
      </c>
      <c r="X18" s="103">
        <f t="shared" si="5"/>
        <v>0</v>
      </c>
      <c r="Y18" s="103">
        <f t="shared" si="5"/>
        <v>0</v>
      </c>
      <c r="Z18" s="103">
        <f t="shared" si="5"/>
        <v>0</v>
      </c>
      <c r="AA18" s="104">
        <f t="shared" si="5"/>
        <v>0</v>
      </c>
      <c r="AB18" s="60">
        <f t="shared" si="5"/>
        <v>0</v>
      </c>
      <c r="AD18" s="103"/>
      <c r="AE18" s="103"/>
      <c r="AF18" s="103"/>
    </row>
    <row r="19" spans="2:32" s="7" customFormat="1" ht="17">
      <c r="B19" s="29" t="s">
        <v>56</v>
      </c>
      <c r="C19" s="29"/>
      <c r="D19" s="29">
        <f>SUM(D13:D18)</f>
        <v>307084.92000000004</v>
      </c>
      <c r="E19" s="29">
        <f>SUM(E13:E18)</f>
        <v>323559.7</v>
      </c>
      <c r="F19" s="29">
        <f>SUM(F13:F18)</f>
        <v>299288.69</v>
      </c>
      <c r="G19" s="29">
        <f>SUM(G13:G18)</f>
        <v>340510.69</v>
      </c>
      <c r="H19" s="39">
        <f>SUM(H13:H18)</f>
        <v>1270444</v>
      </c>
      <c r="K19" s="28">
        <f>SUM(K13:K18)</f>
        <v>0</v>
      </c>
      <c r="N19" s="29" t="s">
        <v>56</v>
      </c>
      <c r="O19" s="29"/>
      <c r="P19" s="40">
        <f>SUM(P13:P18)</f>
        <v>0</v>
      </c>
      <c r="Q19" s="40">
        <f>SUM(Q13:Q18)</f>
        <v>2018.7710000000002</v>
      </c>
      <c r="R19" s="35">
        <f>SUM(R13:R18)</f>
        <v>-1343.77</v>
      </c>
      <c r="S19" s="35">
        <f>SUM(S13:S18)</f>
        <v>347.84096999999997</v>
      </c>
      <c r="T19" s="29">
        <f>SUM(T13:T18)</f>
        <v>1022.8419699999997</v>
      </c>
      <c r="U19" s="9"/>
      <c r="V19" s="29" t="s">
        <v>56</v>
      </c>
      <c r="W19" s="29"/>
      <c r="X19" s="29">
        <f>SUM(X13:X18)</f>
        <v>-307084.92000000004</v>
      </c>
      <c r="Y19" s="29">
        <f>SUM(Y13:Y18)</f>
        <v>-321540.929</v>
      </c>
      <c r="Z19" s="29">
        <f>SUM(Z13:Z18)</f>
        <v>-300632.46000000002</v>
      </c>
      <c r="AA19" s="38">
        <f>SUM(AA13:AA18)</f>
        <v>-340162.84903000004</v>
      </c>
      <c r="AB19" s="29"/>
      <c r="AD19" s="29">
        <f>SUM(AD13:AD18)</f>
        <v>1245</v>
      </c>
      <c r="AE19" s="29">
        <f>SUM(AE13:AE18)</f>
        <v>1270444</v>
      </c>
      <c r="AF19" s="29">
        <f>SUM(AF13:AF18)</f>
        <v>-1269199</v>
      </c>
    </row>
    <row r="20" spans="2:32" s="7" customFormat="1" ht="17">
      <c r="B20" s="29" t="s">
        <v>57</v>
      </c>
      <c r="C20" s="29"/>
      <c r="D20" s="29">
        <f>D12-D19</f>
        <v>359694.6</v>
      </c>
      <c r="E20" s="29">
        <f>E12-E19</f>
        <v>1233244.1900000002</v>
      </c>
      <c r="F20" s="29">
        <f>F12-F19</f>
        <v>1371044.0500000003</v>
      </c>
      <c r="G20" s="29">
        <f>G12-G19</f>
        <v>2384422.56</v>
      </c>
      <c r="H20" s="39">
        <f>H12-H19</f>
        <v>5348405.3999999994</v>
      </c>
      <c r="K20" s="28">
        <f>K12-K19</f>
        <v>0</v>
      </c>
      <c r="N20" s="29" t="s">
        <v>57</v>
      </c>
      <c r="O20" s="29"/>
      <c r="P20" s="40">
        <f>P12-P19</f>
        <v>0</v>
      </c>
      <c r="Q20" s="40">
        <f>Q12-Q19</f>
        <v>1876.9969999999998</v>
      </c>
      <c r="R20" s="35">
        <f>R12-R19</f>
        <v>1303.8500000000001</v>
      </c>
      <c r="S20" s="35">
        <f>S12-S19</f>
        <v>1582.77774</v>
      </c>
      <c r="T20" s="29">
        <f>T12-T19</f>
        <v>4763.6247400000002</v>
      </c>
      <c r="U20" s="9"/>
      <c r="V20" s="29" t="s">
        <v>57</v>
      </c>
      <c r="W20" s="29"/>
      <c r="X20" s="29">
        <f>X12-X19</f>
        <v>-359694.6</v>
      </c>
      <c r="Y20" s="29">
        <f>Y12-Y19</f>
        <v>-1231367.1930000002</v>
      </c>
      <c r="Z20" s="29">
        <f>Z12-Z19</f>
        <v>-1369740.2000000002</v>
      </c>
      <c r="AA20" s="38">
        <f>AA12-AA19</f>
        <v>-2382839.7822599998</v>
      </c>
      <c r="AB20" s="29"/>
      <c r="AD20" s="29">
        <f>AD12-AD19</f>
        <v>4684</v>
      </c>
      <c r="AE20" s="29">
        <f>AE12-AE19</f>
        <v>5348405.3999999994</v>
      </c>
      <c r="AF20" s="29">
        <f>AF12-AF19</f>
        <v>-5343721.3999999994</v>
      </c>
    </row>
    <row r="21" spans="2:32" s="7" customFormat="1" ht="17">
      <c r="B21" s="29" t="s">
        <v>58</v>
      </c>
      <c r="C21" s="29"/>
      <c r="D21" s="33">
        <f>D20/D12</f>
        <v>0.53945058180551186</v>
      </c>
      <c r="E21" s="33">
        <f>E20/E12</f>
        <v>0.79216412415310711</v>
      </c>
      <c r="F21" s="33">
        <f>F20/F12</f>
        <v>0.82082091619661368</v>
      </c>
      <c r="G21" s="33">
        <f>G20/G12</f>
        <v>0.87503888764981674</v>
      </c>
      <c r="H21" s="33">
        <f>H20/H12</f>
        <v>0.80805666918482844</v>
      </c>
      <c r="K21" s="37" t="e">
        <f>K20/K12</f>
        <v>#DIV/0!</v>
      </c>
      <c r="N21" s="29" t="s">
        <v>58</v>
      </c>
      <c r="O21" s="29"/>
      <c r="P21" s="33" t="e">
        <f>P20/P12</f>
        <v>#DIV/0!</v>
      </c>
      <c r="Q21" s="33">
        <f>Q20/Q12</f>
        <v>0.48180410127091755</v>
      </c>
      <c r="R21" s="36">
        <f>R20/R12</f>
        <v>-32.661573146292646</v>
      </c>
      <c r="S21" s="35">
        <f>S20/S12</f>
        <v>0.81982927638777525</v>
      </c>
      <c r="T21" s="34">
        <f>T20/T12</f>
        <v>0.82323548699721116</v>
      </c>
      <c r="V21" s="29" t="s">
        <v>58</v>
      </c>
      <c r="W21" s="29"/>
      <c r="X21" s="33">
        <f>X20/X12</f>
        <v>0.53945058180551186</v>
      </c>
      <c r="Y21" s="33">
        <f>Y20/Y12</f>
        <v>0.79294272182317815</v>
      </c>
      <c r="Z21" s="33">
        <f>Z20/Z12</f>
        <v>0.82002072519553815</v>
      </c>
      <c r="AA21" s="34">
        <f>AA20/AA12</f>
        <v>0.87507803146379959</v>
      </c>
      <c r="AB21" s="34"/>
      <c r="AD21" s="33">
        <f>AD20/AD12</f>
        <v>0.79001517962556922</v>
      </c>
      <c r="AE21" s="33">
        <f>AE20/AE12</f>
        <v>0.80805666918482844</v>
      </c>
      <c r="AF21" s="33">
        <f>AF20/AF12</f>
        <v>0.80807284479032893</v>
      </c>
    </row>
    <row r="22" spans="2:32" s="7" customFormat="1" ht="19.5" customHeight="1" outlineLevel="1">
      <c r="B22" s="115" t="s">
        <v>59</v>
      </c>
      <c r="C22" s="114" t="s">
        <v>60</v>
      </c>
      <c r="D22" s="20">
        <v>0</v>
      </c>
      <c r="E22" s="20">
        <v>0</v>
      </c>
      <c r="F22" s="20">
        <v>0</v>
      </c>
      <c r="G22" s="20">
        <v>0</v>
      </c>
      <c r="H22" s="32">
        <f>SUM(D22:G22)</f>
        <v>0</v>
      </c>
      <c r="K22" s="113"/>
      <c r="N22" s="115" t="s">
        <v>59</v>
      </c>
      <c r="O22" s="114" t="s">
        <v>60</v>
      </c>
      <c r="P22" s="112"/>
      <c r="Q22" s="20">
        <v>0</v>
      </c>
      <c r="R22" s="111"/>
      <c r="S22" s="111"/>
      <c r="T22" s="68">
        <f>SUM(P22:S22)</f>
        <v>0</v>
      </c>
      <c r="U22" s="9"/>
      <c r="V22" s="115" t="s">
        <v>59</v>
      </c>
      <c r="W22" s="114" t="s">
        <v>60</v>
      </c>
      <c r="X22" s="112">
        <f t="shared" ref="X22:AB26" si="7">P22-D22</f>
        <v>0</v>
      </c>
      <c r="Y22" s="112">
        <f t="shared" si="7"/>
        <v>0</v>
      </c>
      <c r="Z22" s="112">
        <f t="shared" si="7"/>
        <v>0</v>
      </c>
      <c r="AA22" s="109">
        <f t="shared" si="7"/>
        <v>0</v>
      </c>
      <c r="AB22" s="68">
        <f t="shared" si="7"/>
        <v>0</v>
      </c>
      <c r="AD22" s="20">
        <v>889</v>
      </c>
      <c r="AE22" s="67">
        <f>+H22</f>
        <v>0</v>
      </c>
      <c r="AF22" s="20">
        <f>+AD22-AE22</f>
        <v>889</v>
      </c>
    </row>
    <row r="23" spans="2:32" s="7" customFormat="1" ht="19.5" customHeight="1" outlineLevel="1">
      <c r="B23" s="106"/>
      <c r="C23" s="110" t="s">
        <v>14</v>
      </c>
      <c r="D23" s="20">
        <v>0</v>
      </c>
      <c r="E23" s="20">
        <v>0</v>
      </c>
      <c r="F23" s="20">
        <v>0</v>
      </c>
      <c r="G23" s="20">
        <v>0</v>
      </c>
      <c r="H23" s="32">
        <f>SUM(D23:G23)</f>
        <v>0</v>
      </c>
      <c r="K23" s="113"/>
      <c r="N23" s="106"/>
      <c r="O23" s="110" t="s">
        <v>14</v>
      </c>
      <c r="P23" s="112"/>
      <c r="Q23" s="20">
        <v>0</v>
      </c>
      <c r="R23" s="111"/>
      <c r="S23" s="111"/>
      <c r="T23" s="68">
        <f>SUM(P23:S23)</f>
        <v>0</v>
      </c>
      <c r="U23" s="9"/>
      <c r="V23" s="106"/>
      <c r="W23" s="110" t="s">
        <v>14</v>
      </c>
      <c r="X23" s="112">
        <f t="shared" si="7"/>
        <v>0</v>
      </c>
      <c r="Y23" s="112">
        <f t="shared" si="7"/>
        <v>0</v>
      </c>
      <c r="Z23" s="112">
        <f t="shared" si="7"/>
        <v>0</v>
      </c>
      <c r="AA23" s="109">
        <f t="shared" si="7"/>
        <v>0</v>
      </c>
      <c r="AB23" s="68">
        <f t="shared" si="7"/>
        <v>0</v>
      </c>
      <c r="AD23" s="20"/>
      <c r="AE23" s="67">
        <f>+H23</f>
        <v>0</v>
      </c>
      <c r="AF23" s="20">
        <f>+AD23-AE23</f>
        <v>0</v>
      </c>
    </row>
    <row r="24" spans="2:32" s="7" customFormat="1" ht="19.5" customHeight="1" outlineLevel="1">
      <c r="B24" s="106"/>
      <c r="C24" s="110" t="s">
        <v>61</v>
      </c>
      <c r="D24" s="20">
        <v>0</v>
      </c>
      <c r="E24" s="20">
        <v>0</v>
      </c>
      <c r="F24" s="20">
        <v>0</v>
      </c>
      <c r="G24" s="20">
        <v>0</v>
      </c>
      <c r="H24" s="32">
        <f>SUM(D24:G24)</f>
        <v>0</v>
      </c>
      <c r="K24" s="113"/>
      <c r="N24" s="106"/>
      <c r="O24" s="110" t="s">
        <v>61</v>
      </c>
      <c r="P24" s="112"/>
      <c r="Q24" s="20">
        <v>0</v>
      </c>
      <c r="R24" s="111"/>
      <c r="S24" s="111"/>
      <c r="T24" s="68">
        <f>SUM(P24:S24)</f>
        <v>0</v>
      </c>
      <c r="U24" s="9"/>
      <c r="V24" s="106"/>
      <c r="W24" s="110" t="s">
        <v>61</v>
      </c>
      <c r="X24" s="112">
        <f t="shared" si="7"/>
        <v>0</v>
      </c>
      <c r="Y24" s="112">
        <f t="shared" si="7"/>
        <v>0</v>
      </c>
      <c r="Z24" s="112">
        <f t="shared" si="7"/>
        <v>0</v>
      </c>
      <c r="AA24" s="109">
        <f t="shared" si="7"/>
        <v>0</v>
      </c>
      <c r="AB24" s="68">
        <f t="shared" si="7"/>
        <v>0</v>
      </c>
      <c r="AD24" s="20"/>
      <c r="AE24" s="67">
        <f>+H24</f>
        <v>0</v>
      </c>
      <c r="AF24" s="20">
        <f>+AD24-AE24</f>
        <v>0</v>
      </c>
    </row>
    <row r="25" spans="2:32" s="7" customFormat="1" ht="19.5" customHeight="1" outlineLevel="1">
      <c r="B25" s="106"/>
      <c r="C25" s="110" t="s">
        <v>62</v>
      </c>
      <c r="D25" s="20">
        <v>0</v>
      </c>
      <c r="E25" s="20">
        <v>0</v>
      </c>
      <c r="F25" s="20">
        <v>0</v>
      </c>
      <c r="G25" s="20">
        <v>0</v>
      </c>
      <c r="H25" s="32">
        <f>SUM(D25:G25)</f>
        <v>0</v>
      </c>
      <c r="K25" s="113"/>
      <c r="N25" s="106"/>
      <c r="O25" s="110" t="s">
        <v>62</v>
      </c>
      <c r="P25" s="112"/>
      <c r="Q25" s="20">
        <v>0</v>
      </c>
      <c r="R25" s="111"/>
      <c r="S25" s="111"/>
      <c r="T25" s="68">
        <f>SUM(P25:S25)</f>
        <v>0</v>
      </c>
      <c r="U25" s="9"/>
      <c r="V25" s="106"/>
      <c r="W25" s="110" t="s">
        <v>62</v>
      </c>
      <c r="X25" s="20">
        <f t="shared" si="7"/>
        <v>0</v>
      </c>
      <c r="Y25" s="20">
        <f t="shared" si="7"/>
        <v>0</v>
      </c>
      <c r="Z25" s="20">
        <f t="shared" si="7"/>
        <v>0</v>
      </c>
      <c r="AA25" s="109">
        <f t="shared" si="7"/>
        <v>0</v>
      </c>
      <c r="AB25" s="68">
        <f t="shared" si="7"/>
        <v>0</v>
      </c>
      <c r="AD25" s="20"/>
      <c r="AE25" s="67">
        <f>+H25</f>
        <v>0</v>
      </c>
      <c r="AF25" s="20">
        <f>+AD25-AE25</f>
        <v>0</v>
      </c>
    </row>
    <row r="26" spans="2:32" s="7" customFormat="1" ht="19.5" customHeight="1" outlineLevel="1">
      <c r="B26" s="106"/>
      <c r="C26" s="105" t="s">
        <v>18</v>
      </c>
      <c r="D26" s="103"/>
      <c r="E26" s="103"/>
      <c r="F26" s="103"/>
      <c r="G26" s="103"/>
      <c r="H26" s="66">
        <f>SUM(D26:G26)</f>
        <v>0</v>
      </c>
      <c r="K26" s="60"/>
      <c r="N26" s="106"/>
      <c r="O26" s="105" t="s">
        <v>55</v>
      </c>
      <c r="P26" s="108"/>
      <c r="Q26" s="103">
        <v>0</v>
      </c>
      <c r="R26" s="107"/>
      <c r="S26" s="107"/>
      <c r="T26" s="60">
        <f>SUM(P26:S26)</f>
        <v>0</v>
      </c>
      <c r="U26" s="9"/>
      <c r="V26" s="106"/>
      <c r="W26" s="105" t="s">
        <v>55</v>
      </c>
      <c r="X26" s="103">
        <f t="shared" si="7"/>
        <v>0</v>
      </c>
      <c r="Y26" s="103">
        <f t="shared" si="7"/>
        <v>0</v>
      </c>
      <c r="Z26" s="103">
        <f t="shared" si="7"/>
        <v>0</v>
      </c>
      <c r="AA26" s="104">
        <f t="shared" si="7"/>
        <v>0</v>
      </c>
      <c r="AB26" s="60">
        <f t="shared" si="7"/>
        <v>0</v>
      </c>
      <c r="AD26" s="103"/>
      <c r="AE26" s="103"/>
      <c r="AF26" s="103"/>
    </row>
    <row r="27" spans="2:32" s="7" customFormat="1" ht="17">
      <c r="B27" s="29" t="s">
        <v>63</v>
      </c>
      <c r="C27" s="29"/>
      <c r="D27" s="29">
        <f>SUM(D22:D26)</f>
        <v>0</v>
      </c>
      <c r="E27" s="29">
        <f>SUM(E22:E26)</f>
        <v>0</v>
      </c>
      <c r="F27" s="29">
        <f>SUM(F22:F26)</f>
        <v>0</v>
      </c>
      <c r="G27" s="29">
        <f>SUM(G22:G26)</f>
        <v>0</v>
      </c>
      <c r="H27" s="39">
        <f>SUM(H22:H26)</f>
        <v>0</v>
      </c>
      <c r="K27" s="28">
        <f>SUM(K22:K26)</f>
        <v>0</v>
      </c>
      <c r="N27" s="29" t="s">
        <v>63</v>
      </c>
      <c r="O27" s="29"/>
      <c r="P27" s="40">
        <f>SUM(P22:P26)</f>
        <v>0</v>
      </c>
      <c r="Q27" s="40">
        <f>SUM(Q22:Q26)</f>
        <v>0</v>
      </c>
      <c r="R27" s="35">
        <f>SUM(R22:R26)</f>
        <v>0</v>
      </c>
      <c r="S27" s="35">
        <f>SUM(S22:S26)</f>
        <v>0</v>
      </c>
      <c r="T27" s="29">
        <f>SUM(T22:T26)</f>
        <v>0</v>
      </c>
      <c r="V27" s="29" t="s">
        <v>63</v>
      </c>
      <c r="W27" s="29"/>
      <c r="X27" s="29">
        <f>SUM(X22:X26)</f>
        <v>0</v>
      </c>
      <c r="Y27" s="29">
        <f>SUM(Y22:Y26)</f>
        <v>0</v>
      </c>
      <c r="Z27" s="29">
        <f>SUM(Z22:Z26)</f>
        <v>0</v>
      </c>
      <c r="AA27" s="38">
        <f>SUM(AA22:AA26)</f>
        <v>0</v>
      </c>
      <c r="AB27" s="29"/>
      <c r="AD27" s="29">
        <f>SUM(AD22:AD26)</f>
        <v>889</v>
      </c>
      <c r="AE27" s="29">
        <f>SUM(AE22:AE26)</f>
        <v>0</v>
      </c>
      <c r="AF27" s="29">
        <f>SUM(AF22:AF26)</f>
        <v>889</v>
      </c>
    </row>
    <row r="28" spans="2:32" s="7" customFormat="1" ht="19.5" customHeight="1" outlineLevel="1">
      <c r="B28" s="115" t="s">
        <v>64</v>
      </c>
      <c r="C28" s="114" t="s">
        <v>65</v>
      </c>
      <c r="D28" s="20">
        <v>0</v>
      </c>
      <c r="E28" s="20">
        <v>0</v>
      </c>
      <c r="F28" s="20">
        <v>0</v>
      </c>
      <c r="G28" s="20">
        <v>0</v>
      </c>
      <c r="H28" s="32">
        <f>SUM(D28:G28)</f>
        <v>0</v>
      </c>
      <c r="K28" s="113"/>
      <c r="N28" s="115" t="s">
        <v>64</v>
      </c>
      <c r="O28" s="114" t="s">
        <v>65</v>
      </c>
      <c r="P28" s="112"/>
      <c r="Q28" s="20">
        <v>0</v>
      </c>
      <c r="R28" s="111"/>
      <c r="S28" s="111">
        <v>0</v>
      </c>
      <c r="T28" s="68">
        <f>SUM(P28:S28)</f>
        <v>0</v>
      </c>
      <c r="U28" s="9"/>
      <c r="V28" s="115" t="s">
        <v>64</v>
      </c>
      <c r="W28" s="114" t="s">
        <v>65</v>
      </c>
      <c r="X28" s="112">
        <f t="shared" ref="X28:AB32" si="8">P28-D28</f>
        <v>0</v>
      </c>
      <c r="Y28" s="112">
        <f t="shared" si="8"/>
        <v>0</v>
      </c>
      <c r="Z28" s="112">
        <f t="shared" si="8"/>
        <v>0</v>
      </c>
      <c r="AA28" s="109">
        <f t="shared" si="8"/>
        <v>0</v>
      </c>
      <c r="AB28" s="68">
        <f t="shared" si="8"/>
        <v>0</v>
      </c>
      <c r="AD28" s="20">
        <v>296</v>
      </c>
      <c r="AE28" s="67">
        <f>+H28</f>
        <v>0</v>
      </c>
      <c r="AF28" s="20">
        <f>+AD28-AE28</f>
        <v>296</v>
      </c>
    </row>
    <row r="29" spans="2:32" s="7" customFormat="1" ht="19.5" customHeight="1" outlineLevel="1">
      <c r="B29" s="106"/>
      <c r="C29" s="110" t="s">
        <v>66</v>
      </c>
      <c r="D29" s="239">
        <f>2500</f>
        <v>2500</v>
      </c>
      <c r="E29" s="239">
        <v>2500</v>
      </c>
      <c r="F29" s="239">
        <v>2500</v>
      </c>
      <c r="G29" s="239">
        <v>2500</v>
      </c>
      <c r="H29" s="32">
        <f>SUM(D29:G29)</f>
        <v>10000</v>
      </c>
      <c r="K29" s="119"/>
      <c r="N29" s="106"/>
      <c r="O29" s="110" t="s">
        <v>66</v>
      </c>
      <c r="P29" s="73"/>
      <c r="Q29" s="20">
        <v>0</v>
      </c>
      <c r="R29" s="118">
        <v>0.08</v>
      </c>
      <c r="S29" s="117">
        <v>7.7180000000000012E-2</v>
      </c>
      <c r="T29" s="68">
        <f>SUM(P29:S29)</f>
        <v>0.15718000000000001</v>
      </c>
      <c r="U29" s="9"/>
      <c r="V29" s="106"/>
      <c r="W29" s="110" t="s">
        <v>66</v>
      </c>
      <c r="X29" s="112">
        <f t="shared" si="8"/>
        <v>-2500</v>
      </c>
      <c r="Y29" s="112">
        <f t="shared" si="8"/>
        <v>-2500</v>
      </c>
      <c r="Z29" s="112">
        <f t="shared" si="8"/>
        <v>-2499.92</v>
      </c>
      <c r="AA29" s="109">
        <f t="shared" si="8"/>
        <v>-2499.9228199999998</v>
      </c>
      <c r="AB29" s="68">
        <f t="shared" si="8"/>
        <v>-9999.8428199999998</v>
      </c>
      <c r="AD29" s="20"/>
      <c r="AE29" s="67">
        <f>+H29</f>
        <v>10000</v>
      </c>
      <c r="AF29" s="20">
        <f>+AD29-AE29</f>
        <v>-10000</v>
      </c>
    </row>
    <row r="30" spans="2:32" s="7" customFormat="1" ht="19.5" customHeight="1" outlineLevel="1">
      <c r="B30" s="106"/>
      <c r="C30" s="110" t="s">
        <v>67</v>
      </c>
      <c r="D30" s="20">
        <v>0</v>
      </c>
      <c r="E30" s="20">
        <v>0</v>
      </c>
      <c r="F30" s="20">
        <v>0</v>
      </c>
      <c r="G30" s="20">
        <v>0</v>
      </c>
      <c r="H30" s="32">
        <f>SUM(D30:G30)</f>
        <v>0</v>
      </c>
      <c r="K30" s="113"/>
      <c r="N30" s="106"/>
      <c r="O30" s="110" t="s">
        <v>67</v>
      </c>
      <c r="P30" s="112"/>
      <c r="Q30" s="20">
        <v>0</v>
      </c>
      <c r="R30" s="111"/>
      <c r="S30" s="111">
        <v>0</v>
      </c>
      <c r="T30" s="68">
        <f>SUM(P30:S30)</f>
        <v>0</v>
      </c>
      <c r="U30" s="9"/>
      <c r="V30" s="106"/>
      <c r="W30" s="110" t="s">
        <v>67</v>
      </c>
      <c r="X30" s="112">
        <f t="shared" si="8"/>
        <v>0</v>
      </c>
      <c r="Y30" s="112">
        <f t="shared" si="8"/>
        <v>0</v>
      </c>
      <c r="Z30" s="112">
        <f t="shared" si="8"/>
        <v>0</v>
      </c>
      <c r="AA30" s="109">
        <f t="shared" si="8"/>
        <v>0</v>
      </c>
      <c r="AB30" s="68">
        <f t="shared" si="8"/>
        <v>0</v>
      </c>
      <c r="AD30" s="20"/>
      <c r="AE30" s="67">
        <f>+H30</f>
        <v>0</v>
      </c>
      <c r="AF30" s="20">
        <f>+AD30-AE30</f>
        <v>0</v>
      </c>
    </row>
    <row r="31" spans="2:32" s="7" customFormat="1" ht="19.5" customHeight="1" outlineLevel="1">
      <c r="B31" s="106"/>
      <c r="C31" s="110" t="s">
        <v>68</v>
      </c>
      <c r="D31" s="20">
        <v>0</v>
      </c>
      <c r="E31" s="20">
        <v>0</v>
      </c>
      <c r="F31" s="20">
        <v>0</v>
      </c>
      <c r="G31" s="20">
        <v>0</v>
      </c>
      <c r="H31" s="32">
        <f>SUM(D31:G31)</f>
        <v>0</v>
      </c>
      <c r="K31" s="113"/>
      <c r="N31" s="106"/>
      <c r="O31" s="110" t="s">
        <v>68</v>
      </c>
      <c r="P31" s="112"/>
      <c r="Q31" s="20">
        <v>0</v>
      </c>
      <c r="R31" s="111"/>
      <c r="S31" s="111">
        <v>0</v>
      </c>
      <c r="T31" s="68">
        <f>SUM(P31:S31)</f>
        <v>0</v>
      </c>
      <c r="U31" s="9"/>
      <c r="V31" s="106"/>
      <c r="W31" s="110" t="s">
        <v>68</v>
      </c>
      <c r="X31" s="20">
        <f t="shared" si="8"/>
        <v>0</v>
      </c>
      <c r="Y31" s="20">
        <f t="shared" si="8"/>
        <v>0</v>
      </c>
      <c r="Z31" s="20">
        <f t="shared" si="8"/>
        <v>0</v>
      </c>
      <c r="AA31" s="109">
        <f t="shared" si="8"/>
        <v>0</v>
      </c>
      <c r="AB31" s="68">
        <f t="shared" si="8"/>
        <v>0</v>
      </c>
      <c r="AD31" s="20"/>
      <c r="AE31" s="67">
        <f>+H31</f>
        <v>0</v>
      </c>
      <c r="AF31" s="20">
        <f>+AD31-AE31</f>
        <v>0</v>
      </c>
    </row>
    <row r="32" spans="2:32" s="7" customFormat="1" ht="19.5" customHeight="1" outlineLevel="1">
      <c r="B32" s="106"/>
      <c r="C32" s="105" t="s">
        <v>18</v>
      </c>
      <c r="D32" s="103"/>
      <c r="E32" s="103"/>
      <c r="F32" s="103"/>
      <c r="G32" s="103"/>
      <c r="H32" s="66">
        <f>SUM(D32:G32)</f>
        <v>0</v>
      </c>
      <c r="K32" s="60"/>
      <c r="N32" s="106"/>
      <c r="O32" s="105" t="s">
        <v>55</v>
      </c>
      <c r="P32" s="108"/>
      <c r="Q32" s="103">
        <v>0</v>
      </c>
      <c r="R32" s="107"/>
      <c r="S32" s="107"/>
      <c r="T32" s="60">
        <f>SUM(P32:S32)</f>
        <v>0</v>
      </c>
      <c r="U32" s="9"/>
      <c r="V32" s="106"/>
      <c r="W32" s="105" t="s">
        <v>55</v>
      </c>
      <c r="X32" s="103">
        <f t="shared" si="8"/>
        <v>0</v>
      </c>
      <c r="Y32" s="103">
        <f t="shared" si="8"/>
        <v>0</v>
      </c>
      <c r="Z32" s="103">
        <f t="shared" si="8"/>
        <v>0</v>
      </c>
      <c r="AA32" s="104">
        <f t="shared" si="8"/>
        <v>0</v>
      </c>
      <c r="AB32" s="60">
        <f t="shared" si="8"/>
        <v>0</v>
      </c>
      <c r="AD32" s="60"/>
      <c r="AE32" s="60"/>
      <c r="AF32" s="60"/>
    </row>
    <row r="33" spans="2:32" s="7" customFormat="1" ht="17">
      <c r="B33" s="29" t="s">
        <v>69</v>
      </c>
      <c r="C33" s="29"/>
      <c r="D33" s="29">
        <f>SUM(D28:D32)</f>
        <v>2500</v>
      </c>
      <c r="E33" s="29">
        <f>SUM(E28:E32)</f>
        <v>2500</v>
      </c>
      <c r="F33" s="29">
        <f>SUM(F28:F32)</f>
        <v>2500</v>
      </c>
      <c r="G33" s="29">
        <f>SUM(G28:G32)</f>
        <v>2500</v>
      </c>
      <c r="H33" s="39">
        <f>SUM(H28:H32)</f>
        <v>10000</v>
      </c>
      <c r="J33" s="116"/>
      <c r="K33" s="28">
        <f>SUM(K28:K32)</f>
        <v>0</v>
      </c>
      <c r="L33" s="116"/>
      <c r="M33" s="116"/>
      <c r="N33" s="29" t="s">
        <v>69</v>
      </c>
      <c r="O33" s="29"/>
      <c r="P33" s="40">
        <f>SUM(P28:P32)</f>
        <v>0</v>
      </c>
      <c r="Q33" s="40">
        <f>SUM(Q28:Q32)</f>
        <v>0</v>
      </c>
      <c r="R33" s="35">
        <f>SUM(R28:R32)</f>
        <v>0.08</v>
      </c>
      <c r="S33" s="35">
        <f>SUM(S28:S32)</f>
        <v>7.7180000000000012E-2</v>
      </c>
      <c r="T33" s="29">
        <f>SUM(T28:T32)</f>
        <v>0.15718000000000001</v>
      </c>
      <c r="V33" s="29" t="s">
        <v>69</v>
      </c>
      <c r="W33" s="29"/>
      <c r="X33" s="29">
        <f>SUM(X28:X32)</f>
        <v>-2500</v>
      </c>
      <c r="Y33" s="29">
        <f>SUM(Y28:Y32)</f>
        <v>-2500</v>
      </c>
      <c r="Z33" s="29">
        <f>SUM(Z28:Z32)</f>
        <v>-2499.92</v>
      </c>
      <c r="AA33" s="38">
        <f>SUM(AA28:AA32)</f>
        <v>-2499.9228199999998</v>
      </c>
      <c r="AB33" s="29"/>
      <c r="AD33" s="29">
        <f>SUM(AD28:AD32)</f>
        <v>296</v>
      </c>
      <c r="AE33" s="29">
        <f>SUM(AE28:AE32)</f>
        <v>10000</v>
      </c>
      <c r="AF33" s="29">
        <f>SUM(AF28:AF32)</f>
        <v>-9704</v>
      </c>
    </row>
    <row r="34" spans="2:32" s="7" customFormat="1" ht="19.5" customHeight="1" outlineLevel="1">
      <c r="B34" s="115" t="s">
        <v>70</v>
      </c>
      <c r="C34" s="114" t="s">
        <v>71</v>
      </c>
      <c r="D34" s="20">
        <v>13001</v>
      </c>
      <c r="E34" s="20">
        <v>13001</v>
      </c>
      <c r="F34" s="20">
        <v>13001</v>
      </c>
      <c r="G34" s="20">
        <v>13001</v>
      </c>
      <c r="H34" s="32">
        <f>SUM(D34:G34)</f>
        <v>52004</v>
      </c>
      <c r="K34" s="113"/>
      <c r="N34" s="115" t="s">
        <v>70</v>
      </c>
      <c r="O34" s="114" t="s">
        <v>71</v>
      </c>
      <c r="P34" s="73"/>
      <c r="Q34" s="20">
        <v>5.2149999999999999</v>
      </c>
      <c r="R34" s="72">
        <v>5.27</v>
      </c>
      <c r="S34" s="111">
        <v>5.2</v>
      </c>
      <c r="T34" s="68">
        <f>SUM(P34:S34)</f>
        <v>15.684999999999999</v>
      </c>
      <c r="U34" s="9"/>
      <c r="V34" s="115" t="s">
        <v>70</v>
      </c>
      <c r="W34" s="114" t="s">
        <v>71</v>
      </c>
      <c r="X34" s="112">
        <f t="shared" ref="X34:AB38" si="9">P34-D34</f>
        <v>-13001</v>
      </c>
      <c r="Y34" s="112">
        <f t="shared" si="9"/>
        <v>-12995.785</v>
      </c>
      <c r="Z34" s="112">
        <f t="shared" si="9"/>
        <v>-12995.73</v>
      </c>
      <c r="AA34" s="109">
        <f t="shared" si="9"/>
        <v>-12995.8</v>
      </c>
      <c r="AB34" s="68">
        <f t="shared" si="9"/>
        <v>-51988.315000000002</v>
      </c>
      <c r="AD34" s="20">
        <v>711</v>
      </c>
      <c r="AE34" s="67">
        <f>+H34</f>
        <v>52004</v>
      </c>
      <c r="AF34" s="20">
        <f>+AD34-AE34</f>
        <v>-51293</v>
      </c>
    </row>
    <row r="35" spans="2:32" s="7" customFormat="1" ht="19.5" customHeight="1" outlineLevel="1">
      <c r="B35" s="106"/>
      <c r="C35" s="110" t="s">
        <v>72</v>
      </c>
      <c r="D35" s="20">
        <v>0</v>
      </c>
      <c r="E35" s="20">
        <v>0</v>
      </c>
      <c r="F35" s="20">
        <v>0</v>
      </c>
      <c r="G35" s="20">
        <v>0</v>
      </c>
      <c r="H35" s="32">
        <f>SUM(D35:G35)</f>
        <v>0</v>
      </c>
      <c r="K35" s="113"/>
      <c r="N35" s="106"/>
      <c r="O35" s="110" t="s">
        <v>72</v>
      </c>
      <c r="P35" s="73"/>
      <c r="Q35" s="20">
        <v>0</v>
      </c>
      <c r="R35" s="72"/>
      <c r="S35" s="111">
        <v>1.55416</v>
      </c>
      <c r="T35" s="68">
        <f>SUM(P35:S35)</f>
        <v>1.55416</v>
      </c>
      <c r="U35" s="9"/>
      <c r="V35" s="106"/>
      <c r="W35" s="110" t="s">
        <v>72</v>
      </c>
      <c r="X35" s="112">
        <f>P35-D36</f>
        <v>0</v>
      </c>
      <c r="Y35" s="112">
        <f>Q35-E36</f>
        <v>0</v>
      </c>
      <c r="Z35" s="112">
        <f>R35-F36</f>
        <v>0</v>
      </c>
      <c r="AA35" s="109">
        <f>S35-G36</f>
        <v>1.55416</v>
      </c>
      <c r="AB35" s="68">
        <f t="shared" si="9"/>
        <v>1.55416</v>
      </c>
      <c r="AD35" s="20"/>
      <c r="AE35" s="67">
        <f>+H35</f>
        <v>0</v>
      </c>
      <c r="AF35" s="20">
        <f>+AD35-AE35</f>
        <v>0</v>
      </c>
    </row>
    <row r="36" spans="2:32" s="7" customFormat="1" ht="19.5" customHeight="1" outlineLevel="1">
      <c r="B36" s="106"/>
      <c r="C36" s="110" t="s">
        <v>73</v>
      </c>
      <c r="D36" s="20">
        <v>0</v>
      </c>
      <c r="E36" s="20">
        <v>0</v>
      </c>
      <c r="F36" s="20">
        <v>0</v>
      </c>
      <c r="G36" s="20">
        <v>0</v>
      </c>
      <c r="H36" s="32"/>
      <c r="K36" s="113"/>
      <c r="N36" s="106"/>
      <c r="O36" s="110" t="s">
        <v>73</v>
      </c>
      <c r="P36" s="73"/>
      <c r="Q36" s="20">
        <v>7.3689999999999998</v>
      </c>
      <c r="R36" s="72">
        <v>8.69</v>
      </c>
      <c r="S36" s="111">
        <v>5</v>
      </c>
      <c r="T36" s="68">
        <f>SUM(P36:S36)</f>
        <v>21.058999999999997</v>
      </c>
      <c r="U36" s="9"/>
      <c r="V36" s="106"/>
      <c r="W36" s="110" t="s">
        <v>73</v>
      </c>
      <c r="X36" s="112" t="e">
        <f>P36-#REF!</f>
        <v>#REF!</v>
      </c>
      <c r="Y36" s="112" t="e">
        <f>Q36-#REF!</f>
        <v>#REF!</v>
      </c>
      <c r="Z36" s="112" t="e">
        <f>R36-#REF!</f>
        <v>#REF!</v>
      </c>
      <c r="AA36" s="109" t="e">
        <f>S36-#REF!</f>
        <v>#REF!</v>
      </c>
      <c r="AB36" s="68">
        <f t="shared" si="9"/>
        <v>21.058999999999997</v>
      </c>
      <c r="AD36" s="20"/>
      <c r="AE36" s="67">
        <f>+H36</f>
        <v>0</v>
      </c>
      <c r="AF36" s="20">
        <f>+AD36-AE36</f>
        <v>0</v>
      </c>
    </row>
    <row r="37" spans="2:32" s="7" customFormat="1" ht="19.5" customHeight="1" outlineLevel="1">
      <c r="B37" s="106"/>
      <c r="C37" s="110" t="s">
        <v>74</v>
      </c>
      <c r="D37" s="20">
        <v>0</v>
      </c>
      <c r="E37" s="20">
        <v>0</v>
      </c>
      <c r="F37" s="20">
        <v>0</v>
      </c>
      <c r="G37" s="20">
        <v>0</v>
      </c>
      <c r="H37" s="32">
        <f>SUM(D37:G37)</f>
        <v>0</v>
      </c>
      <c r="K37" s="113"/>
      <c r="N37" s="106"/>
      <c r="O37" s="110" t="s">
        <v>74</v>
      </c>
      <c r="P37" s="73"/>
      <c r="Q37" s="20">
        <v>0</v>
      </c>
      <c r="R37" s="72"/>
      <c r="S37" s="111">
        <v>0</v>
      </c>
      <c r="T37" s="68">
        <f>SUM(P37:S37)</f>
        <v>0</v>
      </c>
      <c r="U37" s="9"/>
      <c r="V37" s="106"/>
      <c r="W37" s="110" t="s">
        <v>74</v>
      </c>
      <c r="X37" s="20">
        <f t="shared" si="9"/>
        <v>0</v>
      </c>
      <c r="Y37" s="20">
        <f t="shared" si="9"/>
        <v>0</v>
      </c>
      <c r="Z37" s="20">
        <f t="shared" si="9"/>
        <v>0</v>
      </c>
      <c r="AA37" s="109">
        <f t="shared" si="9"/>
        <v>0</v>
      </c>
      <c r="AB37" s="68">
        <f t="shared" si="9"/>
        <v>0</v>
      </c>
      <c r="AD37" s="20"/>
      <c r="AE37" s="67">
        <f>+H37</f>
        <v>0</v>
      </c>
      <c r="AF37" s="20">
        <f>+AD37-AE37</f>
        <v>0</v>
      </c>
    </row>
    <row r="38" spans="2:32" s="7" customFormat="1" ht="19.5" customHeight="1" outlineLevel="1">
      <c r="B38" s="106"/>
      <c r="C38" s="105" t="s">
        <v>18</v>
      </c>
      <c r="D38" s="103"/>
      <c r="E38" s="103"/>
      <c r="F38" s="103"/>
      <c r="G38" s="103"/>
      <c r="H38" s="66">
        <f>SUM(D38:G38)</f>
        <v>0</v>
      </c>
      <c r="K38" s="60"/>
      <c r="N38" s="106"/>
      <c r="O38" s="105" t="s">
        <v>55</v>
      </c>
      <c r="P38" s="108"/>
      <c r="Q38" s="103">
        <v>0</v>
      </c>
      <c r="R38" s="107"/>
      <c r="S38" s="107"/>
      <c r="T38" s="60">
        <f>SUM(P38:S38)</f>
        <v>0</v>
      </c>
      <c r="U38" s="9"/>
      <c r="V38" s="106"/>
      <c r="W38" s="105" t="s">
        <v>55</v>
      </c>
      <c r="X38" s="103">
        <f t="shared" si="9"/>
        <v>0</v>
      </c>
      <c r="Y38" s="103">
        <f t="shared" si="9"/>
        <v>0</v>
      </c>
      <c r="Z38" s="103">
        <f t="shared" si="9"/>
        <v>0</v>
      </c>
      <c r="AA38" s="104">
        <f t="shared" si="9"/>
        <v>0</v>
      </c>
      <c r="AB38" s="60">
        <f t="shared" si="9"/>
        <v>0</v>
      </c>
      <c r="AD38" s="103"/>
      <c r="AE38" s="103"/>
      <c r="AF38" s="103"/>
    </row>
    <row r="39" spans="2:32" s="7" customFormat="1" ht="17">
      <c r="B39" s="29" t="s">
        <v>75</v>
      </c>
      <c r="C39" s="29"/>
      <c r="D39" s="29">
        <f>SUM(D34:D38)</f>
        <v>13001</v>
      </c>
      <c r="E39" s="29">
        <f>SUM(E34:E38)</f>
        <v>13001</v>
      </c>
      <c r="F39" s="29">
        <f>SUM(F34:F38)</f>
        <v>13001</v>
      </c>
      <c r="G39" s="29">
        <f>SUM(G34:G38)</f>
        <v>13001</v>
      </c>
      <c r="H39" s="39">
        <f>SUM(H34:H38)</f>
        <v>52004</v>
      </c>
      <c r="K39" s="28">
        <f>SUM(K34:K38)</f>
        <v>0</v>
      </c>
      <c r="N39" s="29" t="s">
        <v>75</v>
      </c>
      <c r="O39" s="29"/>
      <c r="P39" s="40">
        <f>SUM(P34:P38)</f>
        <v>0</v>
      </c>
      <c r="Q39" s="40">
        <f>SUM(Q34:Q38)</f>
        <v>12.584</v>
      </c>
      <c r="R39" s="35">
        <f>SUM(R34:R38)</f>
        <v>13.959999999999999</v>
      </c>
      <c r="S39" s="35">
        <f>SUM(S34:S38)</f>
        <v>11.754160000000001</v>
      </c>
      <c r="T39" s="29">
        <f>SUM(T34:T38)</f>
        <v>38.298159999999996</v>
      </c>
      <c r="V39" s="29" t="s">
        <v>75</v>
      </c>
      <c r="W39" s="29"/>
      <c r="X39" s="29" t="e">
        <f>SUM(X34:X38)</f>
        <v>#REF!</v>
      </c>
      <c r="Y39" s="29" t="e">
        <f>SUM(Y34:Y38)</f>
        <v>#REF!</v>
      </c>
      <c r="Z39" s="29" t="e">
        <f>SUM(Z34:Z38)</f>
        <v>#REF!</v>
      </c>
      <c r="AA39" s="38" t="e">
        <f>SUM(AA34:AA38)</f>
        <v>#REF!</v>
      </c>
      <c r="AB39" s="29"/>
      <c r="AD39" s="29">
        <f>SUM(AD34:AD38)</f>
        <v>711</v>
      </c>
      <c r="AE39" s="29">
        <f>SUM(AE34:AE38)</f>
        <v>52004</v>
      </c>
      <c r="AF39" s="29">
        <f>SUM(AF34:AF38)</f>
        <v>-51293</v>
      </c>
    </row>
    <row r="40" spans="2:32" s="7" customFormat="1" ht="19.5" customHeight="1" outlineLevel="1">
      <c r="B40" s="99" t="s">
        <v>76</v>
      </c>
      <c r="C40" s="78" t="s">
        <v>77</v>
      </c>
      <c r="D40" s="76">
        <v>86226.21</v>
      </c>
      <c r="E40" s="76">
        <v>86226.21</v>
      </c>
      <c r="F40" s="76">
        <v>86226.21</v>
      </c>
      <c r="G40" s="76">
        <v>86226.21</v>
      </c>
      <c r="H40" s="102">
        <f t="shared" ref="H40:H45" si="10">SUM(D40:G40)</f>
        <v>344904.84</v>
      </c>
      <c r="K40" s="75"/>
      <c r="N40" s="99" t="s">
        <v>76</v>
      </c>
      <c r="O40" s="78" t="s">
        <v>77</v>
      </c>
      <c r="P40" s="100"/>
      <c r="Q40" s="96">
        <v>86.177000000000007</v>
      </c>
      <c r="R40" s="72">
        <v>89.48</v>
      </c>
      <c r="S40" s="71">
        <v>84.3</v>
      </c>
      <c r="T40" s="97">
        <f t="shared" ref="T40:T45" si="11">SUM(P40:S40)</f>
        <v>259.95699999999999</v>
      </c>
      <c r="U40" s="9"/>
      <c r="V40" s="99" t="s">
        <v>76</v>
      </c>
      <c r="W40" s="78" t="s">
        <v>77</v>
      </c>
      <c r="X40" s="70">
        <f t="shared" ref="X40:AB45" si="12">P40-D40</f>
        <v>-86226.21</v>
      </c>
      <c r="Y40" s="70">
        <f t="shared" si="12"/>
        <v>-86140.03300000001</v>
      </c>
      <c r="Z40" s="70">
        <f t="shared" si="12"/>
        <v>-86136.73000000001</v>
      </c>
      <c r="AA40" s="98">
        <f t="shared" si="12"/>
        <v>-86141.91</v>
      </c>
      <c r="AB40" s="97">
        <f t="shared" si="12"/>
        <v>-344644.88300000003</v>
      </c>
      <c r="AD40" s="96"/>
      <c r="AE40" s="67">
        <f>+H40</f>
        <v>344904.84</v>
      </c>
      <c r="AF40" s="20">
        <f>+AD40-AE40</f>
        <v>-344904.84</v>
      </c>
    </row>
    <row r="41" spans="2:32" s="7" customFormat="1" ht="19.5" customHeight="1" outlineLevel="1">
      <c r="B41" s="94"/>
      <c r="C41" s="55" t="s">
        <v>78</v>
      </c>
      <c r="D41" s="76">
        <v>3362.79</v>
      </c>
      <c r="E41" s="76">
        <v>3362.79</v>
      </c>
      <c r="F41" s="76">
        <v>3362.79</v>
      </c>
      <c r="G41" s="76">
        <v>10320</v>
      </c>
      <c r="H41" s="95">
        <f t="shared" si="10"/>
        <v>20408.37</v>
      </c>
      <c r="K41" s="75"/>
      <c r="N41" s="94"/>
      <c r="O41" s="55" t="s">
        <v>78</v>
      </c>
      <c r="P41" s="74"/>
      <c r="Q41" s="67">
        <v>0</v>
      </c>
      <c r="R41" s="72">
        <v>1.1499999999999999</v>
      </c>
      <c r="S41" s="71">
        <v>0</v>
      </c>
      <c r="T41" s="93">
        <f t="shared" si="11"/>
        <v>1.1499999999999999</v>
      </c>
      <c r="U41" s="9"/>
      <c r="V41" s="94"/>
      <c r="W41" s="55" t="s">
        <v>78</v>
      </c>
      <c r="X41" s="70">
        <f t="shared" si="12"/>
        <v>-3362.79</v>
      </c>
      <c r="Y41" s="70">
        <f t="shared" si="12"/>
        <v>-3362.79</v>
      </c>
      <c r="Z41" s="70">
        <f t="shared" si="12"/>
        <v>-3361.64</v>
      </c>
      <c r="AA41" s="69">
        <f t="shared" si="12"/>
        <v>-10320</v>
      </c>
      <c r="AB41" s="93">
        <f t="shared" si="12"/>
        <v>-20407.219999999998</v>
      </c>
      <c r="AD41" s="67"/>
      <c r="AE41" s="67">
        <f>+H41</f>
        <v>20408.37</v>
      </c>
      <c r="AF41" s="20">
        <f>+AD41-AE41</f>
        <v>-20408.37</v>
      </c>
    </row>
    <row r="42" spans="2:32" s="7" customFormat="1" ht="19.5" customHeight="1" outlineLevel="1">
      <c r="B42" s="94"/>
      <c r="C42" s="55" t="s">
        <v>79</v>
      </c>
      <c r="D42" s="76">
        <v>9800</v>
      </c>
      <c r="E42" s="76">
        <v>9800</v>
      </c>
      <c r="F42" s="76">
        <v>9800</v>
      </c>
      <c r="G42" s="76">
        <v>9800</v>
      </c>
      <c r="H42" s="95">
        <f t="shared" si="10"/>
        <v>39200</v>
      </c>
      <c r="K42" s="75"/>
      <c r="N42" s="94"/>
      <c r="O42" s="55" t="s">
        <v>79</v>
      </c>
      <c r="P42" s="74"/>
      <c r="Q42" s="67">
        <v>0</v>
      </c>
      <c r="R42" s="72"/>
      <c r="S42" s="71">
        <v>0</v>
      </c>
      <c r="T42" s="93">
        <f t="shared" si="11"/>
        <v>0</v>
      </c>
      <c r="U42" s="9"/>
      <c r="V42" s="94"/>
      <c r="W42" s="55" t="s">
        <v>79</v>
      </c>
      <c r="X42" s="70">
        <f t="shared" si="12"/>
        <v>-9800</v>
      </c>
      <c r="Y42" s="70">
        <f t="shared" si="12"/>
        <v>-9800</v>
      </c>
      <c r="Z42" s="70">
        <f t="shared" si="12"/>
        <v>-9800</v>
      </c>
      <c r="AA42" s="69">
        <f t="shared" si="12"/>
        <v>-9800</v>
      </c>
      <c r="AB42" s="93">
        <f t="shared" si="12"/>
        <v>-39200</v>
      </c>
      <c r="AD42" s="67"/>
      <c r="AE42" s="67">
        <f>+H42</f>
        <v>39200</v>
      </c>
      <c r="AF42" s="20">
        <f>+AD42-AE42</f>
        <v>-39200</v>
      </c>
    </row>
    <row r="43" spans="2:32" s="7" customFormat="1" ht="19.5" customHeight="1" outlineLevel="1">
      <c r="B43" s="94"/>
      <c r="C43" s="55" t="s">
        <v>80</v>
      </c>
      <c r="D43" s="20">
        <v>0</v>
      </c>
      <c r="E43" s="20">
        <v>0</v>
      </c>
      <c r="F43" s="20">
        <v>0</v>
      </c>
      <c r="G43" s="20">
        <v>0</v>
      </c>
      <c r="H43" s="95">
        <f t="shared" si="10"/>
        <v>0</v>
      </c>
      <c r="K43" s="75"/>
      <c r="N43" s="94"/>
      <c r="O43" s="55" t="s">
        <v>80</v>
      </c>
      <c r="P43" s="74"/>
      <c r="Q43" s="67">
        <v>0</v>
      </c>
      <c r="R43" s="72">
        <v>5.01</v>
      </c>
      <c r="S43" s="71">
        <v>0</v>
      </c>
      <c r="T43" s="93">
        <f t="shared" si="11"/>
        <v>5.01</v>
      </c>
      <c r="U43" s="9"/>
      <c r="V43" s="94"/>
      <c r="W43" s="55" t="s">
        <v>80</v>
      </c>
      <c r="X43" s="70">
        <f t="shared" si="12"/>
        <v>0</v>
      </c>
      <c r="Y43" s="70">
        <f t="shared" si="12"/>
        <v>0</v>
      </c>
      <c r="Z43" s="70">
        <f t="shared" si="12"/>
        <v>5.01</v>
      </c>
      <c r="AA43" s="69">
        <f t="shared" si="12"/>
        <v>0</v>
      </c>
      <c r="AB43" s="93">
        <f t="shared" si="12"/>
        <v>5.01</v>
      </c>
      <c r="AD43" s="67"/>
      <c r="AE43" s="67">
        <f>+H43</f>
        <v>0</v>
      </c>
      <c r="AF43" s="20">
        <f>+AD43-AE43</f>
        <v>0</v>
      </c>
    </row>
    <row r="44" spans="2:32" s="7" customFormat="1" ht="19.5" customHeight="1" outlineLevel="1">
      <c r="B44" s="90"/>
      <c r="C44" s="174" t="s">
        <v>81</v>
      </c>
      <c r="D44" s="20">
        <v>0</v>
      </c>
      <c r="E44" s="20">
        <v>0</v>
      </c>
      <c r="F44" s="20">
        <v>0</v>
      </c>
      <c r="G44" s="20">
        <v>0</v>
      </c>
      <c r="H44" s="238">
        <f t="shared" si="10"/>
        <v>0</v>
      </c>
      <c r="K44" s="237"/>
      <c r="N44" s="90"/>
      <c r="O44" s="87" t="s">
        <v>81</v>
      </c>
      <c r="P44" s="92"/>
      <c r="Q44" s="87"/>
      <c r="R44" s="91"/>
      <c r="S44" s="91"/>
      <c r="T44" s="88">
        <f t="shared" si="11"/>
        <v>0</v>
      </c>
      <c r="U44" s="9"/>
      <c r="V44" s="90"/>
      <c r="W44" s="87" t="s">
        <v>81</v>
      </c>
      <c r="X44" s="87">
        <f t="shared" si="12"/>
        <v>0</v>
      </c>
      <c r="Y44" s="87">
        <f t="shared" si="12"/>
        <v>0</v>
      </c>
      <c r="Z44" s="87">
        <f t="shared" si="12"/>
        <v>0</v>
      </c>
      <c r="AA44" s="89">
        <f t="shared" si="12"/>
        <v>0</v>
      </c>
      <c r="AB44" s="88">
        <f t="shared" si="12"/>
        <v>0</v>
      </c>
      <c r="AD44" s="87"/>
      <c r="AE44" s="87">
        <f>+Q44</f>
        <v>0</v>
      </c>
      <c r="AF44" s="87">
        <f>+AD44-AE44</f>
        <v>0</v>
      </c>
    </row>
    <row r="45" spans="2:32" s="7" customFormat="1" ht="19.5" customHeight="1" outlineLevel="1">
      <c r="B45" s="83"/>
      <c r="C45" s="62" t="s">
        <v>18</v>
      </c>
      <c r="D45" s="60"/>
      <c r="E45" s="65"/>
      <c r="F45" s="65"/>
      <c r="G45" s="65"/>
      <c r="H45" s="86">
        <f t="shared" si="10"/>
        <v>0</v>
      </c>
      <c r="J45" s="85"/>
      <c r="K45" s="65"/>
      <c r="L45" s="84"/>
      <c r="N45" s="83"/>
      <c r="O45" s="62" t="s">
        <v>55</v>
      </c>
      <c r="P45" s="64"/>
      <c r="Q45" s="60">
        <v>0</v>
      </c>
      <c r="R45" s="63"/>
      <c r="S45" s="63"/>
      <c r="T45" s="82">
        <f t="shared" si="11"/>
        <v>0</v>
      </c>
      <c r="U45" s="9"/>
      <c r="V45" s="83"/>
      <c r="W45" s="62" t="s">
        <v>55</v>
      </c>
      <c r="X45" s="60">
        <f t="shared" si="12"/>
        <v>0</v>
      </c>
      <c r="Y45" s="60">
        <f t="shared" si="12"/>
        <v>0</v>
      </c>
      <c r="Z45" s="60">
        <f t="shared" si="12"/>
        <v>0</v>
      </c>
      <c r="AA45" s="61">
        <f t="shared" si="12"/>
        <v>0</v>
      </c>
      <c r="AB45" s="82">
        <f t="shared" si="12"/>
        <v>0</v>
      </c>
      <c r="AD45" s="60"/>
      <c r="AE45" s="60"/>
      <c r="AF45" s="60"/>
    </row>
    <row r="46" spans="2:32" s="7" customFormat="1" ht="17">
      <c r="B46" s="29" t="s">
        <v>82</v>
      </c>
      <c r="C46" s="29"/>
      <c r="D46" s="29">
        <f>SUM(D40:D45)</f>
        <v>99389</v>
      </c>
      <c r="E46" s="29">
        <f>SUM(E40:E45)</f>
        <v>99389</v>
      </c>
      <c r="F46" s="29">
        <f>SUM(F40:F45)</f>
        <v>99389</v>
      </c>
      <c r="G46" s="29">
        <f>SUM(G40:G45)</f>
        <v>106346.21</v>
      </c>
      <c r="H46" s="39">
        <f>SUM(H40:H45)</f>
        <v>404513.21</v>
      </c>
      <c r="K46" s="28">
        <f>SUM(K40:K45)</f>
        <v>0</v>
      </c>
      <c r="N46" s="29" t="s">
        <v>82</v>
      </c>
      <c r="O46" s="29"/>
      <c r="P46" s="40">
        <f>SUM(P40:P45)</f>
        <v>0</v>
      </c>
      <c r="Q46" s="40">
        <f>SUM(Q40:Q45)</f>
        <v>86.177000000000007</v>
      </c>
      <c r="R46" s="35">
        <f>SUM(R40:R45)</f>
        <v>95.640000000000015</v>
      </c>
      <c r="S46" s="35">
        <f>SUM(S40:S45)</f>
        <v>84.3</v>
      </c>
      <c r="T46" s="29">
        <f>SUM(T40:T45)</f>
        <v>266.11699999999996</v>
      </c>
      <c r="V46" s="29" t="s">
        <v>82</v>
      </c>
      <c r="W46" s="29"/>
      <c r="X46" s="29">
        <f>SUM(X40:X45)</f>
        <v>-99389</v>
      </c>
      <c r="Y46" s="29">
        <f>SUM(Y40:Y45)</f>
        <v>-99302.823000000004</v>
      </c>
      <c r="Z46" s="29">
        <f>SUM(Z40:Z45)</f>
        <v>-99293.360000000015</v>
      </c>
      <c r="AA46" s="38">
        <f>SUM(AA40:AA45)</f>
        <v>-106261.91</v>
      </c>
      <c r="AB46" s="29"/>
      <c r="AD46" s="29">
        <f>SUM(AD40:AD45)</f>
        <v>0</v>
      </c>
      <c r="AE46" s="29">
        <f>SUM(AE40:AE45)</f>
        <v>404513.21</v>
      </c>
      <c r="AF46" s="29">
        <f>SUM(AF40:AF45)</f>
        <v>-404513.21</v>
      </c>
    </row>
    <row r="47" spans="2:32" s="7" customFormat="1" ht="17">
      <c r="B47" s="29" t="s">
        <v>83</v>
      </c>
      <c r="C47" s="29"/>
      <c r="D47" s="29">
        <f>D12-D19-D27-D33-D39-D46</f>
        <v>244804.59999999998</v>
      </c>
      <c r="E47" s="29">
        <f>E12-E19-E27-E33-E39-E46</f>
        <v>1118354.1900000002</v>
      </c>
      <c r="F47" s="29">
        <f>F12-F19-F27-F33-F39-F46</f>
        <v>1256154.0500000003</v>
      </c>
      <c r="G47" s="29">
        <f>G12-G19-G27-G33-G39-G46</f>
        <v>2262575.35</v>
      </c>
      <c r="H47" s="39">
        <f>SUM(D47:G47)</f>
        <v>4881888.1900000004</v>
      </c>
      <c r="K47" s="28">
        <f>K12-K19-K27-K33-K39-K46</f>
        <v>0</v>
      </c>
      <c r="N47" s="29" t="s">
        <v>83</v>
      </c>
      <c r="O47" s="29"/>
      <c r="P47" s="40">
        <f>P12-P19-P27-P33-P39-P46</f>
        <v>0</v>
      </c>
      <c r="Q47" s="40">
        <f>Q12-Q19-Q27-Q33-Q39-Q46</f>
        <v>1778.2359999999999</v>
      </c>
      <c r="R47" s="35">
        <f>R12-R19-R27-R33-R39-R46</f>
        <v>1194.17</v>
      </c>
      <c r="S47" s="35">
        <f>S12-S19-S27-S33-S39-S46</f>
        <v>1486.6464000000001</v>
      </c>
      <c r="T47" s="29">
        <f>SUM(P47:S47)</f>
        <v>4459.0524000000005</v>
      </c>
      <c r="V47" s="29" t="s">
        <v>83</v>
      </c>
      <c r="W47" s="29"/>
      <c r="X47" s="29" t="e">
        <f>X12-X19-X27-X33-X39-X46</f>
        <v>#REF!</v>
      </c>
      <c r="Y47" s="29" t="e">
        <f>Y12-Y19-Y27-Y33-Y39-Y46</f>
        <v>#REF!</v>
      </c>
      <c r="Z47" s="29" t="e">
        <f>Z12-Z19-Z27-Z33-Z39-Z46</f>
        <v>#REF!</v>
      </c>
      <c r="AA47" s="38" t="e">
        <f>AA12-AA19-AA27-AA33-AA39-AA46</f>
        <v>#REF!</v>
      </c>
      <c r="AB47" s="29"/>
      <c r="AD47" s="29">
        <f>AD12-AD19-AD27-AD33-AD39-AD46</f>
        <v>2788</v>
      </c>
      <c r="AE47" s="29">
        <f>AE12-AE19-AE27-AE33-AE39-AE46</f>
        <v>4881888.1899999995</v>
      </c>
      <c r="AF47" s="29">
        <f>AF12-AF19-AF27-AF33-AF39-AF46</f>
        <v>-4879100.1899999995</v>
      </c>
    </row>
    <row r="48" spans="2:32" s="7" customFormat="1" ht="17">
      <c r="B48" s="29" t="s">
        <v>84</v>
      </c>
      <c r="C48" s="29"/>
      <c r="D48" s="33">
        <f>D47/D12</f>
        <v>0.36714474973676453</v>
      </c>
      <c r="E48" s="33">
        <f>E47/E12</f>
        <v>0.71836549046649678</v>
      </c>
      <c r="F48" s="33">
        <f>F47/F12</f>
        <v>0.75203821365556189</v>
      </c>
      <c r="G48" s="33">
        <f>G47/G12</f>
        <v>0.83032321984400903</v>
      </c>
      <c r="H48" s="39">
        <f>H47/H12</f>
        <v>0.7375735411051958</v>
      </c>
      <c r="K48" s="37" t="e">
        <f>K47/K12</f>
        <v>#DIV/0!</v>
      </c>
      <c r="N48" s="29" t="s">
        <v>84</v>
      </c>
      <c r="O48" s="29"/>
      <c r="P48" s="81" t="e">
        <f>P47/P12</f>
        <v>#DIV/0!</v>
      </c>
      <c r="Q48" s="81">
        <f>Q47/Q12</f>
        <v>0.45645325902363793</v>
      </c>
      <c r="R48" s="36">
        <f>R47/R12</f>
        <v>-29.91407815631268</v>
      </c>
      <c r="S48" s="35">
        <f>S47/S12</f>
        <v>0.77003625433631073</v>
      </c>
      <c r="T48" s="34">
        <f>T47/T12</f>
        <v>0.77060019930538937</v>
      </c>
      <c r="V48" s="29" t="s">
        <v>84</v>
      </c>
      <c r="W48" s="29"/>
      <c r="X48" s="33" t="e">
        <f>X47/X12</f>
        <v>#REF!</v>
      </c>
      <c r="Y48" s="33" t="e">
        <f>Y47/Y12</f>
        <v>#REF!</v>
      </c>
      <c r="Z48" s="33" t="e">
        <f>Z47/Z12</f>
        <v>#REF!</v>
      </c>
      <c r="AA48" s="34" t="e">
        <f>AA47/AA12</f>
        <v>#REF!</v>
      </c>
      <c r="AB48" s="34"/>
      <c r="AD48" s="33">
        <f>AD47/AD12</f>
        <v>0.47023106763366501</v>
      </c>
      <c r="AE48" s="33">
        <f>AE47/AE12</f>
        <v>0.73757354110519568</v>
      </c>
      <c r="AF48" s="33">
        <f>AF47/AF12</f>
        <v>0.73781323452797043</v>
      </c>
    </row>
    <row r="49" spans="2:32" s="7" customFormat="1" ht="19.5" customHeight="1" outlineLevel="1">
      <c r="B49" s="79" t="s">
        <v>85</v>
      </c>
      <c r="C49" s="78" t="s">
        <v>86</v>
      </c>
      <c r="D49" s="76">
        <v>39836.43</v>
      </c>
      <c r="E49" s="76">
        <v>39836.43</v>
      </c>
      <c r="F49" s="76">
        <v>39836.43</v>
      </c>
      <c r="G49" s="76">
        <v>39836.43</v>
      </c>
      <c r="H49" s="80">
        <f t="shared" ref="H49:H54" si="13">SUM(D49:G49)</f>
        <v>159345.72</v>
      </c>
      <c r="K49" s="75"/>
      <c r="N49" s="79" t="s">
        <v>85</v>
      </c>
      <c r="O49" s="78" t="s">
        <v>86</v>
      </c>
      <c r="P49" s="73"/>
      <c r="Q49" s="67">
        <v>28.13</v>
      </c>
      <c r="R49" s="72">
        <v>35.83</v>
      </c>
      <c r="S49" s="71">
        <v>27.9</v>
      </c>
      <c r="T49" s="77">
        <f t="shared" ref="T49:T54" si="14">SUM(P49:S49)</f>
        <v>91.859999999999985</v>
      </c>
      <c r="U49" s="9"/>
      <c r="V49" s="79" t="s">
        <v>85</v>
      </c>
      <c r="W49" s="78" t="s">
        <v>86</v>
      </c>
      <c r="X49" s="70">
        <f t="shared" ref="X49:AB54" si="15">P49-D49</f>
        <v>-39836.43</v>
      </c>
      <c r="Y49" s="70">
        <f t="shared" si="15"/>
        <v>-39808.300000000003</v>
      </c>
      <c r="Z49" s="70">
        <f t="shared" si="15"/>
        <v>-39800.6</v>
      </c>
      <c r="AA49" s="69">
        <f t="shared" si="15"/>
        <v>-39808.53</v>
      </c>
      <c r="AB49" s="77">
        <f t="shared" si="15"/>
        <v>-159253.86000000002</v>
      </c>
      <c r="AD49" s="67">
        <v>474</v>
      </c>
      <c r="AE49" s="67">
        <f>+H49</f>
        <v>159345.72</v>
      </c>
      <c r="AF49" s="20">
        <f t="shared" ref="AF49:AF54" si="16">+AD49-AE49</f>
        <v>-158871.72</v>
      </c>
    </row>
    <row r="50" spans="2:32" s="7" customFormat="1" ht="19.5" customHeight="1" outlineLevel="1">
      <c r="B50" s="45"/>
      <c r="C50" s="55" t="s">
        <v>87</v>
      </c>
      <c r="D50" s="76">
        <v>6300</v>
      </c>
      <c r="E50" s="76">
        <v>4800</v>
      </c>
      <c r="F50" s="76">
        <v>5400</v>
      </c>
      <c r="G50" s="76">
        <v>4800</v>
      </c>
      <c r="H50" s="32">
        <f t="shared" si="13"/>
        <v>21300</v>
      </c>
      <c r="K50" s="75"/>
      <c r="N50" s="45"/>
      <c r="O50" s="55" t="s">
        <v>87</v>
      </c>
      <c r="P50" s="73"/>
      <c r="Q50" s="67">
        <v>24.353000000000002</v>
      </c>
      <c r="R50" s="72">
        <v>0</v>
      </c>
      <c r="S50" s="71">
        <v>0</v>
      </c>
      <c r="T50" s="68">
        <f t="shared" si="14"/>
        <v>24.353000000000002</v>
      </c>
      <c r="U50" s="9"/>
      <c r="V50" s="45"/>
      <c r="W50" s="55" t="s">
        <v>87</v>
      </c>
      <c r="X50" s="70">
        <f t="shared" si="15"/>
        <v>-6300</v>
      </c>
      <c r="Y50" s="70">
        <f t="shared" si="15"/>
        <v>-4775.6469999999999</v>
      </c>
      <c r="Z50" s="70">
        <f t="shared" si="15"/>
        <v>-5400</v>
      </c>
      <c r="AA50" s="69">
        <f t="shared" si="15"/>
        <v>-4800</v>
      </c>
      <c r="AB50" s="68">
        <f t="shared" si="15"/>
        <v>-21275.647000000001</v>
      </c>
      <c r="AD50" s="67"/>
      <c r="AE50" s="67">
        <f>+H50</f>
        <v>21300</v>
      </c>
      <c r="AF50" s="20">
        <f t="shared" si="16"/>
        <v>-21300</v>
      </c>
    </row>
    <row r="51" spans="2:32" s="7" customFormat="1" ht="19.5" customHeight="1" outlineLevel="1">
      <c r="B51" s="45"/>
      <c r="C51" s="55" t="s">
        <v>88</v>
      </c>
      <c r="D51" s="76">
        <v>38200</v>
      </c>
      <c r="E51" s="76">
        <v>36200</v>
      </c>
      <c r="F51" s="76">
        <v>36200</v>
      </c>
      <c r="G51" s="76">
        <v>38200</v>
      </c>
      <c r="H51" s="32">
        <f t="shared" si="13"/>
        <v>148800</v>
      </c>
      <c r="K51" s="75"/>
      <c r="N51" s="45"/>
      <c r="O51" s="55" t="s">
        <v>88</v>
      </c>
      <c r="P51" s="73"/>
      <c r="Q51" s="67">
        <v>0</v>
      </c>
      <c r="R51" s="72">
        <v>20.14</v>
      </c>
      <c r="S51" s="71">
        <v>19</v>
      </c>
      <c r="T51" s="68">
        <f t="shared" si="14"/>
        <v>39.14</v>
      </c>
      <c r="U51" s="9"/>
      <c r="V51" s="45"/>
      <c r="W51" s="55" t="s">
        <v>88</v>
      </c>
      <c r="X51" s="70">
        <f t="shared" si="15"/>
        <v>-38200</v>
      </c>
      <c r="Y51" s="70">
        <f t="shared" si="15"/>
        <v>-36200</v>
      </c>
      <c r="Z51" s="70">
        <f t="shared" si="15"/>
        <v>-36179.86</v>
      </c>
      <c r="AA51" s="69">
        <f t="shared" si="15"/>
        <v>-38181</v>
      </c>
      <c r="AB51" s="68">
        <f t="shared" si="15"/>
        <v>-148760.85999999999</v>
      </c>
      <c r="AD51" s="67"/>
      <c r="AE51" s="67">
        <f>+H51</f>
        <v>148800</v>
      </c>
      <c r="AF51" s="20">
        <f t="shared" si="16"/>
        <v>-148800</v>
      </c>
    </row>
    <row r="52" spans="2:32" s="7" customFormat="1" ht="19.5" customHeight="1" outlineLevel="1">
      <c r="B52" s="45"/>
      <c r="C52" s="55" t="s">
        <v>89</v>
      </c>
      <c r="D52" s="76">
        <v>9340</v>
      </c>
      <c r="E52" s="76">
        <v>10430</v>
      </c>
      <c r="F52" s="76">
        <v>9130</v>
      </c>
      <c r="G52" s="76">
        <v>9130</v>
      </c>
      <c r="H52" s="32">
        <f t="shared" si="13"/>
        <v>38030</v>
      </c>
      <c r="K52" s="75"/>
      <c r="N52" s="45"/>
      <c r="O52" s="55" t="s">
        <v>89</v>
      </c>
      <c r="P52" s="73"/>
      <c r="Q52" s="67">
        <v>11.815</v>
      </c>
      <c r="R52" s="72">
        <v>6.4</v>
      </c>
      <c r="S52" s="71">
        <v>9</v>
      </c>
      <c r="T52" s="68">
        <f t="shared" si="14"/>
        <v>27.215</v>
      </c>
      <c r="U52" s="9"/>
      <c r="V52" s="45"/>
      <c r="W52" s="55" t="s">
        <v>89</v>
      </c>
      <c r="X52" s="70">
        <f t="shared" si="15"/>
        <v>-9340</v>
      </c>
      <c r="Y52" s="70">
        <f t="shared" si="15"/>
        <v>-10418.184999999999</v>
      </c>
      <c r="Z52" s="70">
        <f t="shared" si="15"/>
        <v>-9123.6</v>
      </c>
      <c r="AA52" s="69">
        <f t="shared" si="15"/>
        <v>-9121</v>
      </c>
      <c r="AB52" s="68">
        <f t="shared" si="15"/>
        <v>-38002.785000000003</v>
      </c>
      <c r="AD52" s="67"/>
      <c r="AE52" s="67">
        <f>+H52</f>
        <v>38030</v>
      </c>
      <c r="AF52" s="20">
        <f t="shared" si="16"/>
        <v>-38030</v>
      </c>
    </row>
    <row r="53" spans="2:32" s="7" customFormat="1" ht="19.5" customHeight="1" outlineLevel="1">
      <c r="B53" s="45"/>
      <c r="C53" s="62" t="s">
        <v>18</v>
      </c>
      <c r="D53" s="60"/>
      <c r="E53" s="65"/>
      <c r="F53" s="65"/>
      <c r="G53" s="65"/>
      <c r="H53" s="66">
        <f t="shared" si="13"/>
        <v>0</v>
      </c>
      <c r="K53" s="65"/>
      <c r="N53" s="45"/>
      <c r="O53" s="62" t="s">
        <v>55</v>
      </c>
      <c r="P53" s="64"/>
      <c r="Q53" s="60">
        <v>0</v>
      </c>
      <c r="R53" s="63"/>
      <c r="S53" s="63"/>
      <c r="T53" s="60">
        <f t="shared" si="14"/>
        <v>0</v>
      </c>
      <c r="U53" s="9"/>
      <c r="V53" s="45"/>
      <c r="W53" s="62" t="s">
        <v>55</v>
      </c>
      <c r="X53" s="60">
        <f t="shared" si="15"/>
        <v>0</v>
      </c>
      <c r="Y53" s="60">
        <f t="shared" si="15"/>
        <v>0</v>
      </c>
      <c r="Z53" s="60">
        <f t="shared" si="15"/>
        <v>0</v>
      </c>
      <c r="AA53" s="61">
        <f t="shared" si="15"/>
        <v>0</v>
      </c>
      <c r="AB53" s="60">
        <f t="shared" si="15"/>
        <v>0</v>
      </c>
      <c r="AD53" s="60"/>
      <c r="AE53" s="60">
        <f>+Q53</f>
        <v>0</v>
      </c>
      <c r="AF53" s="60">
        <f t="shared" si="16"/>
        <v>0</v>
      </c>
    </row>
    <row r="54" spans="2:32" s="7" customFormat="1" ht="19.5" customHeight="1" outlineLevel="1">
      <c r="B54" s="55" t="s">
        <v>90</v>
      </c>
      <c r="C54" s="178" t="s">
        <v>91</v>
      </c>
      <c r="D54" s="178">
        <v>2.02</v>
      </c>
      <c r="E54" s="178">
        <v>2.02</v>
      </c>
      <c r="F54" s="178">
        <v>2.02</v>
      </c>
      <c r="G54" s="178">
        <v>2.02</v>
      </c>
      <c r="H54" s="243">
        <f t="shared" si="13"/>
        <v>8.08</v>
      </c>
      <c r="K54" s="59">
        <f>H54</f>
        <v>8.08</v>
      </c>
      <c r="N54" s="55" t="s">
        <v>90</v>
      </c>
      <c r="O54" s="54" t="s">
        <v>91</v>
      </c>
      <c r="P54" s="58"/>
      <c r="Q54" s="54">
        <v>7</v>
      </c>
      <c r="R54" s="57"/>
      <c r="S54" s="56"/>
      <c r="T54" s="52">
        <f t="shared" si="14"/>
        <v>7</v>
      </c>
      <c r="U54" s="9"/>
      <c r="V54" s="55" t="s">
        <v>90</v>
      </c>
      <c r="W54" s="54" t="s">
        <v>91</v>
      </c>
      <c r="X54" s="54">
        <f t="shared" si="15"/>
        <v>-2.02</v>
      </c>
      <c r="Y54" s="54">
        <f t="shared" si="15"/>
        <v>4.9800000000000004</v>
      </c>
      <c r="Z54" s="54">
        <f t="shared" si="15"/>
        <v>-2.02</v>
      </c>
      <c r="AA54" s="53">
        <f t="shared" si="15"/>
        <v>-2.02</v>
      </c>
      <c r="AB54" s="52">
        <f t="shared" si="15"/>
        <v>-1.08</v>
      </c>
      <c r="AD54" s="52"/>
      <c r="AE54" s="52">
        <f>+H54</f>
        <v>8.08</v>
      </c>
      <c r="AF54" s="52">
        <f t="shared" si="16"/>
        <v>-8.08</v>
      </c>
    </row>
    <row r="55" spans="2:32" s="7" customFormat="1" ht="17">
      <c r="B55" s="29" t="s">
        <v>92</v>
      </c>
      <c r="C55" s="29"/>
      <c r="D55" s="29">
        <f>SUM(D49:D54)</f>
        <v>93678.45</v>
      </c>
      <c r="E55" s="29">
        <f>SUM(E49:E54)</f>
        <v>91268.45</v>
      </c>
      <c r="F55" s="29">
        <f>SUM(F49:F54)</f>
        <v>90568.45</v>
      </c>
      <c r="G55" s="29">
        <f>SUM(G49:G54)</f>
        <v>91968.45</v>
      </c>
      <c r="H55" s="39">
        <f>SUM(H49:H54)</f>
        <v>367483.8</v>
      </c>
      <c r="I55" s="51"/>
      <c r="K55" s="28">
        <f>SUM(K49:K54)</f>
        <v>8.08</v>
      </c>
      <c r="N55" s="29" t="s">
        <v>92</v>
      </c>
      <c r="O55" s="29"/>
      <c r="P55" s="40">
        <f>SUM(P49:P54)</f>
        <v>0</v>
      </c>
      <c r="Q55" s="40">
        <f>SUM(Q49:Q54)</f>
        <v>71.298000000000002</v>
      </c>
      <c r="R55" s="35">
        <f>SUM(R49:R54)</f>
        <v>62.37</v>
      </c>
      <c r="S55" s="35">
        <f>SUM(S49:S54)</f>
        <v>55.9</v>
      </c>
      <c r="T55" s="29">
        <f>SUM(T49:T54)</f>
        <v>189.56800000000001</v>
      </c>
      <c r="U55" s="9"/>
      <c r="V55" s="29" t="s">
        <v>92</v>
      </c>
      <c r="W55" s="29"/>
      <c r="X55" s="29">
        <f>SUM(X49:X54)</f>
        <v>-93678.45</v>
      </c>
      <c r="Y55" s="29">
        <f>SUM(Y49:Y54)</f>
        <v>-91197.152000000002</v>
      </c>
      <c r="Z55" s="29">
        <f>SUM(Z49:Z54)</f>
        <v>-90506.08</v>
      </c>
      <c r="AA55" s="38">
        <f>SUM(AA49:AA54)</f>
        <v>-91912.55</v>
      </c>
      <c r="AB55" s="29"/>
      <c r="AD55" s="29">
        <f>SUM(AD49:AD54)</f>
        <v>474</v>
      </c>
      <c r="AE55" s="29">
        <f>SUM(AE49:AE54)</f>
        <v>367483.8</v>
      </c>
      <c r="AF55" s="29">
        <f>SUM(AF49:AF54)</f>
        <v>-367009.8</v>
      </c>
    </row>
    <row r="56" spans="2:32" s="7" customFormat="1" ht="17">
      <c r="B56" s="29" t="s">
        <v>93</v>
      </c>
      <c r="C56" s="29"/>
      <c r="D56" s="29">
        <f>D20-D27-D33-D39-D46-D55</f>
        <v>151126.14999999997</v>
      </c>
      <c r="E56" s="29">
        <f>E20-E27-E33-E39-E46-E55</f>
        <v>1027085.7400000002</v>
      </c>
      <c r="F56" s="29">
        <f>F20-F27-F33-F39-F46-F55</f>
        <v>1165585.6000000003</v>
      </c>
      <c r="G56" s="29">
        <f>G20-G27-G33-G39-G46-G55</f>
        <v>2170606.9</v>
      </c>
      <c r="H56" s="39">
        <f>SUM(D56:G56)</f>
        <v>4514404.3900000006</v>
      </c>
      <c r="J56" s="50"/>
      <c r="K56" s="28">
        <f>K20-K27-K33-K39-K46-K55</f>
        <v>-8.08</v>
      </c>
      <c r="L56" s="49"/>
      <c r="N56" s="29" t="s">
        <v>93</v>
      </c>
      <c r="O56" s="29"/>
      <c r="P56" s="40">
        <f>P20-P27-P33-P39-P46-P55</f>
        <v>0</v>
      </c>
      <c r="Q56" s="40">
        <f>Q20-Q27-Q33-Q39-Q46-Q55</f>
        <v>1706.9379999999999</v>
      </c>
      <c r="R56" s="35">
        <f>R20-R27-R33-R39-R46-R55</f>
        <v>1131.8000000000002</v>
      </c>
      <c r="S56" s="35">
        <f>S20-S27-S33-S39-S46-S55</f>
        <v>1430.7464</v>
      </c>
      <c r="T56" s="29">
        <f>SUM(P56:S56)</f>
        <v>4269.4844000000003</v>
      </c>
      <c r="U56" s="9"/>
      <c r="V56" s="29" t="s">
        <v>93</v>
      </c>
      <c r="W56" s="29"/>
      <c r="X56" s="29" t="e">
        <f>X20-X27-X33-X39-X46-X55</f>
        <v>#REF!</v>
      </c>
      <c r="Y56" s="29" t="e">
        <f>Y20-Y27-Y33-Y39-Y46-Y55</f>
        <v>#REF!</v>
      </c>
      <c r="Z56" s="29" t="e">
        <f>Z20-Z27-Z33-Z39-Z46-Z55</f>
        <v>#REF!</v>
      </c>
      <c r="AA56" s="38" t="e">
        <f>AA20-AA27-AA33-AA39-AA46-AA55</f>
        <v>#REF!</v>
      </c>
      <c r="AB56" s="29"/>
      <c r="AD56" s="29">
        <f>AD20-AD27-AD33-AD39-AD46-AD55</f>
        <v>2314</v>
      </c>
      <c r="AE56" s="29">
        <f>AE20-AE27-AE33-AE39-AE46-AE55</f>
        <v>4514404.3899999997</v>
      </c>
      <c r="AF56" s="29">
        <f>AF20-AF27-AF33-AF39-AF46-AF55</f>
        <v>-4512090.3899999997</v>
      </c>
    </row>
    <row r="57" spans="2:32" s="7" customFormat="1" ht="17">
      <c r="B57" s="29" t="s">
        <v>94</v>
      </c>
      <c r="C57" s="29"/>
      <c r="D57" s="33">
        <f>D56/D12</f>
        <v>0.22665085754283509</v>
      </c>
      <c r="E57" s="33">
        <f>E56/E12</f>
        <v>0.65973996249456968</v>
      </c>
      <c r="F57" s="33">
        <f>F56/F12</f>
        <v>0.6978164123155487</v>
      </c>
      <c r="G57" s="33">
        <f>G56/G12</f>
        <v>0.79657250319801409</v>
      </c>
      <c r="H57" s="33">
        <f>H56/H12</f>
        <v>0.68205274318524323</v>
      </c>
      <c r="K57" s="37" t="e">
        <f>K56/K12</f>
        <v>#DIV/0!</v>
      </c>
      <c r="N57" s="29" t="s">
        <v>94</v>
      </c>
      <c r="O57" s="29"/>
      <c r="P57" s="33" t="e">
        <f>P56/P12</f>
        <v>#DIV/0!</v>
      </c>
      <c r="Q57" s="33">
        <f>Q56/Q12</f>
        <v>0.4381518611991268</v>
      </c>
      <c r="R57" s="36">
        <f>R56/R12</f>
        <v>-28.35170340681368</v>
      </c>
      <c r="S57" s="35">
        <f>S56/S12</f>
        <v>0.74108180584243899</v>
      </c>
      <c r="T57" s="34">
        <f>T56/T12</f>
        <v>0.73783962026803063</v>
      </c>
      <c r="U57" s="9"/>
      <c r="V57" s="29" t="s">
        <v>94</v>
      </c>
      <c r="W57" s="29"/>
      <c r="X57" s="33" t="e">
        <f>X56/X12</f>
        <v>#REF!</v>
      </c>
      <c r="Y57" s="33" t="e">
        <f>Y56/Y12</f>
        <v>#REF!</v>
      </c>
      <c r="Z57" s="33" t="e">
        <f>Z56/Z12</f>
        <v>#REF!</v>
      </c>
      <c r="AA57" s="34" t="e">
        <f>AA56/AA12</f>
        <v>#REF!</v>
      </c>
      <c r="AB57" s="34"/>
      <c r="AD57" s="33">
        <f>AD56/AD12</f>
        <v>0.390285039635689</v>
      </c>
      <c r="AE57" s="33">
        <f>AE56/AE12</f>
        <v>0.682052743185243</v>
      </c>
      <c r="AF57" s="33">
        <f>AF56/AF12</f>
        <v>0.68231433573584221</v>
      </c>
    </row>
    <row r="58" spans="2:32" s="7" customFormat="1" ht="19.5" customHeight="1" outlineLevel="1">
      <c r="B58" s="45" t="s">
        <v>95</v>
      </c>
      <c r="C58" s="244" t="s">
        <v>103</v>
      </c>
      <c r="D58" s="244">
        <v>40.57</v>
      </c>
      <c r="E58" s="244">
        <v>40.57</v>
      </c>
      <c r="F58" s="244">
        <v>40.57</v>
      </c>
      <c r="G58" s="244">
        <v>40.57</v>
      </c>
      <c r="H58" s="243">
        <f>SUM(D58:G58)</f>
        <v>162.28</v>
      </c>
      <c r="K58" s="44">
        <f>H58</f>
        <v>162.28</v>
      </c>
      <c r="N58" s="45" t="s">
        <v>95</v>
      </c>
      <c r="O58" s="44" t="s">
        <v>29</v>
      </c>
      <c r="P58" s="48"/>
      <c r="Q58" s="44">
        <v>43.825000000000003</v>
      </c>
      <c r="R58" s="47"/>
      <c r="S58" s="46"/>
      <c r="T58" s="42">
        <f>SUM(P58:S58)</f>
        <v>43.825000000000003</v>
      </c>
      <c r="U58" s="9"/>
      <c r="V58" s="45" t="s">
        <v>95</v>
      </c>
      <c r="W58" s="44" t="str">
        <f>O58</f>
        <v xml:space="preserve">G&amp;A Management fee </v>
      </c>
      <c r="X58" s="44">
        <f>P58-D58</f>
        <v>-40.57</v>
      </c>
      <c r="Y58" s="44">
        <f>Q58-E58</f>
        <v>3.2550000000000026</v>
      </c>
      <c r="Z58" s="44">
        <f>R58-F58</f>
        <v>-40.57</v>
      </c>
      <c r="AA58" s="43">
        <f>S58-G58</f>
        <v>-40.57</v>
      </c>
      <c r="AB58" s="42">
        <f>T58-H58</f>
        <v>-118.455</v>
      </c>
      <c r="AD58" s="41">
        <v>116</v>
      </c>
      <c r="AE58" s="41">
        <f>+H58</f>
        <v>162.28</v>
      </c>
      <c r="AF58" s="20">
        <f>+AD58-AE58</f>
        <v>-46.28</v>
      </c>
    </row>
    <row r="59" spans="2:32" s="7" customFormat="1" ht="17">
      <c r="B59" s="29" t="s">
        <v>96</v>
      </c>
      <c r="C59" s="29"/>
      <c r="D59" s="40">
        <f>+D56-D58</f>
        <v>151085.57999999996</v>
      </c>
      <c r="E59" s="39">
        <f>+E56-E58</f>
        <v>1027045.1700000003</v>
      </c>
      <c r="F59" s="29">
        <f>+F56-F58</f>
        <v>1165545.0300000003</v>
      </c>
      <c r="G59" s="38">
        <f>+G56-G58</f>
        <v>2170566.33</v>
      </c>
      <c r="H59" s="29">
        <f>+H56-H58</f>
        <v>4514242.1100000003</v>
      </c>
      <c r="K59" s="28">
        <f>+K56-K58</f>
        <v>-170.36</v>
      </c>
      <c r="N59" s="29" t="s">
        <v>96</v>
      </c>
      <c r="O59" s="29"/>
      <c r="P59" s="39">
        <f>+P56-P58</f>
        <v>0</v>
      </c>
      <c r="Q59" s="39">
        <f>+Q56-Q58</f>
        <v>1663.1129999999998</v>
      </c>
      <c r="R59" s="35">
        <f>+R56-R58</f>
        <v>1131.8000000000002</v>
      </c>
      <c r="S59" s="35">
        <f>+S56-S58</f>
        <v>1430.7464</v>
      </c>
      <c r="T59" s="29">
        <f>+T56-T58</f>
        <v>4225.6594000000005</v>
      </c>
      <c r="V59" s="29" t="s">
        <v>96</v>
      </c>
      <c r="W59" s="29"/>
      <c r="X59" s="29" t="e">
        <f>+X56-X58</f>
        <v>#REF!</v>
      </c>
      <c r="Y59" s="29" t="e">
        <f>+Y56-Y58</f>
        <v>#REF!</v>
      </c>
      <c r="Z59" s="29" t="e">
        <f>+Z56-Z58</f>
        <v>#REF!</v>
      </c>
      <c r="AA59" s="38" t="e">
        <f>+AA56-AA58</f>
        <v>#REF!</v>
      </c>
      <c r="AB59" s="29"/>
      <c r="AD59" s="29">
        <f>+AD56-AD58</f>
        <v>2198</v>
      </c>
      <c r="AE59" s="29">
        <f>+AE56-AE58</f>
        <v>4514242.1099999994</v>
      </c>
      <c r="AF59" s="29">
        <f>+AF56-AF58</f>
        <v>-4512044.1099999994</v>
      </c>
    </row>
    <row r="60" spans="2:32" s="7" customFormat="1" ht="17">
      <c r="B60" s="29" t="s">
        <v>97</v>
      </c>
      <c r="C60" s="29"/>
      <c r="D60" s="33">
        <f>D59/D12</f>
        <v>0.22659001284262592</v>
      </c>
      <c r="E60" s="33">
        <f>E59/E12</f>
        <v>0.65971390269329311</v>
      </c>
      <c r="F60" s="33">
        <f>F59/F12</f>
        <v>0.69779212374176425</v>
      </c>
      <c r="G60" s="33">
        <f>G59/G12</f>
        <v>0.79655761475992126</v>
      </c>
      <c r="H60" s="33">
        <f>H59/H12</f>
        <v>0.68202822532871055</v>
      </c>
      <c r="K60" s="37" t="e">
        <f>K59/K12</f>
        <v>#DIV/0!</v>
      </c>
      <c r="N60" s="29" t="s">
        <v>97</v>
      </c>
      <c r="O60" s="29"/>
      <c r="P60" s="33" t="e">
        <f>P59/P12</f>
        <v>#DIV/0!</v>
      </c>
      <c r="Q60" s="33">
        <f>Q59/Q12</f>
        <v>0.42690247468535081</v>
      </c>
      <c r="R60" s="36">
        <f>R59/R12</f>
        <v>-28.35170340681368</v>
      </c>
      <c r="S60" s="35">
        <f>S59/S12</f>
        <v>0.74108180584243899</v>
      </c>
      <c r="T60" s="34">
        <f>T59/T12</f>
        <v>0.73026591386023898</v>
      </c>
      <c r="V60" s="29" t="s">
        <v>97</v>
      </c>
      <c r="W60" s="29"/>
      <c r="X60" s="33" t="e">
        <f>X59/X12</f>
        <v>#REF!</v>
      </c>
      <c r="Y60" s="33" t="e">
        <f>Y59/Y12</f>
        <v>#REF!</v>
      </c>
      <c r="Z60" s="33" t="e">
        <f>Z59/Z12</f>
        <v>#REF!</v>
      </c>
      <c r="AA60" s="34" t="e">
        <f>AA59/AA12</f>
        <v>#REF!</v>
      </c>
      <c r="AB60" s="34"/>
      <c r="AD60" s="33">
        <f>AD59/AD12</f>
        <v>0.37072018890200709</v>
      </c>
      <c r="AE60" s="33">
        <f>AE59/AE12</f>
        <v>0.68202822532871044</v>
      </c>
      <c r="AF60" s="33">
        <f>AF59/AF12</f>
        <v>0.68230733731499316</v>
      </c>
    </row>
    <row r="61" spans="2:32" s="7" customFormat="1" ht="19.5" customHeight="1" outlineLevel="1">
      <c r="B61" s="31" t="s">
        <v>98</v>
      </c>
      <c r="C61" s="30" t="s">
        <v>31</v>
      </c>
      <c r="D61" s="21"/>
      <c r="E61" s="21"/>
      <c r="F61" s="21"/>
      <c r="G61" s="21"/>
      <c r="H61" s="32">
        <f>SUM(D61:G61)</f>
        <v>0</v>
      </c>
      <c r="K61" s="21">
        <f>H61</f>
        <v>0</v>
      </c>
      <c r="N61" s="31"/>
      <c r="O61" s="30"/>
      <c r="P61" s="27"/>
      <c r="Q61" s="27"/>
      <c r="R61" s="26"/>
      <c r="S61" s="26"/>
      <c r="T61" s="22"/>
      <c r="V61" s="31" t="s">
        <v>99</v>
      </c>
      <c r="W61" s="30"/>
      <c r="X61" s="21">
        <f t="shared" ref="X61:AB64" si="17">P61-D61</f>
        <v>0</v>
      </c>
      <c r="Y61" s="21">
        <f t="shared" si="17"/>
        <v>0</v>
      </c>
      <c r="Z61" s="21">
        <f t="shared" si="17"/>
        <v>0</v>
      </c>
      <c r="AA61" s="23">
        <f t="shared" si="17"/>
        <v>0</v>
      </c>
      <c r="AB61" s="22">
        <f t="shared" si="17"/>
        <v>0</v>
      </c>
      <c r="AD61" s="21"/>
      <c r="AE61" s="20">
        <f>+Q61</f>
        <v>0</v>
      </c>
      <c r="AF61" s="20">
        <f>+AD61-AE61</f>
        <v>0</v>
      </c>
    </row>
    <row r="62" spans="2:32" s="7" customFormat="1" ht="19.5" customHeight="1" outlineLevel="1">
      <c r="B62" s="29" t="s">
        <v>100</v>
      </c>
      <c r="C62" s="29"/>
      <c r="D62" s="29">
        <f>D59-D61</f>
        <v>151085.57999999996</v>
      </c>
      <c r="E62" s="29">
        <f>E59-E61</f>
        <v>1027045.1700000003</v>
      </c>
      <c r="F62" s="29">
        <f>F59-F61</f>
        <v>1165545.0300000003</v>
      </c>
      <c r="G62" s="29">
        <f>G59-G61</f>
        <v>2170566.33</v>
      </c>
      <c r="H62" s="29">
        <f>SUM(D62:G62)</f>
        <v>4514242.1100000003</v>
      </c>
      <c r="K62" s="28">
        <f>K59-K61</f>
        <v>-170.36</v>
      </c>
      <c r="N62" s="25"/>
      <c r="O62" s="24"/>
      <c r="P62" s="27"/>
      <c r="Q62" s="27"/>
      <c r="R62" s="26"/>
      <c r="S62" s="26"/>
      <c r="T62" s="22"/>
      <c r="U62" s="9"/>
      <c r="V62" s="25"/>
      <c r="W62" s="24"/>
      <c r="X62" s="21">
        <f t="shared" si="17"/>
        <v>-151085.57999999996</v>
      </c>
      <c r="Y62" s="21">
        <f t="shared" si="17"/>
        <v>-1027045.1700000003</v>
      </c>
      <c r="Z62" s="21">
        <f t="shared" si="17"/>
        <v>-1165545.0300000003</v>
      </c>
      <c r="AA62" s="23">
        <f t="shared" si="17"/>
        <v>-2170566.33</v>
      </c>
      <c r="AB62" s="22">
        <f t="shared" si="17"/>
        <v>-4514242.1100000003</v>
      </c>
      <c r="AD62" s="21"/>
      <c r="AE62" s="20">
        <f>+Q62</f>
        <v>0</v>
      </c>
      <c r="AF62" s="20">
        <f>+AD62-AE62</f>
        <v>0</v>
      </c>
    </row>
    <row r="63" spans="2:32" s="7" customFormat="1" ht="19.5" customHeight="1" outlineLevel="1">
      <c r="B63" s="13"/>
      <c r="C63" s="13"/>
      <c r="D63" s="13"/>
      <c r="E63" s="13"/>
      <c r="F63" s="13"/>
      <c r="G63" s="13"/>
      <c r="H63" s="19"/>
      <c r="K63" s="18"/>
      <c r="N63" s="13"/>
      <c r="O63" s="13" t="s">
        <v>101</v>
      </c>
      <c r="P63" s="17">
        <f>P18+P26+P32+P38+P45+P53</f>
        <v>0</v>
      </c>
      <c r="Q63" s="17">
        <f>Q18+Q26+Q32+Q38+Q45+Q53</f>
        <v>0</v>
      </c>
      <c r="R63" s="16">
        <f>R18+R26+R32+R38+R45+R53</f>
        <v>0</v>
      </c>
      <c r="S63" s="16">
        <f>S18+S26+S32+S38+S45+S53</f>
        <v>0</v>
      </c>
      <c r="T63" s="14">
        <f>SUM(P63:S63)</f>
        <v>0</v>
      </c>
      <c r="V63" s="13"/>
      <c r="W63" s="13"/>
      <c r="X63" s="13">
        <f t="shared" si="17"/>
        <v>0</v>
      </c>
      <c r="Y63" s="13">
        <f t="shared" si="17"/>
        <v>0</v>
      </c>
      <c r="Z63" s="13">
        <f t="shared" si="17"/>
        <v>0</v>
      </c>
      <c r="AA63" s="15">
        <f t="shared" si="17"/>
        <v>0</v>
      </c>
      <c r="AB63" s="14">
        <f t="shared" si="17"/>
        <v>0</v>
      </c>
      <c r="AD63" s="13">
        <f>AD18+AD26+AD32+AD38+AD45+AD53</f>
        <v>0</v>
      </c>
      <c r="AE63" s="13">
        <f>AE18+AE26+AE32+AE38+AE45+AE53</f>
        <v>0</v>
      </c>
      <c r="AF63" s="13">
        <f>AF18+AF26+AF32+AF38+AF45+AF53</f>
        <v>0</v>
      </c>
    </row>
    <row r="64" spans="2:32" s="7" customFormat="1" ht="17">
      <c r="B64" s="13"/>
      <c r="C64" s="13"/>
      <c r="D64" s="13"/>
      <c r="E64" s="13"/>
      <c r="F64" s="13"/>
      <c r="G64" s="13"/>
      <c r="H64" s="19"/>
      <c r="K64" s="18"/>
      <c r="N64" s="13"/>
      <c r="O64" s="13" t="s">
        <v>102</v>
      </c>
      <c r="P64" s="17">
        <f>+P59+SUM(P61:P63)</f>
        <v>0</v>
      </c>
      <c r="Q64" s="17">
        <f>+Q59+SUM(Q61:Q63)</f>
        <v>1663.1129999999998</v>
      </c>
      <c r="R64" s="16">
        <f>+R59+SUM(R61:R63)</f>
        <v>1131.8000000000002</v>
      </c>
      <c r="S64" s="16">
        <f>+S59+SUM(S61:S63)</f>
        <v>1430.7464</v>
      </c>
      <c r="T64" s="14">
        <f>SUM(P64:S64)</f>
        <v>4225.6594000000005</v>
      </c>
      <c r="V64" s="13" t="s">
        <v>100</v>
      </c>
      <c r="W64" s="13"/>
      <c r="X64" s="13">
        <f t="shared" si="17"/>
        <v>0</v>
      </c>
      <c r="Y64" s="13">
        <f t="shared" si="17"/>
        <v>1663.1129999999998</v>
      </c>
      <c r="Z64" s="13">
        <f t="shared" si="17"/>
        <v>1131.8000000000002</v>
      </c>
      <c r="AA64" s="15">
        <f t="shared" si="17"/>
        <v>1430.7464</v>
      </c>
      <c r="AB64" s="14">
        <f t="shared" si="17"/>
        <v>4225.6594000000005</v>
      </c>
      <c r="AD64" s="13">
        <f>+AD59+SUM(AD61:AD63)</f>
        <v>2198</v>
      </c>
      <c r="AE64" s="13">
        <f>+AE59+SUM(AE61:AE63)</f>
        <v>4514242.1099999994</v>
      </c>
      <c r="AF64" s="13">
        <f>+AF59+SUM(AF61:AF63)</f>
        <v>-4512044.1099999994</v>
      </c>
    </row>
    <row r="65" spans="8:25" s="7" customFormat="1">
      <c r="H65" s="12"/>
      <c r="K65" s="12"/>
      <c r="P65" s="5"/>
      <c r="Q65" s="11"/>
      <c r="R65" s="10"/>
      <c r="S65" s="10"/>
      <c r="U65" s="9"/>
      <c r="Y65" s="8"/>
    </row>
  </sheetData>
  <protectedRanges>
    <protectedRange algorithmName="SHA-512" hashValue="LaxkzZdPUH9ZV0XTkGkLll8/MHGFZ6Vg6KYYmioR/qaSwHIPxTS7DWvTdstOoyOoSqeIeTLAWKMB2i1zUhh3bw==" saltValue="WXgyITxSk9BeD5WPbAxVlw==" spinCount="100000" sqref="B1:I1 K1 C2" name="Range1_1_1"/>
    <protectedRange algorithmName="SHA-512" hashValue="LaxkzZdPUH9ZV0XTkGkLll8/MHGFZ6Vg6KYYmioR/qaSwHIPxTS7DWvTdstOoyOoSqeIeTLAWKMB2i1zUhh3bw==" saltValue="WXgyITxSk9BeD5WPbAxVlw==" spinCount="100000" sqref="B4:I4 K4 N4:O4 R4:T4" name="Range1_2_1"/>
    <protectedRange algorithmName="SHA-512" hashValue="LaxkzZdPUH9ZV0XTkGkLll8/MHGFZ6Vg6KYYmioR/qaSwHIPxTS7DWvTdstOoyOoSqeIeTLAWKMB2i1zUhh3bw==" saltValue="WXgyITxSk9BeD5WPbAxVlw==" spinCount="100000" sqref="P4:Q4" name="Range1_2_1_1_1_1"/>
    <protectedRange algorithmName="SHA-512" hashValue="LaxkzZdPUH9ZV0XTkGkLll8/MHGFZ6Vg6KYYmioR/qaSwHIPxTS7DWvTdstOoyOoSqeIeTLAWKMB2i1zUhh3bw==" saltValue="WXgyITxSk9BeD5WPbAxVlw==" spinCount="100000" sqref="AD4:AF4" name="Range1_2_1_1_1_1_1_1"/>
  </protectedRanges>
  <mergeCells count="1">
    <mergeCell ref="AD1:AF1"/>
  </mergeCells>
  <pageMargins left="0.7" right="0.7" top="0.75" bottom="0.75" header="0.3" footer="0.3"/>
  <pageSetup paperSize="9" orientation="portrait" r:id="rId1"/>
  <customProperties>
    <customPr name="_pios_id" r:id="rId2"/>
  </customProperties>
  <ignoredErrors>
    <ignoredError sqref="H5:H11 H24:H32 H56 H49:H54 D46:G48 H39:H45 D39:G39 D33:G33 H34:H38 D29:G29 D19:G21 H13:H23" unlockedFormula="1"/>
    <ignoredError sqref="D56:G56 D57:H57 D55:H55 D59:H60 H58 H46:H48 H33 H61 D62:H62" formula="1" unlockedFormula="1"/>
    <ignoredError sqref="D58:G58 D63:H63 D61:G61" formula="1"/>
    <ignoredError sqref="D12:G12" formulaRange="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786F4756F27B4BA3C9F48B36A61AD0" ma:contentTypeVersion="3" ma:contentTypeDescription="Creare un nuovo documento." ma:contentTypeScope="" ma:versionID="ee7f6efea7688d9b33b7eda09a216077">
  <xsd:schema xmlns:xsd="http://www.w3.org/2001/XMLSchema" xmlns:xs="http://www.w3.org/2001/XMLSchema" xmlns:p="http://schemas.microsoft.com/office/2006/metadata/properties" xmlns:ns2="b7f635ae-ff29-425c-b258-fd93a0982ca8" targetNamespace="http://schemas.microsoft.com/office/2006/metadata/properties" ma:root="true" ma:fieldsID="7e68555da932ca1901a2d71814bf7a6c" ns2:_="">
    <xsd:import namespace="b7f635ae-ff29-425c-b258-fd93a0982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635ae-ff29-425c-b258-fd93a0982c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8E361B-EEF9-4CA5-9405-8F30D5D32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635ae-ff29-425c-b258-fd93a0982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E4DEC6-B7AF-4C86-9036-942332297C6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b7f635ae-ff29-425c-b258-fd93a0982ca8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55B1BA7-0C3D-4252-8C6D-CAAB5D9C5D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Summry</vt:lpstr>
      <vt:lpstr>IT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Ciciliani</dc:creator>
  <cp:keywords/>
  <dc:description/>
  <cp:lastModifiedBy>Raffaele  Amoroso</cp:lastModifiedBy>
  <cp:revision/>
  <dcterms:created xsi:type="dcterms:W3CDTF">2025-10-06T15:49:56Z</dcterms:created>
  <dcterms:modified xsi:type="dcterms:W3CDTF">2025-10-24T18:03:45Z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0x010100D1786F4756F27B4BA3C9F48B36A61AD0</vt:lpwstr>
  </property>
</Properties>
</file>