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Ladder - Round by Round" sheetId="2" r:id="rId5"/>
    <sheet state="visible" name="Ladder - Overall" sheetId="3" r:id="rId6"/>
    <sheet state="visible" name="Current Round" sheetId="4" r:id="rId7"/>
    <sheet state="visible" name="Data Feed" sheetId="5" r:id="rId8"/>
    <sheet state="visible" name="Round 23" sheetId="6" r:id="rId9"/>
    <sheet state="visible" name="Round 22" sheetId="7" r:id="rId10"/>
    <sheet state="visible" name="Round 21" sheetId="8" r:id="rId11"/>
    <sheet state="visible" name="Round 20" sheetId="9" r:id="rId12"/>
    <sheet state="visible" name="Round 19" sheetId="10" r:id="rId13"/>
    <sheet state="visible" name="Round 18" sheetId="11" r:id="rId14"/>
    <sheet state="visible" name="Round 17" sheetId="12" r:id="rId15"/>
    <sheet state="visible" name="Round 16" sheetId="13" r:id="rId16"/>
    <sheet state="visible" name="Round 15" sheetId="14" r:id="rId17"/>
    <sheet state="visible" name="Round 14" sheetId="15" r:id="rId18"/>
    <sheet state="visible" name="Round 13" sheetId="16" r:id="rId19"/>
    <sheet state="visible" name="Round 12" sheetId="17" r:id="rId20"/>
    <sheet state="visible" name="Round 11" sheetId="18" r:id="rId21"/>
    <sheet state="visible" name="Round 10" sheetId="19" r:id="rId22"/>
    <sheet state="visible" name="Round 9" sheetId="20" r:id="rId23"/>
    <sheet state="visible" name="Round 8" sheetId="21" r:id="rId24"/>
    <sheet state="visible" name="Round 7" sheetId="22" r:id="rId25"/>
    <sheet state="visible" name="Round 6" sheetId="23" r:id="rId26"/>
    <sheet state="visible" name="Round 5" sheetId="24" r:id="rId27"/>
    <sheet state="visible" name="Round 4" sheetId="25" r:id="rId28"/>
    <sheet state="visible" name="Round 3" sheetId="26" r:id="rId29"/>
    <sheet state="visible" name="Round 2" sheetId="27" r:id="rId30"/>
    <sheet state="visible" name="Round 1" sheetId="28" r:id="rId31"/>
    <sheet state="hidden" name="Mail - Does Not Work" sheetId="29" r:id="rId32"/>
    <sheet state="visible" name="Round 0" sheetId="30" r:id="rId33"/>
    <sheet state="visible" name="Teams" sheetId="31" r:id="rId34"/>
  </sheets>
  <definedNames/>
  <calcPr/>
</workbook>
</file>

<file path=xl/sharedStrings.xml><?xml version="1.0" encoding="utf-8"?>
<sst xmlns="http://schemas.openxmlformats.org/spreadsheetml/2006/main" count="7773" uniqueCount="200">
  <si>
    <t>Bye</t>
  </si>
  <si>
    <t>Date</t>
  </si>
  <si>
    <t>Day</t>
  </si>
  <si>
    <t>Local Time</t>
  </si>
  <si>
    <t>Home Team</t>
  </si>
  <si>
    <t>Away Team</t>
  </si>
  <si>
    <t>Venue</t>
  </si>
  <si>
    <t>Winner</t>
  </si>
  <si>
    <t>Score</t>
  </si>
  <si>
    <t>Total</t>
  </si>
  <si>
    <t>Pop</t>
  </si>
  <si>
    <t>(Hawks)</t>
  </si>
  <si>
    <t>Katie</t>
  </si>
  <si>
    <t>(Bombers)</t>
  </si>
  <si>
    <t>David</t>
  </si>
  <si>
    <t>(Demons)</t>
  </si>
  <si>
    <t>Chris</t>
  </si>
  <si>
    <t>Jamie</t>
  </si>
  <si>
    <t>(Tigers)</t>
  </si>
  <si>
    <t>Zoe</t>
  </si>
  <si>
    <t>Emma</t>
  </si>
  <si>
    <t>Carlton</t>
  </si>
  <si>
    <t>Melbourne</t>
  </si>
  <si>
    <t>Gold Coast</t>
  </si>
  <si>
    <t>Adelaide</t>
  </si>
  <si>
    <t>Geelong</t>
  </si>
  <si>
    <t>Sydney</t>
  </si>
  <si>
    <t>Greater Western Sydney</t>
  </si>
  <si>
    <t>Fremantle</t>
  </si>
  <si>
    <t>Brisbane Lions</t>
  </si>
  <si>
    <t>Phil</t>
  </si>
  <si>
    <t>Essendon</t>
  </si>
  <si>
    <t>Collingwood</t>
  </si>
  <si>
    <t>Port Adelaide</t>
  </si>
  <si>
    <t>St Kilda</t>
  </si>
  <si>
    <t>Tracy</t>
  </si>
  <si>
    <t>Hawthorn</t>
  </si>
  <si>
    <t>Shannan</t>
  </si>
  <si>
    <t>Tom</t>
  </si>
  <si>
    <t>(Saints)</t>
  </si>
  <si>
    <t>Billy</t>
  </si>
  <si>
    <t>Jayne</t>
  </si>
  <si>
    <t>Ant</t>
  </si>
  <si>
    <t>Alex</t>
  </si>
  <si>
    <t>(Sydney)</t>
  </si>
  <si>
    <t>Ruby</t>
  </si>
  <si>
    <t>Ryan</t>
  </si>
  <si>
    <t>Richmond</t>
  </si>
  <si>
    <t>Mark</t>
  </si>
  <si>
    <t>(Eagles)</t>
  </si>
  <si>
    <t>Henry</t>
  </si>
  <si>
    <t>(Dogs)</t>
  </si>
  <si>
    <t>Paulie</t>
  </si>
  <si>
    <t>North Melbourne</t>
  </si>
  <si>
    <t>West Coast</t>
  </si>
  <si>
    <t>Western Bulldogs</t>
  </si>
  <si>
    <t>Jenni</t>
  </si>
  <si>
    <t>greater Western Sydney</t>
  </si>
  <si>
    <t>Charlee</t>
  </si>
  <si>
    <t>(Kangas)</t>
  </si>
  <si>
    <t>Anne</t>
  </si>
  <si>
    <t>Stephen</t>
  </si>
  <si>
    <t>Favourite</t>
  </si>
  <si>
    <t>(Mode)</t>
  </si>
  <si>
    <t>Round</t>
  </si>
  <si>
    <t>Ladder at the end of Round:</t>
  </si>
  <si>
    <t>Position</t>
  </si>
  <si>
    <t>Tipster</t>
  </si>
  <si>
    <t>Select Round:</t>
  </si>
  <si>
    <t>Round 5</t>
  </si>
  <si>
    <t>Game</t>
  </si>
  <si>
    <t>Home Club</t>
  </si>
  <si>
    <t>Away Club</t>
  </si>
  <si>
    <t>Home Score</t>
  </si>
  <si>
    <t>Away Score</t>
  </si>
  <si>
    <t>Live Winner</t>
  </si>
  <si>
    <t>Last Updated XML:</t>
  </si>
  <si>
    <t xml:space="preserve">URL : </t>
  </si>
  <si>
    <t xml:space="preserve">Rand() : </t>
  </si>
  <si>
    <t>CurrentRound():</t>
  </si>
  <si>
    <t>Actions:</t>
  </si>
  <si>
    <t>roundgame</t>
  </si>
  <si>
    <t>gameid</t>
  </si>
  <si>
    <t>id</t>
  </si>
  <si>
    <t>abehinds</t>
  </si>
  <si>
    <t>agoals</t>
  </si>
  <si>
    <t>ascore</t>
  </si>
  <si>
    <t>ateam</t>
  </si>
  <si>
    <t>ateamid</t>
  </si>
  <si>
    <t>complete</t>
  </si>
  <si>
    <t>date</t>
  </si>
  <si>
    <t>hbehinds</t>
  </si>
  <si>
    <t>hgoals</t>
  </si>
  <si>
    <t>hscore</t>
  </si>
  <si>
    <t>hteam</t>
  </si>
  <si>
    <t>hteamid</t>
  </si>
  <si>
    <t>is_final</t>
  </si>
  <si>
    <t>is_grand_final</t>
  </si>
  <si>
    <t>localtime</t>
  </si>
  <si>
    <t>round</t>
  </si>
  <si>
    <t>roundname</t>
  </si>
  <si>
    <t>timestr</t>
  </si>
  <si>
    <t>tz</t>
  </si>
  <si>
    <t>unixtime</t>
  </si>
  <si>
    <t>updated</t>
  </si>
  <si>
    <t>venue</t>
  </si>
  <si>
    <t>winner</t>
  </si>
  <si>
    <t>winnerteamid</t>
  </si>
  <si>
    <t>year</t>
  </si>
  <si>
    <t>Round 23</t>
  </si>
  <si>
    <t>Cooksey Plate - Round 23</t>
  </si>
  <si>
    <t>Friday</t>
  </si>
  <si>
    <t>Saturday</t>
  </si>
  <si>
    <t>Sunday</t>
  </si>
  <si>
    <t>Docklands</t>
  </si>
  <si>
    <t>Perth Stadium</t>
  </si>
  <si>
    <t>Carrara</t>
  </si>
  <si>
    <t>M.C.G.</t>
  </si>
  <si>
    <t>Adelaide Oval</t>
  </si>
  <si>
    <t>Bellerive Oval</t>
  </si>
  <si>
    <t>S.C.G.</t>
  </si>
  <si>
    <t>Brisbane lions</t>
  </si>
  <si>
    <t>gold coast</t>
  </si>
  <si>
    <t>Round 22</t>
  </si>
  <si>
    <t>Cooksey Plate - Round 22</t>
  </si>
  <si>
    <t>Thursday</t>
  </si>
  <si>
    <t>Kardinia Park</t>
  </si>
  <si>
    <t>Gabba</t>
  </si>
  <si>
    <t>Manuka Oval</t>
  </si>
  <si>
    <t>Round 21</t>
  </si>
  <si>
    <t>Cooksey Plate - Round 21</t>
  </si>
  <si>
    <t>Round 20</t>
  </si>
  <si>
    <t>Cooksey Plate - Round 20</t>
  </si>
  <si>
    <t>Sydney Showground</t>
  </si>
  <si>
    <t>Round 19</t>
  </si>
  <si>
    <t>Cooksey Plate - Round 19</t>
  </si>
  <si>
    <t>York Park</t>
  </si>
  <si>
    <t>Round 18</t>
  </si>
  <si>
    <t>Cooksey Plate - Round 18</t>
  </si>
  <si>
    <t>Draw</t>
  </si>
  <si>
    <t>Round 17</t>
  </si>
  <si>
    <t>Cooksey Plate - Round 17</t>
  </si>
  <si>
    <t>Round 16</t>
  </si>
  <si>
    <t>Cooksey Plate - Round 16</t>
  </si>
  <si>
    <t/>
  </si>
  <si>
    <t>Round 15</t>
  </si>
  <si>
    <t>Cooksey Plate - Round 15</t>
  </si>
  <si>
    <t>Round 14</t>
  </si>
  <si>
    <t>Cooksey Plate - Round 14</t>
  </si>
  <si>
    <t>Round 13</t>
  </si>
  <si>
    <t>Cooksey Plate - Round 13</t>
  </si>
  <si>
    <t>Monday</t>
  </si>
  <si>
    <t>Hands Oval</t>
  </si>
  <si>
    <t>West coast</t>
  </si>
  <si>
    <t>carlton</t>
  </si>
  <si>
    <t>Round 12</t>
  </si>
  <si>
    <t>Cooksey Plate - Round 12</t>
  </si>
  <si>
    <t>Traeger Park</t>
  </si>
  <si>
    <t>Round 11</t>
  </si>
  <si>
    <t>Cooksey Plate - Round 11</t>
  </si>
  <si>
    <t>Cartlon</t>
  </si>
  <si>
    <t>Round 10</t>
  </si>
  <si>
    <t>Cooksey Plate - Round 10</t>
  </si>
  <si>
    <t>Marrara Oval</t>
  </si>
  <si>
    <t>Round 9</t>
  </si>
  <si>
    <t>Cooksey Plate - Round 9</t>
  </si>
  <si>
    <t>Round 8</t>
  </si>
  <si>
    <t>Cooksey Plate - Round 8</t>
  </si>
  <si>
    <t>Eureka Stadium</t>
  </si>
  <si>
    <t>Round 7</t>
  </si>
  <si>
    <t>Cooksey Plate - Round 7</t>
  </si>
  <si>
    <t>Round 6</t>
  </si>
  <si>
    <t>Cooksey Plate - Round 6</t>
  </si>
  <si>
    <t>Cooksey Plate - Round 5</t>
  </si>
  <si>
    <t>Barossa Park</t>
  </si>
  <si>
    <t>Norwood Oval</t>
  </si>
  <si>
    <t>Round 4</t>
  </si>
  <si>
    <t>Cooksey Plate - Round 4</t>
  </si>
  <si>
    <t>greater western Sydney</t>
  </si>
  <si>
    <t>St kilda</t>
  </si>
  <si>
    <t>Round 3</t>
  </si>
  <si>
    <t>Cooksey Plate - Round 3</t>
  </si>
  <si>
    <t>Round 2</t>
  </si>
  <si>
    <t>Cooksey Plate - Round 2</t>
  </si>
  <si>
    <t>Timeslot</t>
  </si>
  <si>
    <t>Round 1</t>
  </si>
  <si>
    <t>Cooksey Plate - Round 1</t>
  </si>
  <si>
    <t>adelaide</t>
  </si>
  <si>
    <t>cookseyalex@gmail.com</t>
  </si>
  <si>
    <t>Round 0</t>
  </si>
  <si>
    <t>Cooksey Plate - Round 0</t>
  </si>
  <si>
    <t>name</t>
  </si>
  <si>
    <t>abbrev</t>
  </si>
  <si>
    <t>debut</t>
  </si>
  <si>
    <t>Live Games</t>
  </si>
  <si>
    <t>Round 24</t>
  </si>
  <si>
    <t>Finals Week 1</t>
  </si>
  <si>
    <t>Semi-Finals</t>
  </si>
  <si>
    <t>Preliminary Finals</t>
  </si>
  <si>
    <t>Grand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</si>
</sst>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&quot;:&quot;mm&quot; &quot;am/pm"/>
    <numFmt numFmtId="165" formatCode="MMMM dd, yyyy HH:mm : ss Z"/>
    <numFmt numFmtId="166" formatCode="yyyy-mm-dd hh:mm:ss"/>
    <numFmt numFmtId="167" formatCode="dd/mm/yyyy"/>
  </numFmts>
  <fonts count="53">
    <font>
      <sz val="10.0"/>
      <color rgb="FF000000"/>
      <name val="Arial"/>
      <scheme val="minor"/>
    </font>
    <font>
      <sz val="9.0"/>
      <color rgb="FFFFFFFF"/>
      <name val="Arial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color rgb="FFD8D8D8"/>
      <name val="Arial"/>
      <scheme val="minor"/>
    </font>
    <font/>
    <font>
      <b/>
      <sz val="13.0"/>
      <color theme="1"/>
      <name val="Proxima Nova"/>
    </font>
    <font>
      <b/>
      <sz val="10.0"/>
      <color theme="1"/>
      <name val="Lato"/>
    </font>
    <font>
      <sz val="10.0"/>
      <color theme="1"/>
      <name val="Lato"/>
    </font>
    <font>
      <sz val="10.0"/>
      <color rgb="FF000000"/>
      <name val="Lato"/>
    </font>
    <font>
      <color theme="1"/>
      <name val="Arial"/>
    </font>
    <font>
      <sz val="10.0"/>
      <color rgb="FFCC0000"/>
      <name val="Lato"/>
    </font>
    <font>
      <color rgb="FFCC0000"/>
      <name val="Lato"/>
    </font>
    <font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D9D9D9"/>
      <name val="Lato"/>
    </font>
    <font>
      <sz val="9.0"/>
      <color theme="1"/>
      <name val="Arial"/>
      <scheme val="minor"/>
    </font>
    <font>
      <b/>
      <sz val="10.0"/>
      <color rgb="FFFFFFFF"/>
      <name val="Lato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12.0"/>
      <color rgb="FFFFFFFF"/>
      <name val="Calibri"/>
    </font>
    <font>
      <b/>
      <sz val="11.0"/>
      <color theme="1"/>
      <name val="Calibri"/>
    </font>
    <font>
      <sz val="8.0"/>
      <color theme="1"/>
      <name val="Arial"/>
    </font>
    <font>
      <sz val="11.0"/>
      <color theme="1"/>
      <name val="Aptos Narrow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  <scheme val="minor"/>
    </font>
    <font>
      <b/>
      <sz val="13.0"/>
      <color theme="1"/>
      <name val="Calibri"/>
    </font>
    <font>
      <b/>
      <sz val="11.0"/>
      <color theme="1"/>
      <name val="Arial"/>
      <scheme val="minor"/>
    </font>
    <font>
      <sz val="9.0"/>
      <color theme="1"/>
      <name val="Lato"/>
    </font>
    <font>
      <sz val="9.0"/>
      <color rgb="FFFBD4B4"/>
      <name val="Lato"/>
    </font>
    <font>
      <b/>
      <sz val="17.0"/>
      <color theme="5"/>
      <name val="Lato"/>
    </font>
    <font>
      <b/>
      <sz val="11.0"/>
      <color rgb="FF974806"/>
      <name val="Lato"/>
    </font>
    <font>
      <sz val="10.0"/>
      <color rgb="FF76923C"/>
      <name val="Lato"/>
    </font>
    <font>
      <b/>
      <color rgb="FF974806"/>
      <name val="Lato"/>
    </font>
    <font>
      <u/>
      <sz val="11.0"/>
      <color rgb="FFE83E8C"/>
      <name val="Calibri"/>
    </font>
    <font>
      <color rgb="FF202124"/>
      <name val="&quot;Roboto Mono&quot;"/>
    </font>
    <font>
      <sz val="9.0"/>
      <color rgb="FF000000"/>
      <name val="&quot;Google Sans Mono&quot;"/>
    </font>
    <font>
      <color rgb="FF000000"/>
      <name val="Monospace"/>
    </font>
    <font>
      <color rgb="FF000000"/>
      <name val="Arial"/>
      <scheme val="minor"/>
    </font>
    <font>
      <color rgb="FF000000"/>
      <name val="Lato"/>
    </font>
    <font>
      <sz val="9.0"/>
      <color rgb="FFFFFFFF"/>
      <name val="Lato"/>
    </font>
    <font>
      <b/>
      <sz val="9.0"/>
      <color rgb="FFFFFFFF"/>
      <name val="Lato"/>
    </font>
    <font>
      <b/>
      <sz val="9.0"/>
      <color theme="1"/>
      <name val="Lato"/>
    </font>
    <font>
      <b/>
      <color rgb="FFD8D8D8"/>
      <name val="Lato"/>
    </font>
    <font>
      <b/>
      <color theme="1"/>
      <name val="Lato"/>
    </font>
    <font>
      <b/>
      <sz val="13.0"/>
      <color theme="1"/>
      <name val="Lato"/>
    </font>
    <font>
      <color theme="1"/>
      <name val="Lato"/>
    </font>
    <font>
      <sz val="11.0"/>
      <color theme="1"/>
      <name val="Lato"/>
    </font>
    <font>
      <b/>
      <sz val="10.0"/>
      <color rgb="FFCC0000"/>
      <name val="La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8D8D8"/>
        <bgColor rgb="FFD8D8D8"/>
      </patternFill>
    </fill>
    <fill>
      <patternFill patternType="solid">
        <fgColor rgb="FF346854"/>
        <bgColor rgb="FF346854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rgb="FFFFFFFE"/>
        <bgColor rgb="FFFFFFFE"/>
      </patternFill>
    </fill>
    <fill>
      <patternFill patternType="solid">
        <fgColor rgb="FFF6F6F6"/>
        <bgColor rgb="FFF6F6F6"/>
      </patternFill>
    </fill>
    <fill>
      <patternFill patternType="solid">
        <fgColor rgb="FFBFBFBF"/>
        <bgColor rgb="FFBFBFBF"/>
      </patternFill>
    </fill>
    <fill>
      <patternFill patternType="solid">
        <fgColor rgb="FFE7F5ED"/>
        <bgColor rgb="FFE7F5ED"/>
      </patternFill>
    </fill>
    <fill>
      <patternFill patternType="solid">
        <fgColor rgb="FFBFE5D2"/>
        <bgColor rgb="FFBFE5D2"/>
      </patternFill>
    </fill>
  </fills>
  <borders count="9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thin">
        <color rgb="FFCCCCCC"/>
      </bottom>
    </border>
    <border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CCCCCC"/>
      </bottom>
    </border>
    <border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medium">
        <color rgb="FF000000"/>
      </left>
      <top style="thin">
        <color rgb="FFCCCCCC"/>
      </top>
      <bottom style="medium">
        <color rgb="FF000000"/>
      </bottom>
    </border>
    <border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CCCCCC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thin">
        <color rgb="FFE36C09"/>
      </bottom>
    </border>
    <border>
      <bottom style="thin">
        <color rgb="FFE36C09"/>
      </bottom>
    </border>
    <border>
      <left style="medium">
        <color rgb="FF000000"/>
      </left>
      <right style="thin">
        <color rgb="FFE36C09"/>
      </right>
      <bottom style="medium">
        <color rgb="FF000000"/>
      </bottom>
    </border>
    <border>
      <right style="thin">
        <color rgb="FFE36C09"/>
      </right>
      <bottom style="medium">
        <color rgb="FF000000"/>
      </bottom>
    </border>
    <border>
      <top style="thin">
        <color rgb="FFE36B09"/>
      </top>
      <bottom style="medium">
        <color rgb="FF000000"/>
      </bottom>
    </border>
    <border>
      <right style="medium">
        <color rgb="FF000000"/>
      </right>
      <top style="thin">
        <color rgb="FFE36B09"/>
      </top>
      <bottom style="medium">
        <color rgb="FF000000"/>
      </bottom>
    </border>
    <border>
      <left style="medium">
        <color rgb="FF000000"/>
      </left>
      <right style="thin">
        <color rgb="FFE36C09"/>
      </right>
      <bottom style="thin">
        <color rgb="FFE36C09"/>
      </bottom>
    </border>
    <border>
      <right style="thin">
        <color rgb="FFE36C09"/>
      </right>
      <bottom style="thin">
        <color rgb="FFE36C09"/>
      </bottom>
    </border>
    <border>
      <right style="thin">
        <color rgb="FFE36B09"/>
      </right>
      <bottom style="thin">
        <color rgb="FFE36C09"/>
      </bottom>
    </border>
    <border>
      <left style="thin">
        <color rgb="FFE36B09"/>
      </left>
      <right style="thin">
        <color rgb="FFE36B09"/>
      </right>
      <bottom style="thin">
        <color rgb="FFE36B09"/>
      </bottom>
    </border>
    <border>
      <left style="thin">
        <color rgb="FFE36B09"/>
      </left>
      <right style="medium">
        <color rgb="FF000000"/>
      </right>
      <bottom style="thin">
        <color rgb="FFE36B09"/>
      </bottom>
    </border>
    <border>
      <left style="thin">
        <color rgb="FFE36B09"/>
      </left>
      <right style="thin">
        <color rgb="FFE36B09"/>
      </right>
      <top style="thin">
        <color rgb="FFE36B09"/>
      </top>
      <bottom style="thin">
        <color rgb="FFE36B09"/>
      </bottom>
    </border>
    <border>
      <left style="thin">
        <color rgb="FFE36B09"/>
      </left>
      <right style="medium">
        <color rgb="FF000000"/>
      </right>
      <top style="thin">
        <color rgb="FFE36B09"/>
      </top>
      <bottom style="thin">
        <color rgb="FFE36B09"/>
      </bottom>
    </border>
    <border>
      <right style="thin">
        <color rgb="FFE36B09"/>
      </right>
      <bottom style="medium">
        <color rgb="FF000000"/>
      </bottom>
    </border>
    <border>
      <left style="thin">
        <color rgb="FFE36B09"/>
      </left>
      <right style="thin">
        <color rgb="FFE36B09"/>
      </right>
      <top style="thin">
        <color rgb="FFE36B09"/>
      </top>
      <bottom style="medium">
        <color rgb="FF000000"/>
      </bottom>
    </border>
    <border>
      <left style="thin">
        <color rgb="FFE36B09"/>
      </left>
      <right style="medium">
        <color rgb="FF000000"/>
      </right>
      <top style="thin">
        <color rgb="FFE36B09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1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horizontal="right"/>
    </xf>
    <xf borderId="1" fillId="3" fontId="5" numFmtId="0" xfId="0" applyBorder="1" applyFill="1" applyFont="1"/>
    <xf borderId="2" fillId="3" fontId="6" numFmtId="0" xfId="0" applyBorder="1" applyFont="1"/>
    <xf borderId="3" fillId="3" fontId="7" numFmtId="0" xfId="0" applyAlignment="1" applyBorder="1" applyFont="1">
      <alignment horizontal="center" vertical="center"/>
    </xf>
    <xf borderId="3" fillId="3" fontId="6" numFmtId="0" xfId="0" applyBorder="1" applyFont="1"/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5" fillId="2" fontId="8" numFmtId="0" xfId="0" applyAlignment="1" applyBorder="1" applyFont="1">
      <alignment vertical="center"/>
    </xf>
    <xf borderId="6" fillId="2" fontId="6" numFmtId="0" xfId="0" applyBorder="1" applyFont="1"/>
    <xf borderId="7" fillId="2" fontId="9" numFmtId="16" xfId="0" applyAlignment="1" applyBorder="1" applyFont="1" applyNumberFormat="1">
      <alignment horizontal="center" vertical="center"/>
    </xf>
    <xf borderId="8" fillId="2" fontId="9" numFmtId="0" xfId="0" applyBorder="1" applyFont="1"/>
    <xf borderId="9" fillId="2" fontId="6" numFmtId="0" xfId="0" applyBorder="1" applyFont="1"/>
    <xf borderId="10" fillId="4" fontId="8" numFmtId="0" xfId="0" applyAlignment="1" applyBorder="1" applyFill="1" applyFont="1">
      <alignment readingOrder="0" vertical="center"/>
    </xf>
    <xf borderId="11" fillId="4" fontId="6" numFmtId="0" xfId="0" applyBorder="1" applyFont="1"/>
    <xf borderId="12" fillId="4" fontId="9" numFmtId="16" xfId="0" applyAlignment="1" applyBorder="1" applyFont="1" applyNumberFormat="1">
      <alignment horizontal="center" vertical="center"/>
    </xf>
    <xf borderId="13" fillId="4" fontId="6" numFmtId="0" xfId="0" applyBorder="1" applyFont="1"/>
    <xf borderId="14" fillId="4" fontId="6" numFmtId="0" xfId="0" applyBorder="1" applyFont="1"/>
    <xf borderId="15" fillId="2" fontId="8" numFmtId="0" xfId="0" applyAlignment="1" applyBorder="1" applyFont="1">
      <alignment readingOrder="0" vertical="center"/>
    </xf>
    <xf borderId="16" fillId="2" fontId="6" numFmtId="0" xfId="0" applyBorder="1" applyFont="1"/>
    <xf borderId="12" fillId="2" fontId="9" numFmtId="164" xfId="0" applyAlignment="1" applyBorder="1" applyFont="1" applyNumberFormat="1">
      <alignment horizontal="center" vertical="center"/>
    </xf>
    <xf borderId="13" fillId="2" fontId="6" numFmtId="0" xfId="0" applyBorder="1" applyFont="1"/>
    <xf borderId="14" fillId="2" fontId="6" numFmtId="0" xfId="0" applyBorder="1" applyFont="1"/>
    <xf borderId="15" fillId="4" fontId="8" numFmtId="0" xfId="0" applyAlignment="1" applyBorder="1" applyFont="1">
      <alignment vertical="center"/>
    </xf>
    <xf borderId="16" fillId="4" fontId="6" numFmtId="0" xfId="0" applyBorder="1" applyFont="1"/>
    <xf borderId="12" fillId="4" fontId="10" numFmtId="0" xfId="0" applyAlignment="1" applyBorder="1" applyFont="1">
      <alignment horizontal="center" vertical="center"/>
    </xf>
    <xf borderId="15" fillId="2" fontId="8" numFmtId="0" xfId="0" applyAlignment="1" applyBorder="1" applyFont="1">
      <alignment vertical="center"/>
    </xf>
    <xf borderId="12" fillId="2" fontId="10" numFmtId="0" xfId="0" applyAlignment="1" applyBorder="1" applyFont="1">
      <alignment horizontal="center" vertical="center"/>
    </xf>
    <xf borderId="0" fillId="2" fontId="1" numFmtId="0" xfId="0" applyAlignment="1" applyFont="1">
      <alignment horizontal="right" shrinkToFit="0" wrapText="1"/>
    </xf>
    <xf borderId="17" fillId="4" fontId="8" numFmtId="0" xfId="0" applyAlignment="1" applyBorder="1" applyFont="1">
      <alignment vertical="center"/>
    </xf>
    <xf borderId="18" fillId="4" fontId="6" numFmtId="0" xfId="0" applyBorder="1" applyFont="1"/>
    <xf borderId="19" fillId="4" fontId="9" numFmtId="0" xfId="0" applyAlignment="1" applyBorder="1" applyFont="1">
      <alignment horizontal="center" vertical="center"/>
    </xf>
    <xf borderId="20" fillId="4" fontId="6" numFmtId="0" xfId="0" applyBorder="1" applyFont="1"/>
    <xf borderId="21" fillId="4" fontId="6" numFmtId="0" xfId="0" applyBorder="1" applyFont="1"/>
    <xf borderId="0" fillId="2" fontId="4" numFmtId="0" xfId="0" applyFont="1"/>
    <xf borderId="22" fillId="2" fontId="8" numFmtId="0" xfId="0" applyAlignment="1" applyBorder="1" applyFont="1">
      <alignment vertical="center"/>
    </xf>
    <xf borderId="23" fillId="2" fontId="6" numFmtId="0" xfId="0" applyBorder="1" applyFont="1"/>
    <xf borderId="24" fillId="2" fontId="9" numFmtId="0" xfId="0" applyAlignment="1" applyBorder="1" applyFont="1">
      <alignment horizontal="center" vertical="center"/>
    </xf>
    <xf borderId="25" fillId="2" fontId="8" numFmtId="0" xfId="0" applyAlignment="1" applyBorder="1" applyFont="1">
      <alignment horizontal="center"/>
    </xf>
    <xf borderId="26" fillId="2" fontId="8" numFmtId="0" xfId="0" applyAlignment="1" applyBorder="1" applyFont="1">
      <alignment horizontal="center"/>
    </xf>
    <xf borderId="27" fillId="2" fontId="8" numFmtId="0" xfId="0" applyAlignment="1" applyBorder="1" applyFont="1">
      <alignment readingOrder="0" vertical="center"/>
    </xf>
    <xf borderId="28" fillId="2" fontId="9" numFmtId="0" xfId="0" applyAlignment="1" applyBorder="1" applyFont="1">
      <alignment horizontal="right" readingOrder="0" vertical="center"/>
    </xf>
    <xf borderId="29" fillId="4" fontId="11" numFmtId="0" xfId="0" applyAlignment="1" applyBorder="1" applyFont="1">
      <alignment horizontal="center" readingOrder="0" vertical="center"/>
    </xf>
    <xf borderId="7" fillId="4" fontId="11" numFmtId="0" xfId="0" applyAlignment="1" applyBorder="1" applyFont="1">
      <alignment horizontal="center" readingOrder="0" vertical="center"/>
    </xf>
    <xf borderId="30" fillId="4" fontId="11" numFmtId="0" xfId="0" applyAlignment="1" applyBorder="1" applyFont="1">
      <alignment horizontal="center" readingOrder="0" vertical="center"/>
    </xf>
    <xf borderId="31" fillId="2" fontId="12" numFmtId="0" xfId="0" applyAlignment="1" applyBorder="1" applyFont="1">
      <alignment horizontal="center" vertical="center"/>
    </xf>
    <xf borderId="32" fillId="4" fontId="13" numFmtId="0" xfId="0" applyAlignment="1" applyBorder="1" applyFont="1">
      <alignment horizontal="center"/>
    </xf>
    <xf borderId="33" fillId="2" fontId="8" numFmtId="0" xfId="0" applyAlignment="1" applyBorder="1" applyFont="1">
      <alignment readingOrder="0" vertical="center"/>
    </xf>
    <xf borderId="34" fillId="2" fontId="9" numFmtId="0" xfId="0" applyAlignment="1" applyBorder="1" applyFont="1">
      <alignment horizontal="right" readingOrder="0" vertical="center"/>
    </xf>
    <xf borderId="35" fillId="2" fontId="11" numFmtId="0" xfId="0" applyAlignment="1" applyBorder="1" applyFont="1">
      <alignment horizontal="center" readingOrder="0" vertical="center"/>
    </xf>
    <xf borderId="12" fillId="2" fontId="11" numFmtId="0" xfId="0" applyAlignment="1" applyBorder="1" applyFont="1">
      <alignment horizontal="center" readingOrder="0" vertical="center"/>
    </xf>
    <xf borderId="36" fillId="2" fontId="11" numFmtId="0" xfId="0" applyAlignment="1" applyBorder="1" applyFont="1">
      <alignment horizontal="center" readingOrder="0" vertical="center"/>
    </xf>
    <xf borderId="35" fillId="2" fontId="12" numFmtId="0" xfId="0" applyAlignment="1" applyBorder="1" applyFont="1">
      <alignment horizontal="center" vertical="center"/>
    </xf>
    <xf borderId="37" fillId="2" fontId="13" numFmtId="0" xfId="0" applyAlignment="1" applyBorder="1" applyFont="1">
      <alignment horizontal="center"/>
    </xf>
    <xf borderId="35" fillId="4" fontId="11" numFmtId="0" xfId="0" applyAlignment="1" applyBorder="1" applyFont="1">
      <alignment horizontal="center" readingOrder="0" vertical="center"/>
    </xf>
    <xf borderId="12" fillId="4" fontId="11" numFmtId="0" xfId="0" applyAlignment="1" applyBorder="1" applyFont="1">
      <alignment horizontal="center" readingOrder="0" vertical="center"/>
    </xf>
    <xf borderId="36" fillId="4" fontId="11" numFmtId="0" xfId="0" applyAlignment="1" applyBorder="1" applyFont="1">
      <alignment horizontal="center" readingOrder="0" vertical="center"/>
    </xf>
    <xf borderId="37" fillId="4" fontId="13" numFmtId="0" xfId="0" applyAlignment="1" applyBorder="1" applyFont="1">
      <alignment horizontal="center"/>
    </xf>
    <xf borderId="0" fillId="0" fontId="4" numFmtId="0" xfId="0" applyFont="1"/>
    <xf borderId="37" fillId="2" fontId="12" numFmtId="0" xfId="0" applyAlignment="1" applyBorder="1" applyFont="1">
      <alignment horizontal="center" vertical="center"/>
    </xf>
    <xf borderId="38" fillId="2" fontId="9" numFmtId="0" xfId="0" applyAlignment="1" applyBorder="1" applyFont="1">
      <alignment horizontal="right" readingOrder="0" vertical="center"/>
    </xf>
    <xf borderId="39" fillId="4" fontId="14" numFmtId="0" xfId="0" applyAlignment="1" applyBorder="1" applyFont="1">
      <alignment horizontal="center" readingOrder="0" shrinkToFit="0" wrapText="0"/>
    </xf>
    <xf borderId="39" fillId="4" fontId="14" numFmtId="0" xfId="0" applyAlignment="1" applyBorder="1" applyFont="1">
      <alignment horizontal="center" readingOrder="0" shrinkToFit="0" vertical="bottom" wrapText="0"/>
    </xf>
    <xf borderId="35" fillId="2" fontId="15" numFmtId="0" xfId="0" applyAlignment="1" applyBorder="1" applyFont="1">
      <alignment horizontal="center" readingOrder="0" vertical="center"/>
    </xf>
    <xf borderId="35" fillId="4" fontId="16" numFmtId="0" xfId="0" applyAlignment="1" applyBorder="1" applyFont="1">
      <alignment horizontal="center" readingOrder="0" vertical="center"/>
    </xf>
    <xf borderId="12" fillId="4" fontId="16" numFmtId="0" xfId="0" applyAlignment="1" applyBorder="1" applyFont="1">
      <alignment horizontal="center" readingOrder="0" vertical="center"/>
    </xf>
    <xf borderId="35" fillId="2" fontId="16" numFmtId="0" xfId="0" applyAlignment="1" applyBorder="1" applyFont="1">
      <alignment horizontal="center" readingOrder="0" vertical="center"/>
    </xf>
    <xf borderId="12" fillId="2" fontId="16" numFmtId="0" xfId="0" applyAlignment="1" applyBorder="1" applyFont="1">
      <alignment horizontal="center" readingOrder="0" vertical="center"/>
    </xf>
    <xf borderId="40" fillId="4" fontId="17" numFmtId="0" xfId="0" applyAlignment="1" applyBorder="1" applyFont="1">
      <alignment horizontal="center" readingOrder="0" shrinkToFit="0" wrapText="0"/>
    </xf>
    <xf borderId="40" fillId="2" fontId="17" numFmtId="0" xfId="0" applyAlignment="1" applyBorder="1" applyFont="1">
      <alignment horizontal="center" readingOrder="0" shrinkToFit="0" vertical="bottom" wrapText="0"/>
    </xf>
    <xf borderId="12" fillId="4" fontId="10" numFmtId="0" xfId="0" applyAlignment="1" applyBorder="1" applyFont="1">
      <alignment horizontal="center" readingOrder="0" vertical="center"/>
    </xf>
    <xf borderId="40" fillId="4" fontId="14" numFmtId="0" xfId="0" applyAlignment="1" applyBorder="1" applyFont="1">
      <alignment horizontal="center" readingOrder="0" shrinkToFit="0" wrapText="0"/>
    </xf>
    <xf borderId="40" fillId="2" fontId="17" numFmtId="0" xfId="0" applyAlignment="1" applyBorder="1" applyFont="1">
      <alignment horizontal="center" readingOrder="0" shrinkToFit="0" wrapText="0"/>
    </xf>
    <xf borderId="40" fillId="2" fontId="14" numFmtId="0" xfId="0" applyAlignment="1" applyBorder="1" applyFont="1">
      <alignment horizontal="center" readingOrder="0" shrinkToFit="0" wrapText="0"/>
    </xf>
    <xf borderId="12" fillId="2" fontId="10" numFmtId="0" xfId="0" applyAlignment="1" applyBorder="1" applyFont="1">
      <alignment horizontal="center" readingOrder="0" vertical="center"/>
    </xf>
    <xf borderId="35" fillId="2" fontId="12" numFmtId="0" xfId="0" applyAlignment="1" applyBorder="1" applyFont="1">
      <alignment horizontal="center" readingOrder="0" vertical="center"/>
    </xf>
    <xf borderId="39" fillId="2" fontId="14" numFmtId="0" xfId="0" applyAlignment="1" applyBorder="1" applyFont="1">
      <alignment horizontal="center" readingOrder="0" shrinkToFit="0" wrapText="0"/>
    </xf>
    <xf borderId="39" fillId="2" fontId="14" numFmtId="0" xfId="0" applyAlignment="1" applyBorder="1" applyFont="1">
      <alignment horizontal="center" readingOrder="0" shrinkToFit="0" vertical="bottom" wrapText="0"/>
    </xf>
    <xf borderId="41" fillId="2" fontId="16" numFmtId="0" xfId="0" applyAlignment="1" applyBorder="1" applyFont="1">
      <alignment horizontal="center" readingOrder="0" vertical="center"/>
    </xf>
    <xf borderId="19" fillId="2" fontId="16" numFmtId="0" xfId="0" applyAlignment="1" applyBorder="1" applyFont="1">
      <alignment horizontal="center" readingOrder="0" vertical="center"/>
    </xf>
    <xf borderId="42" fillId="2" fontId="16" numFmtId="0" xfId="0" applyAlignment="1" applyBorder="1" applyFont="1">
      <alignment horizontal="center" readingOrder="0" vertical="center"/>
    </xf>
    <xf borderId="41" fillId="2" fontId="12" numFmtId="0" xfId="0" applyAlignment="1" applyBorder="1" applyFont="1">
      <alignment horizontal="center" vertical="center"/>
    </xf>
    <xf borderId="22" fillId="3" fontId="8" numFmtId="0" xfId="0" applyAlignment="1" applyBorder="1" applyFont="1">
      <alignment horizontal="left" shrinkToFit="0" vertical="center" wrapText="0"/>
    </xf>
    <xf borderId="43" fillId="3" fontId="18" numFmtId="0" xfId="0" applyAlignment="1" applyBorder="1" applyFont="1">
      <alignment horizontal="right" readingOrder="0" vertical="center"/>
    </xf>
    <xf borderId="44" fillId="3" fontId="11" numFmtId="0" xfId="0" applyAlignment="1" applyBorder="1" applyFont="1">
      <alignment horizontal="center" vertical="center"/>
    </xf>
    <xf borderId="44" fillId="2" fontId="12" numFmtId="0" xfId="0" applyAlignment="1" applyBorder="1" applyFont="1">
      <alignment horizontal="center" vertical="center"/>
    </xf>
    <xf borderId="45" fillId="2" fontId="12" numFmtId="0" xfId="0" applyAlignment="1" applyBorder="1" applyFont="1">
      <alignment horizontal="center" vertical="center"/>
    </xf>
    <xf borderId="0" fillId="0" fontId="19" numFmtId="0" xfId="0" applyFont="1"/>
    <xf borderId="12" fillId="2" fontId="20" numFmtId="0" xfId="0" applyAlignment="1" applyBorder="1" applyFont="1">
      <alignment readingOrder="0"/>
    </xf>
    <xf borderId="12" fillId="0" fontId="21" numFmtId="0" xfId="0" applyAlignment="1" applyBorder="1" applyFont="1">
      <alignment horizontal="center" readingOrder="0"/>
    </xf>
    <xf borderId="12" fillId="2" fontId="8" numFmtId="0" xfId="0" applyAlignment="1" applyBorder="1" applyFont="1">
      <alignment readingOrder="0"/>
    </xf>
    <xf borderId="12" fillId="0" fontId="22" numFmtId="0" xfId="0" applyAlignment="1" applyBorder="1" applyFont="1">
      <alignment horizontal="center"/>
    </xf>
    <xf borderId="12" fillId="0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 readingOrder="0"/>
    </xf>
    <xf borderId="12" fillId="2" fontId="9" numFmtId="0" xfId="0" applyAlignment="1" applyBorder="1" applyFont="1">
      <alignment horizontal="center" readingOrder="0"/>
    </xf>
    <xf borderId="12" fillId="2" fontId="9" numFmtId="0" xfId="0" applyAlignment="1" applyBorder="1" applyFont="1">
      <alignment horizontal="center" readingOrder="0"/>
    </xf>
    <xf borderId="12" fillId="4" fontId="8" numFmtId="0" xfId="0" applyAlignment="1" applyBorder="1" applyFont="1">
      <alignment readingOrder="0"/>
    </xf>
    <xf borderId="12" fillId="5" fontId="8" numFmtId="0" xfId="0" applyAlignment="1" applyBorder="1" applyFill="1" applyFont="1">
      <alignment horizontal="left" readingOrder="0" shrinkToFit="0" vertical="center" wrapText="0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right"/>
    </xf>
    <xf borderId="0" fillId="0" fontId="15" numFmtId="0" xfId="0" applyAlignment="1" applyFont="1">
      <alignment vertical="center"/>
    </xf>
    <xf borderId="31" fillId="6" fontId="23" numFmtId="0" xfId="0" applyAlignment="1" applyBorder="1" applyFill="1" applyFont="1">
      <alignment horizontal="center" readingOrder="0" vertical="center"/>
    </xf>
    <xf borderId="46" fillId="0" fontId="6" numFmtId="0" xfId="0" applyBorder="1" applyFont="1"/>
    <xf borderId="46" fillId="6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center" readingOrder="0" vertical="center"/>
    </xf>
    <xf borderId="0" fillId="0" fontId="25" numFmtId="0" xfId="0" applyAlignment="1" applyFont="1">
      <alignment readingOrder="0" vertical="center"/>
    </xf>
    <xf borderId="47" fillId="0" fontId="24" numFmtId="0" xfId="0" applyAlignment="1" applyBorder="1" applyFont="1">
      <alignment horizontal="center" readingOrder="0" shrinkToFit="0" vertical="center" wrapText="0"/>
    </xf>
    <xf borderId="48" fillId="0" fontId="24" numFmtId="0" xfId="0" applyAlignment="1" applyBorder="1" applyFont="1">
      <alignment horizontal="center" readingOrder="0" shrinkToFit="0" vertical="center" wrapText="0"/>
    </xf>
    <xf borderId="49" fillId="0" fontId="24" numFmtId="0" xfId="0" applyAlignment="1" applyBorder="1" applyFont="1">
      <alignment horizontal="center" readingOrder="0" shrinkToFit="0" vertical="center" wrapText="0"/>
    </xf>
    <xf borderId="50" fillId="0" fontId="26" numFmtId="0" xfId="0" applyAlignment="1" applyBorder="1" applyFont="1">
      <alignment horizontal="center" shrinkToFit="0" vertical="center" wrapText="0"/>
    </xf>
    <xf borderId="51" fillId="0" fontId="26" numFmtId="0" xfId="0" applyAlignment="1" applyBorder="1" applyFont="1">
      <alignment shrinkToFit="0" vertical="center" wrapText="0"/>
    </xf>
    <xf borderId="51" fillId="0" fontId="26" numFmtId="0" xfId="0" applyAlignment="1" applyBorder="1" applyFont="1">
      <alignment horizontal="center" shrinkToFit="0" vertical="center" wrapText="0"/>
    </xf>
    <xf borderId="52" fillId="0" fontId="26" numFmtId="0" xfId="0" applyAlignment="1" applyBorder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53" fillId="0" fontId="26" numFmtId="0" xfId="0" applyAlignment="1" applyBorder="1" applyFont="1">
      <alignment horizontal="center" shrinkToFit="0" vertical="center" wrapText="0"/>
    </xf>
    <xf borderId="54" fillId="0" fontId="26" numFmtId="0" xfId="0" applyAlignment="1" applyBorder="1" applyFont="1">
      <alignment shrinkToFit="0" vertical="center" wrapText="0"/>
    </xf>
    <xf borderId="54" fillId="0" fontId="26" numFmtId="0" xfId="0" applyAlignment="1" applyBorder="1" applyFont="1">
      <alignment horizontal="center" shrinkToFit="0" vertical="center" wrapText="0"/>
    </xf>
    <xf borderId="55" fillId="0" fontId="26" numFmtId="0" xfId="0" applyAlignment="1" applyBorder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54" fillId="0" fontId="28" numFmtId="0" xfId="0" applyAlignment="1" applyBorder="1" applyFont="1">
      <alignment readingOrder="0" shrinkToFit="0" vertical="center" wrapText="0"/>
    </xf>
    <xf borderId="51" fillId="0" fontId="26" numFmtId="0" xfId="0" applyAlignment="1" applyBorder="1" applyFont="1">
      <alignment shrinkToFit="0" vertical="center" wrapText="0"/>
    </xf>
    <xf borderId="56" fillId="0" fontId="26" numFmtId="0" xfId="0" applyAlignment="1" applyBorder="1" applyFont="1">
      <alignment horizontal="center" shrinkToFit="0" vertical="center" wrapText="0"/>
    </xf>
    <xf borderId="57" fillId="0" fontId="26" numFmtId="0" xfId="0" applyAlignment="1" applyBorder="1" applyFont="1">
      <alignment shrinkToFit="0" vertical="center" wrapText="0"/>
    </xf>
    <xf borderId="57" fillId="0" fontId="26" numFmtId="0" xfId="0" applyAlignment="1" applyBorder="1" applyFont="1">
      <alignment horizontal="center" shrinkToFit="0" vertical="center" wrapText="0"/>
    </xf>
    <xf borderId="58" fillId="0" fontId="26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vertical="center"/>
    </xf>
    <xf borderId="0" fillId="0" fontId="29" numFmtId="0" xfId="0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59" fillId="7" fontId="32" numFmtId="0" xfId="0" applyAlignment="1" applyBorder="1" applyFill="1" applyFont="1">
      <alignment vertical="bottom"/>
    </xf>
    <xf borderId="3" fillId="7" fontId="32" numFmtId="0" xfId="0" applyAlignment="1" applyBorder="1" applyFont="1">
      <alignment vertical="bottom"/>
    </xf>
    <xf borderId="9" fillId="7" fontId="32" numFmtId="0" xfId="0" applyAlignment="1" applyBorder="1" applyFont="1">
      <alignment vertical="bottom"/>
    </xf>
    <xf borderId="4" fillId="7" fontId="33" numFmtId="0" xfId="0" applyAlignment="1" applyBorder="1" applyFont="1">
      <alignment horizontal="center" readingOrder="0" vertical="bottom"/>
    </xf>
    <xf borderId="0" fillId="7" fontId="34" numFmtId="0" xfId="0" applyAlignment="1" applyFont="1">
      <alignment horizontal="center"/>
    </xf>
    <xf borderId="14" fillId="7" fontId="32" numFmtId="0" xfId="0" applyAlignment="1" applyBorder="1" applyFont="1">
      <alignment vertical="bottom"/>
    </xf>
    <xf borderId="60" fillId="7" fontId="33" numFmtId="0" xfId="0" applyAlignment="1" applyBorder="1" applyFont="1">
      <alignment horizontal="center" vertical="bottom"/>
    </xf>
    <xf borderId="61" fillId="7" fontId="32" numFmtId="0" xfId="0" applyAlignment="1" applyBorder="1" applyFont="1">
      <alignment vertical="bottom"/>
    </xf>
    <xf borderId="0" fillId="7" fontId="32" numFmtId="0" xfId="0" applyAlignment="1" applyFont="1">
      <alignment vertical="bottom"/>
    </xf>
    <xf borderId="62" fillId="8" fontId="35" numFmtId="0" xfId="0" applyAlignment="1" applyBorder="1" applyFill="1" applyFont="1">
      <alignment horizontal="center" vertical="center"/>
    </xf>
    <xf borderId="63" fillId="8" fontId="35" numFmtId="0" xfId="0" applyAlignment="1" applyBorder="1" applyFont="1">
      <alignment horizontal="center" vertical="center"/>
    </xf>
    <xf borderId="63" fillId="8" fontId="35" numFmtId="0" xfId="0" applyAlignment="1" applyBorder="1" applyFont="1">
      <alignment horizontal="center" readingOrder="0" vertical="center"/>
    </xf>
    <xf borderId="43" fillId="8" fontId="35" numFmtId="0" xfId="0" applyAlignment="1" applyBorder="1" applyFont="1">
      <alignment horizontal="center" readingOrder="0" vertical="center"/>
    </xf>
    <xf borderId="64" fillId="8" fontId="35" numFmtId="0" xfId="0" applyAlignment="1" applyBorder="1" applyFont="1">
      <alignment horizontal="center" readingOrder="0" vertical="center"/>
    </xf>
    <xf borderId="65" fillId="8" fontId="35" numFmtId="0" xfId="0" applyAlignment="1" applyBorder="1" applyFont="1">
      <alignment horizontal="center" readingOrder="0" vertical="center"/>
    </xf>
    <xf borderId="66" fillId="0" fontId="36" numFmtId="0" xfId="0" applyAlignment="1" applyBorder="1" applyFont="1">
      <alignment horizontal="center"/>
    </xf>
    <xf borderId="67" fillId="0" fontId="36" numFmtId="16" xfId="0" applyAlignment="1" applyBorder="1" applyFont="1" applyNumberFormat="1">
      <alignment horizontal="center"/>
    </xf>
    <xf borderId="67" fillId="0" fontId="36" numFmtId="164" xfId="0" applyAlignment="1" applyBorder="1" applyFont="1" applyNumberFormat="1">
      <alignment horizontal="center"/>
    </xf>
    <xf borderId="67" fillId="0" fontId="36" numFmtId="3" xfId="0" applyAlignment="1" applyBorder="1" applyFont="1" applyNumberFormat="1">
      <alignment horizontal="center"/>
    </xf>
    <xf borderId="68" fillId="0" fontId="36" numFmtId="3" xfId="0" applyAlignment="1" applyBorder="1" applyFont="1" applyNumberFormat="1">
      <alignment horizontal="center"/>
    </xf>
    <xf borderId="69" fillId="0" fontId="36" numFmtId="164" xfId="0" applyAlignment="1" applyBorder="1" applyFont="1" applyNumberFormat="1">
      <alignment horizontal="center"/>
    </xf>
    <xf borderId="70" fillId="0" fontId="36" numFmtId="164" xfId="0" applyAlignment="1" applyBorder="1" applyFont="1" applyNumberFormat="1">
      <alignment horizontal="center"/>
    </xf>
    <xf borderId="71" fillId="0" fontId="36" numFmtId="164" xfId="0" applyAlignment="1" applyBorder="1" applyFont="1" applyNumberFormat="1">
      <alignment horizontal="center"/>
    </xf>
    <xf borderId="72" fillId="0" fontId="36" numFmtId="164" xfId="0" applyAlignment="1" applyBorder="1" applyFont="1" applyNumberFormat="1">
      <alignment horizontal="center"/>
    </xf>
    <xf borderId="62" fillId="0" fontId="36" numFmtId="0" xfId="0" applyAlignment="1" applyBorder="1" applyFont="1">
      <alignment horizontal="center"/>
    </xf>
    <xf borderId="63" fillId="0" fontId="36" numFmtId="16" xfId="0" applyAlignment="1" applyBorder="1" applyFont="1" applyNumberFormat="1">
      <alignment horizontal="center"/>
    </xf>
    <xf borderId="63" fillId="0" fontId="36" numFmtId="164" xfId="0" applyAlignment="1" applyBorder="1" applyFont="1" applyNumberFormat="1">
      <alignment horizontal="center"/>
    </xf>
    <xf borderId="63" fillId="0" fontId="36" numFmtId="3" xfId="0" applyAlignment="1" applyBorder="1" applyFont="1" applyNumberFormat="1">
      <alignment horizontal="center"/>
    </xf>
    <xf borderId="73" fillId="0" fontId="36" numFmtId="3" xfId="0" applyAlignment="1" applyBorder="1" applyFont="1" applyNumberFormat="1">
      <alignment horizontal="center"/>
    </xf>
    <xf borderId="74" fillId="0" fontId="36" numFmtId="164" xfId="0" applyAlignment="1" applyBorder="1" applyFont="1" applyNumberFormat="1">
      <alignment horizontal="center"/>
    </xf>
    <xf borderId="75" fillId="0" fontId="36" numFmtId="164" xfId="0" applyAlignment="1" applyBorder="1" applyFont="1" applyNumberFormat="1">
      <alignment horizontal="center"/>
    </xf>
    <xf borderId="0" fillId="0" fontId="29" numFmtId="0" xfId="0" applyAlignment="1" applyFont="1">
      <alignment readingOrder="0"/>
    </xf>
    <xf borderId="0" fillId="9" fontId="37" numFmtId="0" xfId="0" applyAlignment="1" applyFill="1" applyFont="1">
      <alignment readingOrder="0"/>
    </xf>
    <xf borderId="0" fillId="0" fontId="29" numFmtId="165" xfId="0" applyAlignment="1" applyFont="1" applyNumberFormat="1">
      <alignment readingOrder="0"/>
    </xf>
    <xf borderId="0" fillId="0" fontId="37" numFmtId="0" xfId="0" applyAlignment="1" applyFont="1">
      <alignment readingOrder="0"/>
    </xf>
    <xf borderId="0" fillId="2" fontId="38" numFmtId="0" xfId="0" applyAlignment="1" applyFont="1">
      <alignment horizontal="left" shrinkToFit="0" vertical="bottom" wrapText="0"/>
    </xf>
    <xf borderId="0" fillId="0" fontId="37" numFmtId="0" xfId="0" applyAlignment="1" applyFont="1">
      <alignment horizontal="left" readingOrder="0" vertical="bottom"/>
    </xf>
    <xf borderId="0" fillId="9" fontId="39" numFmtId="0" xfId="0" applyAlignment="1" applyFont="1">
      <alignment readingOrder="0"/>
    </xf>
    <xf borderId="0" fillId="2" fontId="40" numFmtId="0" xfId="0" applyFont="1"/>
    <xf borderId="0" fillId="0" fontId="14" numFmtId="0" xfId="0" applyAlignment="1" applyFont="1">
      <alignment readingOrder="0"/>
    </xf>
    <xf borderId="0" fillId="0" fontId="41" numFmtId="0" xfId="0" applyAlignment="1" applyFont="1">
      <alignment readingOrder="0"/>
    </xf>
    <xf borderId="0" fillId="10" fontId="42" numFmtId="0" xfId="0" applyAlignment="1" applyFill="1" applyFont="1">
      <alignment horizontal="right"/>
    </xf>
    <xf borderId="0" fillId="10" fontId="42" numFmtId="0" xfId="0" applyAlignment="1" applyFont="1">
      <alignment horizontal="right" readingOrder="0"/>
    </xf>
    <xf borderId="0" fillId="0" fontId="15" numFmtId="0" xfId="0" applyFont="1"/>
    <xf borderId="0" fillId="0" fontId="15" numFmtId="166" xfId="0" applyFont="1" applyNumberFormat="1"/>
    <xf borderId="0" fillId="0" fontId="42" numFmtId="0" xfId="0" applyAlignment="1" applyFont="1">
      <alignment horizontal="right" readingOrder="0"/>
    </xf>
    <xf borderId="0" fillId="2" fontId="2" numFmtId="0" xfId="0" applyAlignment="1" applyFont="1">
      <alignment vertical="bottom"/>
    </xf>
    <xf borderId="37" fillId="2" fontId="12" numFmtId="0" xfId="0" applyAlignment="1" applyBorder="1" applyFont="1">
      <alignment horizontal="center" vertical="center"/>
    </xf>
    <xf borderId="45" fillId="2" fontId="12" numFmtId="0" xfId="0" applyAlignment="1" applyBorder="1" applyFont="1">
      <alignment horizontal="center" vertical="center"/>
    </xf>
    <xf borderId="35" fillId="2" fontId="15" numFmtId="0" xfId="0" applyAlignment="1" applyBorder="1" applyFont="1">
      <alignment horizontal="center" vertical="center"/>
    </xf>
    <xf borderId="12" fillId="2" fontId="11" numFmtId="0" xfId="0" applyAlignment="1" applyBorder="1" applyFont="1">
      <alignment horizontal="center" vertical="center"/>
    </xf>
    <xf borderId="36" fillId="2" fontId="11" numFmtId="0" xfId="0" applyAlignment="1" applyBorder="1" applyFont="1">
      <alignment horizontal="center" vertical="center"/>
    </xf>
    <xf borderId="35" fillId="4" fontId="16" numFmtId="0" xfId="0" applyAlignment="1" applyBorder="1" applyFont="1">
      <alignment horizontal="center" vertical="center"/>
    </xf>
    <xf borderId="12" fillId="4" fontId="16" numFmtId="0" xfId="0" applyAlignment="1" applyBorder="1" applyFont="1">
      <alignment horizontal="center" vertical="center"/>
    </xf>
    <xf borderId="36" fillId="4" fontId="11" numFmtId="0" xfId="0" applyAlignment="1" applyBorder="1" applyFont="1">
      <alignment horizontal="center" vertical="center"/>
    </xf>
    <xf borderId="12" fillId="4" fontId="11" numFmtId="0" xfId="0" applyAlignment="1" applyBorder="1" applyFont="1">
      <alignment horizontal="center" vertical="center"/>
    </xf>
    <xf borderId="19" fillId="2" fontId="16" numFmtId="0" xfId="0" applyAlignment="1" applyBorder="1" applyFont="1">
      <alignment horizontal="center" vertical="center"/>
    </xf>
    <xf borderId="40" fillId="4" fontId="17" numFmtId="0" xfId="0" applyAlignment="1" applyBorder="1" applyFont="1">
      <alignment horizontal="center" readingOrder="0" shrinkToFit="0" vertical="bottom" wrapText="0"/>
    </xf>
    <xf borderId="35" fillId="4" fontId="11" numFmtId="0" xfId="0" applyAlignment="1" applyBorder="1" applyFont="1">
      <alignment horizontal="center" vertical="center"/>
    </xf>
    <xf borderId="41" fillId="2" fontId="16" numFmtId="0" xfId="0" applyAlignment="1" applyBorder="1" applyFont="1">
      <alignment horizontal="center" vertical="center"/>
    </xf>
    <xf borderId="24" fillId="2" fontId="9" numFmtId="0" xfId="0" applyAlignment="1" applyBorder="1" applyFont="1">
      <alignment horizontal="center" readingOrder="0" vertical="center"/>
    </xf>
    <xf borderId="35" fillId="2" fontId="16" numFmtId="0" xfId="0" applyAlignment="1" applyBorder="1" applyFont="1">
      <alignment horizontal="center" vertical="center"/>
    </xf>
    <xf borderId="40" fillId="2" fontId="17" numFmtId="0" xfId="0" applyAlignment="1" applyBorder="1" applyFont="1">
      <alignment horizontal="center" shrinkToFit="0" vertical="bottom" wrapText="0"/>
    </xf>
    <xf borderId="40" fillId="2" fontId="17" numFmtId="0" xfId="0" applyAlignment="1" applyBorder="1" applyFont="1">
      <alignment horizontal="center" shrinkToFit="0" wrapText="0"/>
    </xf>
    <xf borderId="40" fillId="4" fontId="17" numFmtId="0" xfId="0" applyAlignment="1" applyBorder="1" applyFont="1">
      <alignment horizontal="center" shrinkToFit="0" vertical="bottom" wrapText="0"/>
    </xf>
    <xf borderId="40" fillId="4" fontId="17" numFmtId="0" xfId="0" applyAlignment="1" applyBorder="1" applyFont="1">
      <alignment horizontal="center" shrinkToFit="0" wrapText="0"/>
    </xf>
    <xf borderId="12" fillId="4" fontId="14" numFmtId="0" xfId="0" applyAlignment="1" applyBorder="1" applyFont="1">
      <alignment horizontal="center" readingOrder="0" shrinkToFit="0" wrapText="0"/>
    </xf>
    <xf borderId="76" fillId="2" fontId="14" numFmtId="0" xfId="0" applyAlignment="1" applyBorder="1" applyFont="1">
      <alignment horizontal="center" readingOrder="0" shrinkToFit="0" wrapText="0"/>
    </xf>
    <xf borderId="76" fillId="4" fontId="14" numFmtId="0" xfId="0" applyAlignment="1" applyBorder="1" applyFont="1">
      <alignment horizontal="center" readingOrder="0" shrinkToFit="0" wrapText="0"/>
    </xf>
    <xf borderId="35" fillId="4" fontId="15" numFmtId="0" xfId="0" applyAlignment="1" applyBorder="1" applyFont="1">
      <alignment horizontal="center" readingOrder="0" vertical="center"/>
    </xf>
    <xf borderId="7" fillId="4" fontId="11" numFmtId="0" xfId="0" applyAlignment="1" applyBorder="1" applyFont="1">
      <alignment horizontal="center" vertical="center"/>
    </xf>
    <xf borderId="36" fillId="4" fontId="16" numFmtId="0" xfId="0" applyAlignment="1" applyBorder="1" applyFont="1">
      <alignment horizontal="center" readingOrder="0" vertical="center"/>
    </xf>
    <xf borderId="12" fillId="2" fontId="16" numFmtId="0" xfId="0" applyAlignment="1" applyBorder="1" applyFont="1">
      <alignment horizontal="center" vertical="center"/>
    </xf>
    <xf borderId="37" fillId="2" fontId="12" numFmtId="0" xfId="0" applyAlignment="1" applyBorder="1" applyFont="1">
      <alignment horizontal="center" readingOrder="0" vertical="center"/>
    </xf>
    <xf borderId="35" fillId="0" fontId="15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vertical="center"/>
    </xf>
    <xf borderId="36" fillId="0" fontId="11" numFmtId="0" xfId="0" applyAlignment="1" applyBorder="1" applyFont="1">
      <alignment horizontal="center" readingOrder="0" vertical="center"/>
    </xf>
    <xf borderId="0" fillId="2" fontId="2" numFmtId="167" xfId="0" applyAlignment="1" applyFont="1" applyNumberForma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right"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4" fontId="7" numFmtId="0" xfId="0" applyAlignment="1" applyBorder="1" applyFont="1">
      <alignment horizontal="center" vertical="center"/>
    </xf>
    <xf borderId="5" fillId="5" fontId="8" numFmtId="0" xfId="0" applyAlignment="1" applyBorder="1" applyFont="1">
      <alignment readingOrder="0" vertical="center"/>
    </xf>
    <xf borderId="6" fillId="5" fontId="8" numFmtId="0" xfId="0" applyAlignment="1" applyBorder="1" applyFont="1">
      <alignment vertical="center"/>
    </xf>
    <xf borderId="77" fillId="5" fontId="9" numFmtId="16" xfId="0" applyAlignment="1" applyBorder="1" applyFont="1" applyNumberFormat="1">
      <alignment horizontal="center" readingOrder="0" vertical="center"/>
    </xf>
    <xf borderId="7" fillId="5" fontId="9" numFmtId="16" xfId="0" applyAlignment="1" applyBorder="1" applyFont="1" applyNumberFormat="1">
      <alignment horizontal="center" readingOrder="0" vertical="center"/>
    </xf>
    <xf borderId="8" fillId="5" fontId="9" numFmtId="0" xfId="0" applyBorder="1" applyFont="1"/>
    <xf borderId="9" fillId="5" fontId="9" numFmtId="0" xfId="0" applyBorder="1" applyFont="1"/>
    <xf borderId="10" fillId="5" fontId="8" numFmtId="0" xfId="0" applyAlignment="1" applyBorder="1" applyFont="1">
      <alignment readingOrder="0" vertical="center"/>
    </xf>
    <xf borderId="11" fillId="5" fontId="8" numFmtId="0" xfId="0" applyAlignment="1" applyBorder="1" applyFont="1">
      <alignment readingOrder="0" vertical="center"/>
    </xf>
    <xf borderId="12" fillId="5" fontId="9" numFmtId="0" xfId="0" applyAlignment="1" applyBorder="1" applyFont="1">
      <alignment horizontal="center" readingOrder="0" vertical="center"/>
    </xf>
    <xf borderId="13" fillId="5" fontId="9" numFmtId="0" xfId="0" applyBorder="1" applyFont="1"/>
    <xf borderId="14" fillId="5" fontId="9" numFmtId="0" xfId="0" applyBorder="1" applyFont="1"/>
    <xf borderId="15" fillId="5" fontId="8" numFmtId="0" xfId="0" applyAlignment="1" applyBorder="1" applyFont="1">
      <alignment readingOrder="0" vertical="center"/>
    </xf>
    <xf borderId="16" fillId="5" fontId="8" numFmtId="0" xfId="0" applyAlignment="1" applyBorder="1" applyFont="1">
      <alignment readingOrder="0" vertical="center"/>
    </xf>
    <xf borderId="40" fillId="5" fontId="9" numFmtId="164" xfId="0" applyAlignment="1" applyBorder="1" applyFont="1" applyNumberFormat="1">
      <alignment horizontal="center" readingOrder="0" vertical="center"/>
    </xf>
    <xf borderId="12" fillId="5" fontId="9" numFmtId="164" xfId="0" applyAlignment="1" applyBorder="1" applyFont="1" applyNumberFormat="1">
      <alignment horizontal="center" readingOrder="0" vertical="center"/>
    </xf>
    <xf borderId="15" fillId="0" fontId="8" numFmtId="0" xfId="0" applyAlignment="1" applyBorder="1" applyFont="1">
      <alignment readingOrder="0" vertical="center"/>
    </xf>
    <xf borderId="16" fillId="0" fontId="8" numFmtId="0" xfId="0" applyAlignment="1" applyBorder="1" applyFont="1">
      <alignment vertical="center"/>
    </xf>
    <xf borderId="40" fillId="2" fontId="10" numFmtId="0" xfId="0" applyAlignment="1" applyBorder="1" applyFont="1">
      <alignment horizontal="center" readingOrder="0" vertical="center"/>
    </xf>
    <xf borderId="12" fillId="2" fontId="10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right" readingOrder="0" shrinkToFit="0" wrapText="1"/>
    </xf>
    <xf borderId="17" fillId="5" fontId="8" numFmtId="0" xfId="0" applyAlignment="1" applyBorder="1" applyFont="1">
      <alignment readingOrder="0" vertical="center"/>
    </xf>
    <xf borderId="18" fillId="5" fontId="8" numFmtId="0" xfId="0" applyAlignment="1" applyBorder="1" applyFont="1">
      <alignment vertical="center"/>
    </xf>
    <xf borderId="78" fillId="5" fontId="9" numFmtId="0" xfId="0" applyAlignment="1" applyBorder="1" applyFont="1">
      <alignment horizontal="center" readingOrder="0" vertical="center"/>
    </xf>
    <xf borderId="19" fillId="5" fontId="9" numFmtId="0" xfId="0" applyAlignment="1" applyBorder="1" applyFont="1">
      <alignment horizontal="center" readingOrder="0" vertical="center"/>
    </xf>
    <xf borderId="20" fillId="5" fontId="9" numFmtId="0" xfId="0" applyBorder="1" applyFont="1"/>
    <xf borderId="21" fillId="5" fontId="9" numFmtId="0" xfId="0" applyBorder="1" applyFont="1"/>
    <xf borderId="22" fillId="11" fontId="8" numFmtId="0" xfId="0" applyAlignment="1" applyBorder="1" applyFill="1" applyFont="1">
      <alignment readingOrder="0" vertical="center"/>
    </xf>
    <xf borderId="23" fillId="11" fontId="8" numFmtId="0" xfId="0" applyAlignment="1" applyBorder="1" applyFont="1">
      <alignment vertical="center"/>
    </xf>
    <xf borderId="79" fillId="11" fontId="9" numFmtId="0" xfId="0" applyAlignment="1" applyBorder="1" applyFont="1">
      <alignment horizontal="center" readingOrder="0" vertical="center"/>
    </xf>
    <xf borderId="24" fillId="11" fontId="9" numFmtId="0" xfId="0" applyAlignment="1" applyBorder="1" applyFont="1">
      <alignment horizontal="center" readingOrder="0" vertical="center"/>
    </xf>
    <xf borderId="25" fillId="11" fontId="8" numFmtId="0" xfId="0" applyAlignment="1" applyBorder="1" applyFont="1">
      <alignment horizontal="center" readingOrder="0"/>
    </xf>
    <xf borderId="26" fillId="11" fontId="8" numFmtId="0" xfId="0" applyAlignment="1" applyBorder="1" applyFont="1">
      <alignment horizontal="center" readingOrder="0"/>
    </xf>
    <xf borderId="29" fillId="0" fontId="11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readingOrder="0" vertical="center"/>
    </xf>
    <xf borderId="30" fillId="0" fontId="11" numFmtId="0" xfId="0" applyAlignment="1" applyBorder="1" applyFont="1">
      <alignment horizontal="center" readingOrder="0" vertical="center"/>
    </xf>
    <xf borderId="31" fillId="2" fontId="12" numFmtId="0" xfId="0" applyAlignment="1" applyBorder="1" applyFont="1">
      <alignment horizontal="center" readingOrder="0" vertical="center"/>
    </xf>
    <xf borderId="32" fillId="12" fontId="13" numFmtId="0" xfId="0" applyAlignment="1" applyBorder="1" applyFill="1" applyFont="1">
      <alignment horizontal="center" readingOrder="0"/>
    </xf>
    <xf borderId="35" fillId="0" fontId="11" numFmtId="0" xfId="0" applyAlignment="1" applyBorder="1" applyFont="1">
      <alignment horizontal="center" readingOrder="0" vertical="center"/>
    </xf>
    <xf borderId="37" fillId="12" fontId="13" numFmtId="0" xfId="0" applyAlignment="1" applyBorder="1" applyFont="1">
      <alignment horizontal="center" readingOrder="0"/>
    </xf>
    <xf borderId="37" fillId="13" fontId="13" numFmtId="0" xfId="0" applyAlignment="1" applyBorder="1" applyFill="1" applyFont="1">
      <alignment horizontal="center" readingOrder="0"/>
    </xf>
    <xf borderId="39" fillId="0" fontId="14" numFmtId="0" xfId="0" applyAlignment="1" applyBorder="1" applyFont="1">
      <alignment horizontal="center" readingOrder="0" shrinkToFit="0" wrapText="0"/>
    </xf>
    <xf borderId="39" fillId="0" fontId="14" numFmtId="0" xfId="0" applyAlignment="1" applyBorder="1" applyFont="1">
      <alignment horizontal="center" readingOrder="0" shrinkToFit="0" vertical="bottom" wrapText="0"/>
    </xf>
    <xf borderId="35" fillId="0" fontId="16" numFmtId="0" xfId="0" applyAlignment="1" applyBorder="1" applyFont="1">
      <alignment horizontal="center" readingOrder="0" vertical="center"/>
    </xf>
    <xf borderId="12" fillId="0" fontId="16" numFmtId="0" xfId="0" applyAlignment="1" applyBorder="1" applyFont="1">
      <alignment horizontal="center" readingOrder="0" vertical="center"/>
    </xf>
    <xf borderId="36" fillId="0" fontId="16" numFmtId="0" xfId="0" applyAlignment="1" applyBorder="1" applyFont="1">
      <alignment horizontal="center" readingOrder="0" vertical="center"/>
    </xf>
    <xf borderId="40" fillId="0" fontId="17" numFmtId="0" xfId="0" applyAlignment="1" applyBorder="1" applyFont="1">
      <alignment horizontal="center" readingOrder="0" shrinkToFit="0" wrapText="0"/>
    </xf>
    <xf borderId="40" fillId="0" fontId="17" numFmtId="0" xfId="0" applyAlignment="1" applyBorder="1" applyFont="1">
      <alignment horizontal="center" readingOrder="0" shrinkToFit="0" vertical="bottom" wrapText="0"/>
    </xf>
    <xf borderId="12" fillId="0" fontId="14" numFmtId="0" xfId="0" applyAlignment="1" applyBorder="1" applyFont="1">
      <alignment horizontal="center" readingOrder="0" shrinkToFit="0" wrapText="0"/>
    </xf>
    <xf borderId="40" fillId="0" fontId="14" numFmtId="0" xfId="0" applyAlignment="1" applyBorder="1" applyFont="1">
      <alignment horizontal="center" readingOrder="0" shrinkToFit="0" wrapText="0"/>
    </xf>
    <xf borderId="76" fillId="0" fontId="14" numFmtId="0" xfId="0" applyAlignment="1" applyBorder="1" applyFont="1">
      <alignment horizontal="center" readingOrder="0" shrinkToFit="0" wrapText="0"/>
    </xf>
    <xf borderId="41" fillId="0" fontId="16" numFmtId="0" xfId="0" applyAlignment="1" applyBorder="1" applyFont="1">
      <alignment horizontal="center" readingOrder="0" vertical="center"/>
    </xf>
    <xf borderId="19" fillId="0" fontId="16" numFmtId="0" xfId="0" applyAlignment="1" applyBorder="1" applyFont="1">
      <alignment horizontal="center" readingOrder="0" vertical="center"/>
    </xf>
    <xf borderId="42" fillId="0" fontId="16" numFmtId="0" xfId="0" applyAlignment="1" applyBorder="1" applyFont="1">
      <alignment horizontal="center" readingOrder="0" vertical="center"/>
    </xf>
    <xf borderId="41" fillId="2" fontId="12" numFmtId="0" xfId="0" applyAlignment="1" applyBorder="1" applyFont="1">
      <alignment horizontal="center" readingOrder="0" vertical="center"/>
    </xf>
    <xf borderId="22" fillId="5" fontId="8" numFmtId="0" xfId="0" applyAlignment="1" applyBorder="1" applyFont="1">
      <alignment horizontal="left" readingOrder="0" shrinkToFit="0" vertical="center" wrapText="0"/>
    </xf>
    <xf borderId="43" fillId="5" fontId="18" numFmtId="0" xfId="0" applyAlignment="1" applyBorder="1" applyFont="1">
      <alignment horizontal="right" readingOrder="0" vertical="center"/>
    </xf>
    <xf borderId="44" fillId="0" fontId="11" numFmtId="0" xfId="0" applyAlignment="1" applyBorder="1" applyFont="1">
      <alignment horizontal="center" readingOrder="0" vertical="center"/>
    </xf>
    <xf borderId="44" fillId="2" fontId="12" numFmtId="0" xfId="0" applyAlignment="1" applyBorder="1" applyFont="1">
      <alignment horizontal="center" readingOrder="0" vertical="center"/>
    </xf>
    <xf borderId="45" fillId="2" fontId="12" numFmtId="0" xfId="0" applyAlignment="1" applyBorder="1" applyFont="1">
      <alignment horizontal="center" readingOrder="0" vertical="center"/>
    </xf>
    <xf borderId="32" fillId="2" fontId="12" numFmtId="0" xfId="0" applyAlignment="1" applyBorder="1" applyFont="1">
      <alignment horizontal="center" readingOrder="0" vertical="center"/>
    </xf>
    <xf borderId="37" fillId="2" fontId="12" numFmtId="0" xfId="0" applyAlignment="1" applyBorder="1" applyFont="1">
      <alignment horizontal="center" readingOrder="0" vertical="center"/>
    </xf>
    <xf borderId="32" fillId="2" fontId="12" numFmtId="0" xfId="0" applyAlignment="1" applyBorder="1" applyFont="1">
      <alignment horizontal="center" vertical="center"/>
    </xf>
    <xf borderId="40" fillId="2" fontId="43" numFmtId="0" xfId="0" applyAlignment="1" applyBorder="1" applyFont="1">
      <alignment horizontal="center" readingOrder="0" shrinkToFit="0" wrapText="0"/>
    </xf>
    <xf borderId="40" fillId="2" fontId="43" numFmtId="0" xfId="0" applyAlignment="1" applyBorder="1" applyFont="1">
      <alignment horizontal="center" readingOrder="0" shrinkToFit="0" vertical="bottom" wrapText="0"/>
    </xf>
    <xf borderId="39" fillId="4" fontId="43" numFmtId="0" xfId="0" applyAlignment="1" applyBorder="1" applyFont="1">
      <alignment horizontal="center" readingOrder="0" shrinkToFit="0" wrapText="0"/>
    </xf>
    <xf borderId="39" fillId="4" fontId="43" numFmtId="0" xfId="0" applyAlignment="1" applyBorder="1" applyFont="1">
      <alignment horizontal="center" readingOrder="0" shrinkToFit="0" vertical="bottom" wrapText="0"/>
    </xf>
    <xf borderId="39" fillId="2" fontId="43" numFmtId="0" xfId="0" applyAlignment="1" applyBorder="1" applyFont="1">
      <alignment horizontal="center" readingOrder="0" shrinkToFit="0" wrapText="0"/>
    </xf>
    <xf borderId="39" fillId="2" fontId="43" numFmtId="0" xfId="0" applyAlignment="1" applyBorder="1" applyFont="1">
      <alignment horizontal="center" readingOrder="0" shrinkToFit="0" vertical="bottom" wrapText="0"/>
    </xf>
    <xf borderId="29" fillId="2" fontId="11" numFmtId="0" xfId="0" applyAlignment="1" applyBorder="1" applyFont="1">
      <alignment horizontal="center" readingOrder="0" vertical="center"/>
    </xf>
    <xf borderId="7" fillId="2" fontId="11" numFmtId="0" xfId="0" applyAlignment="1" applyBorder="1" applyFont="1">
      <alignment horizontal="center" readingOrder="0" vertical="center"/>
    </xf>
    <xf borderId="30" fillId="2" fontId="11" numFmtId="0" xfId="0" applyAlignment="1" applyBorder="1" applyFont="1">
      <alignment horizontal="center" readingOrder="0" vertical="center"/>
    </xf>
    <xf borderId="29" fillId="2" fontId="12" numFmtId="0" xfId="0" applyAlignment="1" applyBorder="1" applyFont="1">
      <alignment horizontal="center" vertical="center"/>
    </xf>
    <xf borderId="80" fillId="2" fontId="12" numFmtId="0" xfId="0" applyAlignment="1" applyBorder="1" applyFont="1">
      <alignment horizontal="center" vertical="center"/>
    </xf>
    <xf borderId="36" fillId="2" fontId="16" numFmtId="0" xfId="0" applyAlignment="1" applyBorder="1" applyFont="1">
      <alignment horizontal="center" readingOrder="0" vertical="center"/>
    </xf>
    <xf borderId="81" fillId="2" fontId="12" numFmtId="0" xfId="0" applyAlignment="1" applyBorder="1" applyFont="1">
      <alignment horizontal="center" vertical="center"/>
    </xf>
    <xf borderId="13" fillId="2" fontId="9" numFmtId="0" xfId="0" applyAlignment="1" applyBorder="1" applyFont="1">
      <alignment horizontal="center" vertical="center"/>
    </xf>
    <xf borderId="0" fillId="0" fontId="15" numFmtId="0" xfId="0" applyAlignment="1" applyFont="1">
      <alignment readingOrder="0"/>
    </xf>
    <xf borderId="0" fillId="2" fontId="44" numFmtId="0" xfId="0" applyAlignment="1" applyFont="1">
      <alignment readingOrder="0" vertical="bottom"/>
    </xf>
    <xf borderId="0" fillId="2" fontId="45" numFmtId="0" xfId="0" applyAlignment="1" applyFont="1">
      <alignment vertical="bottom"/>
    </xf>
    <xf borderId="0" fillId="2" fontId="46" numFmtId="0" xfId="0" applyAlignment="1" applyFont="1">
      <alignment vertical="bottom"/>
    </xf>
    <xf borderId="0" fillId="2" fontId="44" numFmtId="0" xfId="0" applyAlignment="1" applyFont="1">
      <alignment horizontal="center" vertical="bottom"/>
    </xf>
    <xf borderId="0" fillId="2" fontId="32" numFmtId="0" xfId="0" applyAlignment="1" applyFont="1">
      <alignment vertical="bottom"/>
    </xf>
    <xf borderId="0" fillId="2" fontId="44" numFmtId="0" xfId="0" applyAlignment="1" applyFont="1">
      <alignment horizontal="right"/>
    </xf>
    <xf borderId="1" fillId="3" fontId="47" numFmtId="0" xfId="0" applyBorder="1" applyFont="1"/>
    <xf borderId="2" fillId="3" fontId="48" numFmtId="0" xfId="0" applyBorder="1" applyFont="1"/>
    <xf borderId="2" fillId="3" fontId="49" numFmtId="0" xfId="0" applyAlignment="1" applyBorder="1" applyFont="1">
      <alignment horizontal="center" vertical="center"/>
    </xf>
    <xf borderId="82" fillId="3" fontId="6" numFmtId="0" xfId="0" applyBorder="1" applyFont="1"/>
    <xf borderId="83" fillId="2" fontId="8" numFmtId="0" xfId="0" applyBorder="1" applyFont="1"/>
    <xf borderId="39" fillId="2" fontId="6" numFmtId="0" xfId="0" applyBorder="1" applyFont="1"/>
    <xf borderId="84" fillId="2" fontId="9" numFmtId="16" xfId="0" applyAlignment="1" applyBorder="1" applyFont="1" applyNumberFormat="1">
      <alignment horizontal="center"/>
    </xf>
    <xf borderId="84" fillId="2" fontId="9" numFmtId="0" xfId="0" applyBorder="1" applyFont="1"/>
    <xf borderId="37" fillId="2" fontId="9" numFmtId="0" xfId="0" applyBorder="1" applyFont="1"/>
    <xf borderId="85" fillId="4" fontId="8" numFmtId="0" xfId="0" applyBorder="1" applyFont="1"/>
    <xf borderId="40" fillId="4" fontId="6" numFmtId="0" xfId="0" applyBorder="1" applyFont="1"/>
    <xf borderId="12" fillId="4" fontId="9" numFmtId="164" xfId="0" applyAlignment="1" applyBorder="1" applyFont="1" applyNumberFormat="1">
      <alignment horizontal="center"/>
    </xf>
    <xf borderId="12" fillId="4" fontId="9" numFmtId="0" xfId="0" applyBorder="1" applyFont="1"/>
    <xf borderId="80" fillId="4" fontId="9" numFmtId="0" xfId="0" applyBorder="1" applyFont="1"/>
    <xf borderId="85" fillId="2" fontId="8" numFmtId="0" xfId="0" applyAlignment="1" applyBorder="1" applyFont="1">
      <alignment vertical="center"/>
    </xf>
    <xf borderId="40" fillId="2" fontId="6" numFmtId="0" xfId="0" applyBorder="1" applyFont="1"/>
    <xf borderId="12" fillId="2" fontId="9" numFmtId="0" xfId="0" applyBorder="1" applyFont="1"/>
    <xf borderId="80" fillId="2" fontId="9" numFmtId="0" xfId="0" applyBorder="1" applyFont="1"/>
    <xf borderId="85" fillId="4" fontId="8" numFmtId="0" xfId="0" applyAlignment="1" applyBorder="1" applyFont="1">
      <alignment vertical="center"/>
    </xf>
    <xf borderId="0" fillId="2" fontId="44" numFmtId="0" xfId="0" applyAlignment="1" applyFont="1">
      <alignment horizontal="right" shrinkToFit="0" wrapText="1"/>
    </xf>
    <xf borderId="86" fillId="2" fontId="8" numFmtId="0" xfId="0" applyAlignment="1" applyBorder="1" applyFont="1">
      <alignment vertical="center"/>
    </xf>
    <xf borderId="87" fillId="2" fontId="6" numFmtId="0" xfId="0" applyBorder="1" applyFont="1"/>
    <xf borderId="88" fillId="2" fontId="9" numFmtId="0" xfId="0" applyAlignment="1" applyBorder="1" applyFont="1">
      <alignment horizontal="center" vertical="center"/>
    </xf>
    <xf borderId="88" fillId="2" fontId="9" numFmtId="0" xfId="0" applyBorder="1" applyFont="1"/>
    <xf borderId="89" fillId="2" fontId="9" numFmtId="0" xfId="0" applyBorder="1" applyFont="1"/>
    <xf borderId="0" fillId="2" fontId="32" numFmtId="0" xfId="0" applyFont="1"/>
    <xf borderId="1" fillId="4" fontId="8" numFmtId="0" xfId="0" applyAlignment="1" applyBorder="1" applyFont="1">
      <alignment vertical="center"/>
    </xf>
    <xf borderId="90" fillId="4" fontId="6" numFmtId="0" xfId="0" applyBorder="1" applyFont="1"/>
    <xf borderId="91" fillId="4" fontId="9" numFmtId="0" xfId="0" applyAlignment="1" applyBorder="1" applyFont="1">
      <alignment horizontal="center" vertical="center"/>
    </xf>
    <xf borderId="91" fillId="4" fontId="8" numFmtId="0" xfId="0" applyAlignment="1" applyBorder="1" applyFont="1">
      <alignment horizontal="center"/>
    </xf>
    <xf borderId="45" fillId="4" fontId="8" numFmtId="0" xfId="0" applyAlignment="1" applyBorder="1" applyFont="1">
      <alignment horizontal="center"/>
    </xf>
    <xf borderId="76" fillId="2" fontId="8" numFmtId="0" xfId="0" applyAlignment="1" applyBorder="1" applyFont="1">
      <alignment readingOrder="0"/>
    </xf>
    <xf borderId="84" fillId="2" fontId="9" numFmtId="0" xfId="0" applyAlignment="1" applyBorder="1" applyFont="1">
      <alignment horizontal="right" readingOrder="0"/>
    </xf>
    <xf borderId="84" fillId="2" fontId="9" numFmtId="0" xfId="0" applyAlignment="1" applyBorder="1" applyFont="1">
      <alignment horizontal="center" readingOrder="0"/>
    </xf>
    <xf borderId="84" fillId="2" fontId="50" numFmtId="0" xfId="0" applyAlignment="1" applyBorder="1" applyFont="1">
      <alignment horizontal="center" readingOrder="0"/>
    </xf>
    <xf borderId="84" fillId="2" fontId="50" numFmtId="0" xfId="0" applyAlignment="1" applyBorder="1" applyFont="1">
      <alignment horizontal="center"/>
    </xf>
    <xf borderId="84" fillId="2" fontId="12" numFmtId="0" xfId="0" applyAlignment="1" applyBorder="1" applyFont="1">
      <alignment horizontal="center"/>
    </xf>
    <xf borderId="37" fillId="2" fontId="12" numFmtId="0" xfId="0" applyAlignment="1" applyBorder="1" applyFont="1">
      <alignment horizontal="center"/>
    </xf>
    <xf borderId="35" fillId="2" fontId="8" numFmtId="0" xfId="0" applyAlignment="1" applyBorder="1" applyFont="1">
      <alignment readingOrder="0"/>
    </xf>
    <xf borderId="12" fillId="2" fontId="9" numFmtId="0" xfId="0" applyAlignment="1" applyBorder="1" applyFont="1">
      <alignment horizontal="right" readingOrder="0"/>
    </xf>
    <xf borderId="12" fillId="2" fontId="9" numFmtId="0" xfId="0" applyAlignment="1" applyBorder="1" applyFont="1">
      <alignment horizontal="center" readingOrder="0"/>
    </xf>
    <xf borderId="12" fillId="2" fontId="50" numFmtId="0" xfId="0" applyAlignment="1" applyBorder="1" applyFont="1">
      <alignment horizontal="center" readingOrder="0"/>
    </xf>
    <xf borderId="12" fillId="2" fontId="50" numFmtId="0" xfId="0" applyAlignment="1" applyBorder="1" applyFont="1">
      <alignment horizontal="center"/>
    </xf>
    <xf borderId="12" fillId="2" fontId="12" numFmtId="0" xfId="0" applyAlignment="1" applyBorder="1" applyFont="1">
      <alignment horizontal="center"/>
    </xf>
    <xf borderId="80" fillId="2" fontId="12" numFmtId="0" xfId="0" applyAlignment="1" applyBorder="1" applyFont="1">
      <alignment horizontal="center"/>
    </xf>
    <xf borderId="0" fillId="0" fontId="32" numFmtId="0" xfId="0" applyFont="1"/>
    <xf borderId="12" fillId="2" fontId="51" numFmtId="0" xfId="0" applyBorder="1" applyFont="1"/>
    <xf borderId="12" fillId="2" fontId="50" numFmtId="0" xfId="0" applyAlignment="1" applyBorder="1" applyFont="1">
      <alignment horizontal="center"/>
    </xf>
    <xf borderId="35" fillId="4" fontId="8" numFmtId="0" xfId="0" applyAlignment="1" applyBorder="1" applyFont="1">
      <alignment readingOrder="0"/>
    </xf>
    <xf borderId="12" fillId="4" fontId="9" numFmtId="0" xfId="0" applyAlignment="1" applyBorder="1" applyFont="1">
      <alignment horizontal="right" readingOrder="0"/>
    </xf>
    <xf borderId="12" fillId="4" fontId="9" numFmtId="0" xfId="0" applyAlignment="1" applyBorder="1" applyFont="1">
      <alignment horizontal="center" readingOrder="0"/>
    </xf>
    <xf borderId="12" fillId="4" fontId="51" numFmtId="0" xfId="0" applyBorder="1" applyFont="1"/>
    <xf borderId="12" fillId="4" fontId="12" numFmtId="0" xfId="0" applyAlignment="1" applyBorder="1" applyFont="1">
      <alignment horizontal="center"/>
    </xf>
    <xf borderId="80" fillId="4" fontId="12" numFmtId="0" xfId="0" applyAlignment="1" applyBorder="1" applyFont="1">
      <alignment horizontal="center"/>
    </xf>
    <xf borderId="35" fillId="2" fontId="8" numFmtId="0" xfId="0" applyAlignment="1" applyBorder="1" applyFont="1">
      <alignment horizontal="left" readingOrder="0" shrinkToFit="0" vertical="center" wrapText="0"/>
    </xf>
    <xf borderId="12" fillId="2" fontId="9" numFmtId="0" xfId="0" applyAlignment="1" applyBorder="1" applyFont="1">
      <alignment horizontal="right" readingOrder="0" vertical="center"/>
    </xf>
    <xf borderId="12" fillId="2" fontId="52" numFmtId="0" xfId="0" applyAlignment="1" applyBorder="1" applyFont="1">
      <alignment horizontal="center" vertical="center"/>
    </xf>
    <xf borderId="35" fillId="4" fontId="8" numFmtId="0" xfId="0" applyAlignment="1" applyBorder="1" applyFont="1">
      <alignment horizontal="left" readingOrder="0" shrinkToFit="0" vertical="center" wrapText="0"/>
    </xf>
    <xf borderId="12" fillId="4" fontId="9" numFmtId="0" xfId="0" applyAlignment="1" applyBorder="1" applyFont="1">
      <alignment horizontal="right" readingOrder="0" vertical="center"/>
    </xf>
    <xf borderId="12" fillId="4" fontId="9" numFmtId="0" xfId="0" applyAlignment="1" applyBorder="1" applyFont="1">
      <alignment horizontal="center"/>
    </xf>
    <xf borderId="12" fillId="4" fontId="32" numFmtId="0" xfId="0" applyAlignment="1" applyBorder="1" applyFont="1">
      <alignment horizontal="center"/>
    </xf>
    <xf borderId="12" fillId="4" fontId="52" numFmtId="0" xfId="0" applyAlignment="1" applyBorder="1" applyFont="1">
      <alignment horizontal="center" vertical="center"/>
    </xf>
    <xf borderId="41" fillId="3" fontId="8" numFmtId="0" xfId="0" applyAlignment="1" applyBorder="1" applyFont="1">
      <alignment horizontal="left" readingOrder="0" shrinkToFit="0" vertical="center" wrapText="0"/>
    </xf>
    <xf borderId="19" fillId="3" fontId="9" numFmtId="0" xfId="0" applyAlignment="1" applyBorder="1" applyFont="1">
      <alignment horizontal="right" readingOrder="0" vertical="center"/>
    </xf>
    <xf borderId="19" fillId="3" fontId="9" numFmtId="0" xfId="0" applyAlignment="1" applyBorder="1" applyFont="1">
      <alignment horizontal="center" readingOrder="0"/>
    </xf>
    <xf borderId="19" fillId="3" fontId="32" numFmtId="0" xfId="0" applyAlignment="1" applyBorder="1" applyFont="1">
      <alignment horizontal="center"/>
    </xf>
    <xf borderId="19" fillId="3" fontId="52" numFmtId="0" xfId="0" applyAlignment="1" applyBorder="1" applyFont="1">
      <alignment horizontal="center" vertical="center"/>
    </xf>
    <xf borderId="81" fillId="3" fontId="12" numFmtId="0" xfId="0" applyAlignment="1" applyBorder="1" applyFont="1">
      <alignment horizontal="center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b/>
        <color rgb="FF38761D"/>
      </font>
      <fill>
        <patternFill patternType="solid">
          <fgColor rgb="FFB7E1CD"/>
          <bgColor rgb="FFB7E1CD"/>
        </patternFill>
      </fill>
      <border/>
    </dxf>
    <dxf>
      <font>
        <b/>
        <color rgb="FF38761D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BBC8CE"/>
          <bgColor rgb="FFBBC8CE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4">
    <tableStyle count="4" pivot="0" name="Ladder - Round by Round-style">
      <tableStyleElement dxfId="6" type="headerRow"/>
      <tableStyleElement dxfId="7" type="firstRowStripe"/>
      <tableStyleElement dxfId="8" type="secondRowStripe"/>
      <tableStyleElement dxfId="9" type="totalRow"/>
    </tableStyle>
    <tableStyle count="3" pivot="0" name="Ladder - Overall-style">
      <tableStyleElement dxfId="10" type="headerRow"/>
      <tableStyleElement dxfId="7" type="firstRowStripe"/>
      <tableStyleElement dxfId="11" type="secondRowStripe"/>
    </tableStyle>
    <tableStyle count="2" pivot="0" name="Round 11-style">
      <tableStyleElement dxfId="12" type="firstRowStripe"/>
      <tableStyleElement dxfId="7" type="secondRowStripe"/>
    </tableStyle>
    <tableStyle count="4" pivot="0" name="Round 8-style">
      <tableStyleElement dxfId="13" type="headerRow"/>
      <tableStyleElement dxfId="7" type="firstRowStripe"/>
      <tableStyleElement dxfId="12" type="secondRowStripe"/>
      <tableStyleElement dxfId="13" type="totalRow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25</xdr:row>
      <xdr:rowOff>0</xdr:rowOff>
    </xdr:from>
    <xdr:ext cx="2781300" cy="447675"/>
    <xdr:sp>
      <xdr:nvSpPr>
        <xdr:cNvPr id="3" name="Shape 3"/>
        <xdr:cNvSpPr/>
      </xdr:nvSpPr>
      <xdr:spPr>
        <a:xfrm>
          <a:off x="338325" y="404600"/>
          <a:ext cx="2368500" cy="358200"/>
        </a:xfrm>
        <a:prstGeom prst="roundRect">
          <a:avLst>
            <a:gd fmla="val 16667" name="adj"/>
          </a:avLst>
        </a:prstGeom>
        <a:solidFill>
          <a:srgbClr val="B6D7A8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latin typeface="Lato"/>
              <a:ea typeface="Lato"/>
              <a:cs typeface="Lato"/>
              <a:sym typeface="Lato"/>
            </a:rPr>
            <a:t>Next Round</a:t>
          </a:r>
          <a:endParaRPr b="1" sz="13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8</xdr:row>
      <xdr:rowOff>152400</xdr:rowOff>
    </xdr:from>
    <xdr:ext cx="2286000" cy="447675"/>
    <xdr:sp>
      <xdr:nvSpPr>
        <xdr:cNvPr id="4" name="Shape 4"/>
        <xdr:cNvSpPr/>
      </xdr:nvSpPr>
      <xdr:spPr>
        <a:xfrm>
          <a:off x="1373250" y="1462825"/>
          <a:ext cx="2268900" cy="427800"/>
        </a:xfrm>
        <a:prstGeom prst="roundRect">
          <a:avLst>
            <a:gd fmla="val 16667" name="adj"/>
          </a:avLst>
        </a:prstGeom>
        <a:solidFill>
          <a:srgbClr val="B4A7D6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Send</a:t>
          </a:r>
          <a:r>
            <a:rPr lang="en-US" sz="1400"/>
            <a:t> </a:t>
          </a:r>
          <a:r>
            <a:rPr b="1" lang="en-US" sz="1400"/>
            <a:t>Email</a:t>
          </a:r>
          <a:endParaRPr b="1" sz="1400"/>
        </a:p>
      </xdr:txBody>
    </xdr:sp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26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adder - Round by Rou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5:E30" displayName="Ladder" name="Ladder" id="2">
  <tableColumns count="4">
    <tableColumn name="Position" id="1"/>
    <tableColumn name="Tipster" id="2"/>
    <tableColumn name="Round" id="3"/>
    <tableColumn name="Total" id="4"/>
  </tableColumns>
  <tableStyleInfo name="Ladder - Overall-style" showColumnStripes="0" showFirstColumn="1" showLastColumn="1" showRowStripes="1"/>
</table>
</file>

<file path=xl/tables/table3.xml><?xml version="1.0" encoding="utf-8"?>
<table xmlns="http://schemas.openxmlformats.org/spreadsheetml/2006/main" headerRowCount="0" ref="D36:L36" displayName="Table_2" name="Table_2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ound 11-style" showColumnStripes="0" showFirstColumn="1" showLastColumn="1" showRowStripes="1"/>
</table>
</file>

<file path=xl/tables/table4.xml><?xml version="1.0" encoding="utf-8"?>
<table xmlns="http://schemas.openxmlformats.org/spreadsheetml/2006/main" headerRowCount="0" ref="B2:N34" displayName="Table_3" name="Table_3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Round 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3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4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2">
        <f>today()</f>
        <v>45889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f>'Current Round'!B6</f>
        <v>24</v>
      </c>
      <c r="B2" s="7" t="str">
        <f>"Round "&amp;A2</f>
        <v>Round 24</v>
      </c>
      <c r="C2" s="8"/>
      <c r="D2" s="9" t="str">
        <f>"Cooksey Plate - Round "&amp;A2</f>
        <v>Cooksey Plate - Round 24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f>IFERROR(VLOOKUP($A$2&amp;D$1,'Data Feed'!$A:$AB,10,FALSE),"")</f>
        <v>45890.8125</v>
      </c>
      <c r="E3" s="15">
        <f>IFERROR(VLOOKUP($A$2&amp;E$1,'Data Feed'!$A:$AB,10,FALSE),"")</f>
        <v>45891.79861</v>
      </c>
      <c r="F3" s="15">
        <f>IFERROR(VLOOKUP($A$2&amp;F$1,'Data Feed'!$A:$AB,10,FALSE),"")</f>
        <v>45891.84028</v>
      </c>
      <c r="G3" s="15">
        <f>IFERROR(VLOOKUP($A$2&amp;G$1,'Data Feed'!$A:$AB,10,FALSE),"")</f>
        <v>45892.55556</v>
      </c>
      <c r="H3" s="15">
        <f>IFERROR(VLOOKUP($A$2&amp;H$1,'Data Feed'!$A:$AB,10,FALSE),"")</f>
        <v>45892.67708</v>
      </c>
      <c r="I3" s="15">
        <f>IFERROR(VLOOKUP($A$2&amp;I$1,'Data Feed'!$A:$AB,10,FALSE),"")</f>
        <v>45892.81597</v>
      </c>
      <c r="J3" s="15">
        <f>IFERROR(VLOOKUP($A$2&amp;J$1,'Data Feed'!$A:$AB,10,FALSE),"")</f>
        <v>45893.51389</v>
      </c>
      <c r="K3" s="15">
        <f>IFERROR(VLOOKUP($A$2&amp;K$1,'Data Feed'!$A:$AB,10,FALSE),"")</f>
        <v>45893.63542</v>
      </c>
      <c r="L3" s="15">
        <f>IFERROR(VLOOKUP($A$2&amp;L$1,'Data Feed'!$A:$AB,10,FALSE),"")</f>
        <v>45893.80556</v>
      </c>
      <c r="M3" s="16"/>
      <c r="N3" s="17"/>
    </row>
    <row r="4">
      <c r="A4" s="6"/>
      <c r="B4" s="18" t="s">
        <v>2</v>
      </c>
      <c r="C4" s="19"/>
      <c r="D4" s="20" t="str">
        <f>IFERROR(VLOOKUP($A$2&amp;D$1,'Data Feed'!$A:$AC,29,FALSE),"")</f>
        <v>Thursday</v>
      </c>
      <c r="E4" s="20" t="str">
        <f>IFERROR(VLOOKUP($A$2&amp;E$1,'Data Feed'!$A:$AC,29,FALSE),"")</f>
        <v>Friday</v>
      </c>
      <c r="F4" s="20" t="str">
        <f>IFERROR(VLOOKUP($A$2&amp;F$1,'Data Feed'!$A:$AC,29,FALSE),"")</f>
        <v>Friday</v>
      </c>
      <c r="G4" s="20" t="str">
        <f>IFERROR(VLOOKUP($A$2&amp;G$1,'Data Feed'!$A:$AC,29,FALSE),"")</f>
        <v>Saturday</v>
      </c>
      <c r="H4" s="20" t="str">
        <f>IFERROR(VLOOKUP($A$2&amp;H$1,'Data Feed'!$A:$AC,29,FALSE),"")</f>
        <v>Saturday</v>
      </c>
      <c r="I4" s="20" t="str">
        <f>IFERROR(VLOOKUP($A$2&amp;I$1,'Data Feed'!$A:$AC,29,FALSE),"")</f>
        <v>Saturday</v>
      </c>
      <c r="J4" s="20" t="str">
        <f>IFERROR(VLOOKUP($A$2&amp;J$1,'Data Feed'!$A:$AC,29,FALSE),"")</f>
        <v>Sunday</v>
      </c>
      <c r="K4" s="20" t="str">
        <f>IFERROR(VLOOKUP($A$2&amp;K$1,'Data Feed'!$A:$AC,29,FALSE),"")</f>
        <v>Sunday</v>
      </c>
      <c r="L4" s="20" t="str">
        <f>IFERROR(VLOOKUP($A$2&amp;L$1,'Data Feed'!$A:$AC,29,FALSE),"")</f>
        <v>Sunday</v>
      </c>
      <c r="M4" s="21"/>
      <c r="N4" s="22"/>
    </row>
    <row r="5">
      <c r="A5" s="6">
        <v>5.0</v>
      </c>
      <c r="B5" s="23" t="s">
        <v>3</v>
      </c>
      <c r="C5" s="24"/>
      <c r="D5" s="25">
        <f>IFERROR(VLOOKUP($A$2&amp;D$1,'Data Feed'!$A:$AB,18,FALSE),"")</f>
        <v>45890.8125</v>
      </c>
      <c r="E5" s="25">
        <f>IFERROR(VLOOKUP($A$2&amp;E$1,'Data Feed'!$A:$AB,18,FALSE),"")</f>
        <v>45891.79861</v>
      </c>
      <c r="F5" s="25">
        <f>IFERROR(VLOOKUP($A$2&amp;F$1,'Data Feed'!$A:$AB,18,FALSE),"")</f>
        <v>45891.81944</v>
      </c>
      <c r="G5" s="25">
        <f>IFERROR(VLOOKUP($A$2&amp;G$1,'Data Feed'!$A:$AB,18,FALSE),"")</f>
        <v>45892.55556</v>
      </c>
      <c r="H5" s="25">
        <f>IFERROR(VLOOKUP($A$2&amp;H$1,'Data Feed'!$A:$AB,18,FALSE),"")</f>
        <v>45892.67708</v>
      </c>
      <c r="I5" s="25">
        <f>IFERROR(VLOOKUP($A$2&amp;I$1,'Data Feed'!$A:$AB,18,FALSE),"")</f>
        <v>45892.73264</v>
      </c>
      <c r="J5" s="25">
        <f>IFERROR(VLOOKUP($A$2&amp;J$1,'Data Feed'!$A:$AB,18,FALSE),"")</f>
        <v>45893.51389</v>
      </c>
      <c r="K5" s="25">
        <f>IFERROR(VLOOKUP($A$2&amp;K$1,'Data Feed'!$A:$AB,18,FALSE),"")</f>
        <v>45893.63542</v>
      </c>
      <c r="L5" s="25">
        <f>IFERROR(VLOOKUP($A$2&amp;L$1,'Data Feed'!$A:$AB,18,FALSE),"")</f>
        <v>45893.80556</v>
      </c>
      <c r="M5" s="26"/>
      <c r="N5" s="27"/>
    </row>
    <row r="6">
      <c r="A6" s="6">
        <v>7.0</v>
      </c>
      <c r="B6" s="28" t="s">
        <v>4</v>
      </c>
      <c r="C6" s="29"/>
      <c r="D6" s="30" t="str">
        <f>IFERROR(VLOOKUP($A$2&amp;D$1,'Data Feed'!$A:$AB,14,FALSE),"")</f>
        <v>Essendon</v>
      </c>
      <c r="E6" s="30" t="str">
        <f>IFERROR(VLOOKUP($A$2&amp;E$1,'Data Feed'!$A:$AB,14,FALSE),"")</f>
        <v>Collingwood</v>
      </c>
      <c r="F6" s="30" t="str">
        <f>IFERROR(VLOOKUP($A$2&amp;F$1,'Data Feed'!$A:$AB,14,FALSE),"")</f>
        <v>Port Adelaide</v>
      </c>
      <c r="G6" s="30" t="str">
        <f>IFERROR(VLOOKUP($A$2&amp;G$1,'Data Feed'!$A:$AB,14,FALSE),"")</f>
        <v>North Melbourne</v>
      </c>
      <c r="H6" s="30" t="str">
        <f>IFERROR(VLOOKUP($A$2&amp;H$1,'Data Feed'!$A:$AB,14,FALSE),"")</f>
        <v>Richmond</v>
      </c>
      <c r="I6" s="30" t="str">
        <f>IFERROR(VLOOKUP($A$2&amp;I$1,'Data Feed'!$A:$AB,14,FALSE),"")</f>
        <v>West Coast</v>
      </c>
      <c r="J6" s="30" t="str">
        <f>IFERROR(VLOOKUP($A$2&amp;J$1,'Data Feed'!$A:$AB,14,FALSE),"")</f>
        <v>Greater Western Sydney</v>
      </c>
      <c r="K6" s="30" t="str">
        <f>IFERROR(VLOOKUP($A$2&amp;K$1,'Data Feed'!$A:$AB,14,FALSE),"")</f>
        <v>Western Bulldogs</v>
      </c>
      <c r="L6" s="30" t="str">
        <f>IFERROR(VLOOKUP($A$2&amp;L$1,'Data Feed'!$A:$AB,14,FALSE),"")</f>
        <v>Brisbane Lions</v>
      </c>
      <c r="M6" s="21"/>
      <c r="N6" s="22"/>
    </row>
    <row r="7">
      <c r="A7" s="6">
        <v>8.0</v>
      </c>
      <c r="B7" s="31" t="s">
        <v>5</v>
      </c>
      <c r="C7" s="24"/>
      <c r="D7" s="32" t="str">
        <f>IFERROR(VLOOKUP($A$2&amp;D$1,'Data Feed'!$A:$AB,7,FALSE),"")</f>
        <v>Carlton</v>
      </c>
      <c r="E7" s="32" t="str">
        <f>IFERROR(VLOOKUP($A$2&amp;E$1,'Data Feed'!$A:$AB,7,FALSE),"")</f>
        <v>Melbourne</v>
      </c>
      <c r="F7" s="32" t="str">
        <f>IFERROR(VLOOKUP($A$2&amp;F$1,'Data Feed'!$A:$AB,7,FALSE),"")</f>
        <v>Gold Coast</v>
      </c>
      <c r="G7" s="32" t="str">
        <f>IFERROR(VLOOKUP($A$2&amp;G$1,'Data Feed'!$A:$AB,7,FALSE),"")</f>
        <v>Adelaide</v>
      </c>
      <c r="H7" s="32" t="str">
        <f>IFERROR(VLOOKUP($A$2&amp;H$1,'Data Feed'!$A:$AB,7,FALSE),"")</f>
        <v>Geelong</v>
      </c>
      <c r="I7" s="32" t="str">
        <f>IFERROR(VLOOKUP($A$2&amp;I$1,'Data Feed'!$A:$AB,7,FALSE),"")</f>
        <v>Sydney</v>
      </c>
      <c r="J7" s="32" t="str">
        <f>IFERROR(VLOOKUP($A$2&amp;J$1,'Data Feed'!$A:$AB,7,FALSE),"")</f>
        <v>St Kilda</v>
      </c>
      <c r="K7" s="32" t="str">
        <f>IFERROR(VLOOKUP($A$2&amp;K$1,'Data Feed'!$A:$AB,7,FALSE),"")</f>
        <v>Fremantle</v>
      </c>
      <c r="L7" s="32" t="str">
        <f>IFERROR(VLOOKUP($A$2&amp;L$1,'Data Feed'!$A:$AB,7,FALSE),"")</f>
        <v>Hawthorn</v>
      </c>
      <c r="M7" s="26"/>
      <c r="N7" s="27"/>
    </row>
    <row r="8">
      <c r="A8" s="33">
        <v>9.0</v>
      </c>
      <c r="B8" s="34" t="s">
        <v>6</v>
      </c>
      <c r="C8" s="35"/>
      <c r="D8" s="36" t="str">
        <f>IFERROR(VLOOKUP($A$2&amp;D$1,'Data Feed'!$A:$AB,25,FALSE),"")</f>
        <v>M.C.G.</v>
      </c>
      <c r="E8" s="36" t="str">
        <f>IFERROR(VLOOKUP($A$2&amp;E$1,'Data Feed'!$A:$AB,25,FALSE),"")</f>
        <v>M.C.G.</v>
      </c>
      <c r="F8" s="36" t="str">
        <f>IFERROR(VLOOKUP($A$2&amp;F$1,'Data Feed'!$A:$AB,25,FALSE),"")</f>
        <v>Adelaide Oval</v>
      </c>
      <c r="G8" s="36" t="str">
        <f>IFERROR(VLOOKUP($A$2&amp;G$1,'Data Feed'!$A:$AB,25,FALSE),"")</f>
        <v>Docklands</v>
      </c>
      <c r="H8" s="36" t="str">
        <f>IFERROR(VLOOKUP($A$2&amp;H$1,'Data Feed'!$A:$AB,25,FALSE),"")</f>
        <v>M.C.G.</v>
      </c>
      <c r="I8" s="36" t="str">
        <f>IFERROR(VLOOKUP($A$2&amp;I$1,'Data Feed'!$A:$AB,25,FALSE),"")</f>
        <v>Perth Stadium</v>
      </c>
      <c r="J8" s="36" t="str">
        <f>IFERROR(VLOOKUP($A$2&amp;J$1,'Data Feed'!$A:$AB,25,FALSE),"")</f>
        <v>Sydney Showground</v>
      </c>
      <c r="K8" s="36" t="str">
        <f>IFERROR(VLOOKUP($A$2&amp;K$1,'Data Feed'!$A:$AB,25,FALSE),"")</f>
        <v>Docklands</v>
      </c>
      <c r="L8" s="36" t="str">
        <f>IFERROR(VLOOKUP($A$2&amp;L$1,'Data Feed'!$A:$AB,25,FALSE),"")</f>
        <v>Gabba</v>
      </c>
      <c r="M8" s="37"/>
      <c r="N8" s="38"/>
    </row>
    <row r="9">
      <c r="A9" s="39"/>
      <c r="B9" s="40" t="s">
        <v>7</v>
      </c>
      <c r="C9" s="41"/>
      <c r="D9" s="42" t="str">
        <f>IF(IFERROR(VLOOKUP($A$2&amp;D$1,'Data Feed'!$A:$AB,26,FALSE),"")=0,"",IFERROR(VLOOKUP($A$2&amp;D$1,'Data Feed'!$A:$AB,26,FALSE),""))</f>
        <v/>
      </c>
      <c r="E9" s="42" t="str">
        <f>IF(IFERROR(VLOOKUP($A$2&amp;E$1,'Data Feed'!$A:$AB,26,FALSE),"")=0,"",IFERROR(VLOOKUP($A$2&amp;E$1,'Data Feed'!$A:$AB,26,FALSE),""))</f>
        <v/>
      </c>
      <c r="F9" s="42" t="str">
        <f>IF(IFERROR(VLOOKUP($A$2&amp;F$1,'Data Feed'!$A:$AB,26,FALSE),"")=0,"",IFERROR(VLOOKUP($A$2&amp;F$1,'Data Feed'!$A:$AB,26,FALSE),""))</f>
        <v/>
      </c>
      <c r="G9" s="42" t="str">
        <f>IF(IFERROR(VLOOKUP($A$2&amp;G$1,'Data Feed'!$A:$AB,26,FALSE),"")=0,"",IFERROR(VLOOKUP($A$2&amp;G$1,'Data Feed'!$A:$AB,26,FALSE),""))</f>
        <v/>
      </c>
      <c r="H9" s="42" t="str">
        <f>IF(IFERROR(VLOOKUP($A$2&amp;H$1,'Data Feed'!$A:$AB,26,FALSE),"")=0,"",IFERROR(VLOOKUP($A$2&amp;H$1,'Data Feed'!$A:$AB,26,FALSE),""))</f>
        <v/>
      </c>
      <c r="I9" s="42" t="str">
        <f>IF(IFERROR(VLOOKUP($A$2&amp;I$1,'Data Feed'!$A:$AB,26,FALSE),"")=0,"",IFERROR(VLOOKUP($A$2&amp;I$1,'Data Feed'!$A:$AB,26,FALSE),""))</f>
        <v/>
      </c>
      <c r="J9" s="42" t="str">
        <f>IF(IFERROR(VLOOKUP($A$2&amp;J$1,'Data Feed'!$A:$AB,26,FALSE),"")=0,"",IFERROR(VLOOKUP($A$2&amp;J$1,'Data Feed'!$A:$AB,26,FALSE),""))</f>
        <v/>
      </c>
      <c r="K9" s="42" t="str">
        <f>IF(IFERROR(VLOOKUP($A$2&amp;K$1,'Data Feed'!$A:$AB,26,FALSE),"")=0,"",IFERROR(VLOOKUP($A$2&amp;K$1,'Data Feed'!$A:$AB,26,FALSE),""))</f>
        <v/>
      </c>
      <c r="L9" s="42" t="str">
        <f>IF(IFERROR(VLOOKUP($A$2&amp;L$1,'Data Feed'!$A:$AB,26,FALSE),"")=0,"",IFERROR(VLOOKUP($A$2&amp;L$1,'Data Feed'!$A:$AB,26,FALSE),""))</f>
        <v/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/>
      <c r="E10" s="47"/>
      <c r="F10" s="48"/>
      <c r="G10" s="48"/>
      <c r="H10" s="48"/>
      <c r="I10" s="48"/>
      <c r="J10" s="48"/>
      <c r="K10" s="48"/>
      <c r="L10" s="49"/>
      <c r="M10" s="50">
        <f t="shared" ref="M10:M34" si="1">IF(D10="",0,IF(D10=D$9,1,0))+IF(E10="",0,IF(E10=E$9,1,0))+IF(F10="",0,IF(F10=F$9,1,0))+IF(G10="",0,IF(G10=G$9,1,0))+IF(H10="",0,IF(H10=H$9,1,0))+IF(I10="",0,IF(I10=I$9,1,0))+IF(J10="",0,IF(J10=J$9,1,0))+IF(K10="",0,IF(K10=K$9,1,0))+IF(L10="",0,IF(L10=L$9,1,0))</f>
        <v>0</v>
      </c>
      <c r="N10" s="51">
        <f>VLOOKUP(B10,'Ladder - Round by Round'!$A$1:$B$26,2,FALSE)+M10</f>
        <v>134</v>
      </c>
    </row>
    <row r="11">
      <c r="A11" s="39"/>
      <c r="B11" s="52" t="s">
        <v>12</v>
      </c>
      <c r="C11" s="53" t="s">
        <v>13</v>
      </c>
      <c r="D11" s="54"/>
      <c r="E11" s="55"/>
      <c r="F11" s="55"/>
      <c r="G11" s="55"/>
      <c r="H11" s="55"/>
      <c r="I11" s="55"/>
      <c r="J11" s="55"/>
      <c r="K11" s="55"/>
      <c r="L11" s="56"/>
      <c r="M11" s="57">
        <f t="shared" si="1"/>
        <v>0</v>
      </c>
      <c r="N11" s="58">
        <f>VLOOKUP(B11,'Ladder - Round by Round'!$A$1:$B$26,2,FALSE)+M11</f>
        <v>115</v>
      </c>
    </row>
    <row r="12">
      <c r="A12" s="39"/>
      <c r="B12" s="52" t="s">
        <v>14</v>
      </c>
      <c r="C12" s="53" t="s">
        <v>15</v>
      </c>
      <c r="D12" s="59"/>
      <c r="E12" s="60"/>
      <c r="F12" s="60"/>
      <c r="G12" s="60"/>
      <c r="H12" s="60"/>
      <c r="I12" s="60"/>
      <c r="J12" s="60"/>
      <c r="K12" s="60"/>
      <c r="L12" s="61"/>
      <c r="M12" s="57">
        <f t="shared" si="1"/>
        <v>0</v>
      </c>
      <c r="N12" s="62">
        <f>VLOOKUP(B12,'Ladder - Round by Round'!$A$1:$B$26,2,FALSE)+M12</f>
        <v>130</v>
      </c>
    </row>
    <row r="13">
      <c r="A13" s="63"/>
      <c r="B13" s="52" t="s">
        <v>16</v>
      </c>
      <c r="C13" s="53" t="s">
        <v>11</v>
      </c>
      <c r="D13" s="54"/>
      <c r="E13" s="55"/>
      <c r="F13" s="55"/>
      <c r="G13" s="55"/>
      <c r="H13" s="55"/>
      <c r="I13" s="55"/>
      <c r="J13" s="55"/>
      <c r="K13" s="55"/>
      <c r="L13" s="56"/>
      <c r="M13" s="57">
        <f t="shared" si="1"/>
        <v>0</v>
      </c>
      <c r="N13" s="64">
        <f>VLOOKUP(B13,'Ladder - Round by Round'!$A$1:$B$26,2,FALSE)+M13</f>
        <v>110</v>
      </c>
    </row>
    <row r="14">
      <c r="A14" s="63"/>
      <c r="B14" s="52" t="s">
        <v>17</v>
      </c>
      <c r="C14" s="53" t="s">
        <v>18</v>
      </c>
      <c r="D14" s="59"/>
      <c r="E14" s="60"/>
      <c r="F14" s="60"/>
      <c r="G14" s="60"/>
      <c r="H14" s="60"/>
      <c r="I14" s="60"/>
      <c r="J14" s="60"/>
      <c r="K14" s="60"/>
      <c r="L14" s="61"/>
      <c r="M14" s="57">
        <f t="shared" si="1"/>
        <v>0</v>
      </c>
      <c r="N14" s="64">
        <f>VLOOKUP(B14,'Ladder - Round by Round'!$A$1:$B$26,2,FALSE)+M14</f>
        <v>114</v>
      </c>
    </row>
    <row r="15">
      <c r="A15" s="63"/>
      <c r="B15" s="52" t="s">
        <v>19</v>
      </c>
      <c r="C15" s="53"/>
      <c r="D15" s="54"/>
      <c r="E15" s="55"/>
      <c r="F15" s="55"/>
      <c r="G15" s="55"/>
      <c r="H15" s="55"/>
      <c r="I15" s="55"/>
      <c r="J15" s="55"/>
      <c r="K15" s="55"/>
      <c r="L15" s="56"/>
      <c r="M15" s="57">
        <f t="shared" si="1"/>
        <v>0</v>
      </c>
      <c r="N15" s="64">
        <f>VLOOKUP(B15,'Ladder - Round by Round'!$A$1:$B$26,2,FALSE)+M15</f>
        <v>101</v>
      </c>
    </row>
    <row r="16">
      <c r="A16" s="63"/>
      <c r="B16" s="52" t="s">
        <v>20</v>
      </c>
      <c r="C16" s="65" t="s">
        <v>15</v>
      </c>
      <c r="D16" s="66" t="s">
        <v>21</v>
      </c>
      <c r="E16" s="66" t="s">
        <v>22</v>
      </c>
      <c r="F16" s="67" t="s">
        <v>23</v>
      </c>
      <c r="G16" s="67" t="s">
        <v>24</v>
      </c>
      <c r="H16" s="67" t="s">
        <v>25</v>
      </c>
      <c r="I16" s="67" t="s">
        <v>26</v>
      </c>
      <c r="J16" s="67" t="s">
        <v>27</v>
      </c>
      <c r="K16" s="67" t="s">
        <v>28</v>
      </c>
      <c r="L16" s="67" t="s">
        <v>29</v>
      </c>
      <c r="M16" s="57">
        <f t="shared" si="1"/>
        <v>0</v>
      </c>
      <c r="N16" s="64">
        <f>VLOOKUP(B16,'Ladder - Round by Round'!$A$1:$B$26,2,FALSE)+M16</f>
        <v>130</v>
      </c>
    </row>
    <row r="17">
      <c r="A17" s="63"/>
      <c r="B17" s="52" t="s">
        <v>30</v>
      </c>
      <c r="C17" s="53" t="s">
        <v>13</v>
      </c>
      <c r="D17" s="68" t="s">
        <v>31</v>
      </c>
      <c r="E17" s="55" t="s">
        <v>32</v>
      </c>
      <c r="F17" s="55" t="s">
        <v>33</v>
      </c>
      <c r="G17" s="55" t="s">
        <v>24</v>
      </c>
      <c r="H17" s="55" t="s">
        <v>25</v>
      </c>
      <c r="I17" s="55" t="s">
        <v>26</v>
      </c>
      <c r="J17" s="55" t="s">
        <v>34</v>
      </c>
      <c r="K17" s="55" t="s">
        <v>28</v>
      </c>
      <c r="L17" s="56" t="s">
        <v>29</v>
      </c>
      <c r="M17" s="57">
        <f t="shared" si="1"/>
        <v>0</v>
      </c>
      <c r="N17" s="64">
        <f>VLOOKUP(B17,'Ladder - Round by Round'!$A$1:$B$26,2,FALSE)+M17</f>
        <v>126</v>
      </c>
    </row>
    <row r="18">
      <c r="A18" s="63"/>
      <c r="B18" s="52" t="s">
        <v>35</v>
      </c>
      <c r="C18" s="53" t="s">
        <v>13</v>
      </c>
      <c r="D18" s="69" t="s">
        <v>31</v>
      </c>
      <c r="E18" s="70" t="s">
        <v>32</v>
      </c>
      <c r="F18" s="70" t="s">
        <v>23</v>
      </c>
      <c r="G18" s="70" t="s">
        <v>24</v>
      </c>
      <c r="H18" s="70" t="s">
        <v>25</v>
      </c>
      <c r="I18" s="70" t="s">
        <v>26</v>
      </c>
      <c r="J18" s="70" t="s">
        <v>27</v>
      </c>
      <c r="K18" s="70" t="s">
        <v>28</v>
      </c>
      <c r="L18" s="61" t="s">
        <v>36</v>
      </c>
      <c r="M18" s="57">
        <f t="shared" si="1"/>
        <v>0</v>
      </c>
      <c r="N18" s="64">
        <f>VLOOKUP(B18,'Ladder - Round by Round'!$A$1:$B$26,2,FALSE)+M18</f>
        <v>127</v>
      </c>
    </row>
    <row r="19">
      <c r="A19" s="63"/>
      <c r="B19" s="52" t="s">
        <v>37</v>
      </c>
      <c r="C19" s="65" t="s">
        <v>13</v>
      </c>
      <c r="D19" s="71"/>
      <c r="E19" s="72"/>
      <c r="F19" s="72"/>
      <c r="G19" s="72"/>
      <c r="H19" s="72"/>
      <c r="I19" s="72"/>
      <c r="J19" s="72"/>
      <c r="K19" s="72"/>
      <c r="L19" s="56"/>
      <c r="M19" s="57">
        <f t="shared" si="1"/>
        <v>0</v>
      </c>
      <c r="N19" s="64">
        <f>VLOOKUP(B19,'Ladder - Round by Round'!$A$1:$B$26,2,FALSE)+M19</f>
        <v>138</v>
      </c>
    </row>
    <row r="20">
      <c r="A20" s="63"/>
      <c r="B20" s="52" t="s">
        <v>38</v>
      </c>
      <c r="C20" s="65" t="s">
        <v>39</v>
      </c>
      <c r="D20" s="69"/>
      <c r="E20" s="70"/>
      <c r="F20" s="70"/>
      <c r="G20" s="70"/>
      <c r="H20" s="70"/>
      <c r="I20" s="70"/>
      <c r="J20" s="70"/>
      <c r="K20" s="70"/>
      <c r="L20" s="61"/>
      <c r="M20" s="57">
        <f t="shared" si="1"/>
        <v>0</v>
      </c>
      <c r="N20" s="64">
        <f>VLOOKUP(B20,'Ladder - Round by Round'!$A$1:$B$26,2,FALSE)+M20</f>
        <v>149</v>
      </c>
    </row>
    <row r="21">
      <c r="A21" s="63"/>
      <c r="B21" s="52" t="s">
        <v>40</v>
      </c>
      <c r="C21" s="65" t="s">
        <v>39</v>
      </c>
      <c r="D21" s="54"/>
      <c r="E21" s="55"/>
      <c r="F21" s="72"/>
      <c r="G21" s="55"/>
      <c r="H21" s="55"/>
      <c r="I21" s="55"/>
      <c r="J21" s="55"/>
      <c r="K21" s="55"/>
      <c r="L21" s="56"/>
      <c r="M21" s="57">
        <f t="shared" si="1"/>
        <v>0</v>
      </c>
      <c r="N21" s="64">
        <f>VLOOKUP(B21,'Ladder - Round by Round'!$A$1:$B$26,2,FALSE)+M21</f>
        <v>103</v>
      </c>
    </row>
    <row r="22">
      <c r="A22" s="63"/>
      <c r="B22" s="52" t="s">
        <v>41</v>
      </c>
      <c r="C22" s="53" t="s">
        <v>39</v>
      </c>
      <c r="D22" s="59"/>
      <c r="E22" s="70"/>
      <c r="F22" s="70"/>
      <c r="G22" s="73"/>
      <c r="H22" s="70"/>
      <c r="I22" s="60"/>
      <c r="J22" s="60"/>
      <c r="K22" s="73"/>
      <c r="L22" s="61"/>
      <c r="M22" s="57">
        <f t="shared" si="1"/>
        <v>0</v>
      </c>
      <c r="N22" s="64">
        <f>VLOOKUP(B22,'Ladder - Round by Round'!$A$1:$B$26,2,FALSE)+M22</f>
        <v>136</v>
      </c>
    </row>
    <row r="23">
      <c r="A23" s="63"/>
      <c r="B23" s="52" t="s">
        <v>42</v>
      </c>
      <c r="C23" s="53" t="s">
        <v>39</v>
      </c>
      <c r="D23" s="54"/>
      <c r="E23" s="55"/>
      <c r="F23" s="72"/>
      <c r="G23" s="55"/>
      <c r="H23" s="55"/>
      <c r="I23" s="55"/>
      <c r="J23" s="74"/>
      <c r="K23" s="55"/>
      <c r="L23" s="56"/>
      <c r="M23" s="57">
        <f t="shared" si="1"/>
        <v>0</v>
      </c>
      <c r="N23" s="64">
        <f>VLOOKUP(B23,'Ladder - Round by Round'!$A$1:$B$26,2,FALSE)+M23</f>
        <v>141</v>
      </c>
    </row>
    <row r="24">
      <c r="A24" s="63"/>
      <c r="B24" s="52" t="s">
        <v>43</v>
      </c>
      <c r="C24" s="53" t="s">
        <v>44</v>
      </c>
      <c r="D24" s="59"/>
      <c r="E24" s="60"/>
      <c r="F24" s="70"/>
      <c r="G24" s="75"/>
      <c r="H24" s="76"/>
      <c r="I24" s="60"/>
      <c r="J24" s="75"/>
      <c r="K24" s="75"/>
      <c r="L24" s="75"/>
      <c r="M24" s="57">
        <f t="shared" si="1"/>
        <v>0</v>
      </c>
      <c r="N24" s="64">
        <f>VLOOKUP(B24,'Ladder - Round by Round'!$A$1:$B$26,2,FALSE)+M24</f>
        <v>125</v>
      </c>
    </row>
    <row r="25">
      <c r="A25" s="63"/>
      <c r="B25" s="52" t="s">
        <v>45</v>
      </c>
      <c r="C25" s="53" t="s">
        <v>44</v>
      </c>
      <c r="D25" s="54"/>
      <c r="E25" s="55"/>
      <c r="F25" s="72"/>
      <c r="G25" s="77"/>
      <c r="H25" s="78"/>
      <c r="I25" s="55"/>
      <c r="J25" s="79"/>
      <c r="K25" s="79"/>
      <c r="L25" s="79"/>
      <c r="M25" s="57">
        <f t="shared" si="1"/>
        <v>0</v>
      </c>
      <c r="N25" s="64">
        <f>VLOOKUP(B25,'Ladder - Round by Round'!$A$1:$B$26,2,FALSE)+M25</f>
        <v>142</v>
      </c>
    </row>
    <row r="26">
      <c r="A26" s="63"/>
      <c r="B26" s="52" t="s">
        <v>46</v>
      </c>
      <c r="C26" s="53" t="s">
        <v>18</v>
      </c>
      <c r="D26" s="59" t="s">
        <v>21</v>
      </c>
      <c r="E26" s="76" t="s">
        <v>32</v>
      </c>
      <c r="F26" s="76" t="s">
        <v>23</v>
      </c>
      <c r="G26" s="76" t="s">
        <v>24</v>
      </c>
      <c r="H26" s="76" t="s">
        <v>47</v>
      </c>
      <c r="I26" s="76" t="s">
        <v>26</v>
      </c>
      <c r="J26" s="76" t="s">
        <v>27</v>
      </c>
      <c r="K26" s="76" t="s">
        <v>28</v>
      </c>
      <c r="L26" s="76" t="s">
        <v>29</v>
      </c>
      <c r="M26" s="80">
        <f t="shared" si="1"/>
        <v>0</v>
      </c>
      <c r="N26" s="64">
        <f>VLOOKUP(B26,'Ladder - Round by Round'!$A$1:$B$26,2,FALSE)+M26</f>
        <v>126</v>
      </c>
    </row>
    <row r="27">
      <c r="A27" s="63"/>
      <c r="B27" s="52" t="s">
        <v>48</v>
      </c>
      <c r="C27" s="53" t="s">
        <v>49</v>
      </c>
      <c r="D27" s="54"/>
      <c r="E27" s="81"/>
      <c r="F27" s="82"/>
      <c r="G27" s="82"/>
      <c r="H27" s="82"/>
      <c r="I27" s="82"/>
      <c r="J27" s="82"/>
      <c r="K27" s="82"/>
      <c r="L27" s="82"/>
      <c r="M27" s="57">
        <f t="shared" si="1"/>
        <v>0</v>
      </c>
      <c r="N27" s="64">
        <f>VLOOKUP(B27,'Ladder - Round by Round'!$A$1:$B$26,2,FALSE)+M27</f>
        <v>134</v>
      </c>
    </row>
    <row r="28">
      <c r="A28" s="63"/>
      <c r="B28" s="52" t="s">
        <v>50</v>
      </c>
      <c r="C28" s="53" t="s">
        <v>51</v>
      </c>
      <c r="D28" s="59"/>
      <c r="E28" s="66"/>
      <c r="F28" s="67"/>
      <c r="G28" s="67"/>
      <c r="H28" s="67"/>
      <c r="I28" s="67"/>
      <c r="J28" s="67"/>
      <c r="K28" s="67"/>
      <c r="L28" s="67"/>
      <c r="M28" s="57">
        <f t="shared" si="1"/>
        <v>0</v>
      </c>
      <c r="N28" s="64">
        <f>VLOOKUP(B28,'Ladder - Round by Round'!$A$1:$B$26,2,FALSE)+M28</f>
        <v>140</v>
      </c>
    </row>
    <row r="29">
      <c r="A29" s="63"/>
      <c r="B29" s="52" t="s">
        <v>52</v>
      </c>
      <c r="C29" s="53" t="s">
        <v>13</v>
      </c>
      <c r="D29" s="54" t="s">
        <v>31</v>
      </c>
      <c r="E29" s="55" t="s">
        <v>32</v>
      </c>
      <c r="F29" s="55" t="s">
        <v>33</v>
      </c>
      <c r="G29" s="55" t="s">
        <v>53</v>
      </c>
      <c r="H29" s="55" t="s">
        <v>25</v>
      </c>
      <c r="I29" s="55" t="s">
        <v>54</v>
      </c>
      <c r="J29" s="55" t="s">
        <v>34</v>
      </c>
      <c r="K29" s="55" t="s">
        <v>55</v>
      </c>
      <c r="L29" s="56" t="s">
        <v>36</v>
      </c>
      <c r="M29" s="57">
        <f t="shared" si="1"/>
        <v>0</v>
      </c>
      <c r="N29" s="64">
        <f>VLOOKUP(B29,'Ladder - Round by Round'!$A$1:$B$26,2,FALSE)+M29</f>
        <v>146</v>
      </c>
    </row>
    <row r="30">
      <c r="A30" s="63"/>
      <c r="B30" s="52" t="s">
        <v>56</v>
      </c>
      <c r="C30" s="53" t="s">
        <v>13</v>
      </c>
      <c r="D30" s="59" t="s">
        <v>31</v>
      </c>
      <c r="E30" s="60" t="s">
        <v>32</v>
      </c>
      <c r="F30" s="60" t="s">
        <v>23</v>
      </c>
      <c r="G30" s="60" t="s">
        <v>24</v>
      </c>
      <c r="H30" s="60" t="s">
        <v>25</v>
      </c>
      <c r="I30" s="60" t="s">
        <v>26</v>
      </c>
      <c r="J30" s="60" t="s">
        <v>57</v>
      </c>
      <c r="K30" s="60" t="s">
        <v>55</v>
      </c>
      <c r="L30" s="61" t="s">
        <v>29</v>
      </c>
      <c r="M30" s="57">
        <f t="shared" si="1"/>
        <v>0</v>
      </c>
      <c r="N30" s="64">
        <f>VLOOKUP(B30,'Ladder - Round by Round'!$A$1:$B$26,2,FALSE)+M30</f>
        <v>126</v>
      </c>
    </row>
    <row r="31">
      <c r="A31" s="63"/>
      <c r="B31" s="52" t="s">
        <v>58</v>
      </c>
      <c r="C31" s="53" t="s">
        <v>59</v>
      </c>
      <c r="D31" s="54" t="s">
        <v>31</v>
      </c>
      <c r="E31" s="55" t="s">
        <v>32</v>
      </c>
      <c r="F31" s="72" t="s">
        <v>23</v>
      </c>
      <c r="G31" s="55" t="s">
        <v>53</v>
      </c>
      <c r="H31" s="55" t="s">
        <v>25</v>
      </c>
      <c r="I31" s="55" t="s">
        <v>54</v>
      </c>
      <c r="J31" s="55" t="s">
        <v>34</v>
      </c>
      <c r="K31" s="55" t="s">
        <v>55</v>
      </c>
      <c r="L31" s="56" t="s">
        <v>29</v>
      </c>
      <c r="M31" s="57">
        <f t="shared" si="1"/>
        <v>0</v>
      </c>
      <c r="N31" s="64">
        <f>VLOOKUP(B31,'Ladder - Round by Round'!$A$1:$B$26,2,FALSE)+M31</f>
        <v>73</v>
      </c>
    </row>
    <row r="32">
      <c r="A32" s="63"/>
      <c r="B32" s="52" t="s">
        <v>60</v>
      </c>
      <c r="C32" s="53" t="s">
        <v>39</v>
      </c>
      <c r="D32" s="59" t="s">
        <v>21</v>
      </c>
      <c r="E32" s="60" t="s">
        <v>32</v>
      </c>
      <c r="F32" s="70" t="s">
        <v>23</v>
      </c>
      <c r="G32" s="60" t="s">
        <v>24</v>
      </c>
      <c r="H32" s="60" t="s">
        <v>25</v>
      </c>
      <c r="I32" s="60" t="s">
        <v>26</v>
      </c>
      <c r="J32" s="60" t="s">
        <v>27</v>
      </c>
      <c r="K32" s="60" t="s">
        <v>55</v>
      </c>
      <c r="L32" s="61" t="s">
        <v>29</v>
      </c>
      <c r="M32" s="57">
        <f t="shared" si="1"/>
        <v>0</v>
      </c>
      <c r="N32" s="64">
        <f>VLOOKUP(B32,'Ladder - Round by Round'!$A$1:$B$26,2,FALSE)+M32</f>
        <v>143</v>
      </c>
    </row>
    <row r="33">
      <c r="A33" s="39"/>
      <c r="B33" s="52" t="s">
        <v>61</v>
      </c>
      <c r="C33" s="53" t="s">
        <v>39</v>
      </c>
      <c r="D33" s="83"/>
      <c r="E33" s="84"/>
      <c r="F33" s="84"/>
      <c r="G33" s="84"/>
      <c r="H33" s="84"/>
      <c r="I33" s="84"/>
      <c r="J33" s="84"/>
      <c r="K33" s="84"/>
      <c r="L33" s="85"/>
      <c r="M33" s="86">
        <f t="shared" si="1"/>
        <v>0</v>
      </c>
      <c r="N33" s="64">
        <f>VLOOKUP(B33,'Ladder - Round by Round'!$A$1:$B$26,2,FALSE)+M33</f>
        <v>143</v>
      </c>
    </row>
    <row r="34">
      <c r="A34" s="39"/>
      <c r="B34" s="87" t="s">
        <v>62</v>
      </c>
      <c r="C34" s="88" t="s">
        <v>63</v>
      </c>
      <c r="D34" s="89" t="str">
        <f t="shared" ref="D34:L34" si="2">IF(COUNTIF(D$10:D$33,D6)&gt;COUNTIF(D$10:D$33,D7),D6,IF(COUNTIF(D$10:D$33,D6)&lt;COUNTIF(D$10:D$33,D7),D7,"Draw"))</f>
        <v>Essendon</v>
      </c>
      <c r="E34" s="89" t="str">
        <f t="shared" si="2"/>
        <v>Collingwood</v>
      </c>
      <c r="F34" s="89" t="str">
        <f t="shared" si="2"/>
        <v>Gold Coast</v>
      </c>
      <c r="G34" s="89" t="str">
        <f t="shared" si="2"/>
        <v>Adelaide</v>
      </c>
      <c r="H34" s="89" t="str">
        <f t="shared" si="2"/>
        <v>Geelong</v>
      </c>
      <c r="I34" s="89" t="str">
        <f t="shared" si="2"/>
        <v>Sydney</v>
      </c>
      <c r="J34" s="89" t="str">
        <f t="shared" si="2"/>
        <v>Greater Western Sydney</v>
      </c>
      <c r="K34" s="89" t="str">
        <f t="shared" si="2"/>
        <v>Draw</v>
      </c>
      <c r="L34" s="89" t="str">
        <f t="shared" si="2"/>
        <v>Brisbane Lions</v>
      </c>
      <c r="M34" s="90">
        <f t="shared" si="1"/>
        <v>0</v>
      </c>
      <c r="N34" s="91">
        <f>VLOOKUP(B34,'Ladder - Round by Round'!$A$1:$B$26,2,FALSE)+M34</f>
        <v>141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3" t="s">
        <v>64</v>
      </c>
      <c r="B1" s="94" t="s">
        <v>9</v>
      </c>
      <c r="C1" s="94">
        <v>0.0</v>
      </c>
      <c r="D1" s="94">
        <v>1.0</v>
      </c>
      <c r="E1" s="94">
        <v>2.0</v>
      </c>
      <c r="F1" s="94">
        <v>3.0</v>
      </c>
      <c r="G1" s="94">
        <v>4.0</v>
      </c>
      <c r="H1" s="94">
        <v>5.0</v>
      </c>
      <c r="I1" s="94">
        <v>6.0</v>
      </c>
      <c r="J1" s="94">
        <v>7.0</v>
      </c>
      <c r="K1" s="94">
        <v>8.0</v>
      </c>
      <c r="L1" s="94">
        <v>9.0</v>
      </c>
      <c r="M1" s="94">
        <v>10.0</v>
      </c>
      <c r="N1" s="94">
        <v>11.0</v>
      </c>
      <c r="O1" s="94">
        <v>12.0</v>
      </c>
      <c r="P1" s="94">
        <v>13.0</v>
      </c>
      <c r="Q1" s="94">
        <v>14.0</v>
      </c>
      <c r="R1" s="94">
        <v>15.0</v>
      </c>
      <c r="S1" s="94">
        <v>16.0</v>
      </c>
      <c r="T1" s="94">
        <v>17.0</v>
      </c>
      <c r="U1" s="94">
        <v>18.0</v>
      </c>
      <c r="V1" s="94">
        <v>19.0</v>
      </c>
      <c r="W1" s="94">
        <v>20.0</v>
      </c>
      <c r="X1" s="94">
        <v>21.0</v>
      </c>
      <c r="Y1" s="94">
        <v>22.0</v>
      </c>
      <c r="Z1" s="94">
        <v>23.0</v>
      </c>
    </row>
    <row r="2">
      <c r="A2" s="95" t="s">
        <v>10</v>
      </c>
      <c r="B2" s="96">
        <f t="shared" ref="B2:B26" si="1">SUM(C2:Z2)</f>
        <v>134</v>
      </c>
      <c r="C2" s="97">
        <v>2.0</v>
      </c>
      <c r="D2" s="98">
        <v>6.0</v>
      </c>
      <c r="E2" s="98">
        <v>4.0</v>
      </c>
      <c r="F2" s="98">
        <v>6.0</v>
      </c>
      <c r="G2" s="99">
        <v>6.0</v>
      </c>
      <c r="H2" s="100">
        <v>7.0</v>
      </c>
      <c r="I2" s="99">
        <v>2.0</v>
      </c>
      <c r="J2" s="99">
        <v>5.0</v>
      </c>
      <c r="K2" s="99">
        <v>6.0</v>
      </c>
      <c r="L2" s="99">
        <v>5.0</v>
      </c>
      <c r="M2" s="99">
        <v>5.0</v>
      </c>
      <c r="N2" s="99">
        <v>7.0</v>
      </c>
      <c r="O2" s="99">
        <v>5.0</v>
      </c>
      <c r="P2" s="99">
        <v>4.0</v>
      </c>
      <c r="Q2" s="99">
        <v>5.0</v>
      </c>
      <c r="R2" s="99">
        <v>4.0</v>
      </c>
      <c r="S2" s="99">
        <v>7.0</v>
      </c>
      <c r="T2" s="99">
        <v>8.0</v>
      </c>
      <c r="U2" s="99">
        <v>5.0</v>
      </c>
      <c r="V2" s="99">
        <v>6.0</v>
      </c>
      <c r="W2" s="99">
        <v>7.0</v>
      </c>
      <c r="X2" s="99">
        <v>8.0</v>
      </c>
      <c r="Y2" s="99">
        <v>7.0</v>
      </c>
      <c r="Z2" s="99">
        <v>7.0</v>
      </c>
    </row>
    <row r="3">
      <c r="A3" s="95" t="s">
        <v>12</v>
      </c>
      <c r="B3" s="96">
        <f t="shared" si="1"/>
        <v>115</v>
      </c>
      <c r="C3" s="97">
        <v>0.0</v>
      </c>
      <c r="D3" s="98">
        <v>4.0</v>
      </c>
      <c r="E3" s="98">
        <v>3.0</v>
      </c>
      <c r="F3" s="98">
        <v>4.0</v>
      </c>
      <c r="G3" s="99">
        <v>6.0</v>
      </c>
      <c r="H3" s="100">
        <v>5.0</v>
      </c>
      <c r="I3" s="99">
        <v>2.0</v>
      </c>
      <c r="J3" s="99">
        <v>3.0</v>
      </c>
      <c r="K3" s="99">
        <v>8.0</v>
      </c>
      <c r="L3" s="99">
        <v>8.0</v>
      </c>
      <c r="M3" s="99">
        <v>3.0</v>
      </c>
      <c r="N3" s="99">
        <v>6.0</v>
      </c>
      <c r="O3" s="99">
        <v>3.0</v>
      </c>
      <c r="P3" s="99">
        <v>4.0</v>
      </c>
      <c r="Q3" s="99">
        <v>3.0</v>
      </c>
      <c r="R3" s="99">
        <v>4.0</v>
      </c>
      <c r="S3" s="99">
        <v>5.0</v>
      </c>
      <c r="T3" s="99">
        <v>8.0</v>
      </c>
      <c r="U3" s="99">
        <v>7.0</v>
      </c>
      <c r="V3" s="99">
        <v>6.0</v>
      </c>
      <c r="W3" s="99">
        <v>5.0</v>
      </c>
      <c r="X3" s="99">
        <v>6.0</v>
      </c>
      <c r="Y3" s="99">
        <v>7.0</v>
      </c>
      <c r="Z3" s="99">
        <v>5.0</v>
      </c>
    </row>
    <row r="4">
      <c r="A4" s="95" t="s">
        <v>14</v>
      </c>
      <c r="B4" s="96">
        <f t="shared" si="1"/>
        <v>130</v>
      </c>
      <c r="C4" s="97">
        <v>1.0</v>
      </c>
      <c r="D4" s="98">
        <v>6.0</v>
      </c>
      <c r="E4" s="98">
        <v>4.0</v>
      </c>
      <c r="F4" s="98">
        <v>6.0</v>
      </c>
      <c r="G4" s="99">
        <v>7.0</v>
      </c>
      <c r="H4" s="99">
        <v>6.0</v>
      </c>
      <c r="I4" s="99">
        <v>3.0</v>
      </c>
      <c r="J4" s="99">
        <v>7.0</v>
      </c>
      <c r="K4" s="99">
        <v>7.0</v>
      </c>
      <c r="L4" s="99">
        <v>5.0</v>
      </c>
      <c r="M4" s="99">
        <v>4.0</v>
      </c>
      <c r="N4" s="99">
        <v>6.0</v>
      </c>
      <c r="O4" s="99">
        <v>5.0</v>
      </c>
      <c r="P4" s="99">
        <v>4.0</v>
      </c>
      <c r="Q4" s="99">
        <v>5.0</v>
      </c>
      <c r="R4" s="99">
        <v>4.0</v>
      </c>
      <c r="S4" s="99">
        <v>6.0</v>
      </c>
      <c r="T4" s="99">
        <v>7.0</v>
      </c>
      <c r="U4" s="99">
        <v>5.0</v>
      </c>
      <c r="V4" s="99">
        <v>7.0</v>
      </c>
      <c r="W4" s="99">
        <v>8.0</v>
      </c>
      <c r="X4" s="99">
        <v>7.0</v>
      </c>
      <c r="Y4" s="99">
        <v>5.0</v>
      </c>
      <c r="Z4" s="99">
        <v>5.0</v>
      </c>
    </row>
    <row r="5">
      <c r="A5" s="95" t="s">
        <v>16</v>
      </c>
      <c r="B5" s="96">
        <f t="shared" si="1"/>
        <v>110</v>
      </c>
      <c r="C5" s="97">
        <v>2.0</v>
      </c>
      <c r="D5" s="98">
        <v>6.0</v>
      </c>
      <c r="E5" s="98">
        <v>4.0</v>
      </c>
      <c r="F5" s="98">
        <v>4.0</v>
      </c>
      <c r="G5" s="99">
        <v>4.0</v>
      </c>
      <c r="H5" s="99">
        <v>6.0</v>
      </c>
      <c r="I5" s="99">
        <v>2.0</v>
      </c>
      <c r="J5" s="99">
        <v>6.0</v>
      </c>
      <c r="K5" s="99">
        <v>6.0</v>
      </c>
      <c r="L5" s="99">
        <v>7.0</v>
      </c>
      <c r="M5" s="99">
        <v>1.0</v>
      </c>
      <c r="N5" s="99">
        <v>6.0</v>
      </c>
      <c r="O5" s="99">
        <v>2.0</v>
      </c>
      <c r="P5" s="99">
        <v>4.0</v>
      </c>
      <c r="Q5" s="99">
        <v>5.0</v>
      </c>
      <c r="R5" s="99">
        <v>2.0</v>
      </c>
      <c r="S5" s="99">
        <v>5.0</v>
      </c>
      <c r="T5" s="99">
        <v>6.0</v>
      </c>
      <c r="U5" s="99">
        <v>6.0</v>
      </c>
      <c r="V5" s="99">
        <v>6.0</v>
      </c>
      <c r="W5" s="99">
        <v>6.0</v>
      </c>
      <c r="X5" s="99">
        <v>4.0</v>
      </c>
      <c r="Y5" s="99">
        <v>5.0</v>
      </c>
      <c r="Z5" s="99">
        <v>5.0</v>
      </c>
    </row>
    <row r="6">
      <c r="A6" s="95" t="s">
        <v>17</v>
      </c>
      <c r="B6" s="96">
        <f t="shared" si="1"/>
        <v>114</v>
      </c>
      <c r="C6" s="97">
        <v>1.0</v>
      </c>
      <c r="D6" s="98">
        <v>5.0</v>
      </c>
      <c r="E6" s="98">
        <v>4.0</v>
      </c>
      <c r="F6" s="98">
        <v>4.0</v>
      </c>
      <c r="G6" s="99">
        <v>7.0</v>
      </c>
      <c r="H6" s="99">
        <v>4.0</v>
      </c>
      <c r="I6" s="99">
        <v>3.0</v>
      </c>
      <c r="J6" s="99">
        <v>4.0</v>
      </c>
      <c r="K6" s="99">
        <v>5.0</v>
      </c>
      <c r="L6" s="99">
        <v>5.0</v>
      </c>
      <c r="M6" s="99">
        <v>4.0</v>
      </c>
      <c r="N6" s="99">
        <v>6.0</v>
      </c>
      <c r="O6" s="99">
        <v>5.0</v>
      </c>
      <c r="P6" s="99">
        <v>1.0</v>
      </c>
      <c r="Q6" s="99">
        <v>5.0</v>
      </c>
      <c r="R6" s="99">
        <v>3.0</v>
      </c>
      <c r="S6" s="99">
        <v>5.0</v>
      </c>
      <c r="T6" s="99">
        <v>8.0</v>
      </c>
      <c r="U6" s="99">
        <v>6.0</v>
      </c>
      <c r="V6" s="99">
        <v>6.0</v>
      </c>
      <c r="W6" s="99">
        <v>5.0</v>
      </c>
      <c r="X6" s="99">
        <v>7.0</v>
      </c>
      <c r="Y6" s="99">
        <v>6.0</v>
      </c>
      <c r="Z6" s="99">
        <v>5.0</v>
      </c>
    </row>
    <row r="7">
      <c r="A7" s="95" t="s">
        <v>19</v>
      </c>
      <c r="B7" s="96">
        <f t="shared" si="1"/>
        <v>101</v>
      </c>
      <c r="C7" s="97">
        <v>2.0</v>
      </c>
      <c r="D7" s="98">
        <v>3.0</v>
      </c>
      <c r="E7" s="98">
        <v>4.0</v>
      </c>
      <c r="F7" s="98">
        <v>4.0</v>
      </c>
      <c r="G7" s="99">
        <v>4.0</v>
      </c>
      <c r="H7" s="99">
        <v>4.0</v>
      </c>
      <c r="I7" s="100">
        <v>0.0</v>
      </c>
      <c r="J7" s="99">
        <v>3.0</v>
      </c>
      <c r="K7" s="99">
        <v>2.0</v>
      </c>
      <c r="L7" s="99">
        <v>6.0</v>
      </c>
      <c r="M7" s="99">
        <v>3.0</v>
      </c>
      <c r="N7" s="99">
        <v>5.0</v>
      </c>
      <c r="O7" s="99">
        <v>5.0</v>
      </c>
      <c r="P7" s="99">
        <v>5.0</v>
      </c>
      <c r="Q7" s="99">
        <v>3.0</v>
      </c>
      <c r="R7" s="99">
        <v>4.0</v>
      </c>
      <c r="S7" s="99">
        <v>5.0</v>
      </c>
      <c r="T7" s="99">
        <v>4.0</v>
      </c>
      <c r="U7" s="99">
        <v>4.0</v>
      </c>
      <c r="V7" s="99">
        <v>6.0</v>
      </c>
      <c r="W7" s="99">
        <v>7.0</v>
      </c>
      <c r="X7" s="99">
        <v>7.0</v>
      </c>
      <c r="Y7" s="99">
        <v>6.0</v>
      </c>
      <c r="Z7" s="99">
        <v>5.0</v>
      </c>
    </row>
    <row r="8">
      <c r="A8" s="95" t="s">
        <v>20</v>
      </c>
      <c r="B8" s="96">
        <f t="shared" si="1"/>
        <v>130</v>
      </c>
      <c r="C8" s="97">
        <v>2.0</v>
      </c>
      <c r="D8" s="98">
        <v>4.0</v>
      </c>
      <c r="E8" s="98">
        <v>6.0</v>
      </c>
      <c r="F8" s="98">
        <v>4.0</v>
      </c>
      <c r="G8" s="99">
        <v>4.0</v>
      </c>
      <c r="H8" s="99">
        <v>6.0</v>
      </c>
      <c r="I8" s="99">
        <v>5.0</v>
      </c>
      <c r="J8" s="99">
        <v>7.0</v>
      </c>
      <c r="K8" s="99">
        <v>6.0</v>
      </c>
      <c r="L8" s="99">
        <v>5.0</v>
      </c>
      <c r="M8" s="99">
        <v>5.0</v>
      </c>
      <c r="N8" s="99">
        <v>7.0</v>
      </c>
      <c r="O8" s="99">
        <v>5.0</v>
      </c>
      <c r="P8" s="99">
        <v>5.0</v>
      </c>
      <c r="Q8" s="99">
        <v>5.0</v>
      </c>
      <c r="R8" s="99">
        <v>4.0</v>
      </c>
      <c r="S8" s="99">
        <v>5.0</v>
      </c>
      <c r="T8" s="99">
        <v>7.0</v>
      </c>
      <c r="U8" s="99">
        <v>6.0</v>
      </c>
      <c r="V8" s="99">
        <v>7.0</v>
      </c>
      <c r="W8" s="99">
        <v>6.0</v>
      </c>
      <c r="X8" s="99">
        <v>7.0</v>
      </c>
      <c r="Y8" s="99">
        <v>5.0</v>
      </c>
      <c r="Z8" s="99">
        <v>7.0</v>
      </c>
    </row>
    <row r="9">
      <c r="A9" s="95" t="s">
        <v>30</v>
      </c>
      <c r="B9" s="96">
        <f t="shared" si="1"/>
        <v>126</v>
      </c>
      <c r="C9" s="97">
        <v>1.0</v>
      </c>
      <c r="D9" s="98">
        <v>5.0</v>
      </c>
      <c r="E9" s="98">
        <v>3.0</v>
      </c>
      <c r="F9" s="98">
        <v>5.0</v>
      </c>
      <c r="G9" s="99">
        <v>7.0</v>
      </c>
      <c r="H9" s="99">
        <v>8.0</v>
      </c>
      <c r="I9" s="99">
        <v>4.0</v>
      </c>
      <c r="J9" s="99">
        <v>5.0</v>
      </c>
      <c r="K9" s="99">
        <v>8.0</v>
      </c>
      <c r="L9" s="99">
        <v>4.0</v>
      </c>
      <c r="M9" s="99">
        <v>4.0</v>
      </c>
      <c r="N9" s="99">
        <v>8.0</v>
      </c>
      <c r="O9" s="99">
        <v>3.0</v>
      </c>
      <c r="P9" s="99">
        <v>4.0</v>
      </c>
      <c r="Q9" s="99">
        <v>4.0</v>
      </c>
      <c r="R9" s="99">
        <v>4.0</v>
      </c>
      <c r="S9" s="99">
        <v>5.0</v>
      </c>
      <c r="T9" s="99">
        <v>7.0</v>
      </c>
      <c r="U9" s="99">
        <v>7.0</v>
      </c>
      <c r="V9" s="99">
        <v>5.0</v>
      </c>
      <c r="W9" s="99">
        <v>6.0</v>
      </c>
      <c r="X9" s="99">
        <v>8.0</v>
      </c>
      <c r="Y9" s="99">
        <v>7.0</v>
      </c>
      <c r="Z9" s="99">
        <v>4.0</v>
      </c>
    </row>
    <row r="10">
      <c r="A10" s="95" t="s">
        <v>35</v>
      </c>
      <c r="B10" s="96">
        <f t="shared" si="1"/>
        <v>127</v>
      </c>
      <c r="C10" s="97">
        <v>0.0</v>
      </c>
      <c r="D10" s="98">
        <v>6.0</v>
      </c>
      <c r="E10" s="98">
        <v>4.0</v>
      </c>
      <c r="F10" s="98">
        <v>7.0</v>
      </c>
      <c r="G10" s="99">
        <v>8.0</v>
      </c>
      <c r="H10" s="99">
        <v>5.0</v>
      </c>
      <c r="I10" s="99">
        <v>3.0</v>
      </c>
      <c r="J10" s="99">
        <v>6.0</v>
      </c>
      <c r="K10" s="99">
        <v>7.0</v>
      </c>
      <c r="L10" s="99">
        <v>6.0</v>
      </c>
      <c r="M10" s="99">
        <v>4.0</v>
      </c>
      <c r="N10" s="99">
        <v>7.0</v>
      </c>
      <c r="O10" s="99">
        <v>3.0</v>
      </c>
      <c r="P10" s="99">
        <v>5.0</v>
      </c>
      <c r="Q10" s="99">
        <v>4.0</v>
      </c>
      <c r="R10" s="99">
        <v>3.0</v>
      </c>
      <c r="S10" s="99">
        <v>7.0</v>
      </c>
      <c r="T10" s="99">
        <v>7.0</v>
      </c>
      <c r="U10" s="99">
        <v>7.0</v>
      </c>
      <c r="V10" s="99">
        <v>6.0</v>
      </c>
      <c r="W10" s="99">
        <v>5.0</v>
      </c>
      <c r="X10" s="99">
        <v>8.0</v>
      </c>
      <c r="Y10" s="99">
        <v>6.0</v>
      </c>
      <c r="Z10" s="99">
        <v>3.0</v>
      </c>
    </row>
    <row r="11">
      <c r="A11" s="95" t="s">
        <v>37</v>
      </c>
      <c r="B11" s="96">
        <f t="shared" si="1"/>
        <v>138</v>
      </c>
      <c r="C11" s="97">
        <v>0.0</v>
      </c>
      <c r="D11" s="98">
        <v>7.0</v>
      </c>
      <c r="E11" s="98">
        <v>4.0</v>
      </c>
      <c r="F11" s="98">
        <v>7.0</v>
      </c>
      <c r="G11" s="99">
        <v>7.0</v>
      </c>
      <c r="H11" s="99">
        <v>6.0</v>
      </c>
      <c r="I11" s="99">
        <v>2.0</v>
      </c>
      <c r="J11" s="99">
        <v>7.0</v>
      </c>
      <c r="K11" s="99">
        <v>7.0</v>
      </c>
      <c r="L11" s="99">
        <v>6.0</v>
      </c>
      <c r="M11" s="99">
        <v>6.0</v>
      </c>
      <c r="N11" s="99">
        <v>5.0</v>
      </c>
      <c r="O11" s="99">
        <v>5.0</v>
      </c>
      <c r="P11" s="99">
        <v>4.0</v>
      </c>
      <c r="Q11" s="99">
        <v>6.0</v>
      </c>
      <c r="R11" s="99">
        <v>3.0</v>
      </c>
      <c r="S11" s="99">
        <v>6.0</v>
      </c>
      <c r="T11" s="99">
        <v>9.0</v>
      </c>
      <c r="U11" s="99">
        <v>6.0</v>
      </c>
      <c r="V11" s="99">
        <v>6.0</v>
      </c>
      <c r="W11" s="99">
        <v>7.0</v>
      </c>
      <c r="X11" s="99">
        <v>8.0</v>
      </c>
      <c r="Y11" s="99">
        <v>7.0</v>
      </c>
      <c r="Z11" s="99">
        <v>7.0</v>
      </c>
    </row>
    <row r="12">
      <c r="A12" s="95" t="s">
        <v>38</v>
      </c>
      <c r="B12" s="96">
        <f t="shared" si="1"/>
        <v>149</v>
      </c>
      <c r="C12" s="97">
        <v>1.0</v>
      </c>
      <c r="D12" s="98">
        <v>7.0</v>
      </c>
      <c r="E12" s="98">
        <v>5.0</v>
      </c>
      <c r="F12" s="98">
        <v>7.0</v>
      </c>
      <c r="G12" s="99">
        <v>7.0</v>
      </c>
      <c r="H12" s="99">
        <v>7.0</v>
      </c>
      <c r="I12" s="99">
        <v>5.0</v>
      </c>
      <c r="J12" s="99">
        <v>7.0</v>
      </c>
      <c r="K12" s="99">
        <v>6.0</v>
      </c>
      <c r="L12" s="99">
        <v>6.0</v>
      </c>
      <c r="M12" s="99">
        <v>6.0</v>
      </c>
      <c r="N12" s="99">
        <v>6.0</v>
      </c>
      <c r="O12" s="99">
        <v>5.0</v>
      </c>
      <c r="P12" s="99">
        <v>6.0</v>
      </c>
      <c r="Q12" s="99">
        <v>6.0</v>
      </c>
      <c r="R12" s="99">
        <v>4.0</v>
      </c>
      <c r="S12" s="99">
        <v>7.0</v>
      </c>
      <c r="T12" s="99">
        <v>9.0</v>
      </c>
      <c r="U12" s="99">
        <v>6.0</v>
      </c>
      <c r="V12" s="99">
        <v>6.0</v>
      </c>
      <c r="W12" s="99">
        <v>8.0</v>
      </c>
      <c r="X12" s="99">
        <v>8.0</v>
      </c>
      <c r="Y12" s="99">
        <v>7.0</v>
      </c>
      <c r="Z12" s="99">
        <v>7.0</v>
      </c>
    </row>
    <row r="13">
      <c r="A13" s="95" t="s">
        <v>40</v>
      </c>
      <c r="B13" s="96">
        <f t="shared" si="1"/>
        <v>103</v>
      </c>
      <c r="C13" s="97">
        <v>2.0</v>
      </c>
      <c r="D13" s="98">
        <v>4.0</v>
      </c>
      <c r="E13" s="98">
        <v>7.0</v>
      </c>
      <c r="F13" s="98">
        <v>3.0</v>
      </c>
      <c r="G13" s="99">
        <v>5.0</v>
      </c>
      <c r="H13" s="99">
        <v>5.0</v>
      </c>
      <c r="I13" s="99">
        <v>2.0</v>
      </c>
      <c r="J13" s="99">
        <v>7.0</v>
      </c>
      <c r="K13" s="99">
        <v>6.0</v>
      </c>
      <c r="L13" s="99">
        <v>4.0</v>
      </c>
      <c r="M13" s="99">
        <v>4.0</v>
      </c>
      <c r="N13" s="99">
        <v>3.0</v>
      </c>
      <c r="O13" s="99">
        <v>2.0</v>
      </c>
      <c r="P13" s="99">
        <v>6.0</v>
      </c>
      <c r="Q13" s="99">
        <v>4.0</v>
      </c>
      <c r="R13" s="99">
        <v>2.0</v>
      </c>
      <c r="S13" s="99">
        <v>4.0</v>
      </c>
      <c r="T13" s="99">
        <v>5.0</v>
      </c>
      <c r="U13" s="99">
        <v>3.0</v>
      </c>
      <c r="V13" s="99">
        <v>6.0</v>
      </c>
      <c r="W13" s="99">
        <v>4.0</v>
      </c>
      <c r="X13" s="99">
        <v>7.0</v>
      </c>
      <c r="Y13" s="99">
        <v>4.0</v>
      </c>
      <c r="Z13" s="99">
        <v>4.0</v>
      </c>
    </row>
    <row r="14">
      <c r="A14" s="95" t="s">
        <v>41</v>
      </c>
      <c r="B14" s="96">
        <f t="shared" si="1"/>
        <v>136</v>
      </c>
      <c r="C14" s="97">
        <v>2.0</v>
      </c>
      <c r="D14" s="98">
        <v>6.0</v>
      </c>
      <c r="E14" s="98">
        <v>5.0</v>
      </c>
      <c r="F14" s="98">
        <v>7.0</v>
      </c>
      <c r="G14" s="99">
        <v>7.0</v>
      </c>
      <c r="H14" s="99">
        <v>6.0</v>
      </c>
      <c r="I14" s="99">
        <v>3.0</v>
      </c>
      <c r="J14" s="99">
        <v>6.0</v>
      </c>
      <c r="K14" s="99">
        <v>6.0</v>
      </c>
      <c r="L14" s="99">
        <v>4.0</v>
      </c>
      <c r="M14" s="99">
        <v>6.0</v>
      </c>
      <c r="N14" s="99">
        <v>8.0</v>
      </c>
      <c r="O14" s="99">
        <v>4.0</v>
      </c>
      <c r="P14" s="99">
        <v>5.0</v>
      </c>
      <c r="Q14" s="99">
        <v>5.0</v>
      </c>
      <c r="R14" s="99">
        <v>3.0</v>
      </c>
      <c r="S14" s="99">
        <v>7.0</v>
      </c>
      <c r="T14" s="99">
        <v>8.0</v>
      </c>
      <c r="U14" s="99">
        <v>5.0</v>
      </c>
      <c r="V14" s="99">
        <v>6.0</v>
      </c>
      <c r="W14" s="99">
        <v>8.0</v>
      </c>
      <c r="X14" s="99">
        <v>7.0</v>
      </c>
      <c r="Y14" s="99">
        <v>7.0</v>
      </c>
      <c r="Z14" s="99">
        <v>5.0</v>
      </c>
    </row>
    <row r="15">
      <c r="A15" s="95" t="s">
        <v>42</v>
      </c>
      <c r="B15" s="96">
        <f t="shared" si="1"/>
        <v>141</v>
      </c>
      <c r="C15" s="97">
        <v>1.0</v>
      </c>
      <c r="D15" s="98">
        <v>7.0</v>
      </c>
      <c r="E15" s="98">
        <v>4.0</v>
      </c>
      <c r="F15" s="98">
        <v>7.0</v>
      </c>
      <c r="G15" s="99">
        <v>8.0</v>
      </c>
      <c r="H15" s="99">
        <v>7.0</v>
      </c>
      <c r="I15" s="99">
        <v>2.0</v>
      </c>
      <c r="J15" s="99">
        <v>7.0</v>
      </c>
      <c r="K15" s="99">
        <v>7.0</v>
      </c>
      <c r="L15" s="99">
        <v>5.0</v>
      </c>
      <c r="M15" s="99">
        <v>5.0</v>
      </c>
      <c r="N15" s="99">
        <v>7.0</v>
      </c>
      <c r="O15" s="99">
        <v>5.0</v>
      </c>
      <c r="P15" s="99">
        <v>5.0</v>
      </c>
      <c r="Q15" s="99">
        <v>6.0</v>
      </c>
      <c r="R15" s="99">
        <v>4.0</v>
      </c>
      <c r="S15" s="99">
        <v>7.0</v>
      </c>
      <c r="T15" s="99">
        <v>8.0</v>
      </c>
      <c r="U15" s="99">
        <v>4.0</v>
      </c>
      <c r="V15" s="99">
        <v>6.0</v>
      </c>
      <c r="W15" s="99">
        <v>8.0</v>
      </c>
      <c r="X15" s="99">
        <v>8.0</v>
      </c>
      <c r="Y15" s="99">
        <v>7.0</v>
      </c>
      <c r="Z15" s="99">
        <v>6.0</v>
      </c>
    </row>
    <row r="16">
      <c r="A16" s="95" t="s">
        <v>43</v>
      </c>
      <c r="B16" s="96">
        <f t="shared" si="1"/>
        <v>125</v>
      </c>
      <c r="C16" s="97">
        <v>1.0</v>
      </c>
      <c r="D16" s="98">
        <v>5.0</v>
      </c>
      <c r="E16" s="98">
        <v>4.0</v>
      </c>
      <c r="F16" s="98">
        <v>5.0</v>
      </c>
      <c r="G16" s="99">
        <v>6.0</v>
      </c>
      <c r="H16" s="99">
        <v>5.0</v>
      </c>
      <c r="I16" s="99">
        <v>4.0</v>
      </c>
      <c r="J16" s="99">
        <v>3.0</v>
      </c>
      <c r="K16" s="99">
        <v>7.0</v>
      </c>
      <c r="L16" s="99">
        <v>4.0</v>
      </c>
      <c r="M16" s="99">
        <v>6.0</v>
      </c>
      <c r="N16" s="99">
        <v>6.0</v>
      </c>
      <c r="O16" s="99">
        <v>4.0</v>
      </c>
      <c r="P16" s="99">
        <v>5.0</v>
      </c>
      <c r="Q16" s="100">
        <v>3.0</v>
      </c>
      <c r="R16" s="99">
        <v>4.0</v>
      </c>
      <c r="S16" s="99">
        <v>5.0</v>
      </c>
      <c r="T16" s="99">
        <v>7.0</v>
      </c>
      <c r="U16" s="99">
        <v>8.0</v>
      </c>
      <c r="V16" s="99">
        <v>6.0</v>
      </c>
      <c r="W16" s="99">
        <v>7.0</v>
      </c>
      <c r="X16" s="99">
        <v>9.0</v>
      </c>
      <c r="Y16" s="99">
        <v>6.0</v>
      </c>
      <c r="Z16" s="99">
        <v>5.0</v>
      </c>
    </row>
    <row r="17">
      <c r="A17" s="95" t="s">
        <v>45</v>
      </c>
      <c r="B17" s="96">
        <f t="shared" si="1"/>
        <v>142</v>
      </c>
      <c r="C17" s="97">
        <v>0.0</v>
      </c>
      <c r="D17" s="98">
        <v>5.0</v>
      </c>
      <c r="E17" s="98">
        <v>6.0</v>
      </c>
      <c r="F17" s="98">
        <v>5.0</v>
      </c>
      <c r="G17" s="99">
        <v>6.0</v>
      </c>
      <c r="H17" s="99">
        <v>7.0</v>
      </c>
      <c r="I17" s="99">
        <v>4.0</v>
      </c>
      <c r="J17" s="99">
        <v>5.0</v>
      </c>
      <c r="K17" s="99">
        <v>7.0</v>
      </c>
      <c r="L17" s="99">
        <v>6.0</v>
      </c>
      <c r="M17" s="99">
        <v>6.0</v>
      </c>
      <c r="N17" s="99">
        <v>7.0</v>
      </c>
      <c r="O17" s="99">
        <v>5.0</v>
      </c>
      <c r="P17" s="99">
        <v>5.0</v>
      </c>
      <c r="Q17" s="99">
        <v>5.0</v>
      </c>
      <c r="R17" s="99">
        <v>5.0</v>
      </c>
      <c r="S17" s="99">
        <v>6.0</v>
      </c>
      <c r="T17" s="99">
        <v>8.0</v>
      </c>
      <c r="U17" s="99">
        <v>6.0</v>
      </c>
      <c r="V17" s="99">
        <v>8.0</v>
      </c>
      <c r="W17" s="99">
        <v>7.0</v>
      </c>
      <c r="X17" s="99">
        <v>8.0</v>
      </c>
      <c r="Y17" s="99">
        <v>7.0</v>
      </c>
      <c r="Z17" s="99">
        <v>8.0</v>
      </c>
    </row>
    <row r="18">
      <c r="A18" s="95" t="s">
        <v>46</v>
      </c>
      <c r="B18" s="96">
        <f t="shared" si="1"/>
        <v>126</v>
      </c>
      <c r="C18" s="97">
        <v>0.0</v>
      </c>
      <c r="D18" s="98">
        <v>6.0</v>
      </c>
      <c r="E18" s="98">
        <v>4.0</v>
      </c>
      <c r="F18" s="98">
        <v>7.0</v>
      </c>
      <c r="G18" s="99">
        <v>5.0</v>
      </c>
      <c r="H18" s="99">
        <v>6.0</v>
      </c>
      <c r="I18" s="99">
        <v>5.0</v>
      </c>
      <c r="J18" s="99">
        <v>5.0</v>
      </c>
      <c r="K18" s="99">
        <v>6.0</v>
      </c>
      <c r="L18" s="99">
        <v>6.0</v>
      </c>
      <c r="M18" s="99">
        <v>4.0</v>
      </c>
      <c r="N18" s="99">
        <v>6.0</v>
      </c>
      <c r="O18" s="99">
        <v>5.0</v>
      </c>
      <c r="P18" s="99">
        <v>4.0</v>
      </c>
      <c r="Q18" s="99">
        <v>5.0</v>
      </c>
      <c r="R18" s="100">
        <v>2.0</v>
      </c>
      <c r="S18" s="99">
        <v>5.0</v>
      </c>
      <c r="T18" s="99">
        <v>8.0</v>
      </c>
      <c r="U18" s="99">
        <v>5.0</v>
      </c>
      <c r="V18" s="99">
        <v>6.0</v>
      </c>
      <c r="W18" s="99">
        <v>7.0</v>
      </c>
      <c r="X18" s="99">
        <v>8.0</v>
      </c>
      <c r="Y18" s="99">
        <v>6.0</v>
      </c>
      <c r="Z18" s="99">
        <v>5.0</v>
      </c>
    </row>
    <row r="19">
      <c r="A19" s="95" t="s">
        <v>48</v>
      </c>
      <c r="B19" s="96">
        <f t="shared" si="1"/>
        <v>134</v>
      </c>
      <c r="C19" s="97">
        <v>1.0</v>
      </c>
      <c r="D19" s="98">
        <v>4.0</v>
      </c>
      <c r="E19" s="98">
        <v>5.0</v>
      </c>
      <c r="F19" s="98">
        <v>6.0</v>
      </c>
      <c r="G19" s="99">
        <v>6.0</v>
      </c>
      <c r="H19" s="99">
        <v>7.0</v>
      </c>
      <c r="I19" s="99">
        <v>1.0</v>
      </c>
      <c r="J19" s="99">
        <v>6.0</v>
      </c>
      <c r="K19" s="99">
        <v>6.0</v>
      </c>
      <c r="L19" s="99">
        <v>6.0</v>
      </c>
      <c r="M19" s="99">
        <v>5.0</v>
      </c>
      <c r="N19" s="99">
        <v>7.0</v>
      </c>
      <c r="O19" s="99">
        <v>5.0</v>
      </c>
      <c r="P19" s="99">
        <v>4.0</v>
      </c>
      <c r="Q19" s="99">
        <v>5.0</v>
      </c>
      <c r="R19" s="99">
        <v>4.0</v>
      </c>
      <c r="S19" s="99">
        <v>7.0</v>
      </c>
      <c r="T19" s="99">
        <v>8.0</v>
      </c>
      <c r="U19" s="99">
        <v>7.0</v>
      </c>
      <c r="V19" s="99">
        <v>6.0</v>
      </c>
      <c r="W19" s="99">
        <v>7.0</v>
      </c>
      <c r="X19" s="99">
        <v>7.0</v>
      </c>
      <c r="Y19" s="99">
        <v>7.0</v>
      </c>
      <c r="Z19" s="99">
        <v>7.0</v>
      </c>
    </row>
    <row r="20">
      <c r="A20" s="95" t="s">
        <v>50</v>
      </c>
      <c r="B20" s="96">
        <f t="shared" si="1"/>
        <v>140</v>
      </c>
      <c r="C20" s="97">
        <v>0.0</v>
      </c>
      <c r="D20" s="98">
        <v>7.0</v>
      </c>
      <c r="E20" s="98">
        <v>4.0</v>
      </c>
      <c r="F20" s="98">
        <v>7.0</v>
      </c>
      <c r="G20" s="99">
        <v>6.0</v>
      </c>
      <c r="H20" s="99">
        <v>7.0</v>
      </c>
      <c r="I20" s="99">
        <v>3.0</v>
      </c>
      <c r="J20" s="99">
        <v>5.0</v>
      </c>
      <c r="K20" s="99">
        <v>6.0</v>
      </c>
      <c r="L20" s="99">
        <v>7.0</v>
      </c>
      <c r="M20" s="99">
        <v>4.0</v>
      </c>
      <c r="N20" s="99">
        <v>7.0</v>
      </c>
      <c r="O20" s="99">
        <v>5.0</v>
      </c>
      <c r="P20" s="99">
        <v>6.0</v>
      </c>
      <c r="Q20" s="99">
        <v>5.0</v>
      </c>
      <c r="R20" s="99">
        <v>4.0</v>
      </c>
      <c r="S20" s="99">
        <v>7.0</v>
      </c>
      <c r="T20" s="99">
        <v>8.0</v>
      </c>
      <c r="U20" s="99">
        <v>6.0</v>
      </c>
      <c r="V20" s="99">
        <v>8.0</v>
      </c>
      <c r="W20" s="99">
        <v>7.0</v>
      </c>
      <c r="X20" s="99">
        <v>8.0</v>
      </c>
      <c r="Y20" s="99">
        <v>7.0</v>
      </c>
      <c r="Z20" s="99">
        <v>6.0</v>
      </c>
    </row>
    <row r="21">
      <c r="A21" s="95" t="s">
        <v>52</v>
      </c>
      <c r="B21" s="96">
        <f t="shared" si="1"/>
        <v>146</v>
      </c>
      <c r="C21" s="97">
        <v>0.0</v>
      </c>
      <c r="D21" s="98">
        <v>8.0</v>
      </c>
      <c r="E21" s="98">
        <v>5.0</v>
      </c>
      <c r="F21" s="98">
        <v>7.0</v>
      </c>
      <c r="G21" s="99">
        <v>7.0</v>
      </c>
      <c r="H21" s="99">
        <v>7.0</v>
      </c>
      <c r="I21" s="99">
        <v>5.0</v>
      </c>
      <c r="J21" s="99">
        <v>7.0</v>
      </c>
      <c r="K21" s="99">
        <v>6.0</v>
      </c>
      <c r="L21" s="99">
        <v>5.0</v>
      </c>
      <c r="M21" s="99">
        <v>5.0</v>
      </c>
      <c r="N21" s="99">
        <v>7.0</v>
      </c>
      <c r="O21" s="99">
        <v>5.0</v>
      </c>
      <c r="P21" s="99">
        <v>6.0</v>
      </c>
      <c r="Q21" s="99">
        <v>5.0</v>
      </c>
      <c r="R21" s="99">
        <v>4.0</v>
      </c>
      <c r="S21" s="99">
        <v>7.0</v>
      </c>
      <c r="T21" s="99">
        <v>8.0</v>
      </c>
      <c r="U21" s="99">
        <v>6.0</v>
      </c>
      <c r="V21" s="99">
        <v>6.0</v>
      </c>
      <c r="W21" s="99">
        <v>8.0</v>
      </c>
      <c r="X21" s="99">
        <v>8.0</v>
      </c>
      <c r="Y21" s="99">
        <v>7.0</v>
      </c>
      <c r="Z21" s="99">
        <v>7.0</v>
      </c>
    </row>
    <row r="22">
      <c r="A22" s="95" t="s">
        <v>56</v>
      </c>
      <c r="B22" s="96">
        <f t="shared" si="1"/>
        <v>126</v>
      </c>
      <c r="C22" s="97">
        <v>0.0</v>
      </c>
      <c r="D22" s="98">
        <v>3.0</v>
      </c>
      <c r="E22" s="98">
        <v>5.0</v>
      </c>
      <c r="F22" s="98">
        <v>5.0</v>
      </c>
      <c r="G22" s="99">
        <v>7.0</v>
      </c>
      <c r="H22" s="99">
        <v>5.0</v>
      </c>
      <c r="I22" s="99">
        <v>7.0</v>
      </c>
      <c r="J22" s="99">
        <v>7.0</v>
      </c>
      <c r="K22" s="99">
        <v>6.0</v>
      </c>
      <c r="L22" s="99">
        <v>6.0</v>
      </c>
      <c r="M22" s="99">
        <v>4.0</v>
      </c>
      <c r="N22" s="100">
        <v>6.0</v>
      </c>
      <c r="O22" s="99">
        <v>3.0</v>
      </c>
      <c r="P22" s="99">
        <v>4.0</v>
      </c>
      <c r="Q22" s="99">
        <v>6.0</v>
      </c>
      <c r="R22" s="99">
        <v>3.0</v>
      </c>
      <c r="S22" s="99">
        <v>5.0</v>
      </c>
      <c r="T22" s="99">
        <v>9.0</v>
      </c>
      <c r="U22" s="99">
        <v>5.0</v>
      </c>
      <c r="V22" s="99">
        <v>5.0</v>
      </c>
      <c r="W22" s="99">
        <v>6.0</v>
      </c>
      <c r="X22" s="99">
        <v>6.0</v>
      </c>
      <c r="Y22" s="99">
        <v>7.0</v>
      </c>
      <c r="Z22" s="99">
        <v>6.0</v>
      </c>
    </row>
    <row r="23">
      <c r="A23" s="101" t="s">
        <v>58</v>
      </c>
      <c r="B23" s="96">
        <f t="shared" si="1"/>
        <v>73</v>
      </c>
      <c r="C23" s="97">
        <v>1.0</v>
      </c>
      <c r="D23" s="98">
        <v>4.0</v>
      </c>
      <c r="E23" s="98">
        <v>4.0</v>
      </c>
      <c r="F23" s="98">
        <v>3.0</v>
      </c>
      <c r="G23" s="99">
        <v>3.0</v>
      </c>
      <c r="H23" s="99">
        <v>2.0</v>
      </c>
      <c r="I23" s="99">
        <v>6.0</v>
      </c>
      <c r="J23" s="99">
        <v>2.0</v>
      </c>
      <c r="K23" s="99">
        <v>4.0</v>
      </c>
      <c r="L23" s="99">
        <v>4.0</v>
      </c>
      <c r="M23" s="99">
        <v>6.0</v>
      </c>
      <c r="N23" s="100">
        <v>2.0</v>
      </c>
      <c r="O23" s="99">
        <v>1.0</v>
      </c>
      <c r="P23" s="99">
        <v>5.0</v>
      </c>
      <c r="Q23" s="99">
        <v>1.0</v>
      </c>
      <c r="R23" s="99">
        <v>3.0</v>
      </c>
      <c r="S23" s="99">
        <v>2.0</v>
      </c>
      <c r="T23" s="99">
        <v>4.0</v>
      </c>
      <c r="U23" s="99">
        <v>2.0</v>
      </c>
      <c r="V23" s="99">
        <v>3.0</v>
      </c>
      <c r="W23" s="99">
        <v>4.0</v>
      </c>
      <c r="X23" s="99">
        <v>2.0</v>
      </c>
      <c r="Y23" s="99">
        <v>2.0</v>
      </c>
      <c r="Z23" s="99">
        <v>3.0</v>
      </c>
    </row>
    <row r="24">
      <c r="A24" s="102" t="s">
        <v>60</v>
      </c>
      <c r="B24" s="96">
        <f t="shared" si="1"/>
        <v>143</v>
      </c>
      <c r="C24" s="97">
        <v>0.0</v>
      </c>
      <c r="D24" s="98">
        <v>8.0</v>
      </c>
      <c r="E24" s="98">
        <v>5.0</v>
      </c>
      <c r="F24" s="98">
        <v>6.0</v>
      </c>
      <c r="G24" s="99">
        <v>6.0</v>
      </c>
      <c r="H24" s="99">
        <v>7.0</v>
      </c>
      <c r="I24" s="99">
        <v>3.0</v>
      </c>
      <c r="J24" s="99">
        <v>7.0</v>
      </c>
      <c r="K24" s="99">
        <v>6.0</v>
      </c>
      <c r="L24" s="99">
        <v>6.0</v>
      </c>
      <c r="M24" s="99">
        <v>5.0</v>
      </c>
      <c r="N24" s="99">
        <v>7.0</v>
      </c>
      <c r="O24" s="99">
        <v>5.0</v>
      </c>
      <c r="P24" s="99">
        <v>7.0</v>
      </c>
      <c r="Q24" s="99">
        <v>5.0</v>
      </c>
      <c r="R24" s="99">
        <v>3.0</v>
      </c>
      <c r="S24" s="99">
        <v>7.0</v>
      </c>
      <c r="T24" s="99">
        <v>9.0</v>
      </c>
      <c r="U24" s="99">
        <v>5.0</v>
      </c>
      <c r="V24" s="99">
        <v>7.0</v>
      </c>
      <c r="W24" s="99">
        <v>8.0</v>
      </c>
      <c r="X24" s="99">
        <v>7.0</v>
      </c>
      <c r="Y24" s="99">
        <v>7.0</v>
      </c>
      <c r="Z24" s="99">
        <v>7.0</v>
      </c>
    </row>
    <row r="25">
      <c r="A25" s="102" t="s">
        <v>61</v>
      </c>
      <c r="B25" s="96">
        <f t="shared" si="1"/>
        <v>143</v>
      </c>
      <c r="C25" s="97">
        <v>1.0</v>
      </c>
      <c r="D25" s="98">
        <v>8.0</v>
      </c>
      <c r="E25" s="98">
        <v>4.0</v>
      </c>
      <c r="F25" s="98">
        <v>6.0</v>
      </c>
      <c r="G25" s="99">
        <v>7.0</v>
      </c>
      <c r="H25" s="99">
        <v>7.0</v>
      </c>
      <c r="I25" s="99">
        <v>4.0</v>
      </c>
      <c r="J25" s="99">
        <v>6.0</v>
      </c>
      <c r="K25" s="99">
        <v>6.0</v>
      </c>
      <c r="L25" s="99">
        <v>6.0</v>
      </c>
      <c r="M25" s="99">
        <v>5.0</v>
      </c>
      <c r="N25" s="99">
        <v>6.0</v>
      </c>
      <c r="O25" s="99">
        <v>5.0</v>
      </c>
      <c r="P25" s="99">
        <v>7.0</v>
      </c>
      <c r="Q25" s="99">
        <v>6.0</v>
      </c>
      <c r="R25" s="99">
        <v>4.0</v>
      </c>
      <c r="S25" s="99">
        <v>7.0</v>
      </c>
      <c r="T25" s="99">
        <v>9.0</v>
      </c>
      <c r="U25" s="99">
        <v>5.0</v>
      </c>
      <c r="V25" s="99">
        <v>6.0</v>
      </c>
      <c r="W25" s="99">
        <v>7.0</v>
      </c>
      <c r="X25" s="99">
        <v>7.0</v>
      </c>
      <c r="Y25" s="99">
        <v>7.0</v>
      </c>
      <c r="Z25" s="99">
        <v>7.0</v>
      </c>
    </row>
    <row r="26">
      <c r="A26" s="102" t="s">
        <v>62</v>
      </c>
      <c r="B26" s="96">
        <f t="shared" si="1"/>
        <v>141</v>
      </c>
      <c r="C26" s="97">
        <v>1.0</v>
      </c>
      <c r="D26" s="98">
        <v>7.0</v>
      </c>
      <c r="E26" s="98">
        <v>4.0</v>
      </c>
      <c r="F26" s="98">
        <v>7.0</v>
      </c>
      <c r="G26" s="99">
        <v>7.0</v>
      </c>
      <c r="H26" s="99">
        <v>7.0</v>
      </c>
      <c r="I26" s="99">
        <v>3.0</v>
      </c>
      <c r="J26" s="99">
        <v>6.0</v>
      </c>
      <c r="K26" s="99">
        <v>7.0</v>
      </c>
      <c r="L26" s="99">
        <v>6.0</v>
      </c>
      <c r="M26" s="99">
        <v>4.0</v>
      </c>
      <c r="N26" s="99">
        <v>6.0</v>
      </c>
      <c r="O26" s="99">
        <v>5.0</v>
      </c>
      <c r="P26" s="99">
        <v>6.0</v>
      </c>
      <c r="Q26" s="99">
        <v>6.0</v>
      </c>
      <c r="R26" s="99">
        <v>4.0</v>
      </c>
      <c r="S26" s="99">
        <v>7.0</v>
      </c>
      <c r="T26" s="99">
        <v>9.0</v>
      </c>
      <c r="U26" s="99">
        <v>4.0</v>
      </c>
      <c r="V26" s="99">
        <v>6.0</v>
      </c>
      <c r="W26" s="99">
        <v>7.0</v>
      </c>
      <c r="X26" s="99">
        <v>8.0</v>
      </c>
      <c r="Y26" s="99">
        <v>7.0</v>
      </c>
      <c r="Z26" s="99">
        <v>7.0</v>
      </c>
    </row>
    <row r="27">
      <c r="B27" s="103"/>
    </row>
    <row r="28">
      <c r="B28" s="103"/>
    </row>
    <row r="29">
      <c r="B29" s="103"/>
    </row>
    <row r="30">
      <c r="B30" s="103"/>
    </row>
    <row r="31">
      <c r="B31" s="103"/>
    </row>
    <row r="32">
      <c r="B32" s="103"/>
    </row>
    <row r="33">
      <c r="B33" s="103"/>
      <c r="H33" s="104"/>
    </row>
    <row r="34">
      <c r="B34" s="103"/>
    </row>
    <row r="35">
      <c r="B35" s="103"/>
    </row>
    <row r="36">
      <c r="B36" s="103"/>
    </row>
    <row r="37">
      <c r="B37" s="103"/>
    </row>
    <row r="38">
      <c r="B38" s="103"/>
    </row>
    <row r="39">
      <c r="B39" s="103"/>
    </row>
    <row r="40">
      <c r="B40" s="103"/>
    </row>
    <row r="41">
      <c r="B41" s="103"/>
    </row>
    <row r="42">
      <c r="B42" s="103"/>
    </row>
    <row r="43">
      <c r="B43" s="103"/>
    </row>
    <row r="44">
      <c r="B44" s="103"/>
    </row>
    <row r="45">
      <c r="B45" s="103"/>
    </row>
    <row r="46">
      <c r="B46" s="103"/>
    </row>
    <row r="47">
      <c r="B47" s="103"/>
    </row>
    <row r="48">
      <c r="B48" s="103"/>
    </row>
    <row r="49">
      <c r="B49" s="103"/>
    </row>
    <row r="50">
      <c r="B50" s="103"/>
    </row>
    <row r="51">
      <c r="B51" s="103"/>
    </row>
    <row r="52">
      <c r="B52" s="103"/>
    </row>
    <row r="53">
      <c r="B53" s="103"/>
    </row>
    <row r="54">
      <c r="B54" s="103"/>
    </row>
    <row r="55">
      <c r="B55" s="103"/>
    </row>
    <row r="56">
      <c r="B56" s="103"/>
    </row>
    <row r="57">
      <c r="B57" s="103"/>
    </row>
    <row r="58">
      <c r="B58" s="103"/>
    </row>
    <row r="59">
      <c r="B59" s="103"/>
    </row>
    <row r="60">
      <c r="B60" s="103"/>
    </row>
    <row r="61">
      <c r="B61" s="103"/>
    </row>
    <row r="62">
      <c r="B62" s="103"/>
    </row>
    <row r="63">
      <c r="B63" s="103"/>
    </row>
    <row r="64">
      <c r="B64" s="103"/>
    </row>
    <row r="65">
      <c r="B65" s="103"/>
    </row>
    <row r="66">
      <c r="B66" s="103"/>
    </row>
    <row r="67">
      <c r="B67" s="103"/>
    </row>
    <row r="68">
      <c r="B68" s="103"/>
    </row>
    <row r="69">
      <c r="B69" s="103"/>
    </row>
    <row r="70">
      <c r="B70" s="103"/>
    </row>
    <row r="71">
      <c r="B71" s="103"/>
    </row>
    <row r="72">
      <c r="B72" s="103"/>
    </row>
    <row r="73">
      <c r="B73" s="103"/>
    </row>
    <row r="74">
      <c r="B74" s="103"/>
    </row>
    <row r="75">
      <c r="B75" s="103"/>
    </row>
    <row r="76">
      <c r="B76" s="103"/>
    </row>
    <row r="77">
      <c r="B77" s="103"/>
    </row>
    <row r="78">
      <c r="B78" s="103"/>
    </row>
    <row r="79">
      <c r="B79" s="103"/>
    </row>
    <row r="80">
      <c r="B80" s="103"/>
    </row>
    <row r="81">
      <c r="B81" s="103"/>
    </row>
    <row r="82">
      <c r="B82" s="103"/>
    </row>
    <row r="83">
      <c r="B83" s="103"/>
    </row>
    <row r="84">
      <c r="B84" s="103"/>
    </row>
    <row r="85">
      <c r="B85" s="103"/>
    </row>
    <row r="86">
      <c r="B86" s="103"/>
    </row>
    <row r="87">
      <c r="B87" s="103"/>
    </row>
    <row r="88">
      <c r="B88" s="103"/>
    </row>
    <row r="89">
      <c r="B89" s="103"/>
    </row>
    <row r="90">
      <c r="B90" s="103"/>
    </row>
    <row r="91">
      <c r="B91" s="103"/>
    </row>
    <row r="92">
      <c r="B92" s="103"/>
    </row>
    <row r="93">
      <c r="B93" s="103"/>
    </row>
    <row r="94">
      <c r="B94" s="103"/>
    </row>
    <row r="95">
      <c r="B95" s="103"/>
    </row>
    <row r="96">
      <c r="B96" s="103"/>
    </row>
    <row r="97">
      <c r="B97" s="103"/>
    </row>
    <row r="98">
      <c r="B98" s="103"/>
    </row>
    <row r="99">
      <c r="B99" s="103"/>
    </row>
    <row r="100">
      <c r="B100" s="103"/>
    </row>
    <row r="101">
      <c r="B101" s="103"/>
    </row>
    <row r="102">
      <c r="B102" s="103"/>
    </row>
    <row r="103">
      <c r="B103" s="103"/>
    </row>
    <row r="104">
      <c r="B104" s="103"/>
    </row>
    <row r="105">
      <c r="B105" s="103"/>
    </row>
    <row r="106">
      <c r="B106" s="103"/>
    </row>
    <row r="107">
      <c r="B107" s="103"/>
    </row>
    <row r="108">
      <c r="B108" s="103"/>
    </row>
    <row r="109">
      <c r="B109" s="103"/>
    </row>
    <row r="110">
      <c r="B110" s="103"/>
    </row>
    <row r="111">
      <c r="B111" s="103"/>
    </row>
    <row r="112">
      <c r="B112" s="103"/>
    </row>
    <row r="113">
      <c r="B113" s="103"/>
    </row>
    <row r="114">
      <c r="B114" s="103"/>
    </row>
    <row r="115">
      <c r="B115" s="103"/>
    </row>
    <row r="116">
      <c r="B116" s="103"/>
    </row>
    <row r="117">
      <c r="B117" s="103"/>
    </row>
    <row r="118">
      <c r="B118" s="103"/>
    </row>
    <row r="119">
      <c r="B119" s="103"/>
    </row>
    <row r="120">
      <c r="B120" s="103"/>
    </row>
    <row r="121">
      <c r="B121" s="103"/>
    </row>
    <row r="122">
      <c r="B122" s="103"/>
    </row>
    <row r="123">
      <c r="B123" s="103"/>
    </row>
    <row r="124">
      <c r="B124" s="103"/>
    </row>
    <row r="125">
      <c r="B125" s="103"/>
    </row>
    <row r="126">
      <c r="B126" s="103"/>
    </row>
    <row r="127">
      <c r="B127" s="103"/>
    </row>
    <row r="128">
      <c r="B128" s="103"/>
    </row>
    <row r="129">
      <c r="B129" s="103"/>
    </row>
    <row r="130">
      <c r="B130" s="103"/>
    </row>
    <row r="131">
      <c r="B131" s="103"/>
    </row>
    <row r="132">
      <c r="B132" s="103"/>
    </row>
    <row r="133">
      <c r="B133" s="103"/>
    </row>
    <row r="134">
      <c r="B134" s="103"/>
    </row>
    <row r="135">
      <c r="B135" s="103"/>
    </row>
    <row r="136">
      <c r="B136" s="103"/>
    </row>
    <row r="137">
      <c r="B137" s="103"/>
    </row>
    <row r="138">
      <c r="B138" s="103"/>
    </row>
    <row r="139">
      <c r="B139" s="103"/>
    </row>
    <row r="140">
      <c r="B140" s="103"/>
    </row>
    <row r="141">
      <c r="B141" s="103"/>
    </row>
    <row r="142">
      <c r="B142" s="103"/>
    </row>
    <row r="143">
      <c r="B143" s="103"/>
    </row>
    <row r="144">
      <c r="B144" s="103"/>
    </row>
    <row r="145">
      <c r="B145" s="103"/>
    </row>
    <row r="146">
      <c r="B146" s="103"/>
    </row>
    <row r="147">
      <c r="B147" s="103"/>
    </row>
    <row r="148">
      <c r="B148" s="103"/>
    </row>
    <row r="149">
      <c r="B149" s="103"/>
    </row>
    <row r="150">
      <c r="B150" s="103"/>
    </row>
    <row r="151">
      <c r="B151" s="103"/>
    </row>
    <row r="152">
      <c r="B152" s="103"/>
    </row>
    <row r="153">
      <c r="B153" s="103"/>
    </row>
    <row r="154">
      <c r="B154" s="103"/>
    </row>
    <row r="155">
      <c r="B155" s="103"/>
    </row>
    <row r="156">
      <c r="B156" s="103"/>
    </row>
    <row r="157">
      <c r="B157" s="103"/>
    </row>
    <row r="158">
      <c r="B158" s="103"/>
    </row>
    <row r="159">
      <c r="B159" s="103"/>
    </row>
    <row r="160">
      <c r="B160" s="103"/>
    </row>
    <row r="161">
      <c r="B161" s="103"/>
    </row>
    <row r="162">
      <c r="B162" s="103"/>
    </row>
    <row r="163">
      <c r="B163" s="103"/>
    </row>
    <row r="164">
      <c r="B164" s="103"/>
    </row>
    <row r="165">
      <c r="B165" s="103"/>
    </row>
    <row r="166">
      <c r="B166" s="103"/>
    </row>
    <row r="167">
      <c r="B167" s="103"/>
    </row>
    <row r="168">
      <c r="B168" s="103"/>
    </row>
    <row r="169">
      <c r="B169" s="103"/>
    </row>
    <row r="170">
      <c r="B170" s="103"/>
    </row>
    <row r="171">
      <c r="B171" s="103"/>
    </row>
    <row r="172">
      <c r="B172" s="103"/>
    </row>
    <row r="173">
      <c r="B173" s="103"/>
    </row>
    <row r="174">
      <c r="B174" s="103"/>
    </row>
    <row r="175">
      <c r="B175" s="103"/>
    </row>
    <row r="176">
      <c r="B176" s="103"/>
    </row>
    <row r="177">
      <c r="B177" s="103"/>
    </row>
    <row r="178">
      <c r="B178" s="103"/>
    </row>
    <row r="179">
      <c r="B179" s="103"/>
    </row>
    <row r="180">
      <c r="B180" s="103"/>
    </row>
    <row r="181">
      <c r="B181" s="103"/>
    </row>
    <row r="182">
      <c r="B182" s="103"/>
    </row>
    <row r="183">
      <c r="B183" s="103"/>
    </row>
    <row r="184">
      <c r="B184" s="103"/>
    </row>
    <row r="185">
      <c r="B185" s="103"/>
    </row>
    <row r="186">
      <c r="B186" s="103"/>
    </row>
    <row r="187">
      <c r="B187" s="103"/>
    </row>
    <row r="188">
      <c r="B188" s="103"/>
    </row>
    <row r="189">
      <c r="B189" s="103"/>
    </row>
    <row r="190">
      <c r="B190" s="103"/>
    </row>
    <row r="191">
      <c r="B191" s="103"/>
    </row>
    <row r="192">
      <c r="B192" s="103"/>
    </row>
    <row r="193">
      <c r="B193" s="103"/>
    </row>
    <row r="194">
      <c r="B194" s="103"/>
    </row>
    <row r="195">
      <c r="B195" s="103"/>
    </row>
    <row r="196">
      <c r="B196" s="103"/>
    </row>
    <row r="197">
      <c r="B197" s="103"/>
    </row>
    <row r="198">
      <c r="B198" s="103"/>
    </row>
    <row r="199">
      <c r="B199" s="103"/>
    </row>
    <row r="200">
      <c r="B200" s="103"/>
    </row>
    <row r="201">
      <c r="B201" s="103"/>
    </row>
    <row r="202">
      <c r="B202" s="103"/>
    </row>
    <row r="203">
      <c r="B203" s="103"/>
    </row>
    <row r="204">
      <c r="B204" s="103"/>
    </row>
    <row r="205">
      <c r="B205" s="103"/>
    </row>
    <row r="206">
      <c r="B206" s="103"/>
    </row>
    <row r="207">
      <c r="B207" s="103"/>
    </row>
    <row r="208">
      <c r="B208" s="103"/>
    </row>
    <row r="209">
      <c r="B209" s="103"/>
    </row>
    <row r="210">
      <c r="B210" s="103"/>
    </row>
    <row r="211">
      <c r="B211" s="103"/>
    </row>
    <row r="212">
      <c r="B212" s="103"/>
    </row>
    <row r="213">
      <c r="B213" s="103"/>
    </row>
    <row r="214">
      <c r="B214" s="103"/>
    </row>
    <row r="215">
      <c r="B215" s="103"/>
    </row>
    <row r="216">
      <c r="B216" s="103"/>
    </row>
    <row r="217">
      <c r="B217" s="103"/>
    </row>
    <row r="218">
      <c r="B218" s="103"/>
    </row>
    <row r="219">
      <c r="B219" s="103"/>
    </row>
    <row r="220">
      <c r="B220" s="103"/>
    </row>
    <row r="221">
      <c r="B221" s="103"/>
    </row>
    <row r="222">
      <c r="B222" s="103"/>
    </row>
    <row r="223">
      <c r="B223" s="103"/>
    </row>
    <row r="224">
      <c r="B224" s="103"/>
    </row>
    <row r="225">
      <c r="B225" s="103"/>
    </row>
    <row r="226">
      <c r="B226" s="103"/>
    </row>
    <row r="227">
      <c r="B227" s="103"/>
    </row>
    <row r="228">
      <c r="B228" s="103"/>
    </row>
    <row r="229">
      <c r="B229" s="103"/>
    </row>
    <row r="230">
      <c r="B230" s="103"/>
    </row>
    <row r="231">
      <c r="B231" s="103"/>
    </row>
    <row r="232">
      <c r="B232" s="103"/>
    </row>
    <row r="233">
      <c r="B233" s="103"/>
    </row>
    <row r="234">
      <c r="B234" s="103"/>
    </row>
    <row r="235">
      <c r="B235" s="103"/>
    </row>
    <row r="236">
      <c r="B236" s="103"/>
    </row>
    <row r="237">
      <c r="B237" s="103"/>
    </row>
    <row r="238">
      <c r="B238" s="103"/>
    </row>
    <row r="239">
      <c r="B239" s="103"/>
    </row>
    <row r="240">
      <c r="B240" s="103"/>
    </row>
    <row r="241">
      <c r="B241" s="103"/>
    </row>
    <row r="242">
      <c r="B242" s="103"/>
    </row>
    <row r="243">
      <c r="B243" s="103"/>
    </row>
    <row r="244">
      <c r="B244" s="103"/>
    </row>
    <row r="245">
      <c r="B245" s="103"/>
    </row>
    <row r="246">
      <c r="B246" s="103"/>
    </row>
    <row r="247">
      <c r="B247" s="103"/>
    </row>
    <row r="248">
      <c r="B248" s="103"/>
    </row>
    <row r="249">
      <c r="B249" s="103"/>
    </row>
    <row r="250">
      <c r="B250" s="103"/>
    </row>
    <row r="251">
      <c r="B251" s="103"/>
    </row>
    <row r="252">
      <c r="B252" s="103"/>
    </row>
    <row r="253">
      <c r="B253" s="103"/>
    </row>
    <row r="254">
      <c r="B254" s="103"/>
    </row>
    <row r="255">
      <c r="B255" s="103"/>
    </row>
    <row r="256">
      <c r="B256" s="103"/>
    </row>
    <row r="257">
      <c r="B257" s="103"/>
    </row>
    <row r="258">
      <c r="B258" s="103"/>
    </row>
    <row r="259">
      <c r="B259" s="103"/>
    </row>
    <row r="260">
      <c r="B260" s="103"/>
    </row>
    <row r="261">
      <c r="B261" s="103"/>
    </row>
    <row r="262">
      <c r="B262" s="103"/>
    </row>
    <row r="263">
      <c r="B263" s="103"/>
    </row>
    <row r="264">
      <c r="B264" s="103"/>
    </row>
    <row r="265">
      <c r="B265" s="103"/>
    </row>
    <row r="266">
      <c r="B266" s="103"/>
    </row>
    <row r="267">
      <c r="B267" s="103"/>
    </row>
    <row r="268">
      <c r="B268" s="103"/>
    </row>
    <row r="269">
      <c r="B269" s="103"/>
    </row>
    <row r="270">
      <c r="B270" s="103"/>
    </row>
    <row r="271">
      <c r="B271" s="103"/>
    </row>
    <row r="272">
      <c r="B272" s="103"/>
    </row>
    <row r="273">
      <c r="B273" s="103"/>
    </row>
    <row r="274">
      <c r="B274" s="103"/>
    </row>
    <row r="275">
      <c r="B275" s="103"/>
    </row>
    <row r="276">
      <c r="B276" s="103"/>
    </row>
    <row r="277">
      <c r="B277" s="103"/>
    </row>
    <row r="278">
      <c r="B278" s="103"/>
    </row>
    <row r="279">
      <c r="B279" s="103"/>
    </row>
    <row r="280">
      <c r="B280" s="103"/>
    </row>
    <row r="281">
      <c r="B281" s="103"/>
    </row>
    <row r="282">
      <c r="B282" s="103"/>
    </row>
    <row r="283">
      <c r="B283" s="103"/>
    </row>
    <row r="284">
      <c r="B284" s="103"/>
    </row>
    <row r="285">
      <c r="B285" s="103"/>
    </row>
    <row r="286">
      <c r="B286" s="103"/>
    </row>
    <row r="287">
      <c r="B287" s="103"/>
    </row>
    <row r="288">
      <c r="B288" s="103"/>
    </row>
    <row r="289">
      <c r="B289" s="103"/>
    </row>
    <row r="290">
      <c r="B290" s="103"/>
    </row>
    <row r="291">
      <c r="B291" s="103"/>
    </row>
    <row r="292">
      <c r="B292" s="103"/>
    </row>
    <row r="293">
      <c r="B293" s="103"/>
    </row>
    <row r="294">
      <c r="B294" s="103"/>
    </row>
    <row r="295">
      <c r="B295" s="103"/>
    </row>
    <row r="296">
      <c r="B296" s="103"/>
    </row>
    <row r="297">
      <c r="B297" s="103"/>
    </row>
    <row r="298">
      <c r="B298" s="103"/>
    </row>
    <row r="299">
      <c r="B299" s="103"/>
    </row>
    <row r="300">
      <c r="B300" s="103"/>
    </row>
    <row r="301">
      <c r="B301" s="103"/>
    </row>
    <row r="302">
      <c r="B302" s="103"/>
    </row>
    <row r="303">
      <c r="B303" s="103"/>
    </row>
    <row r="304">
      <c r="B304" s="103"/>
    </row>
    <row r="305">
      <c r="B305" s="103"/>
    </row>
    <row r="306">
      <c r="B306" s="103"/>
    </row>
    <row r="307">
      <c r="B307" s="103"/>
    </row>
    <row r="308">
      <c r="B308" s="103"/>
    </row>
    <row r="309">
      <c r="B309" s="103"/>
    </row>
    <row r="310">
      <c r="B310" s="103"/>
    </row>
    <row r="311">
      <c r="B311" s="103"/>
    </row>
    <row r="312">
      <c r="B312" s="103"/>
    </row>
    <row r="313">
      <c r="B313" s="103"/>
    </row>
    <row r="314">
      <c r="B314" s="103"/>
    </row>
    <row r="315">
      <c r="B315" s="103"/>
    </row>
    <row r="316">
      <c r="B316" s="103"/>
    </row>
    <row r="317">
      <c r="B317" s="103"/>
    </row>
    <row r="318">
      <c r="B318" s="103"/>
    </row>
    <row r="319">
      <c r="B319" s="103"/>
    </row>
    <row r="320">
      <c r="B320" s="103"/>
    </row>
    <row r="321">
      <c r="B321" s="103"/>
    </row>
    <row r="322">
      <c r="B322" s="103"/>
    </row>
    <row r="323">
      <c r="B323" s="103"/>
    </row>
    <row r="324">
      <c r="B324" s="103"/>
    </row>
    <row r="325">
      <c r="B325" s="103"/>
    </row>
    <row r="326">
      <c r="B326" s="103"/>
    </row>
    <row r="327">
      <c r="B327" s="103"/>
    </row>
    <row r="328">
      <c r="B328" s="103"/>
    </row>
    <row r="329">
      <c r="B329" s="103"/>
    </row>
    <row r="330">
      <c r="B330" s="103"/>
    </row>
    <row r="331">
      <c r="B331" s="103"/>
    </row>
    <row r="332">
      <c r="B332" s="103"/>
    </row>
    <row r="333">
      <c r="B333" s="103"/>
    </row>
    <row r="334">
      <c r="B334" s="103"/>
    </row>
    <row r="335">
      <c r="B335" s="103"/>
    </row>
    <row r="336">
      <c r="B336" s="103"/>
    </row>
    <row r="337">
      <c r="B337" s="103"/>
    </row>
    <row r="338">
      <c r="B338" s="103"/>
    </row>
    <row r="339">
      <c r="B339" s="103"/>
    </row>
    <row r="340">
      <c r="B340" s="103"/>
    </row>
    <row r="341">
      <c r="B341" s="103"/>
    </row>
    <row r="342">
      <c r="B342" s="103"/>
    </row>
    <row r="343">
      <c r="B343" s="103"/>
    </row>
    <row r="344">
      <c r="B344" s="103"/>
    </row>
    <row r="345">
      <c r="B345" s="103"/>
    </row>
    <row r="346">
      <c r="B346" s="103"/>
    </row>
    <row r="347">
      <c r="B347" s="103"/>
    </row>
    <row r="348">
      <c r="B348" s="103"/>
    </row>
    <row r="349">
      <c r="B349" s="103"/>
    </row>
    <row r="350">
      <c r="B350" s="103"/>
    </row>
    <row r="351">
      <c r="B351" s="103"/>
    </row>
    <row r="352">
      <c r="B352" s="103"/>
    </row>
    <row r="353">
      <c r="B353" s="103"/>
    </row>
    <row r="354">
      <c r="B354" s="103"/>
    </row>
    <row r="355">
      <c r="B355" s="103"/>
    </row>
    <row r="356">
      <c r="B356" s="103"/>
    </row>
    <row r="357">
      <c r="B357" s="103"/>
    </row>
    <row r="358">
      <c r="B358" s="103"/>
    </row>
    <row r="359">
      <c r="B359" s="103"/>
    </row>
    <row r="360">
      <c r="B360" s="103"/>
    </row>
    <row r="361">
      <c r="B361" s="103"/>
    </row>
    <row r="362">
      <c r="B362" s="103"/>
    </row>
    <row r="363">
      <c r="B363" s="103"/>
    </row>
    <row r="364">
      <c r="B364" s="103"/>
    </row>
    <row r="365">
      <c r="B365" s="103"/>
    </row>
    <row r="366">
      <c r="B366" s="103"/>
    </row>
    <row r="367">
      <c r="B367" s="103"/>
    </row>
    <row r="368">
      <c r="B368" s="103"/>
    </row>
    <row r="369">
      <c r="B369" s="103"/>
    </row>
    <row r="370">
      <c r="B370" s="103"/>
    </row>
    <row r="371">
      <c r="B371" s="103"/>
    </row>
    <row r="372">
      <c r="B372" s="103"/>
    </row>
    <row r="373">
      <c r="B373" s="103"/>
    </row>
    <row r="374">
      <c r="B374" s="103"/>
    </row>
    <row r="375">
      <c r="B375" s="103"/>
    </row>
    <row r="376">
      <c r="B376" s="103"/>
    </row>
    <row r="377">
      <c r="B377" s="103"/>
    </row>
    <row r="378">
      <c r="B378" s="103"/>
    </row>
    <row r="379">
      <c r="B379" s="103"/>
    </row>
    <row r="380">
      <c r="B380" s="103"/>
    </row>
    <row r="381">
      <c r="B381" s="103"/>
    </row>
    <row r="382">
      <c r="B382" s="103"/>
    </row>
    <row r="383">
      <c r="B383" s="103"/>
    </row>
    <row r="384">
      <c r="B384" s="103"/>
    </row>
    <row r="385">
      <c r="B385" s="103"/>
    </row>
    <row r="386">
      <c r="B386" s="103"/>
    </row>
    <row r="387">
      <c r="B387" s="103"/>
    </row>
    <row r="388">
      <c r="B388" s="103"/>
    </row>
    <row r="389">
      <c r="B389" s="103"/>
    </row>
    <row r="390">
      <c r="B390" s="103"/>
    </row>
    <row r="391">
      <c r="B391" s="103"/>
    </row>
    <row r="392">
      <c r="B392" s="103"/>
    </row>
    <row r="393">
      <c r="B393" s="103"/>
    </row>
    <row r="394">
      <c r="B394" s="103"/>
    </row>
    <row r="395">
      <c r="B395" s="103"/>
    </row>
    <row r="396">
      <c r="B396" s="103"/>
    </row>
    <row r="397">
      <c r="B397" s="103"/>
    </row>
    <row r="398">
      <c r="B398" s="103"/>
    </row>
    <row r="399">
      <c r="B399" s="103"/>
    </row>
    <row r="400">
      <c r="B400" s="103"/>
    </row>
    <row r="401">
      <c r="B401" s="103"/>
    </row>
    <row r="402">
      <c r="B402" s="103"/>
    </row>
    <row r="403">
      <c r="B403" s="103"/>
    </row>
    <row r="404">
      <c r="B404" s="103"/>
    </row>
    <row r="405">
      <c r="B405" s="103"/>
    </row>
    <row r="406">
      <c r="B406" s="103"/>
    </row>
    <row r="407">
      <c r="B407" s="103"/>
    </row>
    <row r="408">
      <c r="B408" s="103"/>
    </row>
    <row r="409">
      <c r="B409" s="103"/>
    </row>
    <row r="410">
      <c r="B410" s="103"/>
    </row>
    <row r="411">
      <c r="B411" s="103"/>
    </row>
    <row r="412">
      <c r="B412" s="103"/>
    </row>
    <row r="413">
      <c r="B413" s="103"/>
    </row>
    <row r="414">
      <c r="B414" s="103"/>
    </row>
    <row r="415">
      <c r="B415" s="103"/>
    </row>
    <row r="416">
      <c r="B416" s="103"/>
    </row>
    <row r="417">
      <c r="B417" s="103"/>
    </row>
    <row r="418">
      <c r="B418" s="103"/>
    </row>
    <row r="419">
      <c r="B419" s="103"/>
    </row>
    <row r="420">
      <c r="B420" s="103"/>
    </row>
    <row r="421">
      <c r="B421" s="103"/>
    </row>
    <row r="422">
      <c r="B422" s="103"/>
    </row>
    <row r="423">
      <c r="B423" s="103"/>
    </row>
    <row r="424">
      <c r="B424" s="103"/>
    </row>
    <row r="425">
      <c r="B425" s="103"/>
    </row>
    <row r="426">
      <c r="B426" s="103"/>
    </row>
    <row r="427">
      <c r="B427" s="103"/>
    </row>
    <row r="428">
      <c r="B428" s="103"/>
    </row>
    <row r="429">
      <c r="B429" s="103"/>
    </row>
    <row r="430">
      <c r="B430" s="103"/>
    </row>
    <row r="431">
      <c r="B431" s="103"/>
    </row>
    <row r="432">
      <c r="B432" s="103"/>
    </row>
    <row r="433">
      <c r="B433" s="103"/>
    </row>
    <row r="434">
      <c r="B434" s="103"/>
    </row>
    <row r="435">
      <c r="B435" s="103"/>
    </row>
    <row r="436">
      <c r="B436" s="103"/>
    </row>
    <row r="437">
      <c r="B437" s="103"/>
    </row>
    <row r="438">
      <c r="B438" s="103"/>
    </row>
    <row r="439">
      <c r="B439" s="103"/>
    </row>
    <row r="440">
      <c r="B440" s="103"/>
    </row>
    <row r="441">
      <c r="B441" s="103"/>
    </row>
    <row r="442">
      <c r="B442" s="103"/>
    </row>
    <row r="443">
      <c r="B443" s="103"/>
    </row>
    <row r="444">
      <c r="B444" s="103"/>
    </row>
    <row r="445">
      <c r="B445" s="103"/>
    </row>
    <row r="446">
      <c r="B446" s="103"/>
    </row>
    <row r="447">
      <c r="B447" s="103"/>
    </row>
    <row r="448">
      <c r="B448" s="103"/>
    </row>
    <row r="449">
      <c r="B449" s="103"/>
    </row>
    <row r="450">
      <c r="B450" s="103"/>
    </row>
    <row r="451">
      <c r="B451" s="103"/>
    </row>
    <row r="452">
      <c r="B452" s="103"/>
    </row>
    <row r="453">
      <c r="B453" s="103"/>
    </row>
    <row r="454">
      <c r="B454" s="103"/>
    </row>
    <row r="455">
      <c r="B455" s="103"/>
    </row>
    <row r="456">
      <c r="B456" s="103"/>
    </row>
    <row r="457">
      <c r="B457" s="103"/>
    </row>
    <row r="458">
      <c r="B458" s="103"/>
    </row>
    <row r="459">
      <c r="B459" s="103"/>
    </row>
    <row r="460">
      <c r="B460" s="103"/>
    </row>
    <row r="461">
      <c r="B461" s="103"/>
    </row>
    <row r="462">
      <c r="B462" s="103"/>
    </row>
    <row r="463">
      <c r="B463" s="103"/>
    </row>
    <row r="464">
      <c r="B464" s="103"/>
    </row>
    <row r="465">
      <c r="B465" s="103"/>
    </row>
    <row r="466">
      <c r="B466" s="103"/>
    </row>
    <row r="467">
      <c r="B467" s="103"/>
    </row>
    <row r="468">
      <c r="B468" s="103"/>
    </row>
    <row r="469">
      <c r="B469" s="103"/>
    </row>
    <row r="470">
      <c r="B470" s="103"/>
    </row>
    <row r="471">
      <c r="B471" s="103"/>
    </row>
    <row r="472">
      <c r="B472" s="103"/>
    </row>
    <row r="473">
      <c r="B473" s="103"/>
    </row>
    <row r="474">
      <c r="B474" s="103"/>
    </row>
    <row r="475">
      <c r="B475" s="103"/>
    </row>
    <row r="476">
      <c r="B476" s="103"/>
    </row>
    <row r="477">
      <c r="B477" s="103"/>
    </row>
    <row r="478">
      <c r="B478" s="103"/>
    </row>
    <row r="479">
      <c r="B479" s="103"/>
    </row>
    <row r="480">
      <c r="B480" s="103"/>
    </row>
    <row r="481">
      <c r="B481" s="103"/>
    </row>
    <row r="482">
      <c r="B482" s="103"/>
    </row>
    <row r="483">
      <c r="B483" s="103"/>
    </row>
    <row r="484">
      <c r="B484" s="103"/>
    </row>
    <row r="485">
      <c r="B485" s="103"/>
    </row>
    <row r="486">
      <c r="B486" s="103"/>
    </row>
    <row r="487">
      <c r="B487" s="103"/>
    </row>
    <row r="488">
      <c r="B488" s="103"/>
    </row>
    <row r="489">
      <c r="B489" s="103"/>
    </row>
    <row r="490">
      <c r="B490" s="103"/>
    </row>
    <row r="491">
      <c r="B491" s="103"/>
    </row>
    <row r="492">
      <c r="B492" s="103"/>
    </row>
    <row r="493">
      <c r="B493" s="103"/>
    </row>
    <row r="494">
      <c r="B494" s="103"/>
    </row>
    <row r="495">
      <c r="B495" s="103"/>
    </row>
    <row r="496">
      <c r="B496" s="103"/>
    </row>
    <row r="497">
      <c r="B497" s="103"/>
    </row>
    <row r="498">
      <c r="B498" s="103"/>
    </row>
    <row r="499">
      <c r="B499" s="103"/>
    </row>
    <row r="500">
      <c r="B500" s="103"/>
    </row>
    <row r="501">
      <c r="B501" s="103"/>
    </row>
    <row r="502">
      <c r="B502" s="103"/>
    </row>
    <row r="503">
      <c r="B503" s="103"/>
    </row>
    <row r="504">
      <c r="B504" s="103"/>
    </row>
    <row r="505">
      <c r="B505" s="103"/>
    </row>
    <row r="506">
      <c r="B506" s="103"/>
    </row>
    <row r="507">
      <c r="B507" s="103"/>
    </row>
    <row r="508">
      <c r="B508" s="103"/>
    </row>
    <row r="509">
      <c r="B509" s="103"/>
    </row>
    <row r="510">
      <c r="B510" s="103"/>
    </row>
    <row r="511">
      <c r="B511" s="103"/>
    </row>
    <row r="512">
      <c r="B512" s="103"/>
    </row>
    <row r="513">
      <c r="B513" s="103"/>
    </row>
    <row r="514">
      <c r="B514" s="103"/>
    </row>
    <row r="515">
      <c r="B515" s="103"/>
    </row>
    <row r="516">
      <c r="B516" s="103"/>
    </row>
    <row r="517">
      <c r="B517" s="103"/>
    </row>
    <row r="518">
      <c r="B518" s="103"/>
    </row>
    <row r="519">
      <c r="B519" s="103"/>
    </row>
    <row r="520">
      <c r="B520" s="103"/>
    </row>
    <row r="521">
      <c r="B521" s="103"/>
    </row>
    <row r="522">
      <c r="B522" s="103"/>
    </row>
    <row r="523">
      <c r="B523" s="103"/>
    </row>
    <row r="524">
      <c r="B524" s="103"/>
    </row>
    <row r="525">
      <c r="B525" s="103"/>
    </row>
    <row r="526">
      <c r="B526" s="103"/>
    </row>
    <row r="527">
      <c r="B527" s="103"/>
    </row>
    <row r="528">
      <c r="B528" s="103"/>
    </row>
    <row r="529">
      <c r="B529" s="103"/>
    </row>
    <row r="530">
      <c r="B530" s="103"/>
    </row>
    <row r="531">
      <c r="B531" s="103"/>
    </row>
    <row r="532">
      <c r="B532" s="103"/>
    </row>
    <row r="533">
      <c r="B533" s="103"/>
    </row>
    <row r="534">
      <c r="B534" s="103"/>
    </row>
    <row r="535">
      <c r="B535" s="103"/>
    </row>
    <row r="536">
      <c r="B536" s="103"/>
    </row>
    <row r="537">
      <c r="B537" s="103"/>
    </row>
    <row r="538">
      <c r="B538" s="103"/>
    </row>
    <row r="539">
      <c r="B539" s="103"/>
    </row>
    <row r="540">
      <c r="B540" s="103"/>
    </row>
    <row r="541">
      <c r="B541" s="103"/>
    </row>
    <row r="542">
      <c r="B542" s="103"/>
    </row>
    <row r="543">
      <c r="B543" s="103"/>
    </row>
    <row r="544">
      <c r="B544" s="103"/>
    </row>
    <row r="545">
      <c r="B545" s="103"/>
    </row>
    <row r="546">
      <c r="B546" s="103"/>
    </row>
    <row r="547">
      <c r="B547" s="103"/>
    </row>
    <row r="548">
      <c r="B548" s="103"/>
    </row>
    <row r="549">
      <c r="B549" s="103"/>
    </row>
    <row r="550">
      <c r="B550" s="103"/>
    </row>
    <row r="551">
      <c r="B551" s="103"/>
    </row>
    <row r="552">
      <c r="B552" s="103"/>
    </row>
    <row r="553">
      <c r="B553" s="103"/>
    </row>
    <row r="554">
      <c r="B554" s="103"/>
    </row>
    <row r="555">
      <c r="B555" s="103"/>
    </row>
    <row r="556">
      <c r="B556" s="103"/>
    </row>
    <row r="557">
      <c r="B557" s="103"/>
    </row>
    <row r="558">
      <c r="B558" s="103"/>
    </row>
    <row r="559">
      <c r="B559" s="103"/>
    </row>
    <row r="560">
      <c r="B560" s="103"/>
    </row>
    <row r="561">
      <c r="B561" s="103"/>
    </row>
    <row r="562">
      <c r="B562" s="103"/>
    </row>
    <row r="563">
      <c r="B563" s="103"/>
    </row>
    <row r="564">
      <c r="B564" s="103"/>
    </row>
    <row r="565">
      <c r="B565" s="103"/>
    </row>
    <row r="566">
      <c r="B566" s="103"/>
    </row>
    <row r="567">
      <c r="B567" s="103"/>
    </row>
    <row r="568">
      <c r="B568" s="103"/>
    </row>
    <row r="569">
      <c r="B569" s="103"/>
    </row>
    <row r="570">
      <c r="B570" s="103"/>
    </row>
    <row r="571">
      <c r="B571" s="103"/>
    </row>
    <row r="572">
      <c r="B572" s="103"/>
    </row>
    <row r="573">
      <c r="B573" s="103"/>
    </row>
    <row r="574">
      <c r="B574" s="103"/>
    </row>
    <row r="575">
      <c r="B575" s="103"/>
    </row>
    <row r="576">
      <c r="B576" s="103"/>
    </row>
    <row r="577">
      <c r="B577" s="103"/>
    </row>
    <row r="578">
      <c r="B578" s="103"/>
    </row>
    <row r="579">
      <c r="B579" s="103"/>
    </row>
    <row r="580">
      <c r="B580" s="103"/>
    </row>
    <row r="581">
      <c r="B581" s="103"/>
    </row>
    <row r="582">
      <c r="B582" s="103"/>
    </row>
    <row r="583">
      <c r="B583" s="103"/>
    </row>
    <row r="584">
      <c r="B584" s="103"/>
    </row>
    <row r="585">
      <c r="B585" s="103"/>
    </row>
    <row r="586">
      <c r="B586" s="103"/>
    </row>
    <row r="587">
      <c r="B587" s="103"/>
    </row>
    <row r="588">
      <c r="B588" s="103"/>
    </row>
    <row r="589">
      <c r="B589" s="103"/>
    </row>
    <row r="590">
      <c r="B590" s="103"/>
    </row>
    <row r="591">
      <c r="B591" s="103"/>
    </row>
    <row r="592">
      <c r="B592" s="103"/>
    </row>
    <row r="593">
      <c r="B593" s="103"/>
    </row>
    <row r="594">
      <c r="B594" s="103"/>
    </row>
    <row r="595">
      <c r="B595" s="103"/>
    </row>
    <row r="596">
      <c r="B596" s="103"/>
    </row>
    <row r="597">
      <c r="B597" s="103"/>
    </row>
    <row r="598">
      <c r="B598" s="103"/>
    </row>
    <row r="599">
      <c r="B599" s="103"/>
    </row>
    <row r="600">
      <c r="B600" s="103"/>
    </row>
    <row r="601">
      <c r="B601" s="103"/>
    </row>
    <row r="602">
      <c r="B602" s="103"/>
    </row>
    <row r="603">
      <c r="B603" s="103"/>
    </row>
    <row r="604">
      <c r="B604" s="103"/>
    </row>
    <row r="605">
      <c r="B605" s="103"/>
    </row>
    <row r="606">
      <c r="B606" s="103"/>
    </row>
    <row r="607">
      <c r="B607" s="103"/>
    </row>
    <row r="608">
      <c r="B608" s="103"/>
    </row>
    <row r="609">
      <c r="B609" s="103"/>
    </row>
    <row r="610">
      <c r="B610" s="103"/>
    </row>
    <row r="611">
      <c r="B611" s="103"/>
    </row>
    <row r="612">
      <c r="B612" s="103"/>
    </row>
    <row r="613">
      <c r="B613" s="103"/>
    </row>
    <row r="614">
      <c r="B614" s="103"/>
    </row>
    <row r="615">
      <c r="B615" s="103"/>
    </row>
    <row r="616">
      <c r="B616" s="103"/>
    </row>
    <row r="617">
      <c r="B617" s="103"/>
    </row>
    <row r="618">
      <c r="B618" s="103"/>
    </row>
    <row r="619">
      <c r="B619" s="103"/>
    </row>
    <row r="620">
      <c r="B620" s="103"/>
    </row>
    <row r="621">
      <c r="B621" s="103"/>
    </row>
    <row r="622">
      <c r="B622" s="103"/>
    </row>
    <row r="623">
      <c r="B623" s="103"/>
    </row>
    <row r="624">
      <c r="B624" s="103"/>
    </row>
    <row r="625">
      <c r="B625" s="103"/>
    </row>
    <row r="626">
      <c r="B626" s="103"/>
    </row>
    <row r="627">
      <c r="B627" s="103"/>
    </row>
    <row r="628">
      <c r="B628" s="103"/>
    </row>
    <row r="629">
      <c r="B629" s="103"/>
    </row>
    <row r="630">
      <c r="B630" s="103"/>
    </row>
    <row r="631">
      <c r="B631" s="103"/>
    </row>
    <row r="632">
      <c r="B632" s="103"/>
    </row>
    <row r="633">
      <c r="B633" s="103"/>
    </row>
    <row r="634">
      <c r="B634" s="103"/>
    </row>
    <row r="635">
      <c r="B635" s="103"/>
    </row>
    <row r="636">
      <c r="B636" s="103"/>
    </row>
    <row r="637">
      <c r="B637" s="103"/>
    </row>
    <row r="638">
      <c r="B638" s="103"/>
    </row>
    <row r="639">
      <c r="B639" s="103"/>
    </row>
    <row r="640">
      <c r="B640" s="103"/>
    </row>
    <row r="641">
      <c r="B641" s="103"/>
    </row>
    <row r="642">
      <c r="B642" s="103"/>
    </row>
    <row r="643">
      <c r="B643" s="103"/>
    </row>
    <row r="644">
      <c r="B644" s="103"/>
    </row>
    <row r="645">
      <c r="B645" s="103"/>
    </row>
    <row r="646">
      <c r="B646" s="103"/>
    </row>
    <row r="647">
      <c r="B647" s="103"/>
    </row>
    <row r="648">
      <c r="B648" s="103"/>
    </row>
    <row r="649">
      <c r="B649" s="103"/>
    </row>
    <row r="650">
      <c r="B650" s="103"/>
    </row>
    <row r="651">
      <c r="B651" s="103"/>
    </row>
    <row r="652">
      <c r="B652" s="103"/>
    </row>
    <row r="653">
      <c r="B653" s="103"/>
    </row>
    <row r="654">
      <c r="B654" s="103"/>
    </row>
    <row r="655">
      <c r="B655" s="103"/>
    </row>
    <row r="656">
      <c r="B656" s="103"/>
    </row>
    <row r="657">
      <c r="B657" s="103"/>
    </row>
    <row r="658">
      <c r="B658" s="103"/>
    </row>
    <row r="659">
      <c r="B659" s="103"/>
    </row>
    <row r="660">
      <c r="B660" s="103"/>
    </row>
    <row r="661">
      <c r="B661" s="103"/>
    </row>
    <row r="662">
      <c r="B662" s="103"/>
    </row>
    <row r="663">
      <c r="B663" s="103"/>
    </row>
    <row r="664">
      <c r="B664" s="103"/>
    </row>
    <row r="665">
      <c r="B665" s="103"/>
    </row>
    <row r="666">
      <c r="B666" s="103"/>
    </row>
    <row r="667">
      <c r="B667" s="103"/>
    </row>
    <row r="668">
      <c r="B668" s="103"/>
    </row>
    <row r="669">
      <c r="B669" s="103"/>
    </row>
    <row r="670">
      <c r="B670" s="103"/>
    </row>
    <row r="671">
      <c r="B671" s="103"/>
    </row>
    <row r="672">
      <c r="B672" s="103"/>
    </row>
    <row r="673">
      <c r="B673" s="103"/>
    </row>
    <row r="674">
      <c r="B674" s="103"/>
    </row>
    <row r="675">
      <c r="B675" s="103"/>
    </row>
    <row r="676">
      <c r="B676" s="103"/>
    </row>
    <row r="677">
      <c r="B677" s="103"/>
    </row>
    <row r="678">
      <c r="B678" s="103"/>
    </row>
    <row r="679">
      <c r="B679" s="103"/>
    </row>
    <row r="680">
      <c r="B680" s="103"/>
    </row>
    <row r="681">
      <c r="B681" s="103"/>
    </row>
    <row r="682">
      <c r="B682" s="103"/>
    </row>
    <row r="683">
      <c r="B683" s="103"/>
    </row>
    <row r="684">
      <c r="B684" s="103"/>
    </row>
    <row r="685">
      <c r="B685" s="103"/>
    </row>
    <row r="686">
      <c r="B686" s="103"/>
    </row>
    <row r="687">
      <c r="B687" s="103"/>
    </row>
    <row r="688">
      <c r="B688" s="103"/>
    </row>
    <row r="689">
      <c r="B689" s="103"/>
    </row>
    <row r="690">
      <c r="B690" s="103"/>
    </row>
    <row r="691">
      <c r="B691" s="103"/>
    </row>
    <row r="692">
      <c r="B692" s="103"/>
    </row>
    <row r="693">
      <c r="B693" s="103"/>
    </row>
    <row r="694">
      <c r="B694" s="103"/>
    </row>
    <row r="695">
      <c r="B695" s="103"/>
    </row>
    <row r="696">
      <c r="B696" s="103"/>
    </row>
    <row r="697">
      <c r="B697" s="103"/>
    </row>
    <row r="698">
      <c r="B698" s="103"/>
    </row>
    <row r="699">
      <c r="B699" s="103"/>
    </row>
    <row r="700">
      <c r="B700" s="103"/>
    </row>
    <row r="701">
      <c r="B701" s="103"/>
    </row>
    <row r="702">
      <c r="B702" s="103"/>
    </row>
    <row r="703">
      <c r="B703" s="103"/>
    </row>
    <row r="704">
      <c r="B704" s="103"/>
    </row>
    <row r="705">
      <c r="B705" s="103"/>
    </row>
    <row r="706">
      <c r="B706" s="103"/>
    </row>
    <row r="707">
      <c r="B707" s="103"/>
    </row>
    <row r="708">
      <c r="B708" s="103"/>
    </row>
    <row r="709">
      <c r="B709" s="103"/>
    </row>
    <row r="710">
      <c r="B710" s="103"/>
    </row>
    <row r="711">
      <c r="B711" s="103"/>
    </row>
    <row r="712">
      <c r="B712" s="103"/>
    </row>
    <row r="713">
      <c r="B713" s="103"/>
    </row>
    <row r="714">
      <c r="B714" s="103"/>
    </row>
    <row r="715">
      <c r="B715" s="103"/>
    </row>
    <row r="716">
      <c r="B716" s="103"/>
    </row>
    <row r="717">
      <c r="B717" s="103"/>
    </row>
    <row r="718">
      <c r="B718" s="103"/>
    </row>
    <row r="719">
      <c r="B719" s="103"/>
    </row>
    <row r="720">
      <c r="B720" s="103"/>
    </row>
    <row r="721">
      <c r="B721" s="103"/>
    </row>
    <row r="722">
      <c r="B722" s="103"/>
    </row>
    <row r="723">
      <c r="B723" s="103"/>
    </row>
    <row r="724">
      <c r="B724" s="103"/>
    </row>
    <row r="725">
      <c r="B725" s="103"/>
    </row>
    <row r="726">
      <c r="B726" s="103"/>
    </row>
    <row r="727">
      <c r="B727" s="103"/>
    </row>
    <row r="728">
      <c r="B728" s="103"/>
    </row>
    <row r="729">
      <c r="B729" s="103"/>
    </row>
    <row r="730">
      <c r="B730" s="103"/>
    </row>
    <row r="731">
      <c r="B731" s="103"/>
    </row>
    <row r="732">
      <c r="B732" s="103"/>
    </row>
    <row r="733">
      <c r="B733" s="103"/>
    </row>
    <row r="734">
      <c r="B734" s="103"/>
    </row>
    <row r="735">
      <c r="B735" s="103"/>
    </row>
    <row r="736">
      <c r="B736" s="103"/>
    </row>
    <row r="737">
      <c r="B737" s="103"/>
    </row>
    <row r="738">
      <c r="B738" s="103"/>
    </row>
    <row r="739">
      <c r="B739" s="103"/>
    </row>
    <row r="740">
      <c r="B740" s="103"/>
    </row>
    <row r="741">
      <c r="B741" s="103"/>
    </row>
    <row r="742">
      <c r="B742" s="103"/>
    </row>
    <row r="743">
      <c r="B743" s="103"/>
    </row>
    <row r="744">
      <c r="B744" s="103"/>
    </row>
    <row r="745">
      <c r="B745" s="103"/>
    </row>
    <row r="746">
      <c r="B746" s="103"/>
    </row>
    <row r="747">
      <c r="B747" s="103"/>
    </row>
    <row r="748">
      <c r="B748" s="103"/>
    </row>
    <row r="749">
      <c r="B749" s="103"/>
    </row>
    <row r="750">
      <c r="B750" s="103"/>
    </row>
    <row r="751">
      <c r="B751" s="103"/>
    </row>
    <row r="752">
      <c r="B752" s="103"/>
    </row>
    <row r="753">
      <c r="B753" s="103"/>
    </row>
    <row r="754">
      <c r="B754" s="103"/>
    </row>
    <row r="755">
      <c r="B755" s="103"/>
    </row>
    <row r="756">
      <c r="B756" s="103"/>
    </row>
    <row r="757">
      <c r="B757" s="103"/>
    </row>
    <row r="758">
      <c r="B758" s="103"/>
    </row>
    <row r="759">
      <c r="B759" s="103"/>
    </row>
    <row r="760">
      <c r="B760" s="103"/>
    </row>
    <row r="761">
      <c r="B761" s="103"/>
    </row>
    <row r="762">
      <c r="B762" s="103"/>
    </row>
    <row r="763">
      <c r="B763" s="103"/>
    </row>
    <row r="764">
      <c r="B764" s="103"/>
    </row>
    <row r="765">
      <c r="B765" s="103"/>
    </row>
    <row r="766">
      <c r="B766" s="103"/>
    </row>
    <row r="767">
      <c r="B767" s="103"/>
    </row>
    <row r="768">
      <c r="B768" s="103"/>
    </row>
    <row r="769">
      <c r="B769" s="103"/>
    </row>
    <row r="770">
      <c r="B770" s="103"/>
    </row>
    <row r="771">
      <c r="B771" s="103"/>
    </row>
    <row r="772">
      <c r="B772" s="103"/>
    </row>
    <row r="773">
      <c r="B773" s="103"/>
    </row>
    <row r="774">
      <c r="B774" s="103"/>
    </row>
    <row r="775">
      <c r="B775" s="103"/>
    </row>
    <row r="776">
      <c r="B776" s="103"/>
    </row>
    <row r="777">
      <c r="B777" s="103"/>
    </row>
    <row r="778">
      <c r="B778" s="103"/>
    </row>
    <row r="779">
      <c r="B779" s="103"/>
    </row>
    <row r="780">
      <c r="B780" s="103"/>
    </row>
    <row r="781">
      <c r="B781" s="103"/>
    </row>
    <row r="782">
      <c r="B782" s="103"/>
    </row>
    <row r="783">
      <c r="B783" s="103"/>
    </row>
    <row r="784">
      <c r="B784" s="103"/>
    </row>
    <row r="785">
      <c r="B785" s="103"/>
    </row>
    <row r="786">
      <c r="B786" s="103"/>
    </row>
    <row r="787">
      <c r="B787" s="103"/>
    </row>
    <row r="788">
      <c r="B788" s="103"/>
    </row>
    <row r="789">
      <c r="B789" s="103"/>
    </row>
    <row r="790">
      <c r="B790" s="103"/>
    </row>
    <row r="791">
      <c r="B791" s="103"/>
    </row>
    <row r="792">
      <c r="B792" s="103"/>
    </row>
    <row r="793">
      <c r="B793" s="103"/>
    </row>
    <row r="794">
      <c r="B794" s="103"/>
    </row>
    <row r="795">
      <c r="B795" s="103"/>
    </row>
    <row r="796">
      <c r="B796" s="103"/>
    </row>
    <row r="797">
      <c r="B797" s="103"/>
    </row>
    <row r="798">
      <c r="B798" s="103"/>
    </row>
    <row r="799">
      <c r="B799" s="103"/>
    </row>
    <row r="800">
      <c r="B800" s="103"/>
    </row>
    <row r="801">
      <c r="B801" s="103"/>
    </row>
    <row r="802">
      <c r="B802" s="103"/>
    </row>
    <row r="803">
      <c r="B803" s="103"/>
    </row>
    <row r="804">
      <c r="B804" s="103"/>
    </row>
    <row r="805">
      <c r="B805" s="103"/>
    </row>
    <row r="806">
      <c r="B806" s="103"/>
    </row>
    <row r="807">
      <c r="B807" s="103"/>
    </row>
    <row r="808">
      <c r="B808" s="103"/>
    </row>
    <row r="809">
      <c r="B809" s="103"/>
    </row>
    <row r="810">
      <c r="B810" s="103"/>
    </row>
    <row r="811">
      <c r="B811" s="103"/>
    </row>
    <row r="812">
      <c r="B812" s="103"/>
    </row>
    <row r="813">
      <c r="B813" s="103"/>
    </row>
    <row r="814">
      <c r="B814" s="103"/>
    </row>
    <row r="815">
      <c r="B815" s="103"/>
    </row>
    <row r="816">
      <c r="B816" s="103"/>
    </row>
    <row r="817">
      <c r="B817" s="103"/>
    </row>
    <row r="818">
      <c r="B818" s="103"/>
    </row>
    <row r="819">
      <c r="B819" s="103"/>
    </row>
    <row r="820">
      <c r="B820" s="103"/>
    </row>
    <row r="821">
      <c r="B821" s="103"/>
    </row>
    <row r="822">
      <c r="B822" s="103"/>
    </row>
    <row r="823">
      <c r="B823" s="103"/>
    </row>
    <row r="824">
      <c r="B824" s="103"/>
    </row>
    <row r="825">
      <c r="B825" s="103"/>
    </row>
    <row r="826">
      <c r="B826" s="103"/>
    </row>
    <row r="827">
      <c r="B827" s="103"/>
    </row>
    <row r="828">
      <c r="B828" s="103"/>
    </row>
    <row r="829">
      <c r="B829" s="103"/>
    </row>
    <row r="830">
      <c r="B830" s="103"/>
    </row>
    <row r="831">
      <c r="B831" s="103"/>
    </row>
    <row r="832">
      <c r="B832" s="103"/>
    </row>
    <row r="833">
      <c r="B833" s="103"/>
    </row>
    <row r="834">
      <c r="B834" s="103"/>
    </row>
    <row r="835">
      <c r="B835" s="103"/>
    </row>
    <row r="836">
      <c r="B836" s="103"/>
    </row>
    <row r="837">
      <c r="B837" s="103"/>
    </row>
    <row r="838">
      <c r="B838" s="103"/>
    </row>
    <row r="839">
      <c r="B839" s="103"/>
    </row>
    <row r="840">
      <c r="B840" s="103"/>
    </row>
    <row r="841">
      <c r="B841" s="103"/>
    </row>
    <row r="842">
      <c r="B842" s="103"/>
    </row>
    <row r="843">
      <c r="B843" s="103"/>
    </row>
    <row r="844">
      <c r="B844" s="103"/>
    </row>
    <row r="845">
      <c r="B845" s="103"/>
    </row>
    <row r="846">
      <c r="B846" s="103"/>
    </row>
    <row r="847">
      <c r="B847" s="103"/>
    </row>
    <row r="848">
      <c r="B848" s="103"/>
    </row>
    <row r="849">
      <c r="B849" s="103"/>
    </row>
    <row r="850">
      <c r="B850" s="103"/>
    </row>
    <row r="851">
      <c r="B851" s="103"/>
    </row>
    <row r="852">
      <c r="B852" s="103"/>
    </row>
    <row r="853">
      <c r="B853" s="103"/>
    </row>
    <row r="854">
      <c r="B854" s="103"/>
    </row>
    <row r="855">
      <c r="B855" s="103"/>
    </row>
    <row r="856">
      <c r="B856" s="103"/>
    </row>
    <row r="857">
      <c r="B857" s="103"/>
    </row>
    <row r="858">
      <c r="B858" s="103"/>
    </row>
    <row r="859">
      <c r="B859" s="103"/>
    </row>
    <row r="860">
      <c r="B860" s="103"/>
    </row>
    <row r="861">
      <c r="B861" s="103"/>
    </row>
    <row r="862">
      <c r="B862" s="103"/>
    </row>
    <row r="863">
      <c r="B863" s="103"/>
    </row>
    <row r="864">
      <c r="B864" s="103"/>
    </row>
    <row r="865">
      <c r="B865" s="103"/>
    </row>
    <row r="866">
      <c r="B866" s="103"/>
    </row>
    <row r="867">
      <c r="B867" s="103"/>
    </row>
    <row r="868">
      <c r="B868" s="103"/>
    </row>
    <row r="869">
      <c r="B869" s="103"/>
    </row>
    <row r="870">
      <c r="B870" s="103"/>
    </row>
    <row r="871">
      <c r="B871" s="103"/>
    </row>
    <row r="872">
      <c r="B872" s="103"/>
    </row>
    <row r="873">
      <c r="B873" s="103"/>
    </row>
    <row r="874">
      <c r="B874" s="103"/>
    </row>
    <row r="875">
      <c r="B875" s="103"/>
    </row>
    <row r="876">
      <c r="B876" s="103"/>
    </row>
    <row r="877">
      <c r="B877" s="103"/>
    </row>
    <row r="878">
      <c r="B878" s="103"/>
    </row>
    <row r="879">
      <c r="B879" s="103"/>
    </row>
    <row r="880">
      <c r="B880" s="103"/>
    </row>
    <row r="881">
      <c r="B881" s="103"/>
    </row>
    <row r="882">
      <c r="B882" s="103"/>
    </row>
    <row r="883">
      <c r="B883" s="103"/>
    </row>
    <row r="884">
      <c r="B884" s="103"/>
    </row>
    <row r="885">
      <c r="B885" s="103"/>
    </row>
    <row r="886">
      <c r="B886" s="103"/>
    </row>
    <row r="887">
      <c r="B887" s="103"/>
    </row>
    <row r="888">
      <c r="B888" s="103"/>
    </row>
    <row r="889">
      <c r="B889" s="103"/>
    </row>
    <row r="890">
      <c r="B890" s="103"/>
    </row>
    <row r="891">
      <c r="B891" s="103"/>
    </row>
    <row r="892">
      <c r="B892" s="103"/>
    </row>
    <row r="893">
      <c r="B893" s="103"/>
    </row>
    <row r="894">
      <c r="B894" s="103"/>
    </row>
    <row r="895">
      <c r="B895" s="103"/>
    </row>
    <row r="896">
      <c r="B896" s="103"/>
    </row>
    <row r="897">
      <c r="B897" s="103"/>
    </row>
    <row r="898">
      <c r="B898" s="103"/>
    </row>
    <row r="899">
      <c r="B899" s="103"/>
    </row>
    <row r="900">
      <c r="B900" s="103"/>
    </row>
    <row r="901">
      <c r="B901" s="103"/>
    </row>
    <row r="902">
      <c r="B902" s="103"/>
    </row>
    <row r="903">
      <c r="B903" s="103"/>
    </row>
    <row r="904">
      <c r="B904" s="103"/>
    </row>
    <row r="905">
      <c r="B905" s="103"/>
    </row>
    <row r="906">
      <c r="B906" s="103"/>
    </row>
    <row r="907">
      <c r="B907" s="103"/>
    </row>
    <row r="908">
      <c r="B908" s="103"/>
    </row>
    <row r="909">
      <c r="B909" s="103"/>
    </row>
    <row r="910">
      <c r="B910" s="103"/>
    </row>
    <row r="911">
      <c r="B911" s="103"/>
    </row>
    <row r="912">
      <c r="B912" s="103"/>
    </row>
    <row r="913">
      <c r="B913" s="103"/>
    </row>
    <row r="914">
      <c r="B914" s="103"/>
    </row>
    <row r="915">
      <c r="B915" s="103"/>
    </row>
    <row r="916">
      <c r="B916" s="103"/>
    </row>
    <row r="917">
      <c r="B917" s="103"/>
    </row>
    <row r="918">
      <c r="B918" s="103"/>
    </row>
    <row r="919">
      <c r="B919" s="103"/>
    </row>
    <row r="920">
      <c r="B920" s="103"/>
    </row>
    <row r="921">
      <c r="B921" s="103"/>
    </row>
    <row r="922">
      <c r="B922" s="103"/>
    </row>
    <row r="923">
      <c r="B923" s="103"/>
    </row>
    <row r="924">
      <c r="B924" s="103"/>
    </row>
    <row r="925">
      <c r="B925" s="103"/>
    </row>
    <row r="926">
      <c r="B926" s="103"/>
    </row>
    <row r="927">
      <c r="B927" s="103"/>
    </row>
    <row r="928">
      <c r="B928" s="103"/>
    </row>
    <row r="929">
      <c r="B929" s="103"/>
    </row>
    <row r="930">
      <c r="B930" s="103"/>
    </row>
    <row r="931">
      <c r="B931" s="103"/>
    </row>
    <row r="932">
      <c r="B932" s="103"/>
    </row>
    <row r="933">
      <c r="B933" s="103"/>
    </row>
    <row r="934">
      <c r="B934" s="103"/>
    </row>
    <row r="935">
      <c r="B935" s="103"/>
    </row>
    <row r="936">
      <c r="B936" s="103"/>
    </row>
    <row r="937">
      <c r="B937" s="103"/>
    </row>
    <row r="938">
      <c r="B938" s="103"/>
    </row>
    <row r="939">
      <c r="B939" s="103"/>
    </row>
    <row r="940">
      <c r="B940" s="103"/>
    </row>
    <row r="941">
      <c r="B941" s="103"/>
    </row>
    <row r="942">
      <c r="B942" s="103"/>
    </row>
    <row r="943">
      <c r="B943" s="103"/>
    </row>
    <row r="944">
      <c r="B944" s="103"/>
    </row>
    <row r="945">
      <c r="B945" s="103"/>
    </row>
    <row r="946">
      <c r="B946" s="103"/>
    </row>
    <row r="947">
      <c r="B947" s="103"/>
    </row>
    <row r="948">
      <c r="B948" s="103"/>
    </row>
    <row r="949">
      <c r="B949" s="103"/>
    </row>
    <row r="950">
      <c r="B950" s="103"/>
    </row>
    <row r="951">
      <c r="B951" s="103"/>
    </row>
    <row r="952">
      <c r="B952" s="103"/>
    </row>
    <row r="953">
      <c r="B953" s="103"/>
    </row>
    <row r="954">
      <c r="B954" s="103"/>
    </row>
    <row r="955">
      <c r="B955" s="103"/>
    </row>
    <row r="956">
      <c r="B956" s="103"/>
    </row>
    <row r="957">
      <c r="B957" s="103"/>
    </row>
    <row r="958">
      <c r="B958" s="103"/>
    </row>
    <row r="959">
      <c r="B959" s="103"/>
    </row>
    <row r="960">
      <c r="B960" s="103"/>
    </row>
    <row r="961">
      <c r="B961" s="103"/>
    </row>
    <row r="962">
      <c r="B962" s="103"/>
    </row>
    <row r="963">
      <c r="B963" s="103"/>
    </row>
    <row r="964">
      <c r="B964" s="103"/>
    </row>
    <row r="965">
      <c r="B965" s="103"/>
    </row>
    <row r="966">
      <c r="B966" s="103"/>
    </row>
    <row r="967">
      <c r="B967" s="103"/>
    </row>
    <row r="968">
      <c r="B968" s="103"/>
    </row>
    <row r="969">
      <c r="B969" s="103"/>
    </row>
    <row r="970">
      <c r="B970" s="103"/>
    </row>
    <row r="971">
      <c r="B971" s="103"/>
    </row>
    <row r="972">
      <c r="B972" s="103"/>
    </row>
    <row r="973">
      <c r="B973" s="103"/>
    </row>
    <row r="974">
      <c r="B974" s="103"/>
    </row>
    <row r="975">
      <c r="B975" s="103"/>
    </row>
    <row r="976">
      <c r="B976" s="103"/>
    </row>
    <row r="977">
      <c r="B977" s="103"/>
    </row>
    <row r="978">
      <c r="B978" s="103"/>
    </row>
    <row r="979">
      <c r="B979" s="103"/>
    </row>
    <row r="980">
      <c r="B980" s="103"/>
    </row>
    <row r="981">
      <c r="B981" s="103"/>
    </row>
    <row r="982">
      <c r="B982" s="103"/>
    </row>
    <row r="983">
      <c r="B983" s="103"/>
    </row>
    <row r="984">
      <c r="B984" s="103"/>
    </row>
    <row r="985">
      <c r="B985" s="103"/>
    </row>
    <row r="986">
      <c r="B986" s="103"/>
    </row>
    <row r="987">
      <c r="B987" s="103"/>
    </row>
    <row r="988">
      <c r="B988" s="103"/>
    </row>
    <row r="989">
      <c r="B989" s="103"/>
    </row>
    <row r="990">
      <c r="B990" s="103"/>
    </row>
    <row r="991">
      <c r="B991" s="103"/>
    </row>
    <row r="992">
      <c r="B992" s="103"/>
    </row>
    <row r="993">
      <c r="B993" s="103"/>
    </row>
    <row r="994">
      <c r="B994" s="103"/>
    </row>
    <row r="995">
      <c r="B995" s="103"/>
    </row>
    <row r="996">
      <c r="B996" s="103"/>
    </row>
    <row r="997">
      <c r="B997" s="103"/>
    </row>
    <row r="998">
      <c r="B998" s="103"/>
    </row>
    <row r="999">
      <c r="B999" s="103"/>
    </row>
    <row r="1000">
      <c r="B1000" s="10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>
      <c r="A2" s="105"/>
      <c r="B2" s="106" t="s">
        <v>65</v>
      </c>
      <c r="C2" s="107"/>
      <c r="D2" s="107"/>
      <c r="E2" s="108">
        <f>'Current Round'!C23-1</f>
        <v>23</v>
      </c>
      <c r="F2" s="105"/>
      <c r="G2" s="105"/>
      <c r="H2" s="105"/>
      <c r="I2" s="105"/>
      <c r="J2" s="105"/>
      <c r="K2" s="105"/>
      <c r="L2" s="105"/>
      <c r="M2" s="105"/>
      <c r="N2" s="105"/>
    </row>
    <row r="3">
      <c r="A3" s="105"/>
      <c r="B3" s="109"/>
      <c r="C3" s="105"/>
      <c r="D3" s="109"/>
      <c r="E3" s="109"/>
      <c r="F3" s="110"/>
      <c r="G3" s="105"/>
      <c r="H3" s="105"/>
      <c r="I3" s="105"/>
      <c r="J3" s="105"/>
      <c r="K3" s="105"/>
      <c r="L3" s="105"/>
      <c r="M3" s="105"/>
      <c r="N3" s="105"/>
    </row>
    <row r="4">
      <c r="A4" s="105"/>
      <c r="B4" s="109"/>
      <c r="C4" s="109"/>
      <c r="D4" s="109"/>
      <c r="E4" s="109"/>
      <c r="F4" s="110"/>
      <c r="G4" s="105"/>
      <c r="H4" s="105"/>
      <c r="I4" s="105"/>
      <c r="J4" s="105"/>
      <c r="K4" s="105"/>
      <c r="L4" s="105"/>
      <c r="M4" s="105"/>
      <c r="N4" s="105"/>
    </row>
    <row r="5">
      <c r="A5" s="105"/>
      <c r="B5" s="111" t="s">
        <v>66</v>
      </c>
      <c r="C5" s="112" t="s">
        <v>67</v>
      </c>
      <c r="D5" s="112" t="s">
        <v>64</v>
      </c>
      <c r="E5" s="113" t="s">
        <v>9</v>
      </c>
      <c r="F5" s="110"/>
      <c r="G5" s="105"/>
      <c r="H5" s="105"/>
      <c r="I5" s="105"/>
      <c r="J5" s="105"/>
      <c r="K5" s="105"/>
      <c r="L5" s="105"/>
      <c r="M5" s="105"/>
      <c r="N5" s="105"/>
    </row>
    <row r="6">
      <c r="A6" s="105"/>
      <c r="B6" s="114">
        <f t="shared" ref="B6:B30" si="1">RANK(E6,$E$6:$E$30)</f>
        <v>1</v>
      </c>
      <c r="C6" s="115" t="s">
        <v>38</v>
      </c>
      <c r="D6" s="116">
        <f>VLOOKUP(C6,'Ladder - Round by Round'!$A$1:$Z$26,MATCH($E$2,'Ladder - Round by Round'!$1:$1,0),false)</f>
        <v>7</v>
      </c>
      <c r="E6" s="117">
        <f t="array" ref="E6">SUM(INDEX('Ladder - Round by Round'!$C$1:$Z$26, MATCH(C6,'Ladder - Round by Round'!$A$1:$A$26,0),1):INDEX('Ladder - Round by Round'!$C$1:$Z$26, MATCH(C6,'Ladder - Round by Round'!$A$1:$A$26,0),$E$2+1))</f>
        <v>149</v>
      </c>
      <c r="F6" s="118"/>
      <c r="G6" s="105"/>
      <c r="H6" s="105"/>
      <c r="I6" s="105"/>
      <c r="J6" s="105"/>
      <c r="K6" s="105"/>
      <c r="L6" s="105"/>
      <c r="M6" s="105"/>
      <c r="N6" s="105"/>
    </row>
    <row r="7">
      <c r="A7" s="105"/>
      <c r="B7" s="119">
        <f t="shared" si="1"/>
        <v>2</v>
      </c>
      <c r="C7" s="120" t="s">
        <v>52</v>
      </c>
      <c r="D7" s="121">
        <f>VLOOKUP(C7,'Ladder - Round by Round'!$A$1:$Z$26,MATCH($E$2,'Ladder - Round by Round'!$1:$1,0),false)</f>
        <v>7</v>
      </c>
      <c r="E7" s="122">
        <f t="array" ref="E7">SUM(INDEX('Ladder - Round by Round'!$C$1:$Z$26, MATCH(C7,'Ladder - Round by Round'!$A$1:$A$26,0),1):INDEX('Ladder - Round by Round'!$C$1:$Z$26, MATCH(C7,'Ladder - Round by Round'!$A$1:$A$26,0),$E$2+1))</f>
        <v>146</v>
      </c>
      <c r="F7" s="123"/>
      <c r="G7" s="105"/>
      <c r="H7" s="105"/>
      <c r="I7" s="105"/>
      <c r="J7" s="105"/>
      <c r="K7" s="105"/>
      <c r="L7" s="105"/>
      <c r="M7" s="105"/>
      <c r="N7" s="105"/>
    </row>
    <row r="8">
      <c r="A8" s="105"/>
      <c r="B8" s="114">
        <f t="shared" si="1"/>
        <v>3</v>
      </c>
      <c r="C8" s="115" t="s">
        <v>60</v>
      </c>
      <c r="D8" s="116">
        <f>VLOOKUP(C8,'Ladder - Round by Round'!$A$1:$Z$26,MATCH($E$2,'Ladder - Round by Round'!$1:$1,0),false)</f>
        <v>7</v>
      </c>
      <c r="E8" s="117">
        <f t="array" ref="E8">SUM(INDEX('Ladder - Round by Round'!$C$1:$Z$26, MATCH(C8,'Ladder - Round by Round'!$A$1:$A$26,0),1):INDEX('Ladder - Round by Round'!$C$1:$Z$26, MATCH(C8,'Ladder - Round by Round'!$A$1:$A$26,0),$E$2+1))</f>
        <v>143</v>
      </c>
      <c r="F8" s="123"/>
      <c r="G8" s="105"/>
      <c r="H8" s="105"/>
      <c r="I8" s="105"/>
      <c r="J8" s="105"/>
      <c r="K8" s="105"/>
      <c r="L8" s="105"/>
      <c r="M8" s="105"/>
      <c r="N8" s="105"/>
    </row>
    <row r="9">
      <c r="A9" s="105"/>
      <c r="B9" s="119">
        <f t="shared" si="1"/>
        <v>3</v>
      </c>
      <c r="C9" s="120" t="s">
        <v>61</v>
      </c>
      <c r="D9" s="121">
        <f>VLOOKUP(C9,'Ladder - Round by Round'!$A$1:$Z$26,MATCH($E$2,'Ladder - Round by Round'!$1:$1,0),false)</f>
        <v>7</v>
      </c>
      <c r="E9" s="122">
        <f t="array" ref="E9">SUM(INDEX('Ladder - Round by Round'!$C$1:$Z$26, MATCH(C9,'Ladder - Round by Round'!$A$1:$A$26,0),1):INDEX('Ladder - Round by Round'!$C$1:$Z$26, MATCH(C9,'Ladder - Round by Round'!$A$1:$A$26,0),$E$2+1))</f>
        <v>143</v>
      </c>
      <c r="F9" s="123"/>
      <c r="G9" s="105"/>
      <c r="H9" s="105"/>
      <c r="I9" s="105"/>
      <c r="J9" s="105"/>
      <c r="K9" s="105"/>
      <c r="L9" s="105"/>
      <c r="M9" s="105"/>
      <c r="N9" s="105"/>
    </row>
    <row r="10">
      <c r="A10" s="105"/>
      <c r="B10" s="114">
        <f t="shared" si="1"/>
        <v>5</v>
      </c>
      <c r="C10" s="115" t="s">
        <v>45</v>
      </c>
      <c r="D10" s="116">
        <f>VLOOKUP(C10,'Ladder - Round by Round'!$A$1:$Z$26,MATCH($E$2,'Ladder - Round by Round'!$1:$1,0),false)</f>
        <v>8</v>
      </c>
      <c r="E10" s="117">
        <f t="array" ref="E10">SUM(INDEX('Ladder - Round by Round'!$C$1:$Z$26, MATCH(C10,'Ladder - Round by Round'!$A$1:$A$26,0),1):INDEX('Ladder - Round by Round'!$C$1:$Z$26, MATCH(C10,'Ladder - Round by Round'!$A$1:$A$26,0),$E$2+1))</f>
        <v>142</v>
      </c>
      <c r="F10" s="123"/>
      <c r="G10" s="105"/>
      <c r="H10" s="105"/>
      <c r="I10" s="105"/>
      <c r="J10" s="105"/>
      <c r="K10" s="105"/>
      <c r="L10" s="105"/>
      <c r="M10" s="105"/>
      <c r="N10" s="105"/>
    </row>
    <row r="11">
      <c r="A11" s="105"/>
      <c r="B11" s="119">
        <f t="shared" si="1"/>
        <v>6</v>
      </c>
      <c r="C11" s="120" t="s">
        <v>42</v>
      </c>
      <c r="D11" s="121">
        <f>VLOOKUP(C11,'Ladder - Round by Round'!$A$1:$Z$26,MATCH($E$2,'Ladder - Round by Round'!$1:$1,0),false)</f>
        <v>6</v>
      </c>
      <c r="E11" s="122">
        <f t="array" ref="E11">SUM(INDEX('Ladder - Round by Round'!$C$1:$Z$26, MATCH(C11,'Ladder - Round by Round'!$A$1:$A$26,0),1):INDEX('Ladder - Round by Round'!$C$1:$Z$26, MATCH(C11,'Ladder - Round by Round'!$A$1:$A$26,0),$E$2+1))</f>
        <v>141</v>
      </c>
      <c r="F11" s="123"/>
      <c r="G11" s="105"/>
      <c r="H11" s="105"/>
      <c r="I11" s="105"/>
      <c r="J11" s="105"/>
      <c r="K11" s="105"/>
      <c r="L11" s="105"/>
      <c r="M11" s="105"/>
      <c r="N11" s="105"/>
    </row>
    <row r="12">
      <c r="A12" s="105"/>
      <c r="B12" s="114">
        <f t="shared" si="1"/>
        <v>6</v>
      </c>
      <c r="C12" s="115" t="s">
        <v>62</v>
      </c>
      <c r="D12" s="116">
        <f>VLOOKUP(C12,'Ladder - Round by Round'!$A$1:$Z$26,MATCH($E$2,'Ladder - Round by Round'!$1:$1,0),false)</f>
        <v>7</v>
      </c>
      <c r="E12" s="117">
        <f t="array" ref="E12">SUM(INDEX('Ladder - Round by Round'!$C$1:$Z$26, MATCH(C12,'Ladder - Round by Round'!$A$1:$A$26,0),1):INDEX('Ladder - Round by Round'!$C$1:$Z$26, MATCH(C12,'Ladder - Round by Round'!$A$1:$A$26,0),$E$2+1))</f>
        <v>141</v>
      </c>
      <c r="F12" s="123"/>
      <c r="G12" s="105"/>
      <c r="H12" s="105"/>
      <c r="I12" s="105"/>
      <c r="J12" s="105"/>
      <c r="K12" s="105"/>
      <c r="L12" s="105"/>
      <c r="M12" s="105"/>
      <c r="N12" s="105"/>
    </row>
    <row r="13">
      <c r="A13" s="105"/>
      <c r="B13" s="119">
        <f t="shared" si="1"/>
        <v>8</v>
      </c>
      <c r="C13" s="120" t="s">
        <v>50</v>
      </c>
      <c r="D13" s="121">
        <f>VLOOKUP(C13,'Ladder - Round by Round'!$A$1:$Z$26,MATCH($E$2,'Ladder - Round by Round'!$1:$1,0),false)</f>
        <v>6</v>
      </c>
      <c r="E13" s="122">
        <f t="array" ref="E13">SUM(INDEX('Ladder - Round by Round'!$C$1:$Z$26, MATCH(C13,'Ladder - Round by Round'!$A$1:$A$26,0),1):INDEX('Ladder - Round by Round'!$C$1:$Z$26, MATCH(C13,'Ladder - Round by Round'!$A$1:$A$26,0),$E$2+1))</f>
        <v>140</v>
      </c>
      <c r="F13" s="123"/>
      <c r="G13" s="105"/>
      <c r="H13" s="105"/>
      <c r="I13" s="105"/>
      <c r="J13" s="105"/>
      <c r="K13" s="105"/>
      <c r="L13" s="105"/>
      <c r="M13" s="105"/>
      <c r="N13" s="105"/>
    </row>
    <row r="14">
      <c r="A14" s="105"/>
      <c r="B14" s="114">
        <f t="shared" si="1"/>
        <v>9</v>
      </c>
      <c r="C14" s="115" t="s">
        <v>37</v>
      </c>
      <c r="D14" s="116">
        <f>VLOOKUP(C14,'Ladder - Round by Round'!$A$1:$Z$26,MATCH($E$2,'Ladder - Round by Round'!$1:$1,0),false)</f>
        <v>7</v>
      </c>
      <c r="E14" s="117">
        <f t="array" ref="E14">SUM(INDEX('Ladder - Round by Round'!$C$1:$Z$26, MATCH(C14,'Ladder - Round by Round'!$A$1:$A$26,0),1):INDEX('Ladder - Round by Round'!$C$1:$Z$26, MATCH(C14,'Ladder - Round by Round'!$A$1:$A$26,0),$E$2+1))</f>
        <v>138</v>
      </c>
      <c r="F14" s="123"/>
      <c r="G14" s="105"/>
      <c r="H14" s="105"/>
      <c r="I14" s="105"/>
      <c r="J14" s="105"/>
      <c r="K14" s="105"/>
      <c r="L14" s="105"/>
      <c r="M14" s="105"/>
      <c r="N14" s="105"/>
    </row>
    <row r="15">
      <c r="A15" s="105"/>
      <c r="B15" s="119">
        <f t="shared" si="1"/>
        <v>10</v>
      </c>
      <c r="C15" s="120" t="s">
        <v>41</v>
      </c>
      <c r="D15" s="121">
        <f>VLOOKUP(C15,'Ladder - Round by Round'!$A$1:$Z$26,MATCH($E$2,'Ladder - Round by Round'!$1:$1,0),false)</f>
        <v>5</v>
      </c>
      <c r="E15" s="122">
        <f t="array" ref="E15">SUM(INDEX('Ladder - Round by Round'!$C$1:$Z$26, MATCH(C15,'Ladder - Round by Round'!$A$1:$A$26,0),1):INDEX('Ladder - Round by Round'!$C$1:$Z$26, MATCH(C15,'Ladder - Round by Round'!$A$1:$A$26,0),$E$2+1))</f>
        <v>136</v>
      </c>
      <c r="F15" s="123"/>
      <c r="G15" s="105"/>
      <c r="H15" s="105"/>
      <c r="I15" s="105"/>
      <c r="J15" s="105"/>
      <c r="K15" s="105"/>
      <c r="L15" s="105"/>
      <c r="M15" s="105"/>
      <c r="N15" s="105"/>
    </row>
    <row r="16">
      <c r="A16" s="105"/>
      <c r="B16" s="114">
        <f t="shared" si="1"/>
        <v>11</v>
      </c>
      <c r="C16" s="115" t="s">
        <v>48</v>
      </c>
      <c r="D16" s="116">
        <f>VLOOKUP(C16,'Ladder - Round by Round'!$A$1:$Z$26,MATCH($E$2,'Ladder - Round by Round'!$1:$1,0),false)</f>
        <v>7</v>
      </c>
      <c r="E16" s="117">
        <f t="array" ref="E16">SUM(INDEX('Ladder - Round by Round'!$C$1:$Z$26, MATCH(C16,'Ladder - Round by Round'!$A$1:$A$26,0),1):INDEX('Ladder - Round by Round'!$C$1:$Z$26, MATCH(C16,'Ladder - Round by Round'!$A$1:$A$26,0),$E$2+1))</f>
        <v>134</v>
      </c>
      <c r="F16" s="105"/>
      <c r="G16" s="105"/>
      <c r="H16" s="105"/>
      <c r="I16" s="105"/>
      <c r="J16" s="105"/>
      <c r="K16" s="105"/>
      <c r="L16" s="105"/>
      <c r="M16" s="105"/>
      <c r="N16" s="105"/>
    </row>
    <row r="17">
      <c r="A17" s="105"/>
      <c r="B17" s="119">
        <f t="shared" si="1"/>
        <v>11</v>
      </c>
      <c r="C17" s="120" t="s">
        <v>10</v>
      </c>
      <c r="D17" s="121">
        <f>VLOOKUP(C17,'Ladder - Round by Round'!$A$1:$Z$26,MATCH($E$2,'Ladder - Round by Round'!$1:$1,0),false)</f>
        <v>7</v>
      </c>
      <c r="E17" s="122">
        <f t="array" ref="E17">SUM(INDEX('Ladder - Round by Round'!$C$1:$Z$26, MATCH(C17,'Ladder - Round by Round'!$A$1:$A$26,0),1):INDEX('Ladder - Round by Round'!$C$1:$Z$26, MATCH(C17,'Ladder - Round by Round'!$A$1:$A$26,0),$E$2+1))</f>
        <v>134</v>
      </c>
      <c r="F17" s="123"/>
      <c r="G17" s="105"/>
      <c r="H17" s="105"/>
      <c r="I17" s="105"/>
      <c r="J17" s="105"/>
      <c r="K17" s="105"/>
      <c r="L17" s="105"/>
      <c r="M17" s="105"/>
      <c r="N17" s="105"/>
    </row>
    <row r="18">
      <c r="A18" s="105"/>
      <c r="B18" s="114">
        <f t="shared" si="1"/>
        <v>13</v>
      </c>
      <c r="C18" s="115" t="s">
        <v>14</v>
      </c>
      <c r="D18" s="116">
        <f>VLOOKUP(C18,'Ladder - Round by Round'!$A$1:$Z$26,MATCH($E$2,'Ladder - Round by Round'!$1:$1,0),false)</f>
        <v>5</v>
      </c>
      <c r="E18" s="117">
        <f t="array" ref="E18">SUM(INDEX('Ladder - Round by Round'!$C$1:$Z$26, MATCH(C18,'Ladder - Round by Round'!$A$1:$A$26,0),1):INDEX('Ladder - Round by Round'!$C$1:$Z$26, MATCH(C18,'Ladder - Round by Round'!$A$1:$A$26,0),$E$2+1))</f>
        <v>130</v>
      </c>
      <c r="F18" s="123"/>
      <c r="G18" s="105"/>
      <c r="H18" s="105"/>
      <c r="I18" s="105"/>
      <c r="J18" s="105"/>
      <c r="K18" s="105"/>
      <c r="L18" s="105"/>
      <c r="M18" s="105"/>
      <c r="N18" s="105"/>
    </row>
    <row r="19">
      <c r="A19" s="105"/>
      <c r="B19" s="119">
        <f t="shared" si="1"/>
        <v>13</v>
      </c>
      <c r="C19" s="124" t="s">
        <v>20</v>
      </c>
      <c r="D19" s="121">
        <f>VLOOKUP(C19,'Ladder - Round by Round'!$A$1:$Z$26,MATCH($E$2,'Ladder - Round by Round'!$1:$1,0),false)</f>
        <v>7</v>
      </c>
      <c r="E19" s="122">
        <f t="array" ref="E19">SUM(INDEX('Ladder - Round by Round'!$C$1:$Z$26, MATCH(C19,'Ladder - Round by Round'!$A$1:$A$26,0),1):INDEX('Ladder - Round by Round'!$C$1:$Z$26, MATCH(C19,'Ladder - Round by Round'!$A$1:$A$26,0),$E$2+1))</f>
        <v>130</v>
      </c>
      <c r="F19" s="105"/>
      <c r="G19" s="105"/>
      <c r="H19" s="105"/>
      <c r="I19" s="105"/>
      <c r="J19" s="105"/>
      <c r="K19" s="105"/>
      <c r="L19" s="105"/>
      <c r="M19" s="105"/>
      <c r="N19" s="105"/>
    </row>
    <row r="20">
      <c r="A20" s="105"/>
      <c r="B20" s="114">
        <f t="shared" si="1"/>
        <v>15</v>
      </c>
      <c r="C20" s="115" t="s">
        <v>35</v>
      </c>
      <c r="D20" s="116">
        <f>VLOOKUP(C20,'Ladder - Round by Round'!$A$1:$Z$26,MATCH($E$2,'Ladder - Round by Round'!$1:$1,0),false)</f>
        <v>3</v>
      </c>
      <c r="E20" s="117">
        <f t="array" ref="E20">SUM(INDEX('Ladder - Round by Round'!$C$1:$Z$26, MATCH(C20,'Ladder - Round by Round'!$A$1:$A$26,0),1):INDEX('Ladder - Round by Round'!$C$1:$Z$26, MATCH(C20,'Ladder - Round by Round'!$A$1:$A$26,0),$E$2+1))</f>
        <v>127</v>
      </c>
      <c r="F20" s="123"/>
      <c r="G20" s="105"/>
      <c r="H20" s="105"/>
      <c r="I20" s="105"/>
      <c r="J20" s="105"/>
      <c r="K20" s="105"/>
      <c r="L20" s="105"/>
      <c r="M20" s="105"/>
      <c r="N20" s="105"/>
    </row>
    <row r="21">
      <c r="A21" s="105"/>
      <c r="B21" s="119">
        <f t="shared" si="1"/>
        <v>16</v>
      </c>
      <c r="C21" s="124" t="s">
        <v>56</v>
      </c>
      <c r="D21" s="121">
        <f>VLOOKUP(C21,'Ladder - Round by Round'!$A$1:$Z$26,MATCH($E$2,'Ladder - Round by Round'!$1:$1,0),false)</f>
        <v>6</v>
      </c>
      <c r="E21" s="122">
        <f t="array" ref="E21">SUM(INDEX('Ladder - Round by Round'!$C$1:$Z$26, MATCH(C21,'Ladder - Round by Round'!$A$1:$A$26,0),1):INDEX('Ladder - Round by Round'!$C$1:$Z$26, MATCH(C21,'Ladder - Round by Round'!$A$1:$A$26,0),$E$2+1))</f>
        <v>126</v>
      </c>
      <c r="F21" s="123"/>
      <c r="G21" s="105"/>
      <c r="H21" s="105"/>
      <c r="I21" s="105"/>
      <c r="J21" s="105"/>
      <c r="K21" s="105"/>
      <c r="L21" s="105"/>
      <c r="M21" s="105"/>
      <c r="N21" s="105"/>
    </row>
    <row r="22">
      <c r="A22" s="105"/>
      <c r="B22" s="114">
        <f t="shared" si="1"/>
        <v>16</v>
      </c>
      <c r="C22" s="115" t="s">
        <v>30</v>
      </c>
      <c r="D22" s="116">
        <f>VLOOKUP(C22,'Ladder - Round by Round'!$A$1:$Z$26,MATCH($E$2,'Ladder - Round by Round'!$1:$1,0),false)</f>
        <v>4</v>
      </c>
      <c r="E22" s="117">
        <f t="array" ref="E22">SUM(INDEX('Ladder - Round by Round'!$C$1:$Z$26, MATCH(C22,'Ladder - Round by Round'!$A$1:$A$26,0),1):INDEX('Ladder - Round by Round'!$C$1:$Z$26, MATCH(C22,'Ladder - Round by Round'!$A$1:$A$26,0),$E$2+1))</f>
        <v>126</v>
      </c>
      <c r="F22" s="118"/>
      <c r="G22" s="105"/>
      <c r="H22" s="105"/>
      <c r="I22" s="105"/>
      <c r="J22" s="105"/>
      <c r="K22" s="105"/>
      <c r="L22" s="105"/>
      <c r="M22" s="105"/>
      <c r="N22" s="105"/>
    </row>
    <row r="23">
      <c r="A23" s="105"/>
      <c r="B23" s="119">
        <f t="shared" si="1"/>
        <v>16</v>
      </c>
      <c r="C23" s="120" t="s">
        <v>46</v>
      </c>
      <c r="D23" s="121">
        <f>VLOOKUP(C23,'Ladder - Round by Round'!$A$1:$Z$26,MATCH($E$2,'Ladder - Round by Round'!$1:$1,0),false)</f>
        <v>5</v>
      </c>
      <c r="E23" s="122">
        <f t="array" ref="E23">SUM(INDEX('Ladder - Round by Round'!$C$1:$Z$26, MATCH(C23,'Ladder - Round by Round'!$A$1:$A$26,0),1):INDEX('Ladder - Round by Round'!$C$1:$Z$26, MATCH(C23,'Ladder - Round by Round'!$A$1:$A$26,0),$E$2+1))</f>
        <v>126</v>
      </c>
      <c r="F23" s="123"/>
      <c r="G23" s="105"/>
      <c r="H23" s="105"/>
      <c r="I23" s="105"/>
      <c r="J23" s="105"/>
      <c r="K23" s="105"/>
      <c r="L23" s="105"/>
      <c r="M23" s="105"/>
      <c r="N23" s="105"/>
    </row>
    <row r="24">
      <c r="A24" s="105"/>
      <c r="B24" s="114">
        <f t="shared" si="1"/>
        <v>19</v>
      </c>
      <c r="C24" s="115" t="s">
        <v>43</v>
      </c>
      <c r="D24" s="116">
        <f>VLOOKUP(C24,'Ladder - Round by Round'!$A$1:$Z$26,MATCH($E$2,'Ladder - Round by Round'!$1:$1,0),false)</f>
        <v>5</v>
      </c>
      <c r="E24" s="117">
        <f t="array" ref="E24">SUM(INDEX('Ladder - Round by Round'!$C$1:$Z$26, MATCH(C24,'Ladder - Round by Round'!$A$1:$A$26,0),1):INDEX('Ladder - Round by Round'!$C$1:$Z$26, MATCH(C24,'Ladder - Round by Round'!$A$1:$A$26,0),$E$2+1))</f>
        <v>125</v>
      </c>
      <c r="F24" s="123"/>
      <c r="G24" s="105"/>
      <c r="H24" s="105"/>
      <c r="I24" s="105"/>
      <c r="J24" s="105"/>
      <c r="K24" s="105"/>
      <c r="L24" s="105"/>
      <c r="M24" s="105"/>
      <c r="N24" s="105"/>
    </row>
    <row r="25">
      <c r="A25" s="105"/>
      <c r="B25" s="119">
        <f t="shared" si="1"/>
        <v>20</v>
      </c>
      <c r="C25" s="120" t="s">
        <v>12</v>
      </c>
      <c r="D25" s="121">
        <f>VLOOKUP(C25,'Ladder - Round by Round'!$A$1:$Z$26,MATCH($E$2,'Ladder - Round by Round'!$1:$1,0),false)</f>
        <v>5</v>
      </c>
      <c r="E25" s="122">
        <f t="array" ref="E25">SUM(INDEX('Ladder - Round by Round'!$C$1:$Z$26, MATCH(C25,'Ladder - Round by Round'!$A$1:$A$26,0),1):INDEX('Ladder - Round by Round'!$C$1:$Z$26, MATCH(C25,'Ladder - Round by Round'!$A$1:$A$26,0),$E$2+1))</f>
        <v>115</v>
      </c>
      <c r="F25" s="123"/>
      <c r="G25" s="105"/>
      <c r="H25" s="105"/>
      <c r="I25" s="105"/>
      <c r="J25" s="105"/>
      <c r="K25" s="105"/>
      <c r="L25" s="105"/>
      <c r="M25" s="105"/>
      <c r="N25" s="105"/>
    </row>
    <row r="26">
      <c r="A26" s="105"/>
      <c r="B26" s="114">
        <f t="shared" si="1"/>
        <v>21</v>
      </c>
      <c r="C26" s="125" t="s">
        <v>17</v>
      </c>
      <c r="D26" s="116">
        <f>VLOOKUP(C26,'Ladder - Round by Round'!$A$1:$Z$26,MATCH($E$2,'Ladder - Round by Round'!$1:$1,0),false)</f>
        <v>5</v>
      </c>
      <c r="E26" s="117">
        <f t="array" ref="E26">SUM(INDEX('Ladder - Round by Round'!$C$1:$Z$26, MATCH(C26,'Ladder - Round by Round'!$A$1:$A$26,0),1):INDEX('Ladder - Round by Round'!$C$1:$Z$26, MATCH(C26,'Ladder - Round by Round'!$A$1:$A$26,0),$E$2+1))</f>
        <v>114</v>
      </c>
      <c r="F26" s="118"/>
      <c r="G26" s="105"/>
      <c r="H26" s="105"/>
      <c r="I26" s="105"/>
      <c r="J26" s="105"/>
      <c r="K26" s="105"/>
      <c r="L26" s="105"/>
      <c r="M26" s="105"/>
      <c r="N26" s="105"/>
    </row>
    <row r="27">
      <c r="A27" s="105"/>
      <c r="B27" s="119">
        <f t="shared" si="1"/>
        <v>22</v>
      </c>
      <c r="C27" s="120" t="s">
        <v>16</v>
      </c>
      <c r="D27" s="121">
        <f>VLOOKUP(C27,'Ladder - Round by Round'!$A$1:$Z$26,MATCH($E$2,'Ladder - Round by Round'!$1:$1,0),false)</f>
        <v>5</v>
      </c>
      <c r="E27" s="122">
        <f t="array" ref="E27">SUM(INDEX('Ladder - Round by Round'!$C$1:$Z$26, MATCH(C27,'Ladder - Round by Round'!$A$1:$A$26,0),1):INDEX('Ladder - Round by Round'!$C$1:$Z$26, MATCH(C27,'Ladder - Round by Round'!$A$1:$A$26,0),$E$2+1))</f>
        <v>110</v>
      </c>
      <c r="F27" s="123"/>
      <c r="G27" s="105"/>
      <c r="H27" s="105"/>
      <c r="I27" s="105"/>
      <c r="J27" s="105"/>
      <c r="K27" s="105"/>
      <c r="L27" s="105"/>
      <c r="M27" s="105"/>
      <c r="N27" s="105"/>
    </row>
    <row r="28">
      <c r="A28" s="105"/>
      <c r="B28" s="114">
        <f t="shared" si="1"/>
        <v>23</v>
      </c>
      <c r="C28" s="115" t="s">
        <v>40</v>
      </c>
      <c r="D28" s="116">
        <f>VLOOKUP(C28,'Ladder - Round by Round'!$A$1:$Z$26,MATCH($E$2,'Ladder - Round by Round'!$1:$1,0),false)</f>
        <v>4</v>
      </c>
      <c r="E28" s="117">
        <f t="array" ref="E28">SUM(INDEX('Ladder - Round by Round'!$C$1:$Z$26, MATCH(C28,'Ladder - Round by Round'!$A$1:$A$26,0),1):INDEX('Ladder - Round by Round'!$C$1:$Z$26, MATCH(C28,'Ladder - Round by Round'!$A$1:$A$26,0),$E$2+1))</f>
        <v>103</v>
      </c>
      <c r="F28" s="118"/>
      <c r="G28" s="105"/>
      <c r="H28" s="105"/>
      <c r="I28" s="105"/>
      <c r="J28" s="105"/>
      <c r="K28" s="105"/>
      <c r="L28" s="105"/>
      <c r="M28" s="105"/>
      <c r="N28" s="105"/>
    </row>
    <row r="29">
      <c r="A29" s="105"/>
      <c r="B29" s="119">
        <f t="shared" si="1"/>
        <v>24</v>
      </c>
      <c r="C29" s="124" t="s">
        <v>19</v>
      </c>
      <c r="D29" s="121">
        <f>VLOOKUP(C29,'Ladder - Round by Round'!$A$1:$Z$26,MATCH($E$2,'Ladder - Round by Round'!$1:$1,0),false)</f>
        <v>5</v>
      </c>
      <c r="E29" s="122">
        <f t="array" ref="E29">SUM(INDEX('Ladder - Round by Round'!$C$1:$Z$26, MATCH(C29,'Ladder - Round by Round'!$A$1:$A$26,0),1):INDEX('Ladder - Round by Round'!$C$1:$Z$26, MATCH(C29,'Ladder - Round by Round'!$A$1:$A$26,0),$E$2+1))</f>
        <v>101</v>
      </c>
      <c r="F29" s="123"/>
      <c r="G29" s="105"/>
      <c r="H29" s="105"/>
      <c r="I29" s="105"/>
      <c r="J29" s="105"/>
      <c r="K29" s="105"/>
      <c r="L29" s="105"/>
      <c r="M29" s="105"/>
      <c r="N29" s="105"/>
    </row>
    <row r="30">
      <c r="A30" s="105"/>
      <c r="B30" s="126">
        <f t="shared" si="1"/>
        <v>25</v>
      </c>
      <c r="C30" s="127" t="s">
        <v>58</v>
      </c>
      <c r="D30" s="128">
        <f>VLOOKUP(C30,'Ladder - Round by Round'!$A$1:$Z$26,MATCH($E$2,'Ladder - Round by Round'!$1:$1,0),false)</f>
        <v>3</v>
      </c>
      <c r="E30" s="129">
        <f t="array" ref="E30">SUM(INDEX('Ladder - Round by Round'!$C$1:$Z$26, MATCH(C30,'Ladder - Round by Round'!$A$1:$A$26,0),1):INDEX('Ladder - Round by Round'!$C$1:$Z$26, MATCH(C30,'Ladder - Round by Round'!$A$1:$A$26,0),$E$2+1))</f>
        <v>73</v>
      </c>
      <c r="F30" s="123"/>
      <c r="G30" s="105"/>
      <c r="H30" s="105"/>
      <c r="I30" s="105"/>
      <c r="J30" s="105"/>
      <c r="K30" s="105"/>
      <c r="L30" s="105"/>
      <c r="M30" s="105"/>
      <c r="N30" s="105"/>
    </row>
    <row r="31">
      <c r="A31" s="105"/>
      <c r="B31" s="105"/>
      <c r="C31" s="105"/>
      <c r="D31" s="105"/>
      <c r="E31" s="105"/>
      <c r="F31" s="123"/>
      <c r="G31" s="105"/>
      <c r="H31" s="105"/>
      <c r="I31" s="105"/>
      <c r="J31" s="105"/>
      <c r="K31" s="105"/>
      <c r="L31" s="105"/>
      <c r="M31" s="105"/>
      <c r="N31" s="105"/>
    </row>
    <row r="32">
      <c r="A32" s="105"/>
      <c r="B32" s="105"/>
      <c r="C32" s="105"/>
      <c r="D32" s="130"/>
      <c r="E32" s="130"/>
      <c r="F32" s="105"/>
      <c r="G32" s="105"/>
      <c r="H32" s="105"/>
      <c r="I32" s="105"/>
      <c r="J32" s="105"/>
      <c r="K32" s="105"/>
      <c r="L32" s="105"/>
      <c r="M32" s="105"/>
      <c r="N32" s="105"/>
    </row>
    <row r="33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</row>
    <row r="34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</row>
    <row r="3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</row>
    <row r="36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</row>
    <row r="37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</row>
    <row r="38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</row>
    <row r="39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</row>
    <row r="40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</row>
    <row r="4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</row>
    <row r="42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</row>
    <row r="43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</row>
    <row r="44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</row>
    <row r="4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</row>
    <row r="46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</row>
    <row r="47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</row>
    <row r="48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</row>
    <row r="49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</row>
    <row r="50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</row>
    <row r="5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</row>
    <row r="52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</row>
    <row r="53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</row>
    <row r="54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</row>
    <row r="5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</row>
    <row r="56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</row>
    <row r="57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</row>
    <row r="58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</row>
    <row r="59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</row>
    <row r="60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</row>
    <row r="6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</row>
    <row r="62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</row>
    <row r="63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</row>
    <row r="64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</row>
    <row r="6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</row>
    <row r="66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</row>
    <row r="67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</row>
    <row r="68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</row>
    <row r="69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</row>
    <row r="70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</row>
    <row r="7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</row>
    <row r="7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</row>
    <row r="7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</row>
    <row r="74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</row>
    <row r="7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</row>
    <row r="77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</row>
    <row r="78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</row>
    <row r="79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</row>
    <row r="80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</row>
    <row r="8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</row>
    <row r="83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</row>
    <row r="84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</row>
    <row r="8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</row>
    <row r="86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</row>
    <row r="88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</row>
    <row r="89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</row>
    <row r="90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</row>
    <row r="9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</row>
    <row r="9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</row>
    <row r="93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</row>
    <row r="9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</row>
    <row r="9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</row>
    <row r="96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</row>
    <row r="97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</row>
    <row r="98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</row>
    <row r="99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</row>
    <row r="100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</row>
    <row r="10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</row>
    <row r="10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</row>
    <row r="103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</row>
    <row r="104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</row>
    <row r="10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</row>
    <row r="10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</row>
    <row r="107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</row>
    <row r="108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</row>
    <row r="109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</row>
    <row r="110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</row>
    <row r="11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</row>
    <row r="11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</row>
    <row r="11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</row>
    <row r="114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</row>
    <row r="11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</row>
    <row r="116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</row>
    <row r="117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</row>
    <row r="118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</row>
    <row r="119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</row>
    <row r="120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</row>
    <row r="12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</row>
    <row r="12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</row>
    <row r="123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</row>
    <row r="124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</row>
    <row r="1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</row>
    <row r="126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</row>
    <row r="127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</row>
    <row r="128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</row>
    <row r="129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</row>
    <row r="130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</row>
    <row r="13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</row>
    <row r="13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</row>
    <row r="133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</row>
  </sheetData>
  <mergeCells count="1">
    <mergeCell ref="B2:D2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5.25"/>
    <col customWidth="1" min="3" max="3" width="22.38"/>
    <col customWidth="1" min="4" max="4" width="15.88"/>
    <col customWidth="1" min="5" max="7" width="22.38"/>
    <col customWidth="1" min="8" max="8" width="15.25"/>
    <col customWidth="1" min="9" max="9" width="14.63"/>
    <col customWidth="1" min="10" max="10" width="21.88"/>
    <col customWidth="1" min="11" max="11" width="23.13"/>
  </cols>
  <sheetData>
    <row r="1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hidden="1">
      <c r="A2" s="131"/>
      <c r="B2" s="132" t="s">
        <v>68</v>
      </c>
      <c r="C2" s="133" t="s">
        <v>69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</row>
    <row r="3">
      <c r="A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</row>
    <row r="4">
      <c r="A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</row>
    <row r="5" ht="20.25" customHeight="1">
      <c r="A5" s="131"/>
      <c r="B5" s="134"/>
      <c r="C5" s="135"/>
      <c r="D5" s="135"/>
      <c r="E5" s="135"/>
      <c r="F5" s="135"/>
      <c r="G5" s="135"/>
      <c r="H5" s="135"/>
      <c r="I5" s="135"/>
      <c r="J5" s="135"/>
      <c r="K5" s="136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</row>
    <row r="6">
      <c r="A6" s="131"/>
      <c r="B6" s="137">
        <f>C23</f>
        <v>24</v>
      </c>
      <c r="C6" s="138" t="str">
        <f>VLOOKUP(C23,'Data Feed'!S:T,2,FALSE)</f>
        <v>Round 24</v>
      </c>
      <c r="K6" s="139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</row>
    <row r="7" ht="20.25" customHeight="1">
      <c r="A7" s="131"/>
      <c r="B7" s="140"/>
      <c r="C7" s="141"/>
      <c r="D7" s="141"/>
      <c r="E7" s="141"/>
      <c r="F7" s="141"/>
      <c r="G7" s="141"/>
      <c r="H7" s="141"/>
      <c r="I7" s="141"/>
      <c r="J7" s="142"/>
      <c r="K7" s="139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</row>
    <row r="8" ht="22.5" customHeight="1">
      <c r="A8" s="131"/>
      <c r="B8" s="143" t="s">
        <v>70</v>
      </c>
      <c r="C8" s="144" t="s">
        <v>1</v>
      </c>
      <c r="D8" s="145" t="s">
        <v>3</v>
      </c>
      <c r="E8" s="144" t="s">
        <v>71</v>
      </c>
      <c r="F8" s="144" t="s">
        <v>72</v>
      </c>
      <c r="G8" s="144" t="s">
        <v>6</v>
      </c>
      <c r="H8" s="146" t="s">
        <v>73</v>
      </c>
      <c r="I8" s="146" t="s">
        <v>74</v>
      </c>
      <c r="J8" s="147" t="s">
        <v>7</v>
      </c>
      <c r="K8" s="148" t="s">
        <v>75</v>
      </c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</row>
    <row r="9">
      <c r="A9" s="131"/>
      <c r="B9" s="149">
        <v>1.0</v>
      </c>
      <c r="C9" s="150">
        <f>IFERROR(VLOOKUP($B$6&amp;$B9,'Data Feed'!$A:$AB,10,FALSE),"")</f>
        <v>45890.8125</v>
      </c>
      <c r="D9" s="151">
        <f>IFERROR(VLOOKUP($B$6&amp;$B9,'Data Feed'!$A:$AB,18,FALSE),"")</f>
        <v>45890.8125</v>
      </c>
      <c r="E9" s="151" t="str">
        <f>IFERROR(VLOOKUP($B$6&amp;$B9,'Data Feed'!$A:$AB,14,FALSE),"")</f>
        <v>Essendon</v>
      </c>
      <c r="F9" s="151" t="str">
        <f>IFERROR(VLOOKUP($B$6&amp;$B9,'Data Feed'!$A:$AB,7,FALSE),"")</f>
        <v>Carlton</v>
      </c>
      <c r="G9" s="151" t="str">
        <f>IFERROR(VLOOKUP($B$6&amp;$B9,'Data Feed'!$A:$AB,25,FALSE),"")</f>
        <v>M.C.G.</v>
      </c>
      <c r="H9" s="152">
        <f>IFERROR(VLOOKUP($B$6&amp;$B9,'Data Feed'!$A:$AB,13,FALSE),"")</f>
        <v>0</v>
      </c>
      <c r="I9" s="153">
        <f>IFERROR(VLOOKUP($B$6&amp;$B9,'Data Feed'!$A:$AB,6,FALSE),"")</f>
        <v>0</v>
      </c>
      <c r="J9" s="154" t="str">
        <f>IFERROR(VLOOKUP($B$6&amp;$B9,'Data Feed'!$A:$AB,26,FALSE),"")</f>
        <v/>
      </c>
      <c r="K9" s="155" t="str">
        <f t="shared" ref="K9:K17" si="1">IFERROR(IF(H9&gt;I9,E9,IF(H9=I9,"Draw",F9)),"")</f>
        <v>Draw</v>
      </c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</row>
    <row r="10">
      <c r="A10" s="131"/>
      <c r="B10" s="149">
        <v>2.0</v>
      </c>
      <c r="C10" s="150">
        <f>IFERROR(VLOOKUP($B$6&amp;$B10,'Data Feed'!$A:$AB,10,FALSE),"")</f>
        <v>45891.79861</v>
      </c>
      <c r="D10" s="151">
        <f>IFERROR(VLOOKUP($B$6&amp;$B10,'Data Feed'!$A:$AB,18,FALSE),"")</f>
        <v>45891.79861</v>
      </c>
      <c r="E10" s="151" t="str">
        <f>IFERROR(VLOOKUP($B$6&amp;$B10,'Data Feed'!$A:$AB,14,FALSE),"")</f>
        <v>Collingwood</v>
      </c>
      <c r="F10" s="151" t="str">
        <f>IFERROR(VLOOKUP($B$6&amp;$B10,'Data Feed'!$A:$AB,7,FALSE),"")</f>
        <v>Melbourne</v>
      </c>
      <c r="G10" s="151" t="str">
        <f>IFERROR(VLOOKUP($B$6&amp;$B10,'Data Feed'!$A:$AB,25,FALSE),"")</f>
        <v>M.C.G.</v>
      </c>
      <c r="H10" s="152">
        <f>IFERROR(VLOOKUP($B$6&amp;$B10,'Data Feed'!$A:$AB,13,FALSE),"")</f>
        <v>0</v>
      </c>
      <c r="I10" s="153">
        <f>IFERROR(VLOOKUP($B$6&amp;$B10,'Data Feed'!$A:$AB,6,FALSE),"")</f>
        <v>0</v>
      </c>
      <c r="J10" s="156" t="str">
        <f>IFERROR(VLOOKUP($B$6&amp;$B10,'Data Feed'!$A:$AB,26,FALSE),"")</f>
        <v/>
      </c>
      <c r="K10" s="157" t="str">
        <f t="shared" si="1"/>
        <v>Draw</v>
      </c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</row>
    <row r="11">
      <c r="A11" s="131"/>
      <c r="B11" s="149">
        <v>3.0</v>
      </c>
      <c r="C11" s="150">
        <f>IFERROR(VLOOKUP($B$6&amp;$B11,'Data Feed'!$A:$AB,10,FALSE),"")</f>
        <v>45891.84028</v>
      </c>
      <c r="D11" s="151">
        <f>IFERROR(VLOOKUP($B$6&amp;$B11,'Data Feed'!$A:$AB,18,FALSE),"")</f>
        <v>45891.81944</v>
      </c>
      <c r="E11" s="151" t="str">
        <f>IFERROR(VLOOKUP($B$6&amp;$B11,'Data Feed'!$A:$AB,14,FALSE),"")</f>
        <v>Port Adelaide</v>
      </c>
      <c r="F11" s="151" t="str">
        <f>IFERROR(VLOOKUP($B$6&amp;$B11,'Data Feed'!$A:$AB,7,FALSE),"")</f>
        <v>Gold Coast</v>
      </c>
      <c r="G11" s="151" t="str">
        <f>IFERROR(VLOOKUP($B$6&amp;$B11,'Data Feed'!$A:$AB,25,FALSE),"")</f>
        <v>Adelaide Oval</v>
      </c>
      <c r="H11" s="152">
        <f>IFERROR(VLOOKUP($B$6&amp;$B11,'Data Feed'!$A:$AB,13,FALSE),"")</f>
        <v>0</v>
      </c>
      <c r="I11" s="153">
        <f>IFERROR(VLOOKUP($B$6&amp;$B11,'Data Feed'!$A:$AB,6,FALSE),"")</f>
        <v>0</v>
      </c>
      <c r="J11" s="156" t="str">
        <f>IFERROR(VLOOKUP($B$6&amp;$B11,'Data Feed'!$A:$AB,26,FALSE),"")</f>
        <v/>
      </c>
      <c r="K11" s="157" t="str">
        <f t="shared" si="1"/>
        <v>Draw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</row>
    <row r="12">
      <c r="A12" s="131"/>
      <c r="B12" s="149">
        <v>4.0</v>
      </c>
      <c r="C12" s="150">
        <f>IFERROR(VLOOKUP($B$6&amp;$B12,'Data Feed'!$A:$AB,10,FALSE),"")</f>
        <v>45892.55556</v>
      </c>
      <c r="D12" s="151">
        <f>IFERROR(VLOOKUP($B$6&amp;$B12,'Data Feed'!$A:$AB,18,FALSE),"")</f>
        <v>45892.55556</v>
      </c>
      <c r="E12" s="151" t="str">
        <f>IFERROR(VLOOKUP($B$6&amp;$B12,'Data Feed'!$A:$AB,14,FALSE),"")</f>
        <v>North Melbourne</v>
      </c>
      <c r="F12" s="151" t="str">
        <f>IFERROR(VLOOKUP($B$6&amp;$B12,'Data Feed'!$A:$AB,7,FALSE),"")</f>
        <v>Adelaide</v>
      </c>
      <c r="G12" s="151" t="str">
        <f>IFERROR(VLOOKUP($B$6&amp;$B12,'Data Feed'!$A:$AB,25,FALSE),"")</f>
        <v>Docklands</v>
      </c>
      <c r="H12" s="152">
        <f>IFERROR(VLOOKUP($B$6&amp;$B12,'Data Feed'!$A:$AB,13,FALSE),"")</f>
        <v>0</v>
      </c>
      <c r="I12" s="153">
        <f>IFERROR(VLOOKUP($B$6&amp;$B12,'Data Feed'!$A:$AB,6,FALSE),"")</f>
        <v>0</v>
      </c>
      <c r="J12" s="156" t="str">
        <f>IFERROR(VLOOKUP($B$6&amp;$B12,'Data Feed'!$A:$AB,26,FALSE),"")</f>
        <v/>
      </c>
      <c r="K12" s="157" t="str">
        <f t="shared" si="1"/>
        <v>Draw</v>
      </c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</row>
    <row r="13">
      <c r="A13" s="131"/>
      <c r="B13" s="149">
        <v>5.0</v>
      </c>
      <c r="C13" s="150">
        <f>IFERROR(VLOOKUP($B$6&amp;$B13,'Data Feed'!$A:$AB,10,FALSE),"")</f>
        <v>45892.67708</v>
      </c>
      <c r="D13" s="151">
        <f>IFERROR(VLOOKUP($B$6&amp;$B13,'Data Feed'!$A:$AB,18,FALSE),"")</f>
        <v>45892.67708</v>
      </c>
      <c r="E13" s="151" t="str">
        <f>IFERROR(VLOOKUP($B$6&amp;$B13,'Data Feed'!$A:$AB,14,FALSE),"")</f>
        <v>Richmond</v>
      </c>
      <c r="F13" s="151" t="str">
        <f>IFERROR(VLOOKUP($B$6&amp;$B13,'Data Feed'!$A:$AB,7,FALSE),"")</f>
        <v>Geelong</v>
      </c>
      <c r="G13" s="151" t="str">
        <f>IFERROR(VLOOKUP($B$6&amp;$B13,'Data Feed'!$A:$AB,25,FALSE),"")</f>
        <v>M.C.G.</v>
      </c>
      <c r="H13" s="152">
        <f>IFERROR(VLOOKUP($B$6&amp;$B13,'Data Feed'!$A:$AB,13,FALSE),"")</f>
        <v>0</v>
      </c>
      <c r="I13" s="153">
        <f>IFERROR(VLOOKUP($B$6&amp;$B13,'Data Feed'!$A:$AB,6,FALSE),"")</f>
        <v>0</v>
      </c>
      <c r="J13" s="156" t="str">
        <f>IFERROR(VLOOKUP($B$6&amp;$B13,'Data Feed'!$A:$AB,26,FALSE),"")</f>
        <v/>
      </c>
      <c r="K13" s="157" t="str">
        <f t="shared" si="1"/>
        <v>Draw</v>
      </c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</row>
    <row r="14">
      <c r="A14" s="131"/>
      <c r="B14" s="149">
        <v>6.0</v>
      </c>
      <c r="C14" s="150">
        <f>IFERROR(VLOOKUP($B$6&amp;$B14,'Data Feed'!$A:$AB,10,FALSE),"")</f>
        <v>45892.81597</v>
      </c>
      <c r="D14" s="151">
        <f>IFERROR(VLOOKUP($B$6&amp;$B14,'Data Feed'!$A:$AB,18,FALSE),"")</f>
        <v>45892.73264</v>
      </c>
      <c r="E14" s="151" t="str">
        <f>IFERROR(VLOOKUP($B$6&amp;$B14,'Data Feed'!$A:$AB,14,FALSE),"")</f>
        <v>West Coast</v>
      </c>
      <c r="F14" s="151" t="str">
        <f>IFERROR(VLOOKUP($B$6&amp;$B14,'Data Feed'!$A:$AB,7,FALSE),"")</f>
        <v>Sydney</v>
      </c>
      <c r="G14" s="151" t="str">
        <f>IFERROR(VLOOKUP($B$6&amp;$B14,'Data Feed'!$A:$AB,25,FALSE),"")</f>
        <v>Perth Stadium</v>
      </c>
      <c r="H14" s="152">
        <f>IFERROR(VLOOKUP($B$6&amp;$B14,'Data Feed'!$A:$AB,13,FALSE),"")</f>
        <v>0</v>
      </c>
      <c r="I14" s="153">
        <f>IFERROR(VLOOKUP($B$6&amp;$B14,'Data Feed'!$A:$AB,6,FALSE),"")</f>
        <v>0</v>
      </c>
      <c r="J14" s="156" t="str">
        <f>IFERROR(VLOOKUP($B$6&amp;$B14,'Data Feed'!$A:$AB,26,FALSE),"")</f>
        <v/>
      </c>
      <c r="K14" s="157" t="str">
        <f t="shared" si="1"/>
        <v>Draw</v>
      </c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</row>
    <row r="15">
      <c r="A15" s="131"/>
      <c r="B15" s="149">
        <v>7.0</v>
      </c>
      <c r="C15" s="150">
        <f>IFERROR(VLOOKUP($B$6&amp;$B15,'Data Feed'!$A:$AB,10,FALSE),"")</f>
        <v>45893.51389</v>
      </c>
      <c r="D15" s="151">
        <f>IFERROR(VLOOKUP($B$6&amp;$B15,'Data Feed'!$A:$AB,18,FALSE),"")</f>
        <v>45893.51389</v>
      </c>
      <c r="E15" s="151" t="str">
        <f>IFERROR(VLOOKUP($B$6&amp;$B15,'Data Feed'!$A:$AB,14,FALSE),"")</f>
        <v>Greater Western Sydney</v>
      </c>
      <c r="F15" s="151" t="str">
        <f>IFERROR(VLOOKUP($B$6&amp;$B15,'Data Feed'!$A:$AB,7,FALSE),"")</f>
        <v>St Kilda</v>
      </c>
      <c r="G15" s="151" t="str">
        <f>IFERROR(VLOOKUP($B$6&amp;$B15,'Data Feed'!$A:$AB,25,FALSE),"")</f>
        <v>Sydney Showground</v>
      </c>
      <c r="H15" s="152">
        <f>IFERROR(VLOOKUP($B$6&amp;$B15,'Data Feed'!$A:$AB,13,FALSE),"")</f>
        <v>0</v>
      </c>
      <c r="I15" s="153">
        <f>IFERROR(VLOOKUP($B$6&amp;$B15,'Data Feed'!$A:$AB,6,FALSE),"")</f>
        <v>0</v>
      </c>
      <c r="J15" s="156" t="str">
        <f>IFERROR(VLOOKUP($B$6&amp;$B15,'Data Feed'!$A:$AB,26,FALSE),"")</f>
        <v/>
      </c>
      <c r="K15" s="157" t="str">
        <f t="shared" si="1"/>
        <v>Draw</v>
      </c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</row>
    <row r="16">
      <c r="A16" s="131"/>
      <c r="B16" s="149">
        <v>8.0</v>
      </c>
      <c r="C16" s="150">
        <f>IFERROR(VLOOKUP($B$6&amp;$B16,'Data Feed'!$A:$AB,10,FALSE),"")</f>
        <v>45893.63542</v>
      </c>
      <c r="D16" s="151">
        <f>IFERROR(VLOOKUP($B$6&amp;$B16,'Data Feed'!$A:$AB,18,FALSE),"")</f>
        <v>45893.63542</v>
      </c>
      <c r="E16" s="151" t="str">
        <f>IFERROR(VLOOKUP($B$6&amp;$B16,'Data Feed'!$A:$AB,14,FALSE),"")</f>
        <v>Western Bulldogs</v>
      </c>
      <c r="F16" s="151" t="str">
        <f>IFERROR(VLOOKUP($B$6&amp;$B16,'Data Feed'!$A:$AB,7,FALSE),"")</f>
        <v>Fremantle</v>
      </c>
      <c r="G16" s="151" t="str">
        <f>IFERROR(VLOOKUP($B$6&amp;$B16,'Data Feed'!$A:$AB,25,FALSE),"")</f>
        <v>Docklands</v>
      </c>
      <c r="H16" s="152">
        <f>IFERROR(VLOOKUP($B$6&amp;$B16,'Data Feed'!$A:$AB,13,FALSE),"")</f>
        <v>0</v>
      </c>
      <c r="I16" s="153">
        <f>IFERROR(VLOOKUP($B$6&amp;$B16,'Data Feed'!$A:$AB,6,FALSE),"")</f>
        <v>0</v>
      </c>
      <c r="J16" s="156" t="str">
        <f>IFERROR(VLOOKUP($B$6&amp;$B16,'Data Feed'!$A:$AB,26,FALSE),"")</f>
        <v/>
      </c>
      <c r="K16" s="157" t="str">
        <f t="shared" si="1"/>
        <v>Draw</v>
      </c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</row>
    <row r="17">
      <c r="A17" s="131"/>
      <c r="B17" s="158">
        <v>9.0</v>
      </c>
      <c r="C17" s="159">
        <f>IFERROR(VLOOKUP($B$6&amp;$B17,'Data Feed'!$A:$AB,10,FALSE),"")</f>
        <v>45893.80556</v>
      </c>
      <c r="D17" s="160">
        <f>IFERROR(VLOOKUP($B$6&amp;$B17,'Data Feed'!$A:$AB,18,FALSE),"")</f>
        <v>45893.80556</v>
      </c>
      <c r="E17" s="160" t="str">
        <f>IFERROR(VLOOKUP($B$6&amp;$B17,'Data Feed'!$A:$AB,14,FALSE),"")</f>
        <v>Brisbane Lions</v>
      </c>
      <c r="F17" s="160" t="str">
        <f>IFERROR(VLOOKUP($B$6&amp;$B17,'Data Feed'!$A:$AB,7,FALSE),"")</f>
        <v>Hawthorn</v>
      </c>
      <c r="G17" s="160" t="str">
        <f>IFERROR(VLOOKUP($B$6&amp;$B17,'Data Feed'!$A:$AB,25,FALSE),"")</f>
        <v>Gabba</v>
      </c>
      <c r="H17" s="161">
        <f>IFERROR(VLOOKUP($B$6&amp;$B17,'Data Feed'!$A:$AB,13,FALSE),"")</f>
        <v>0</v>
      </c>
      <c r="I17" s="162">
        <f>IFERROR(VLOOKUP($B$6&amp;$B17,'Data Feed'!$A:$AB,6,FALSE),"")</f>
        <v>0</v>
      </c>
      <c r="J17" s="163" t="str">
        <f>IFERROR(VLOOKUP($B$6&amp;$B17,'Data Feed'!$A:$AB,26,FALSE),"")</f>
        <v/>
      </c>
      <c r="K17" s="164" t="str">
        <f t="shared" si="1"/>
        <v>Draw</v>
      </c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</row>
    <row r="18">
      <c r="A18" s="131"/>
      <c r="L18" s="131"/>
      <c r="M18" s="131"/>
      <c r="N18" s="165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</row>
    <row r="19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</row>
    <row r="20">
      <c r="A20" s="131"/>
      <c r="B20" s="166" t="s">
        <v>76</v>
      </c>
      <c r="C20" s="167">
        <v>45880.26568452547</v>
      </c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</row>
    <row r="21">
      <c r="A21" s="131"/>
      <c r="B21" s="168" t="s">
        <v>77</v>
      </c>
      <c r="C21" s="169" t="str">
        <f>"https://api.squiggle.com.au/?q=games;year=2025;format=xml#" &amp;C22</f>
        <v>https://api.squiggle.com.au/?q=games;year=2025;format=xml#46443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</row>
    <row r="22">
      <c r="A22" s="131"/>
      <c r="B22" s="170" t="s">
        <v>78</v>
      </c>
      <c r="C22" s="165">
        <v>46443.0</v>
      </c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</row>
    <row r="23">
      <c r="A23" s="131"/>
      <c r="B23" s="170" t="s">
        <v>79</v>
      </c>
      <c r="C23" s="165">
        <v>24.0</v>
      </c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</row>
    <row r="24">
      <c r="A24" s="131"/>
      <c r="B24" s="170" t="s">
        <v>80</v>
      </c>
      <c r="C24" s="17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</row>
    <row r="25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</row>
    <row r="26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</row>
    <row r="27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</row>
    <row r="28">
      <c r="A28" s="131"/>
      <c r="B28" s="172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</row>
    <row r="29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</row>
    <row r="30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</row>
    <row r="31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</row>
    <row r="32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</row>
    <row r="33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</row>
    <row r="34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</row>
    <row r="3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</row>
    <row r="36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</row>
    <row r="37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</row>
    <row r="38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</row>
    <row r="39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</row>
    <row r="40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</row>
    <row r="4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</row>
    <row r="42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</row>
    <row r="43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</row>
    <row r="44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</row>
    <row r="4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</row>
    <row r="46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</row>
    <row r="47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</row>
    <row r="48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</row>
    <row r="49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</row>
    <row r="50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</row>
    <row r="51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</row>
    <row r="52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</row>
    <row r="53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</row>
    <row r="54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</row>
    <row r="5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</row>
    <row r="56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</row>
    <row r="57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</row>
    <row r="58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</row>
    <row r="59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</row>
    <row r="60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</row>
    <row r="61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</row>
    <row r="6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</row>
    <row r="63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</row>
    <row r="64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</row>
    <row r="6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</row>
    <row r="66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</row>
    <row r="67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</row>
    <row r="68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</row>
    <row r="69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</row>
    <row r="70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</row>
    <row r="71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</row>
    <row r="72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</row>
    <row r="73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</row>
    <row r="74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</row>
    <row r="7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</row>
    <row r="76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</row>
    <row r="77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</row>
    <row r="78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</row>
    <row r="79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</row>
    <row r="80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</row>
    <row r="81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</row>
    <row r="82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</row>
    <row r="83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</row>
    <row r="84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</row>
    <row r="8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</row>
    <row r="86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</row>
    <row r="87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</row>
    <row r="88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</row>
    <row r="89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</row>
    <row r="90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</row>
    <row r="9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</row>
    <row r="92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</row>
    <row r="93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</row>
    <row r="94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</row>
    <row r="9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</row>
    <row r="96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</row>
    <row r="97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</row>
    <row r="98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</row>
    <row r="99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</row>
    <row r="100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</row>
    <row r="10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</row>
    <row r="102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</row>
    <row r="103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</row>
    <row r="104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</row>
    <row r="105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</row>
    <row r="106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</row>
    <row r="107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</row>
    <row r="108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</row>
    <row r="109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</row>
    <row r="110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</row>
    <row r="11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</row>
    <row r="112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</row>
    <row r="113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</row>
    <row r="114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</row>
    <row r="115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</row>
    <row r="116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</row>
    <row r="117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</row>
    <row r="118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</row>
    <row r="119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</row>
    <row r="120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</row>
    <row r="12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</row>
    <row r="122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</row>
    <row r="123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</row>
    <row r="124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</row>
    <row r="12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</row>
    <row r="126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</row>
    <row r="127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</row>
    <row r="128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</row>
    <row r="129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</row>
    <row r="130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</row>
    <row r="13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</row>
    <row r="132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</row>
    <row r="133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</row>
    <row r="134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</row>
    <row r="13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</row>
    <row r="136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</row>
    <row r="137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</row>
    <row r="138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</row>
    <row r="139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</row>
    <row r="14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</row>
    <row r="14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</row>
    <row r="142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</row>
    <row r="143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</row>
    <row r="144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</row>
    <row r="14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</row>
    <row r="146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</row>
    <row r="147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</row>
    <row r="148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</row>
    <row r="149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</row>
    <row r="150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</row>
    <row r="15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</row>
    <row r="152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</row>
    <row r="153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</row>
    <row r="154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</row>
    <row r="15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</row>
    <row r="156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</row>
    <row r="157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</row>
    <row r="158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</row>
    <row r="159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</row>
    <row r="160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</row>
    <row r="16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</row>
    <row r="162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</row>
    <row r="163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</row>
    <row r="164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</row>
    <row r="16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</row>
    <row r="166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</row>
    <row r="167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</row>
    <row r="168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</row>
    <row r="169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</row>
    <row r="170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</row>
    <row r="17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</row>
    <row r="172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</row>
    <row r="173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</row>
    <row r="174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</row>
    <row r="17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</row>
    <row r="176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</row>
    <row r="177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</row>
    <row r="178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</row>
    <row r="179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</row>
    <row r="180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</row>
    <row r="18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</row>
    <row r="182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</row>
    <row r="183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</row>
    <row r="184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</row>
    <row r="18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</row>
    <row r="186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</row>
    <row r="187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</row>
    <row r="188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</row>
    <row r="189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</row>
    <row r="190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</row>
    <row r="19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</row>
    <row r="192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</row>
    <row r="193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</row>
    <row r="194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</row>
    <row r="19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</row>
    <row r="196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</row>
    <row r="197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</row>
    <row r="198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</row>
    <row r="199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</row>
    <row r="200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</row>
    <row r="20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</row>
    <row r="202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</row>
    <row r="203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</row>
    <row r="204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</row>
    <row r="20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</row>
    <row r="206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</row>
    <row r="207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</row>
    <row r="208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</row>
    <row r="209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</row>
    <row r="210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</row>
    <row r="21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</row>
    <row r="212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</row>
    <row r="213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</row>
    <row r="214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</row>
    <row r="21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</row>
    <row r="216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</row>
    <row r="217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</row>
    <row r="218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</row>
    <row r="219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</row>
    <row r="220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</row>
    <row r="22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</row>
    <row r="222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</row>
    <row r="223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</row>
    <row r="224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</row>
    <row r="22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</row>
    <row r="226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</row>
    <row r="227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</row>
    <row r="228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</row>
    <row r="229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</row>
    <row r="230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</row>
    <row r="23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</row>
    <row r="232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</row>
    <row r="233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</row>
    <row r="234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</row>
    <row r="23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</row>
    <row r="236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</row>
    <row r="237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</row>
    <row r="238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</row>
    <row r="239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</row>
    <row r="240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</row>
    <row r="24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</row>
    <row r="242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</row>
    <row r="243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</row>
    <row r="244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</row>
    <row r="24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</row>
    <row r="246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</row>
    <row r="247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</row>
    <row r="248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</row>
    <row r="249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</row>
    <row r="250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</row>
    <row r="25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</row>
    <row r="252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</row>
    <row r="253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</row>
    <row r="254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</row>
    <row r="25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</row>
    <row r="256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</row>
    <row r="257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</row>
    <row r="258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</row>
    <row r="259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</row>
    <row r="260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</row>
    <row r="26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</row>
    <row r="262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</row>
    <row r="263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</row>
    <row r="264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</row>
    <row r="26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</row>
    <row r="266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</row>
    <row r="267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</row>
    <row r="268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</row>
    <row r="269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</row>
    <row r="270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</row>
    <row r="27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</row>
    <row r="272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</row>
    <row r="273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</row>
    <row r="274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</row>
    <row r="27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</row>
    <row r="276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</row>
    <row r="277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</row>
    <row r="278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</row>
    <row r="279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</row>
    <row r="280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</row>
    <row r="28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</row>
    <row r="282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</row>
    <row r="283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</row>
    <row r="284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</row>
    <row r="28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</row>
    <row r="286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</row>
    <row r="287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</row>
    <row r="288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</row>
    <row r="289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</row>
    <row r="290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</row>
    <row r="29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</row>
    <row r="292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</row>
    <row r="293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</row>
    <row r="294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</row>
    <row r="29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</row>
    <row r="296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</row>
    <row r="297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</row>
    <row r="298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</row>
    <row r="299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</row>
    <row r="300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</row>
    <row r="30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</row>
    <row r="302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</row>
    <row r="303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</row>
    <row r="304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</row>
    <row r="30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</row>
    <row r="306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</row>
    <row r="307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</row>
    <row r="308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</row>
    <row r="309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</row>
    <row r="310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</row>
    <row r="31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</row>
    <row r="312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</row>
    <row r="313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</row>
    <row r="314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</row>
    <row r="31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</row>
    <row r="316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</row>
    <row r="317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</row>
    <row r="318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</row>
    <row r="319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</row>
    <row r="320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</row>
    <row r="32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</row>
    <row r="32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</row>
    <row r="323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</row>
    <row r="324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</row>
    <row r="325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</row>
    <row r="326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</row>
    <row r="327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</row>
    <row r="328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</row>
    <row r="329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</row>
    <row r="330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</row>
    <row r="33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</row>
    <row r="33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</row>
    <row r="333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</row>
    <row r="334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</row>
    <row r="335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</row>
    <row r="336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</row>
    <row r="337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</row>
    <row r="338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</row>
    <row r="339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</row>
    <row r="340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</row>
    <row r="34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</row>
    <row r="342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</row>
    <row r="343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</row>
    <row r="344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</row>
    <row r="345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</row>
    <row r="346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</row>
    <row r="347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</row>
    <row r="348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</row>
    <row r="349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</row>
    <row r="350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</row>
    <row r="35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</row>
    <row r="352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</row>
    <row r="353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</row>
    <row r="354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</row>
    <row r="355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</row>
    <row r="356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</row>
    <row r="357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</row>
    <row r="358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</row>
    <row r="359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</row>
    <row r="360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</row>
    <row r="36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</row>
    <row r="362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</row>
    <row r="363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</row>
    <row r="364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</row>
    <row r="365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</row>
    <row r="366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</row>
    <row r="367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</row>
    <row r="368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</row>
    <row r="369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</row>
    <row r="370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</row>
    <row r="37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</row>
    <row r="372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</row>
    <row r="373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</row>
    <row r="374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</row>
    <row r="375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</row>
    <row r="376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</row>
    <row r="377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</row>
    <row r="378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</row>
    <row r="379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</row>
    <row r="380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</row>
    <row r="38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</row>
    <row r="382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</row>
    <row r="383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</row>
    <row r="384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</row>
    <row r="385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</row>
    <row r="386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</row>
    <row r="387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</row>
    <row r="388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</row>
    <row r="389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</row>
    <row r="390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</row>
    <row r="39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</row>
    <row r="392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</row>
    <row r="393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</row>
    <row r="394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</row>
    <row r="395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</row>
    <row r="396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</row>
    <row r="397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</row>
    <row r="398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</row>
    <row r="399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</row>
    <row r="400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</row>
    <row r="40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</row>
    <row r="402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</row>
    <row r="403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</row>
    <row r="404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</row>
    <row r="405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</row>
    <row r="406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</row>
    <row r="407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</row>
    <row r="408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</row>
    <row r="409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</row>
    <row r="410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</row>
    <row r="41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</row>
    <row r="412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</row>
    <row r="413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</row>
    <row r="414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</row>
    <row r="415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</row>
    <row r="416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</row>
    <row r="417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</row>
    <row r="418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</row>
    <row r="419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</row>
    <row r="420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</row>
    <row r="42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</row>
    <row r="422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</row>
    <row r="423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</row>
    <row r="424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</row>
    <row r="4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</row>
    <row r="426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</row>
    <row r="427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</row>
    <row r="428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</row>
    <row r="429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</row>
    <row r="430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</row>
    <row r="43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</row>
    <row r="432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</row>
    <row r="43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</row>
    <row r="434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</row>
    <row r="43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</row>
    <row r="436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</row>
    <row r="437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</row>
    <row r="438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</row>
    <row r="439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</row>
    <row r="440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</row>
    <row r="44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</row>
    <row r="442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</row>
    <row r="44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</row>
    <row r="444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</row>
    <row r="44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</row>
    <row r="446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</row>
    <row r="447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</row>
    <row r="448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</row>
    <row r="449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</row>
    <row r="450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</row>
    <row r="45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</row>
    <row r="452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</row>
    <row r="45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</row>
    <row r="454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</row>
    <row r="45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</row>
    <row r="456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</row>
    <row r="457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</row>
    <row r="458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</row>
    <row r="459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</row>
    <row r="460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</row>
    <row r="46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</row>
    <row r="462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</row>
    <row r="46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</row>
    <row r="464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</row>
    <row r="46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</row>
    <row r="466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</row>
    <row r="467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</row>
    <row r="468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</row>
    <row r="469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</row>
    <row r="470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</row>
    <row r="47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</row>
    <row r="472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</row>
    <row r="47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</row>
    <row r="474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</row>
    <row r="47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</row>
    <row r="476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</row>
    <row r="477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</row>
    <row r="478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</row>
    <row r="479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</row>
    <row r="480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</row>
    <row r="48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</row>
    <row r="482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</row>
    <row r="48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</row>
    <row r="484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</row>
    <row r="48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</row>
    <row r="486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</row>
    <row r="487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</row>
    <row r="488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</row>
    <row r="489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</row>
    <row r="490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</row>
    <row r="49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</row>
    <row r="492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</row>
    <row r="49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</row>
    <row r="494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</row>
    <row r="49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</row>
    <row r="496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</row>
    <row r="497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</row>
    <row r="498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</row>
    <row r="499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</row>
    <row r="500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</row>
    <row r="50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</row>
    <row r="502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</row>
    <row r="50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</row>
    <row r="504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</row>
    <row r="50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</row>
    <row r="506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</row>
    <row r="507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</row>
    <row r="508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</row>
    <row r="509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</row>
    <row r="510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</row>
    <row r="51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</row>
    <row r="512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</row>
    <row r="51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</row>
    <row r="514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</row>
    <row r="51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</row>
    <row r="516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</row>
    <row r="517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</row>
    <row r="518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</row>
    <row r="519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</row>
    <row r="520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</row>
    <row r="52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</row>
    <row r="522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</row>
    <row r="52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</row>
    <row r="524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</row>
    <row r="5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</row>
    <row r="526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</row>
    <row r="527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</row>
    <row r="528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</row>
    <row r="529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</row>
    <row r="530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</row>
    <row r="53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</row>
    <row r="532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</row>
    <row r="53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</row>
    <row r="534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</row>
    <row r="53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</row>
    <row r="536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</row>
    <row r="537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</row>
    <row r="538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</row>
    <row r="539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</row>
    <row r="540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</row>
    <row r="54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</row>
    <row r="542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</row>
    <row r="54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</row>
    <row r="544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</row>
    <row r="54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</row>
    <row r="546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</row>
    <row r="547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</row>
    <row r="548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</row>
    <row r="549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</row>
    <row r="550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</row>
    <row r="55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</row>
    <row r="552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</row>
    <row r="55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</row>
    <row r="554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</row>
    <row r="55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</row>
    <row r="556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</row>
    <row r="557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</row>
    <row r="558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</row>
    <row r="559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</row>
    <row r="560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</row>
    <row r="56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</row>
    <row r="562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</row>
    <row r="56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</row>
    <row r="564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</row>
    <row r="56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</row>
    <row r="566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</row>
    <row r="567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</row>
    <row r="568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</row>
    <row r="569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</row>
    <row r="570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</row>
    <row r="57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</row>
    <row r="572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</row>
    <row r="57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</row>
    <row r="574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</row>
    <row r="57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</row>
    <row r="576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</row>
    <row r="577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</row>
    <row r="578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</row>
    <row r="579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</row>
    <row r="580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</row>
    <row r="58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</row>
    <row r="582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</row>
    <row r="58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</row>
    <row r="584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</row>
    <row r="58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</row>
    <row r="586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</row>
    <row r="587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</row>
    <row r="588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</row>
    <row r="589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</row>
    <row r="590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</row>
    <row r="59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</row>
    <row r="592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</row>
    <row r="59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</row>
    <row r="594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</row>
    <row r="59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</row>
    <row r="596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</row>
    <row r="597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</row>
    <row r="598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</row>
    <row r="599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</row>
    <row r="600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</row>
    <row r="60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</row>
    <row r="602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</row>
    <row r="60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</row>
    <row r="604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</row>
    <row r="60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</row>
    <row r="606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</row>
    <row r="607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</row>
    <row r="608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</row>
    <row r="609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</row>
    <row r="610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</row>
    <row r="61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</row>
    <row r="612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</row>
    <row r="61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</row>
    <row r="614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</row>
    <row r="61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</row>
    <row r="616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</row>
    <row r="617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</row>
    <row r="618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</row>
    <row r="619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</row>
    <row r="620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</row>
    <row r="62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</row>
    <row r="622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</row>
    <row r="62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</row>
    <row r="624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</row>
    <row r="6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</row>
    <row r="626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</row>
    <row r="627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</row>
    <row r="628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</row>
    <row r="629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</row>
    <row r="630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</row>
    <row r="63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</row>
    <row r="632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</row>
    <row r="63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</row>
    <row r="634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</row>
    <row r="63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  <c r="AA635" s="131"/>
    </row>
    <row r="636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  <c r="AA636" s="131"/>
    </row>
    <row r="637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</row>
    <row r="638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  <c r="AA638" s="131"/>
    </row>
    <row r="639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  <c r="AA639" s="131"/>
    </row>
    <row r="640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  <c r="AA640" s="131"/>
    </row>
    <row r="64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  <c r="AA641" s="131"/>
    </row>
    <row r="642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  <c r="AA642" s="131"/>
    </row>
    <row r="64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</row>
    <row r="644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  <c r="AA644" s="131"/>
    </row>
    <row r="64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  <c r="AA645" s="131"/>
    </row>
    <row r="646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  <c r="AA646" s="131"/>
    </row>
    <row r="647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  <c r="AA647" s="131"/>
    </row>
    <row r="648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</row>
    <row r="649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  <c r="AA649" s="131"/>
    </row>
    <row r="650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  <c r="AA650" s="131"/>
    </row>
    <row r="65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  <c r="AA651" s="131"/>
    </row>
    <row r="652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  <c r="AA652" s="131"/>
    </row>
    <row r="65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  <c r="AA653" s="131"/>
    </row>
    <row r="654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  <c r="AA654" s="131"/>
    </row>
    <row r="65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  <c r="AA655" s="131"/>
    </row>
    <row r="656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  <c r="AA656" s="131"/>
    </row>
    <row r="657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  <c r="AA657" s="131"/>
    </row>
    <row r="658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  <c r="AA658" s="131"/>
    </row>
    <row r="659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  <c r="AA659" s="131"/>
    </row>
    <row r="660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  <c r="AA660" s="131"/>
    </row>
    <row r="66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  <c r="AA661" s="131"/>
    </row>
    <row r="662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  <c r="AA662" s="131"/>
    </row>
    <row r="66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</row>
    <row r="664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  <c r="AA664" s="131"/>
    </row>
    <row r="66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  <c r="AA665" s="131"/>
    </row>
    <row r="666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  <c r="AA666" s="131"/>
    </row>
    <row r="667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</row>
    <row r="668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  <c r="AA668" s="131"/>
    </row>
    <row r="669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  <c r="AA669" s="131"/>
    </row>
    <row r="670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  <c r="AA670" s="131"/>
    </row>
    <row r="67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  <c r="AA671" s="131"/>
    </row>
    <row r="672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  <c r="AA672" s="131"/>
    </row>
    <row r="67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  <c r="AA673" s="131"/>
    </row>
    <row r="674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  <c r="AA674" s="131"/>
    </row>
    <row r="67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  <c r="AA675" s="131"/>
    </row>
    <row r="676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  <c r="AA676" s="131"/>
    </row>
    <row r="677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  <c r="AA677" s="131"/>
    </row>
    <row r="678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  <c r="AA678" s="131"/>
    </row>
    <row r="679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  <c r="AA679" s="131"/>
    </row>
    <row r="680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  <c r="AA680" s="131"/>
    </row>
    <row r="68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  <c r="AA681" s="131"/>
    </row>
    <row r="682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  <c r="AA682" s="131"/>
    </row>
    <row r="68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  <c r="AA683" s="131"/>
    </row>
    <row r="684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  <c r="AA684" s="131"/>
    </row>
    <row r="68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</row>
    <row r="686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  <c r="AA686" s="131"/>
    </row>
    <row r="687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  <c r="AA687" s="131"/>
    </row>
    <row r="688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  <c r="AA688" s="131"/>
    </row>
    <row r="689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  <c r="AA689" s="131"/>
    </row>
    <row r="690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  <c r="AA690" s="131"/>
    </row>
    <row r="69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  <c r="AA691" s="131"/>
    </row>
    <row r="692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  <c r="AA692" s="131"/>
    </row>
    <row r="69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  <c r="AA693" s="131"/>
    </row>
    <row r="694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</row>
    <row r="69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  <c r="AA695" s="131"/>
    </row>
    <row r="696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  <c r="AA696" s="131"/>
    </row>
    <row r="697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</row>
    <row r="698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  <c r="AA698" s="131"/>
    </row>
    <row r="699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  <c r="AA699" s="131"/>
    </row>
    <row r="700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  <c r="AA700" s="131"/>
    </row>
    <row r="70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  <c r="AA701" s="131"/>
    </row>
    <row r="702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  <c r="AA702" s="131"/>
    </row>
    <row r="70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  <c r="AA703" s="131"/>
    </row>
    <row r="704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  <c r="AA704" s="131"/>
    </row>
    <row r="70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  <c r="AA705" s="131"/>
    </row>
    <row r="706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  <c r="AA706" s="131"/>
    </row>
    <row r="707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  <c r="AA707" s="131"/>
    </row>
    <row r="708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  <c r="AA708" s="131"/>
    </row>
    <row r="709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  <c r="AA709" s="131"/>
    </row>
    <row r="710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  <c r="AA710" s="131"/>
    </row>
    <row r="71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  <c r="AA711" s="131"/>
    </row>
    <row r="712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  <c r="AA712" s="131"/>
    </row>
    <row r="71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  <c r="AA713" s="131"/>
    </row>
    <row r="714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  <c r="AA714" s="131"/>
    </row>
    <row r="71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  <c r="AA715" s="131"/>
    </row>
    <row r="716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  <c r="AA716" s="131"/>
    </row>
    <row r="717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  <c r="AA717" s="131"/>
    </row>
    <row r="718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  <c r="AA718" s="131"/>
    </row>
    <row r="719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  <c r="AA719" s="131"/>
    </row>
    <row r="720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  <c r="AA720" s="131"/>
    </row>
    <row r="72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  <c r="AA721" s="131"/>
    </row>
    <row r="722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  <c r="AA722" s="131"/>
    </row>
    <row r="72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  <c r="AA723" s="131"/>
    </row>
    <row r="724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  <c r="AA724" s="131"/>
    </row>
    <row r="7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  <c r="AA725" s="131"/>
    </row>
    <row r="726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  <c r="AA726" s="131"/>
    </row>
    <row r="727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</row>
    <row r="728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  <c r="AA728" s="131"/>
    </row>
    <row r="729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  <c r="AA729" s="131"/>
    </row>
    <row r="730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  <c r="AA730" s="131"/>
    </row>
    <row r="73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  <c r="AA731" s="131"/>
    </row>
    <row r="732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  <c r="AA732" s="131"/>
    </row>
    <row r="73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  <c r="AA733" s="131"/>
    </row>
    <row r="734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  <c r="AA734" s="131"/>
    </row>
    <row r="73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</row>
    <row r="736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  <c r="AA736" s="131"/>
    </row>
    <row r="737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  <c r="AA737" s="131"/>
    </row>
    <row r="738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  <c r="AA738" s="131"/>
    </row>
    <row r="739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  <c r="AA739" s="131"/>
    </row>
    <row r="740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  <c r="AA740" s="131"/>
    </row>
    <row r="74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  <c r="AA741" s="131"/>
    </row>
    <row r="742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  <c r="AA742" s="131"/>
    </row>
    <row r="74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  <c r="AA743" s="131"/>
    </row>
    <row r="744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  <c r="AA744" s="131"/>
    </row>
    <row r="74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  <c r="AA745" s="131"/>
    </row>
    <row r="746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  <c r="AA746" s="131"/>
    </row>
    <row r="747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  <c r="AA747" s="131"/>
    </row>
    <row r="748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  <c r="AA748" s="131"/>
    </row>
    <row r="749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  <c r="AA749" s="131"/>
    </row>
    <row r="750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  <c r="AA750" s="131"/>
    </row>
    <row r="75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  <c r="AA751" s="131"/>
    </row>
    <row r="752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  <c r="AA752" s="131"/>
    </row>
    <row r="75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  <c r="AA753" s="131"/>
    </row>
    <row r="754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  <c r="AA754" s="131"/>
    </row>
    <row r="75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  <c r="AA755" s="131"/>
    </row>
    <row r="756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</row>
    <row r="757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</row>
    <row r="758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  <c r="AA758" s="131"/>
    </row>
    <row r="759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  <c r="AA759" s="131"/>
    </row>
    <row r="760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</row>
    <row r="76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</row>
    <row r="762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</row>
    <row r="76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</row>
    <row r="764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</row>
    <row r="76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</row>
    <row r="766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</row>
    <row r="767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</row>
    <row r="768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</row>
    <row r="769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</row>
    <row r="770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</row>
    <row r="77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</row>
    <row r="772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</row>
    <row r="77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</row>
    <row r="774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</row>
    <row r="77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</row>
    <row r="776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</row>
    <row r="777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</row>
    <row r="778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</row>
    <row r="779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  <c r="AA779" s="131"/>
    </row>
    <row r="780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  <c r="AA780" s="131"/>
    </row>
    <row r="78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  <c r="AA781" s="131"/>
    </row>
    <row r="782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  <c r="AA782" s="131"/>
    </row>
    <row r="78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  <c r="AA783" s="131"/>
    </row>
    <row r="784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</row>
    <row r="78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</row>
    <row r="786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  <c r="AA786" s="131"/>
    </row>
    <row r="787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</row>
    <row r="788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  <c r="AA788" s="131"/>
    </row>
    <row r="789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</row>
    <row r="790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</row>
    <row r="79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  <c r="AA791" s="131"/>
    </row>
    <row r="792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  <c r="AA792" s="131"/>
    </row>
    <row r="79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  <c r="AA793" s="131"/>
    </row>
    <row r="794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</row>
    <row r="79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</row>
    <row r="796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  <c r="AA796" s="131"/>
    </row>
    <row r="797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  <c r="AA797" s="131"/>
    </row>
    <row r="798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  <c r="AA798" s="131"/>
    </row>
    <row r="799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  <c r="AA799" s="131"/>
    </row>
    <row r="800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  <c r="AA800" s="131"/>
    </row>
    <row r="80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  <c r="AA801" s="131"/>
    </row>
    <row r="802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  <c r="AA802" s="131"/>
    </row>
    <row r="80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  <c r="AA803" s="131"/>
    </row>
    <row r="804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  <c r="AA804" s="131"/>
    </row>
    <row r="80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  <c r="AA805" s="131"/>
    </row>
    <row r="806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  <c r="AA806" s="131"/>
    </row>
    <row r="807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  <c r="AA807" s="131"/>
    </row>
    <row r="808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  <c r="AA808" s="131"/>
    </row>
    <row r="809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  <c r="AA809" s="131"/>
    </row>
    <row r="810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  <c r="AA810" s="131"/>
    </row>
    <row r="81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  <c r="AA811" s="131"/>
    </row>
    <row r="812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  <c r="AA812" s="131"/>
    </row>
    <row r="81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  <c r="AA813" s="131"/>
    </row>
    <row r="814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</row>
    <row r="81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</row>
    <row r="816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  <c r="AA816" s="131"/>
    </row>
    <row r="817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  <c r="AA817" s="131"/>
    </row>
    <row r="818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  <c r="AA818" s="131"/>
    </row>
    <row r="819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  <c r="AA819" s="131"/>
    </row>
    <row r="820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  <c r="AA820" s="131"/>
    </row>
    <row r="82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  <c r="AA821" s="131"/>
    </row>
    <row r="822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  <c r="AA822" s="131"/>
    </row>
    <row r="82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  <c r="AA823" s="131"/>
    </row>
    <row r="824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  <c r="AA824" s="131"/>
    </row>
    <row r="8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  <c r="AA825" s="131"/>
    </row>
    <row r="826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  <c r="AA826" s="131"/>
    </row>
    <row r="827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  <c r="AA827" s="131"/>
    </row>
    <row r="828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  <c r="AA828" s="131"/>
    </row>
    <row r="829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</row>
    <row r="830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</row>
    <row r="83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  <c r="AA831" s="131"/>
    </row>
    <row r="832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  <c r="AA832" s="131"/>
    </row>
    <row r="83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  <c r="AA833" s="131"/>
    </row>
    <row r="834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</row>
    <row r="83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</row>
    <row r="836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</row>
    <row r="837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</row>
    <row r="838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</row>
    <row r="839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</row>
    <row r="840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</row>
    <row r="84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  <c r="AA841" s="131"/>
    </row>
    <row r="842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  <c r="AA842" s="131"/>
    </row>
    <row r="84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  <c r="AA843" s="131"/>
    </row>
    <row r="844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  <c r="AA844" s="131"/>
    </row>
    <row r="84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  <c r="AA845" s="131"/>
    </row>
    <row r="846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  <c r="AA846" s="131"/>
    </row>
    <row r="847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  <c r="AA847" s="131"/>
    </row>
    <row r="848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  <c r="AA848" s="131"/>
    </row>
    <row r="849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  <c r="AA849" s="131"/>
    </row>
    <row r="850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  <c r="AA850" s="131"/>
    </row>
    <row r="85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  <c r="AA851" s="131"/>
    </row>
    <row r="852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  <c r="AA852" s="131"/>
    </row>
    <row r="85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  <c r="AA853" s="131"/>
    </row>
    <row r="854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  <c r="AA854" s="131"/>
    </row>
    <row r="85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  <c r="AA855" s="131"/>
    </row>
    <row r="856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  <c r="AA856" s="131"/>
    </row>
    <row r="857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  <c r="AA857" s="131"/>
    </row>
    <row r="858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  <c r="AA858" s="131"/>
    </row>
    <row r="859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  <c r="AA859" s="131"/>
    </row>
    <row r="860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  <c r="AA860" s="131"/>
    </row>
    <row r="86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  <c r="AA861" s="131"/>
    </row>
    <row r="862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  <c r="AA862" s="131"/>
    </row>
    <row r="86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  <c r="AA863" s="131"/>
    </row>
    <row r="864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  <c r="AA864" s="131"/>
    </row>
    <row r="86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  <c r="AA865" s="131"/>
    </row>
    <row r="866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  <c r="AA866" s="131"/>
    </row>
    <row r="867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  <c r="AA867" s="131"/>
    </row>
    <row r="868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  <c r="AA868" s="131"/>
    </row>
    <row r="869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  <c r="AA869" s="131"/>
    </row>
    <row r="870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  <c r="AA870" s="131"/>
    </row>
    <row r="87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  <c r="AA871" s="131"/>
    </row>
    <row r="872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  <c r="AA872" s="131"/>
    </row>
    <row r="87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  <c r="AA873" s="131"/>
    </row>
    <row r="874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  <c r="AA874" s="131"/>
    </row>
    <row r="87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  <c r="AA875" s="131"/>
    </row>
    <row r="876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  <c r="AA876" s="131"/>
    </row>
    <row r="877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  <c r="AA877" s="131"/>
    </row>
    <row r="878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  <c r="AA878" s="131"/>
    </row>
    <row r="879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  <c r="AA879" s="131"/>
    </row>
    <row r="880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  <c r="AA880" s="131"/>
    </row>
    <row r="88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  <c r="AA881" s="131"/>
    </row>
    <row r="882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  <c r="AA882" s="131"/>
    </row>
    <row r="88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  <c r="AA883" s="131"/>
    </row>
    <row r="884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  <c r="AA884" s="131"/>
    </row>
    <row r="88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  <c r="AA885" s="131"/>
    </row>
    <row r="886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  <c r="AA886" s="131"/>
    </row>
    <row r="887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  <c r="AA887" s="131"/>
    </row>
    <row r="888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  <c r="AA888" s="131"/>
    </row>
    <row r="889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  <c r="AA889" s="131"/>
    </row>
    <row r="890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  <c r="AA890" s="131"/>
    </row>
    <row r="89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  <c r="AA891" s="131"/>
    </row>
    <row r="892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  <c r="AA892" s="131"/>
    </row>
    <row r="89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  <c r="AA893" s="131"/>
    </row>
    <row r="894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  <c r="AA894" s="131"/>
    </row>
    <row r="89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  <c r="AA895" s="131"/>
    </row>
    <row r="896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  <c r="AA896" s="131"/>
    </row>
    <row r="897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  <c r="AA897" s="131"/>
    </row>
    <row r="898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  <c r="AA898" s="131"/>
    </row>
    <row r="899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  <c r="AA899" s="131"/>
    </row>
    <row r="900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  <c r="AA900" s="131"/>
    </row>
    <row r="90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  <c r="AA901" s="131"/>
    </row>
    <row r="902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  <c r="AA902" s="131"/>
    </row>
    <row r="90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  <c r="AA903" s="131"/>
    </row>
    <row r="904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  <c r="AA904" s="131"/>
    </row>
    <row r="90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  <c r="AA905" s="131"/>
    </row>
    <row r="906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  <c r="AA906" s="131"/>
    </row>
    <row r="907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  <c r="AA907" s="131"/>
    </row>
    <row r="908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  <c r="AA908" s="131"/>
    </row>
    <row r="909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  <c r="AA909" s="131"/>
    </row>
    <row r="910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  <c r="AA910" s="131"/>
    </row>
    <row r="91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</row>
    <row r="912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  <c r="AA912" s="131"/>
    </row>
    <row r="91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  <c r="AA913" s="131"/>
    </row>
    <row r="914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  <c r="AA914" s="131"/>
    </row>
    <row r="91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  <c r="AA915" s="131"/>
    </row>
    <row r="916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  <c r="AA916" s="131"/>
    </row>
    <row r="917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  <c r="AA917" s="131"/>
    </row>
    <row r="918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  <c r="AA918" s="131"/>
    </row>
    <row r="919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  <c r="AA919" s="131"/>
    </row>
    <row r="920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  <c r="AA920" s="131"/>
    </row>
    <row r="92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  <c r="AA921" s="131"/>
    </row>
    <row r="922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  <c r="AA922" s="131"/>
    </row>
    <row r="92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  <c r="AA923" s="131"/>
    </row>
    <row r="924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  <c r="AA924" s="131"/>
    </row>
    <row r="9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</row>
    <row r="926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  <c r="AA926" s="131"/>
    </row>
    <row r="927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  <c r="AA927" s="131"/>
    </row>
    <row r="928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  <c r="AA928" s="131"/>
    </row>
    <row r="929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  <c r="AA929" s="131"/>
    </row>
    <row r="930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  <c r="AA930" s="131"/>
    </row>
    <row r="93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  <c r="AA931" s="131"/>
    </row>
    <row r="932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  <c r="AA932" s="131"/>
    </row>
    <row r="93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  <c r="AA933" s="131"/>
    </row>
    <row r="934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  <c r="AA934" s="131"/>
    </row>
    <row r="93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  <c r="AA935" s="131"/>
    </row>
    <row r="936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  <c r="AA936" s="131"/>
    </row>
    <row r="937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  <c r="AA937" s="131"/>
    </row>
    <row r="938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  <c r="AA938" s="131"/>
    </row>
    <row r="939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  <c r="AA939" s="131"/>
    </row>
    <row r="940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  <c r="AA940" s="131"/>
    </row>
    <row r="94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  <c r="AA941" s="131"/>
    </row>
    <row r="942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</row>
    <row r="94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  <c r="AA943" s="131"/>
    </row>
    <row r="944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  <c r="AA944" s="131"/>
    </row>
    <row r="94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  <c r="AA945" s="131"/>
    </row>
    <row r="946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  <c r="AA946" s="131"/>
    </row>
    <row r="947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  <c r="AA947" s="131"/>
    </row>
    <row r="948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  <c r="AA948" s="131"/>
    </row>
    <row r="949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  <c r="AA949" s="131"/>
    </row>
    <row r="950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  <c r="AA950" s="131"/>
    </row>
    <row r="95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  <c r="AA951" s="131"/>
    </row>
    <row r="952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  <c r="AA952" s="131"/>
    </row>
    <row r="95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  <c r="AA953" s="131"/>
    </row>
    <row r="954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  <c r="AA954" s="131"/>
    </row>
    <row r="95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  <c r="AA955" s="131"/>
    </row>
    <row r="956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  <c r="AA956" s="131"/>
    </row>
    <row r="957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  <c r="AA957" s="131"/>
    </row>
    <row r="958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  <c r="AA958" s="131"/>
    </row>
    <row r="959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  <c r="AA959" s="131"/>
    </row>
    <row r="960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  <c r="AA960" s="131"/>
    </row>
    <row r="96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  <c r="AA961" s="131"/>
    </row>
    <row r="962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  <c r="AA962" s="131"/>
    </row>
    <row r="96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  <c r="AA963" s="131"/>
    </row>
    <row r="964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  <c r="AA964" s="131"/>
    </row>
    <row r="96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  <c r="AA965" s="131"/>
    </row>
    <row r="966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  <c r="AA966" s="131"/>
    </row>
    <row r="967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  <c r="AA967" s="131"/>
    </row>
    <row r="968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  <c r="AA968" s="131"/>
    </row>
    <row r="969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  <c r="AA969" s="131"/>
    </row>
    <row r="970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  <c r="AA970" s="131"/>
    </row>
    <row r="97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  <c r="AA971" s="131"/>
    </row>
    <row r="972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  <c r="AA972" s="131"/>
    </row>
    <row r="97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  <c r="AA973" s="131"/>
    </row>
    <row r="974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  <c r="AA974" s="131"/>
    </row>
    <row r="975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  <c r="AA975" s="131"/>
    </row>
    <row r="976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  <c r="AA976" s="131"/>
    </row>
    <row r="977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  <c r="AA977" s="131"/>
    </row>
    <row r="978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  <c r="AA978" s="131"/>
    </row>
    <row r="979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  <c r="AA979" s="131"/>
    </row>
    <row r="980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  <c r="AA980" s="131"/>
    </row>
    <row r="98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  <c r="AA981" s="131"/>
    </row>
    <row r="982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  <c r="AA982" s="131"/>
    </row>
    <row r="983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  <c r="AA983" s="131"/>
    </row>
    <row r="984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  <c r="AA984" s="131"/>
    </row>
    <row r="985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  <c r="AA985" s="131"/>
    </row>
    <row r="986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  <c r="AA986" s="131"/>
    </row>
    <row r="987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  <c r="AA987" s="131"/>
    </row>
    <row r="988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  <c r="AA988" s="131"/>
    </row>
    <row r="989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  <c r="AA989" s="131"/>
    </row>
    <row r="990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  <c r="AA990" s="131"/>
    </row>
    <row r="99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  <c r="AA991" s="131"/>
    </row>
    <row r="992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  <c r="AA992" s="131"/>
    </row>
    <row r="993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  <c r="AA993" s="131"/>
    </row>
    <row r="994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</row>
    <row r="995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  <c r="AA995" s="131"/>
    </row>
    <row r="996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  <c r="AA996" s="131"/>
    </row>
    <row r="997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  <c r="AA997" s="131"/>
    </row>
    <row r="998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  <c r="AA998" s="131"/>
    </row>
    <row r="999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  <c r="AA999" s="131"/>
    </row>
    <row r="1000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  <c r="AA1000" s="131"/>
    </row>
  </sheetData>
  <mergeCells count="1">
    <mergeCell ref="C6:J6"/>
  </mergeCells>
  <dataValidations>
    <dataValidation type="list" allowBlank="1" showErrorMessage="1" sqref="C2">
      <formula1>Teams!$A$2:$A$29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4.13"/>
    <col customWidth="1" min="4" max="4" width="10.88"/>
    <col customWidth="1" min="5" max="5" width="15.13"/>
  </cols>
  <sheetData>
    <row r="1">
      <c r="A1" s="173">
        <v>1.0</v>
      </c>
      <c r="B1" s="173">
        <v>2.0</v>
      </c>
      <c r="C1" s="173">
        <v>3.0</v>
      </c>
      <c r="D1" s="173">
        <v>4.0</v>
      </c>
      <c r="E1" s="173">
        <v>5.0</v>
      </c>
      <c r="F1" s="173">
        <v>6.0</v>
      </c>
      <c r="G1" s="173">
        <v>7.0</v>
      </c>
      <c r="H1" s="173">
        <v>8.0</v>
      </c>
      <c r="I1" s="173">
        <v>9.0</v>
      </c>
      <c r="J1" s="173">
        <v>10.0</v>
      </c>
      <c r="K1" s="173">
        <v>11.0</v>
      </c>
      <c r="L1" s="173">
        <v>12.0</v>
      </c>
      <c r="M1" s="173">
        <v>13.0</v>
      </c>
      <c r="N1" s="173">
        <v>14.0</v>
      </c>
      <c r="O1" s="173">
        <v>15.0</v>
      </c>
      <c r="P1" s="173">
        <v>16.0</v>
      </c>
      <c r="Q1" s="173">
        <v>17.0</v>
      </c>
      <c r="R1" s="173">
        <v>18.0</v>
      </c>
      <c r="S1" s="173">
        <v>19.0</v>
      </c>
      <c r="T1" s="173">
        <v>20.0</v>
      </c>
      <c r="U1" s="173">
        <v>21.0</v>
      </c>
      <c r="V1" s="173">
        <v>22.0</v>
      </c>
      <c r="W1" s="173">
        <v>23.0</v>
      </c>
      <c r="X1" s="173">
        <v>24.0</v>
      </c>
      <c r="Y1" s="173">
        <v>25.0</v>
      </c>
      <c r="Z1" s="173">
        <v>26.0</v>
      </c>
      <c r="AA1" s="173">
        <v>27.0</v>
      </c>
      <c r="AB1" s="173">
        <v>28.0</v>
      </c>
      <c r="AC1" s="173">
        <v>29.0</v>
      </c>
    </row>
    <row r="2">
      <c r="A2" s="173" t="s">
        <v>81</v>
      </c>
      <c r="B2" s="173" t="s">
        <v>82</v>
      </c>
      <c r="C2" s="174" t="s">
        <v>83</v>
      </c>
      <c r="D2" s="174" t="s">
        <v>84</v>
      </c>
      <c r="E2" s="174" t="s">
        <v>85</v>
      </c>
      <c r="F2" s="174" t="s">
        <v>86</v>
      </c>
      <c r="G2" s="174" t="s">
        <v>87</v>
      </c>
      <c r="H2" s="174" t="s">
        <v>88</v>
      </c>
      <c r="I2" s="174" t="s">
        <v>89</v>
      </c>
      <c r="J2" s="174" t="s">
        <v>90</v>
      </c>
      <c r="K2" s="174" t="s">
        <v>91</v>
      </c>
      <c r="L2" s="174" t="s">
        <v>92</v>
      </c>
      <c r="M2" s="174" t="s">
        <v>93</v>
      </c>
      <c r="N2" s="174" t="s">
        <v>94</v>
      </c>
      <c r="O2" s="174" t="s">
        <v>95</v>
      </c>
      <c r="P2" s="174" t="s">
        <v>96</v>
      </c>
      <c r="Q2" s="174" t="s">
        <v>97</v>
      </c>
      <c r="R2" s="174" t="s">
        <v>98</v>
      </c>
      <c r="S2" s="174" t="s">
        <v>99</v>
      </c>
      <c r="T2" s="174" t="s">
        <v>100</v>
      </c>
      <c r="U2" s="174" t="s">
        <v>101</v>
      </c>
      <c r="V2" s="174" t="s">
        <v>102</v>
      </c>
      <c r="W2" s="174" t="s">
        <v>103</v>
      </c>
      <c r="X2" s="174" t="s">
        <v>104</v>
      </c>
      <c r="Y2" s="174" t="s">
        <v>105</v>
      </c>
      <c r="Z2" s="174" t="s">
        <v>106</v>
      </c>
      <c r="AA2" s="174" t="s">
        <v>107</v>
      </c>
      <c r="AB2" s="174" t="s">
        <v>108</v>
      </c>
      <c r="AC2" s="173" t="s">
        <v>2</v>
      </c>
    </row>
    <row r="3">
      <c r="A3" s="175" t="str">
        <f t="shared" ref="A3:A284" si="1">S3&amp;B3</f>
        <v>01</v>
      </c>
      <c r="B3" s="176">
        <f t="shared" ref="B3:B284" si="2">COUNTIF($S$3:S3,S3)</f>
        <v>1</v>
      </c>
      <c r="C3" s="175">
        <f>IFERROR(__xludf.DUMMYFUNCTION("SORT(IMPORTXML( 'Current Round'!C21,  ""/*/*""),8,TRUE)"),37091.0)</f>
        <v>37091</v>
      </c>
      <c r="D3" s="177">
        <f>IFERROR(__xludf.DUMMYFUNCTION("""COMPUTED_VALUE"""),12.0)</f>
        <v>12</v>
      </c>
      <c r="E3" s="177">
        <f>IFERROR(__xludf.DUMMYFUNCTION("""COMPUTED_VALUE"""),14.0)</f>
        <v>14</v>
      </c>
      <c r="F3" s="177">
        <f>IFERROR(__xludf.DUMMYFUNCTION("""COMPUTED_VALUE"""),96.0)</f>
        <v>96</v>
      </c>
      <c r="G3" s="177" t="str">
        <f>IFERROR(__xludf.DUMMYFUNCTION("""COMPUTED_VALUE"""),"Hawthorn")</f>
        <v>Hawthorn</v>
      </c>
      <c r="H3" s="177">
        <f>IFERROR(__xludf.DUMMYFUNCTION("""COMPUTED_VALUE"""),10.0)</f>
        <v>10</v>
      </c>
      <c r="I3" s="177">
        <f>IFERROR(__xludf.DUMMYFUNCTION("""COMPUTED_VALUE"""),100.0)</f>
        <v>100</v>
      </c>
      <c r="J3" s="178">
        <f>IFERROR(__xludf.DUMMYFUNCTION("""COMPUTED_VALUE"""),45723.819444444445)</f>
        <v>45723.81944</v>
      </c>
      <c r="K3" s="177">
        <f>IFERROR(__xludf.DUMMYFUNCTION("""COMPUTED_VALUE"""),10.0)</f>
        <v>10</v>
      </c>
      <c r="L3" s="177">
        <f>IFERROR(__xludf.DUMMYFUNCTION("""COMPUTED_VALUE"""),11.0)</f>
        <v>11</v>
      </c>
      <c r="M3" s="177">
        <f>IFERROR(__xludf.DUMMYFUNCTION("""COMPUTED_VALUE"""),76.0)</f>
        <v>76</v>
      </c>
      <c r="N3" s="177" t="str">
        <f>IFERROR(__xludf.DUMMYFUNCTION("""COMPUTED_VALUE"""),"Sydney")</f>
        <v>Sydney</v>
      </c>
      <c r="O3" s="177">
        <f>IFERROR(__xludf.DUMMYFUNCTION("""COMPUTED_VALUE"""),16.0)</f>
        <v>16</v>
      </c>
      <c r="P3" s="177">
        <f>IFERROR(__xludf.DUMMYFUNCTION("""COMPUTED_VALUE"""),0.0)</f>
        <v>0</v>
      </c>
      <c r="Q3" s="177">
        <f>IFERROR(__xludf.DUMMYFUNCTION("""COMPUTED_VALUE"""),0.0)</f>
        <v>0</v>
      </c>
      <c r="R3" s="178">
        <f>IFERROR(__xludf.DUMMYFUNCTION("""COMPUTED_VALUE"""),45723.819444444445)</f>
        <v>45723.81944</v>
      </c>
      <c r="S3" s="177">
        <f>IFERROR(__xludf.DUMMYFUNCTION("""COMPUTED_VALUE"""),0.0)</f>
        <v>0</v>
      </c>
      <c r="T3" s="177" t="str">
        <f>IFERROR(__xludf.DUMMYFUNCTION("""COMPUTED_VALUE"""),"Opening Round")</f>
        <v>Opening Round</v>
      </c>
      <c r="U3" s="177" t="str">
        <f>IFERROR(__xludf.DUMMYFUNCTION("""COMPUTED_VALUE"""),"Full Time")</f>
        <v>Full Time</v>
      </c>
      <c r="V3" s="177" t="str">
        <f>IFERROR(__xludf.DUMMYFUNCTION("""COMPUTED_VALUE"""),"+11:00")</f>
        <v>+11:00</v>
      </c>
      <c r="W3" s="177">
        <f>IFERROR(__xludf.DUMMYFUNCTION("""COMPUTED_VALUE"""),1.7413368E9)</f>
        <v>1741336800</v>
      </c>
      <c r="X3" s="178">
        <f>IFERROR(__xludf.DUMMYFUNCTION("""COMPUTED_VALUE"""),45723.93305555556)</f>
        <v>45723.93306</v>
      </c>
      <c r="Y3" s="177" t="str">
        <f>IFERROR(__xludf.DUMMYFUNCTION("""COMPUTED_VALUE"""),"S.C.G.")</f>
        <v>S.C.G.</v>
      </c>
      <c r="Z3" s="177" t="str">
        <f>IFERROR(__xludf.DUMMYFUNCTION("""COMPUTED_VALUE"""),"Hawthorn")</f>
        <v>Hawthorn</v>
      </c>
      <c r="AA3" s="177">
        <f>IFERROR(__xludf.DUMMYFUNCTION("""COMPUTED_VALUE"""),10.0)</f>
        <v>10</v>
      </c>
      <c r="AB3" s="177">
        <f>IFERROR(__xludf.DUMMYFUNCTION("""COMPUTED_VALUE"""),2025.0)</f>
        <v>2025</v>
      </c>
      <c r="AC3" s="177" t="str">
        <f t="shared" ref="AC3:AC218" si="3">TEXT(R3,"dddd")</f>
        <v>Friday</v>
      </c>
    </row>
    <row r="4">
      <c r="A4" s="175" t="str">
        <f t="shared" si="1"/>
        <v>02</v>
      </c>
      <c r="B4" s="176">
        <f t="shared" si="2"/>
        <v>2</v>
      </c>
      <c r="C4" s="104">
        <f>IFERROR(__xludf.DUMMYFUNCTION("""COMPUTED_VALUE"""),37093.0)</f>
        <v>37093</v>
      </c>
      <c r="D4" s="177">
        <f>IFERROR(__xludf.DUMMYFUNCTION("""COMPUTED_VALUE"""),16.0)</f>
        <v>16</v>
      </c>
      <c r="E4" s="177">
        <f>IFERROR(__xludf.DUMMYFUNCTION("""COMPUTED_VALUE"""),6.0)</f>
        <v>6</v>
      </c>
      <c r="F4" s="177">
        <f>IFERROR(__xludf.DUMMYFUNCTION("""COMPUTED_VALUE"""),52.0)</f>
        <v>52</v>
      </c>
      <c r="G4" s="177" t="str">
        <f>IFERROR(__xludf.DUMMYFUNCTION("""COMPUTED_VALUE"""),"Collingwood")</f>
        <v>Collingwood</v>
      </c>
      <c r="H4" s="177">
        <f>IFERROR(__xludf.DUMMYFUNCTION("""COMPUTED_VALUE"""),4.0)</f>
        <v>4</v>
      </c>
      <c r="I4" s="177">
        <f>IFERROR(__xludf.DUMMYFUNCTION("""COMPUTED_VALUE"""),100.0)</f>
        <v>100</v>
      </c>
      <c r="J4" s="178">
        <f>IFERROR(__xludf.DUMMYFUNCTION("""COMPUTED_VALUE"""),45725.63888888889)</f>
        <v>45725.63889</v>
      </c>
      <c r="K4" s="177">
        <f>IFERROR(__xludf.DUMMYFUNCTION("""COMPUTED_VALUE"""),14.0)</f>
        <v>14</v>
      </c>
      <c r="L4" s="177">
        <f>IFERROR(__xludf.DUMMYFUNCTION("""COMPUTED_VALUE"""),15.0)</f>
        <v>15</v>
      </c>
      <c r="M4" s="177">
        <f>IFERROR(__xludf.DUMMYFUNCTION("""COMPUTED_VALUE"""),104.0)</f>
        <v>104</v>
      </c>
      <c r="N4" s="177" t="str">
        <f>IFERROR(__xludf.DUMMYFUNCTION("""COMPUTED_VALUE"""),"Greater Western Sydney")</f>
        <v>Greater Western Sydney</v>
      </c>
      <c r="O4" s="177">
        <f>IFERROR(__xludf.DUMMYFUNCTION("""COMPUTED_VALUE"""),9.0)</f>
        <v>9</v>
      </c>
      <c r="P4" s="177">
        <f>IFERROR(__xludf.DUMMYFUNCTION("""COMPUTED_VALUE"""),0.0)</f>
        <v>0</v>
      </c>
      <c r="Q4" s="177">
        <f>IFERROR(__xludf.DUMMYFUNCTION("""COMPUTED_VALUE"""),0.0)</f>
        <v>0</v>
      </c>
      <c r="R4" s="178">
        <f>IFERROR(__xludf.DUMMYFUNCTION("""COMPUTED_VALUE"""),45725.63888888889)</f>
        <v>45725.63889</v>
      </c>
      <c r="S4" s="177">
        <f>IFERROR(__xludf.DUMMYFUNCTION("""COMPUTED_VALUE"""),0.0)</f>
        <v>0</v>
      </c>
      <c r="T4" s="177" t="str">
        <f>IFERROR(__xludf.DUMMYFUNCTION("""COMPUTED_VALUE"""),"Opening Round")</f>
        <v>Opening Round</v>
      </c>
      <c r="U4" s="177" t="str">
        <f>IFERROR(__xludf.DUMMYFUNCTION("""COMPUTED_VALUE"""),"Full Time")</f>
        <v>Full Time</v>
      </c>
      <c r="V4" s="177" t="str">
        <f>IFERROR(__xludf.DUMMYFUNCTION("""COMPUTED_VALUE"""),"+11:00")</f>
        <v>+11:00</v>
      </c>
      <c r="W4" s="177">
        <f>IFERROR(__xludf.DUMMYFUNCTION("""COMPUTED_VALUE"""),1.741494E9)</f>
        <v>1741494000</v>
      </c>
      <c r="X4" s="178">
        <f>IFERROR(__xludf.DUMMYFUNCTION("""COMPUTED_VALUE"""),45725.75634259259)</f>
        <v>45725.75634</v>
      </c>
      <c r="Y4" s="177" t="str">
        <f>IFERROR(__xludf.DUMMYFUNCTION("""COMPUTED_VALUE"""),"Sydney Showground")</f>
        <v>Sydney Showground</v>
      </c>
      <c r="Z4" s="177" t="str">
        <f>IFERROR(__xludf.DUMMYFUNCTION("""COMPUTED_VALUE"""),"Greater Western Sydney")</f>
        <v>Greater Western Sydney</v>
      </c>
      <c r="AA4" s="177">
        <f>IFERROR(__xludf.DUMMYFUNCTION("""COMPUTED_VALUE"""),9.0)</f>
        <v>9</v>
      </c>
      <c r="AB4" s="177">
        <f>IFERROR(__xludf.DUMMYFUNCTION("""COMPUTED_VALUE"""),2025.0)</f>
        <v>2025</v>
      </c>
      <c r="AC4" s="177" t="str">
        <f t="shared" si="3"/>
        <v>Sunday</v>
      </c>
    </row>
    <row r="5">
      <c r="A5" s="175" t="str">
        <f t="shared" si="1"/>
        <v>11</v>
      </c>
      <c r="B5" s="176">
        <f t="shared" si="2"/>
        <v>1</v>
      </c>
      <c r="C5" s="179">
        <f>IFERROR(__xludf.DUMMYFUNCTION("""COMPUTED_VALUE"""),37094.0)</f>
        <v>37094</v>
      </c>
      <c r="D5" s="177">
        <f>IFERROR(__xludf.DUMMYFUNCTION("""COMPUTED_VALUE"""),15.0)</f>
        <v>15</v>
      </c>
      <c r="E5" s="177">
        <f>IFERROR(__xludf.DUMMYFUNCTION("""COMPUTED_VALUE"""),9.0)</f>
        <v>9</v>
      </c>
      <c r="F5" s="177">
        <f>IFERROR(__xludf.DUMMYFUNCTION("""COMPUTED_VALUE"""),69.0)</f>
        <v>69</v>
      </c>
      <c r="G5" s="177" t="str">
        <f>IFERROR(__xludf.DUMMYFUNCTION("""COMPUTED_VALUE"""),"Carlton")</f>
        <v>Carlton</v>
      </c>
      <c r="H5" s="177">
        <f>IFERROR(__xludf.DUMMYFUNCTION("""COMPUTED_VALUE"""),3.0)</f>
        <v>3</v>
      </c>
      <c r="I5" s="177">
        <f>IFERROR(__xludf.DUMMYFUNCTION("""COMPUTED_VALUE"""),100.0)</f>
        <v>100</v>
      </c>
      <c r="J5" s="178">
        <f>IFERROR(__xludf.DUMMYFUNCTION("""COMPUTED_VALUE"""),45729.8125)</f>
        <v>45729.8125</v>
      </c>
      <c r="K5" s="177">
        <f>IFERROR(__xludf.DUMMYFUNCTION("""COMPUTED_VALUE"""),4.0)</f>
        <v>4</v>
      </c>
      <c r="L5" s="177">
        <f>IFERROR(__xludf.DUMMYFUNCTION("""COMPUTED_VALUE"""),13.0)</f>
        <v>13</v>
      </c>
      <c r="M5" s="177">
        <f>IFERROR(__xludf.DUMMYFUNCTION("""COMPUTED_VALUE"""),82.0)</f>
        <v>82</v>
      </c>
      <c r="N5" s="177" t="str">
        <f>IFERROR(__xludf.DUMMYFUNCTION("""COMPUTED_VALUE"""),"Richmond")</f>
        <v>Richmond</v>
      </c>
      <c r="O5" s="177">
        <f>IFERROR(__xludf.DUMMYFUNCTION("""COMPUTED_VALUE"""),14.0)</f>
        <v>14</v>
      </c>
      <c r="P5" s="177">
        <f>IFERROR(__xludf.DUMMYFUNCTION("""COMPUTED_VALUE"""),0.0)</f>
        <v>0</v>
      </c>
      <c r="Q5" s="177">
        <f>IFERROR(__xludf.DUMMYFUNCTION("""COMPUTED_VALUE"""),0.0)</f>
        <v>0</v>
      </c>
      <c r="R5" s="178">
        <f>IFERROR(__xludf.DUMMYFUNCTION("""COMPUTED_VALUE"""),45729.8125)</f>
        <v>45729.8125</v>
      </c>
      <c r="S5" s="177">
        <f>IFERROR(__xludf.DUMMYFUNCTION("""COMPUTED_VALUE"""),1.0)</f>
        <v>1</v>
      </c>
      <c r="T5" s="177" t="str">
        <f>IFERROR(__xludf.DUMMYFUNCTION("""COMPUTED_VALUE"""),"Round 1")</f>
        <v>Round 1</v>
      </c>
      <c r="U5" s="177" t="str">
        <f>IFERROR(__xludf.DUMMYFUNCTION("""COMPUTED_VALUE"""),"Full Time")</f>
        <v>Full Time</v>
      </c>
      <c r="V5" s="177" t="str">
        <f>IFERROR(__xludf.DUMMYFUNCTION("""COMPUTED_VALUE"""),"+11:00")</f>
        <v>+11:00</v>
      </c>
      <c r="W5" s="177">
        <f>IFERROR(__xludf.DUMMYFUNCTION("""COMPUTED_VALUE"""),1.7418546E9)</f>
        <v>1741854600</v>
      </c>
      <c r="X5" s="178">
        <f>IFERROR(__xludf.DUMMYFUNCTION("""COMPUTED_VALUE"""),45729.92952546296)</f>
        <v>45729.92953</v>
      </c>
      <c r="Y5" s="177" t="str">
        <f>IFERROR(__xludf.DUMMYFUNCTION("""COMPUTED_VALUE"""),"M.C.G.")</f>
        <v>M.C.G.</v>
      </c>
      <c r="Z5" s="177" t="str">
        <f>IFERROR(__xludf.DUMMYFUNCTION("""COMPUTED_VALUE"""),"Richmond")</f>
        <v>Richmond</v>
      </c>
      <c r="AA5" s="177">
        <f>IFERROR(__xludf.DUMMYFUNCTION("""COMPUTED_VALUE"""),14.0)</f>
        <v>14</v>
      </c>
      <c r="AB5" s="177">
        <f>IFERROR(__xludf.DUMMYFUNCTION("""COMPUTED_VALUE"""),2025.0)</f>
        <v>2025</v>
      </c>
      <c r="AC5" s="177" t="str">
        <f t="shared" si="3"/>
        <v>Thursday</v>
      </c>
    </row>
    <row r="6">
      <c r="A6" s="175" t="str">
        <f t="shared" si="1"/>
        <v>12</v>
      </c>
      <c r="B6" s="176">
        <f t="shared" si="2"/>
        <v>2</v>
      </c>
      <c r="C6" s="179">
        <f>IFERROR(__xludf.DUMMYFUNCTION("""COMPUTED_VALUE"""),37095.0)</f>
        <v>37095</v>
      </c>
      <c r="D6" s="177">
        <f>IFERROR(__xludf.DUMMYFUNCTION("""COMPUTED_VALUE"""),13.0)</f>
        <v>13</v>
      </c>
      <c r="E6" s="177">
        <f>IFERROR(__xludf.DUMMYFUNCTION("""COMPUTED_VALUE"""),12.0)</f>
        <v>12</v>
      </c>
      <c r="F6" s="177">
        <f>IFERROR(__xludf.DUMMYFUNCTION("""COMPUTED_VALUE"""),85.0)</f>
        <v>85</v>
      </c>
      <c r="G6" s="177" t="str">
        <f>IFERROR(__xludf.DUMMYFUNCTION("""COMPUTED_VALUE"""),"Essendon")</f>
        <v>Essendon</v>
      </c>
      <c r="H6" s="177">
        <f>IFERROR(__xludf.DUMMYFUNCTION("""COMPUTED_VALUE"""),5.0)</f>
        <v>5</v>
      </c>
      <c r="I6" s="177">
        <f>IFERROR(__xludf.DUMMYFUNCTION("""COMPUTED_VALUE"""),100.0)</f>
        <v>100</v>
      </c>
      <c r="J6" s="178">
        <f>IFERROR(__xludf.DUMMYFUNCTION("""COMPUTED_VALUE"""),45730.819444444445)</f>
        <v>45730.81944</v>
      </c>
      <c r="K6" s="177">
        <f>IFERROR(__xludf.DUMMYFUNCTION("""COMPUTED_VALUE"""),9.0)</f>
        <v>9</v>
      </c>
      <c r="L6" s="177">
        <f>IFERROR(__xludf.DUMMYFUNCTION("""COMPUTED_VALUE"""),17.0)</f>
        <v>17</v>
      </c>
      <c r="M6" s="177">
        <f>IFERROR(__xludf.DUMMYFUNCTION("""COMPUTED_VALUE"""),111.0)</f>
        <v>111</v>
      </c>
      <c r="N6" s="177" t="str">
        <f>IFERROR(__xludf.DUMMYFUNCTION("""COMPUTED_VALUE"""),"Hawthorn")</f>
        <v>Hawthorn</v>
      </c>
      <c r="O6" s="177">
        <f>IFERROR(__xludf.DUMMYFUNCTION("""COMPUTED_VALUE"""),10.0)</f>
        <v>10</v>
      </c>
      <c r="P6" s="177">
        <f>IFERROR(__xludf.DUMMYFUNCTION("""COMPUTED_VALUE"""),0.0)</f>
        <v>0</v>
      </c>
      <c r="Q6" s="177">
        <f>IFERROR(__xludf.DUMMYFUNCTION("""COMPUTED_VALUE"""),0.0)</f>
        <v>0</v>
      </c>
      <c r="R6" s="178">
        <f>IFERROR(__xludf.DUMMYFUNCTION("""COMPUTED_VALUE"""),45730.819444444445)</f>
        <v>45730.81944</v>
      </c>
      <c r="S6" s="177">
        <f>IFERROR(__xludf.DUMMYFUNCTION("""COMPUTED_VALUE"""),1.0)</f>
        <v>1</v>
      </c>
      <c r="T6" s="177" t="str">
        <f>IFERROR(__xludf.DUMMYFUNCTION("""COMPUTED_VALUE"""),"Round 1")</f>
        <v>Round 1</v>
      </c>
      <c r="U6" s="177" t="str">
        <f>IFERROR(__xludf.DUMMYFUNCTION("""COMPUTED_VALUE"""),"Full Time")</f>
        <v>Full Time</v>
      </c>
      <c r="V6" s="177" t="str">
        <f>IFERROR(__xludf.DUMMYFUNCTION("""COMPUTED_VALUE"""),"+11:00")</f>
        <v>+11:00</v>
      </c>
      <c r="W6" s="177">
        <f>IFERROR(__xludf.DUMMYFUNCTION("""COMPUTED_VALUE"""),1.7419416E9)</f>
        <v>1741941600</v>
      </c>
      <c r="X6" s="178">
        <f>IFERROR(__xludf.DUMMYFUNCTION("""COMPUTED_VALUE"""),45730.93408564815)</f>
        <v>45730.93409</v>
      </c>
      <c r="Y6" s="177" t="str">
        <f>IFERROR(__xludf.DUMMYFUNCTION("""COMPUTED_VALUE"""),"M.C.G.")</f>
        <v>M.C.G.</v>
      </c>
      <c r="Z6" s="177" t="str">
        <f>IFERROR(__xludf.DUMMYFUNCTION("""COMPUTED_VALUE"""),"Hawthorn")</f>
        <v>Hawthorn</v>
      </c>
      <c r="AA6" s="177">
        <f>IFERROR(__xludf.DUMMYFUNCTION("""COMPUTED_VALUE"""),10.0)</f>
        <v>10</v>
      </c>
      <c r="AB6" s="177">
        <f>IFERROR(__xludf.DUMMYFUNCTION("""COMPUTED_VALUE"""),2025.0)</f>
        <v>2025</v>
      </c>
      <c r="AC6" s="177" t="str">
        <f t="shared" si="3"/>
        <v>Friday</v>
      </c>
    </row>
    <row r="7">
      <c r="A7" s="175" t="str">
        <f t="shared" si="1"/>
        <v>13</v>
      </c>
      <c r="B7" s="176">
        <f t="shared" si="2"/>
        <v>3</v>
      </c>
      <c r="C7" s="179">
        <f>IFERROR(__xludf.DUMMYFUNCTION("""COMPUTED_VALUE"""),37096.0)</f>
        <v>37096</v>
      </c>
      <c r="D7" s="177">
        <f>IFERROR(__xludf.DUMMYFUNCTION("""COMPUTED_VALUE"""),9.0)</f>
        <v>9</v>
      </c>
      <c r="E7" s="177">
        <f>IFERROR(__xludf.DUMMYFUNCTION("""COMPUTED_VALUE"""),10.0)</f>
        <v>10</v>
      </c>
      <c r="F7" s="177">
        <f>IFERROR(__xludf.DUMMYFUNCTION("""COMPUTED_VALUE"""),69.0)</f>
        <v>69</v>
      </c>
      <c r="G7" s="177" t="str">
        <f>IFERROR(__xludf.DUMMYFUNCTION("""COMPUTED_VALUE"""),"Fremantle")</f>
        <v>Fremantle</v>
      </c>
      <c r="H7" s="177">
        <f>IFERROR(__xludf.DUMMYFUNCTION("""COMPUTED_VALUE"""),6.0)</f>
        <v>6</v>
      </c>
      <c r="I7" s="177">
        <f>IFERROR(__xludf.DUMMYFUNCTION("""COMPUTED_VALUE"""),100.0)</f>
        <v>100</v>
      </c>
      <c r="J7" s="178">
        <f>IFERROR(__xludf.DUMMYFUNCTION("""COMPUTED_VALUE"""),45731.555555555555)</f>
        <v>45731.55556</v>
      </c>
      <c r="K7" s="177">
        <f>IFERROR(__xludf.DUMMYFUNCTION("""COMPUTED_VALUE"""),9.0)</f>
        <v>9</v>
      </c>
      <c r="L7" s="177">
        <f>IFERROR(__xludf.DUMMYFUNCTION("""COMPUTED_VALUE"""),23.0)</f>
        <v>23</v>
      </c>
      <c r="M7" s="177">
        <f>IFERROR(__xludf.DUMMYFUNCTION("""COMPUTED_VALUE"""),147.0)</f>
        <v>147</v>
      </c>
      <c r="N7" s="177" t="str">
        <f>IFERROR(__xludf.DUMMYFUNCTION("""COMPUTED_VALUE"""),"Geelong")</f>
        <v>Geelong</v>
      </c>
      <c r="O7" s="177">
        <f>IFERROR(__xludf.DUMMYFUNCTION("""COMPUTED_VALUE"""),7.0)</f>
        <v>7</v>
      </c>
      <c r="P7" s="177">
        <f>IFERROR(__xludf.DUMMYFUNCTION("""COMPUTED_VALUE"""),0.0)</f>
        <v>0</v>
      </c>
      <c r="Q7" s="177">
        <f>IFERROR(__xludf.DUMMYFUNCTION("""COMPUTED_VALUE"""),0.0)</f>
        <v>0</v>
      </c>
      <c r="R7" s="178">
        <f>IFERROR(__xludf.DUMMYFUNCTION("""COMPUTED_VALUE"""),45731.555555555555)</f>
        <v>45731.55556</v>
      </c>
      <c r="S7" s="177">
        <f>IFERROR(__xludf.DUMMYFUNCTION("""COMPUTED_VALUE"""),1.0)</f>
        <v>1</v>
      </c>
      <c r="T7" s="177" t="str">
        <f>IFERROR(__xludf.DUMMYFUNCTION("""COMPUTED_VALUE"""),"Round 1")</f>
        <v>Round 1</v>
      </c>
      <c r="U7" s="177" t="str">
        <f>IFERROR(__xludf.DUMMYFUNCTION("""COMPUTED_VALUE"""),"Full Time")</f>
        <v>Full Time</v>
      </c>
      <c r="V7" s="177" t="str">
        <f>IFERROR(__xludf.DUMMYFUNCTION("""COMPUTED_VALUE"""),"+11:00")</f>
        <v>+11:00</v>
      </c>
      <c r="W7" s="177">
        <f>IFERROR(__xludf.DUMMYFUNCTION("""COMPUTED_VALUE"""),1.7420052E9)</f>
        <v>1742005200</v>
      </c>
      <c r="X7" s="178">
        <f>IFERROR(__xludf.DUMMYFUNCTION("""COMPUTED_VALUE"""),45731.675462962965)</f>
        <v>45731.67546</v>
      </c>
      <c r="Y7" s="177" t="str">
        <f>IFERROR(__xludf.DUMMYFUNCTION("""COMPUTED_VALUE"""),"Kardinia Park")</f>
        <v>Kardinia Park</v>
      </c>
      <c r="Z7" s="177" t="str">
        <f>IFERROR(__xludf.DUMMYFUNCTION("""COMPUTED_VALUE"""),"Geelong")</f>
        <v>Geelong</v>
      </c>
      <c r="AA7" s="177">
        <f>IFERROR(__xludf.DUMMYFUNCTION("""COMPUTED_VALUE"""),7.0)</f>
        <v>7</v>
      </c>
      <c r="AB7" s="177">
        <f>IFERROR(__xludf.DUMMYFUNCTION("""COMPUTED_VALUE"""),2025.0)</f>
        <v>2025</v>
      </c>
      <c r="AC7" s="177" t="str">
        <f t="shared" si="3"/>
        <v>Saturday</v>
      </c>
    </row>
    <row r="8">
      <c r="A8" s="175" t="str">
        <f t="shared" si="1"/>
        <v>14</v>
      </c>
      <c r="B8" s="176">
        <f t="shared" si="2"/>
        <v>4</v>
      </c>
      <c r="C8" s="104">
        <f>IFERROR(__xludf.DUMMYFUNCTION("""COMPUTED_VALUE"""),37097.0)</f>
        <v>37097</v>
      </c>
      <c r="D8" s="177">
        <f>IFERROR(__xludf.DUMMYFUNCTION("""COMPUTED_VALUE"""),14.0)</f>
        <v>14</v>
      </c>
      <c r="E8" s="177">
        <f>IFERROR(__xludf.DUMMYFUNCTION("""COMPUTED_VALUE"""),12.0)</f>
        <v>12</v>
      </c>
      <c r="F8" s="177">
        <f>IFERROR(__xludf.DUMMYFUNCTION("""COMPUTED_VALUE"""),86.0)</f>
        <v>86</v>
      </c>
      <c r="G8" s="177" t="str">
        <f>IFERROR(__xludf.DUMMYFUNCTION("""COMPUTED_VALUE"""),"Brisbane Lions")</f>
        <v>Brisbane Lions</v>
      </c>
      <c r="H8" s="177">
        <f>IFERROR(__xludf.DUMMYFUNCTION("""COMPUTED_VALUE"""),2.0)</f>
        <v>2</v>
      </c>
      <c r="I8" s="177">
        <f>IFERROR(__xludf.DUMMYFUNCTION("""COMPUTED_VALUE"""),100.0)</f>
        <v>100</v>
      </c>
      <c r="J8" s="178">
        <f>IFERROR(__xludf.DUMMYFUNCTION("""COMPUTED_VALUE"""),45731.677083333336)</f>
        <v>45731.67708</v>
      </c>
      <c r="K8" s="177">
        <f>IFERROR(__xludf.DUMMYFUNCTION("""COMPUTED_VALUE"""),10.0)</f>
        <v>10</v>
      </c>
      <c r="L8" s="177">
        <f>IFERROR(__xludf.DUMMYFUNCTION("""COMPUTED_VALUE"""),12.0)</f>
        <v>12</v>
      </c>
      <c r="M8" s="177">
        <f>IFERROR(__xludf.DUMMYFUNCTION("""COMPUTED_VALUE"""),82.0)</f>
        <v>82</v>
      </c>
      <c r="N8" s="177" t="str">
        <f>IFERROR(__xludf.DUMMYFUNCTION("""COMPUTED_VALUE"""),"Sydney")</f>
        <v>Sydney</v>
      </c>
      <c r="O8" s="177">
        <f>IFERROR(__xludf.DUMMYFUNCTION("""COMPUTED_VALUE"""),16.0)</f>
        <v>16</v>
      </c>
      <c r="P8" s="177">
        <f>IFERROR(__xludf.DUMMYFUNCTION("""COMPUTED_VALUE"""),0.0)</f>
        <v>0</v>
      </c>
      <c r="Q8" s="177">
        <f>IFERROR(__xludf.DUMMYFUNCTION("""COMPUTED_VALUE"""),0.0)</f>
        <v>0</v>
      </c>
      <c r="R8" s="178">
        <f>IFERROR(__xludf.DUMMYFUNCTION("""COMPUTED_VALUE"""),45731.677083333336)</f>
        <v>45731.67708</v>
      </c>
      <c r="S8" s="177">
        <f>IFERROR(__xludf.DUMMYFUNCTION("""COMPUTED_VALUE"""),1.0)</f>
        <v>1</v>
      </c>
      <c r="T8" s="177" t="str">
        <f>IFERROR(__xludf.DUMMYFUNCTION("""COMPUTED_VALUE"""),"Round 1")</f>
        <v>Round 1</v>
      </c>
      <c r="U8" s="177" t="str">
        <f>IFERROR(__xludf.DUMMYFUNCTION("""COMPUTED_VALUE"""),"Full Time")</f>
        <v>Full Time</v>
      </c>
      <c r="V8" s="177" t="str">
        <f>IFERROR(__xludf.DUMMYFUNCTION("""COMPUTED_VALUE"""),"+11:00")</f>
        <v>+11:00</v>
      </c>
      <c r="W8" s="177">
        <f>IFERROR(__xludf.DUMMYFUNCTION("""COMPUTED_VALUE"""),1.7420157E9)</f>
        <v>1742015700</v>
      </c>
      <c r="X8" s="178">
        <f>IFERROR(__xludf.DUMMYFUNCTION("""COMPUTED_VALUE"""),45731.7966087963)</f>
        <v>45731.79661</v>
      </c>
      <c r="Y8" s="177" t="str">
        <f>IFERROR(__xludf.DUMMYFUNCTION("""COMPUTED_VALUE"""),"S.C.G.")</f>
        <v>S.C.G.</v>
      </c>
      <c r="Z8" s="177" t="str">
        <f>IFERROR(__xludf.DUMMYFUNCTION("""COMPUTED_VALUE"""),"Brisbane Lions")</f>
        <v>Brisbane Lions</v>
      </c>
      <c r="AA8" s="177">
        <f>IFERROR(__xludf.DUMMYFUNCTION("""COMPUTED_VALUE"""),2.0)</f>
        <v>2</v>
      </c>
      <c r="AB8" s="177">
        <f>IFERROR(__xludf.DUMMYFUNCTION("""COMPUTED_VALUE"""),2025.0)</f>
        <v>2025</v>
      </c>
      <c r="AC8" s="177" t="str">
        <f t="shared" si="3"/>
        <v>Saturday</v>
      </c>
    </row>
    <row r="9">
      <c r="A9" s="175" t="str">
        <f t="shared" si="1"/>
        <v>15</v>
      </c>
      <c r="B9" s="176">
        <f t="shared" si="2"/>
        <v>5</v>
      </c>
      <c r="C9" s="104">
        <f>IFERROR(__xludf.DUMMYFUNCTION("""COMPUTED_VALUE"""),37099.0)</f>
        <v>37099</v>
      </c>
      <c r="D9" s="177">
        <f>IFERROR(__xludf.DUMMYFUNCTION("""COMPUTED_VALUE"""),9.0)</f>
        <v>9</v>
      </c>
      <c r="E9" s="177">
        <f>IFERROR(__xludf.DUMMYFUNCTION("""COMPUTED_VALUE"""),6.0)</f>
        <v>6</v>
      </c>
      <c r="F9" s="177">
        <f>IFERROR(__xludf.DUMMYFUNCTION("""COMPUTED_VALUE"""),45.0)</f>
        <v>45</v>
      </c>
      <c r="G9" s="177" t="str">
        <f>IFERROR(__xludf.DUMMYFUNCTION("""COMPUTED_VALUE"""),"Port Adelaide")</f>
        <v>Port Adelaide</v>
      </c>
      <c r="H9" s="177">
        <f>IFERROR(__xludf.DUMMYFUNCTION("""COMPUTED_VALUE"""),13.0)</f>
        <v>13</v>
      </c>
      <c r="I9" s="177">
        <f>IFERROR(__xludf.DUMMYFUNCTION("""COMPUTED_VALUE"""),100.0)</f>
        <v>100</v>
      </c>
      <c r="J9" s="178">
        <f>IFERROR(__xludf.DUMMYFUNCTION("""COMPUTED_VALUE"""),45731.81597222222)</f>
        <v>45731.81597</v>
      </c>
      <c r="K9" s="177">
        <f>IFERROR(__xludf.DUMMYFUNCTION("""COMPUTED_VALUE"""),10.0)</f>
        <v>10</v>
      </c>
      <c r="L9" s="177">
        <f>IFERROR(__xludf.DUMMYFUNCTION("""COMPUTED_VALUE"""),21.0)</f>
        <v>21</v>
      </c>
      <c r="M9" s="177">
        <f>IFERROR(__xludf.DUMMYFUNCTION("""COMPUTED_VALUE"""),136.0)</f>
        <v>136</v>
      </c>
      <c r="N9" s="177" t="str">
        <f>IFERROR(__xludf.DUMMYFUNCTION("""COMPUTED_VALUE"""),"Collingwood")</f>
        <v>Collingwood</v>
      </c>
      <c r="O9" s="177">
        <f>IFERROR(__xludf.DUMMYFUNCTION("""COMPUTED_VALUE"""),4.0)</f>
        <v>4</v>
      </c>
      <c r="P9" s="177">
        <f>IFERROR(__xludf.DUMMYFUNCTION("""COMPUTED_VALUE"""),0.0)</f>
        <v>0</v>
      </c>
      <c r="Q9" s="177">
        <f>IFERROR(__xludf.DUMMYFUNCTION("""COMPUTED_VALUE"""),0.0)</f>
        <v>0</v>
      </c>
      <c r="R9" s="178">
        <f>IFERROR(__xludf.DUMMYFUNCTION("""COMPUTED_VALUE"""),45731.81597222222)</f>
        <v>45731.81597</v>
      </c>
      <c r="S9" s="177">
        <f>IFERROR(__xludf.DUMMYFUNCTION("""COMPUTED_VALUE"""),1.0)</f>
        <v>1</v>
      </c>
      <c r="T9" s="177" t="str">
        <f>IFERROR(__xludf.DUMMYFUNCTION("""COMPUTED_VALUE"""),"Round 1")</f>
        <v>Round 1</v>
      </c>
      <c r="U9" s="177" t="str">
        <f>IFERROR(__xludf.DUMMYFUNCTION("""COMPUTED_VALUE"""),"Full Time")</f>
        <v>Full Time</v>
      </c>
      <c r="V9" s="177" t="str">
        <f>IFERROR(__xludf.DUMMYFUNCTION("""COMPUTED_VALUE"""),"+11:00")</f>
        <v>+11:00</v>
      </c>
      <c r="W9" s="177">
        <f>IFERROR(__xludf.DUMMYFUNCTION("""COMPUTED_VALUE"""),1.7420277E9)</f>
        <v>1742027700</v>
      </c>
      <c r="X9" s="178">
        <f>IFERROR(__xludf.DUMMYFUNCTION("""COMPUTED_VALUE"""),45731.930983796294)</f>
        <v>45731.93098</v>
      </c>
      <c r="Y9" s="177" t="str">
        <f>IFERROR(__xludf.DUMMYFUNCTION("""COMPUTED_VALUE"""),"M.C.G.")</f>
        <v>M.C.G.</v>
      </c>
      <c r="Z9" s="177" t="str">
        <f>IFERROR(__xludf.DUMMYFUNCTION("""COMPUTED_VALUE"""),"Collingwood")</f>
        <v>Collingwood</v>
      </c>
      <c r="AA9" s="177">
        <f>IFERROR(__xludf.DUMMYFUNCTION("""COMPUTED_VALUE"""),4.0)</f>
        <v>4</v>
      </c>
      <c r="AB9" s="177">
        <f>IFERROR(__xludf.DUMMYFUNCTION("""COMPUTED_VALUE"""),2025.0)</f>
        <v>2025</v>
      </c>
      <c r="AC9" s="177" t="str">
        <f t="shared" si="3"/>
        <v>Saturday</v>
      </c>
    </row>
    <row r="10">
      <c r="A10" s="175" t="str">
        <f t="shared" si="1"/>
        <v>16</v>
      </c>
      <c r="B10" s="176">
        <f t="shared" si="2"/>
        <v>6</v>
      </c>
      <c r="C10" s="104">
        <f>IFERROR(__xludf.DUMMYFUNCTION("""COMPUTED_VALUE"""),37098.0)</f>
        <v>37098</v>
      </c>
      <c r="D10" s="177">
        <f>IFERROR(__xludf.DUMMYFUNCTION("""COMPUTED_VALUE"""),13.0)</f>
        <v>13</v>
      </c>
      <c r="E10" s="177">
        <f>IFERROR(__xludf.DUMMYFUNCTION("""COMPUTED_VALUE"""),14.0)</f>
        <v>14</v>
      </c>
      <c r="F10" s="177">
        <f>IFERROR(__xludf.DUMMYFUNCTION("""COMPUTED_VALUE"""),97.0)</f>
        <v>97</v>
      </c>
      <c r="G10" s="177" t="str">
        <f>IFERROR(__xludf.DUMMYFUNCTION("""COMPUTED_VALUE"""),"North Melbourne")</f>
        <v>North Melbourne</v>
      </c>
      <c r="H10" s="177">
        <f>IFERROR(__xludf.DUMMYFUNCTION("""COMPUTED_VALUE"""),12.0)</f>
        <v>12</v>
      </c>
      <c r="I10" s="177">
        <f>IFERROR(__xludf.DUMMYFUNCTION("""COMPUTED_VALUE"""),100.0)</f>
        <v>100</v>
      </c>
      <c r="J10" s="178">
        <f>IFERROR(__xludf.DUMMYFUNCTION("""COMPUTED_VALUE"""),45731.81597222222)</f>
        <v>45731.81597</v>
      </c>
      <c r="K10" s="177">
        <f>IFERROR(__xludf.DUMMYFUNCTION("""COMPUTED_VALUE"""),11.0)</f>
        <v>11</v>
      </c>
      <c r="L10" s="177">
        <f>IFERROR(__xludf.DUMMYFUNCTION("""COMPUTED_VALUE"""),17.0)</f>
        <v>17</v>
      </c>
      <c r="M10" s="177">
        <f>IFERROR(__xludf.DUMMYFUNCTION("""COMPUTED_VALUE"""),113.0)</f>
        <v>113</v>
      </c>
      <c r="N10" s="177" t="str">
        <f>IFERROR(__xludf.DUMMYFUNCTION("""COMPUTED_VALUE"""),"Western Bulldogs")</f>
        <v>Western Bulldogs</v>
      </c>
      <c r="O10" s="177">
        <f>IFERROR(__xludf.DUMMYFUNCTION("""COMPUTED_VALUE"""),18.0)</f>
        <v>18</v>
      </c>
      <c r="P10" s="177">
        <f>IFERROR(__xludf.DUMMYFUNCTION("""COMPUTED_VALUE"""),0.0)</f>
        <v>0</v>
      </c>
      <c r="Q10" s="177">
        <f>IFERROR(__xludf.DUMMYFUNCTION("""COMPUTED_VALUE"""),0.0)</f>
        <v>0</v>
      </c>
      <c r="R10" s="178">
        <f>IFERROR(__xludf.DUMMYFUNCTION("""COMPUTED_VALUE"""),45731.81597222222)</f>
        <v>45731.81597</v>
      </c>
      <c r="S10" s="177">
        <f>IFERROR(__xludf.DUMMYFUNCTION("""COMPUTED_VALUE"""),1.0)</f>
        <v>1</v>
      </c>
      <c r="T10" s="177" t="str">
        <f>IFERROR(__xludf.DUMMYFUNCTION("""COMPUTED_VALUE"""),"Round 1")</f>
        <v>Round 1</v>
      </c>
      <c r="U10" s="177" t="str">
        <f>IFERROR(__xludf.DUMMYFUNCTION("""COMPUTED_VALUE"""),"Full Time")</f>
        <v>Full Time</v>
      </c>
      <c r="V10" s="177" t="str">
        <f>IFERROR(__xludf.DUMMYFUNCTION("""COMPUTED_VALUE"""),"+11:00")</f>
        <v>+11:00</v>
      </c>
      <c r="W10" s="177">
        <f>IFERROR(__xludf.DUMMYFUNCTION("""COMPUTED_VALUE"""),1.7420277E9)</f>
        <v>1742027700</v>
      </c>
      <c r="X10" s="178">
        <f>IFERROR(__xludf.DUMMYFUNCTION("""COMPUTED_VALUE"""),45731.93561342593)</f>
        <v>45731.93561</v>
      </c>
      <c r="Y10" s="177" t="str">
        <f>IFERROR(__xludf.DUMMYFUNCTION("""COMPUTED_VALUE"""),"Docklands")</f>
        <v>Docklands</v>
      </c>
      <c r="Z10" s="177" t="str">
        <f>IFERROR(__xludf.DUMMYFUNCTION("""COMPUTED_VALUE"""),"Western Bulldogs")</f>
        <v>Western Bulldogs</v>
      </c>
      <c r="AA10" s="177">
        <f>IFERROR(__xludf.DUMMYFUNCTION("""COMPUTED_VALUE"""),18.0)</f>
        <v>18</v>
      </c>
      <c r="AB10" s="177">
        <f>IFERROR(__xludf.DUMMYFUNCTION("""COMPUTED_VALUE"""),2025.0)</f>
        <v>2025</v>
      </c>
      <c r="AC10" s="177" t="str">
        <f t="shared" si="3"/>
        <v>Saturday</v>
      </c>
    </row>
    <row r="11">
      <c r="A11" s="175" t="str">
        <f t="shared" si="1"/>
        <v>17</v>
      </c>
      <c r="B11" s="176">
        <f t="shared" si="2"/>
        <v>7</v>
      </c>
      <c r="C11" s="104">
        <f>IFERROR(__xludf.DUMMYFUNCTION("""COMPUTED_VALUE"""),37100.0)</f>
        <v>37100</v>
      </c>
      <c r="D11" s="177">
        <f>IFERROR(__xludf.DUMMYFUNCTION("""COMPUTED_VALUE"""),12.0)</f>
        <v>12</v>
      </c>
      <c r="E11" s="177">
        <f>IFERROR(__xludf.DUMMYFUNCTION("""COMPUTED_VALUE"""),10.0)</f>
        <v>10</v>
      </c>
      <c r="F11" s="177">
        <f>IFERROR(__xludf.DUMMYFUNCTION("""COMPUTED_VALUE"""),72.0)</f>
        <v>72</v>
      </c>
      <c r="G11" s="177" t="str">
        <f>IFERROR(__xludf.DUMMYFUNCTION("""COMPUTED_VALUE"""),"St Kilda")</f>
        <v>St Kilda</v>
      </c>
      <c r="H11" s="177">
        <f>IFERROR(__xludf.DUMMYFUNCTION("""COMPUTED_VALUE"""),15.0)</f>
        <v>15</v>
      </c>
      <c r="I11" s="177">
        <f>IFERROR(__xludf.DUMMYFUNCTION("""COMPUTED_VALUE"""),100.0)</f>
        <v>100</v>
      </c>
      <c r="J11" s="178">
        <f>IFERROR(__xludf.DUMMYFUNCTION("""COMPUTED_VALUE"""),45732.524305555555)</f>
        <v>45732.52431</v>
      </c>
      <c r="K11" s="177">
        <f>IFERROR(__xludf.DUMMYFUNCTION("""COMPUTED_VALUE"""),9.0)</f>
        <v>9</v>
      </c>
      <c r="L11" s="177">
        <f>IFERROR(__xludf.DUMMYFUNCTION("""COMPUTED_VALUE"""),21.0)</f>
        <v>21</v>
      </c>
      <c r="M11" s="177">
        <f>IFERROR(__xludf.DUMMYFUNCTION("""COMPUTED_VALUE"""),135.0)</f>
        <v>135</v>
      </c>
      <c r="N11" s="177" t="str">
        <f>IFERROR(__xludf.DUMMYFUNCTION("""COMPUTED_VALUE"""),"Adelaide")</f>
        <v>Adelaide</v>
      </c>
      <c r="O11" s="177">
        <f>IFERROR(__xludf.DUMMYFUNCTION("""COMPUTED_VALUE"""),1.0)</f>
        <v>1</v>
      </c>
      <c r="P11" s="177">
        <f>IFERROR(__xludf.DUMMYFUNCTION("""COMPUTED_VALUE"""),0.0)</f>
        <v>0</v>
      </c>
      <c r="Q11" s="177">
        <f>IFERROR(__xludf.DUMMYFUNCTION("""COMPUTED_VALUE"""),0.0)</f>
        <v>0</v>
      </c>
      <c r="R11" s="178">
        <f>IFERROR(__xludf.DUMMYFUNCTION("""COMPUTED_VALUE"""),45732.50347222222)</f>
        <v>45732.50347</v>
      </c>
      <c r="S11" s="177">
        <f>IFERROR(__xludf.DUMMYFUNCTION("""COMPUTED_VALUE"""),1.0)</f>
        <v>1</v>
      </c>
      <c r="T11" s="177" t="str">
        <f>IFERROR(__xludf.DUMMYFUNCTION("""COMPUTED_VALUE"""),"Round 1")</f>
        <v>Round 1</v>
      </c>
      <c r="U11" s="177" t="str">
        <f>IFERROR(__xludf.DUMMYFUNCTION("""COMPUTED_VALUE"""),"Full Time")</f>
        <v>Full Time</v>
      </c>
      <c r="V11" s="177" t="str">
        <f>IFERROR(__xludf.DUMMYFUNCTION("""COMPUTED_VALUE"""),"+11:00")</f>
        <v>+11:00</v>
      </c>
      <c r="W11" s="177">
        <f>IFERROR(__xludf.DUMMYFUNCTION("""COMPUTED_VALUE"""),1.7420889E9)</f>
        <v>1742088900</v>
      </c>
      <c r="X11" s="178">
        <f>IFERROR(__xludf.DUMMYFUNCTION("""COMPUTED_VALUE"""),45732.63873842593)</f>
        <v>45732.63874</v>
      </c>
      <c r="Y11" s="177" t="str">
        <f>IFERROR(__xludf.DUMMYFUNCTION("""COMPUTED_VALUE"""),"Adelaide Oval")</f>
        <v>Adelaide Oval</v>
      </c>
      <c r="Z11" s="177" t="str">
        <f>IFERROR(__xludf.DUMMYFUNCTION("""COMPUTED_VALUE"""),"Adelaide")</f>
        <v>Adelaide</v>
      </c>
      <c r="AA11" s="177">
        <f>IFERROR(__xludf.DUMMYFUNCTION("""COMPUTED_VALUE"""),1.0)</f>
        <v>1</v>
      </c>
      <c r="AB11" s="177">
        <f>IFERROR(__xludf.DUMMYFUNCTION("""COMPUTED_VALUE"""),2025.0)</f>
        <v>2025</v>
      </c>
      <c r="AC11" s="177" t="str">
        <f t="shared" si="3"/>
        <v>Sunday</v>
      </c>
    </row>
    <row r="12">
      <c r="A12" s="175" t="str">
        <f t="shared" si="1"/>
        <v>18</v>
      </c>
      <c r="B12" s="176">
        <f t="shared" si="2"/>
        <v>8</v>
      </c>
      <c r="C12" s="177">
        <f>IFERROR(__xludf.DUMMYFUNCTION("""COMPUTED_VALUE"""),37101.0)</f>
        <v>37101</v>
      </c>
      <c r="D12" s="177">
        <f>IFERROR(__xludf.DUMMYFUNCTION("""COMPUTED_VALUE"""),11.0)</f>
        <v>11</v>
      </c>
      <c r="E12" s="177">
        <f>IFERROR(__xludf.DUMMYFUNCTION("""COMPUTED_VALUE"""),11.0)</f>
        <v>11</v>
      </c>
      <c r="F12" s="177">
        <f>IFERROR(__xludf.DUMMYFUNCTION("""COMPUTED_VALUE"""),77.0)</f>
        <v>77</v>
      </c>
      <c r="G12" s="177" t="str">
        <f>IFERROR(__xludf.DUMMYFUNCTION("""COMPUTED_VALUE"""),"Greater Western Sydney")</f>
        <v>Greater Western Sydney</v>
      </c>
      <c r="H12" s="177">
        <f>IFERROR(__xludf.DUMMYFUNCTION("""COMPUTED_VALUE"""),9.0)</f>
        <v>9</v>
      </c>
      <c r="I12" s="177">
        <f>IFERROR(__xludf.DUMMYFUNCTION("""COMPUTED_VALUE"""),100.0)</f>
        <v>100</v>
      </c>
      <c r="J12" s="178">
        <f>IFERROR(__xludf.DUMMYFUNCTION("""COMPUTED_VALUE"""),45732.63888888889)</f>
        <v>45732.63889</v>
      </c>
      <c r="K12" s="177">
        <f>IFERROR(__xludf.DUMMYFUNCTION("""COMPUTED_VALUE"""),8.0)</f>
        <v>8</v>
      </c>
      <c r="L12" s="177">
        <f>IFERROR(__xludf.DUMMYFUNCTION("""COMPUTED_VALUE"""),11.0)</f>
        <v>11</v>
      </c>
      <c r="M12" s="177">
        <f>IFERROR(__xludf.DUMMYFUNCTION("""COMPUTED_VALUE"""),74.0)</f>
        <v>74</v>
      </c>
      <c r="N12" s="177" t="str">
        <f>IFERROR(__xludf.DUMMYFUNCTION("""COMPUTED_VALUE"""),"Melbourne")</f>
        <v>Melbourne</v>
      </c>
      <c r="O12" s="177">
        <f>IFERROR(__xludf.DUMMYFUNCTION("""COMPUTED_VALUE"""),11.0)</f>
        <v>11</v>
      </c>
      <c r="P12" s="177">
        <f>IFERROR(__xludf.DUMMYFUNCTION("""COMPUTED_VALUE"""),0.0)</f>
        <v>0</v>
      </c>
      <c r="Q12" s="177">
        <f>IFERROR(__xludf.DUMMYFUNCTION("""COMPUTED_VALUE"""),0.0)</f>
        <v>0</v>
      </c>
      <c r="R12" s="178">
        <f>IFERROR(__xludf.DUMMYFUNCTION("""COMPUTED_VALUE"""),45732.63888888889)</f>
        <v>45732.63889</v>
      </c>
      <c r="S12" s="177">
        <f>IFERROR(__xludf.DUMMYFUNCTION("""COMPUTED_VALUE"""),1.0)</f>
        <v>1</v>
      </c>
      <c r="T12" s="177" t="str">
        <f>IFERROR(__xludf.DUMMYFUNCTION("""COMPUTED_VALUE"""),"Round 1")</f>
        <v>Round 1</v>
      </c>
      <c r="U12" s="177" t="str">
        <f>IFERROR(__xludf.DUMMYFUNCTION("""COMPUTED_VALUE"""),"Full Time")</f>
        <v>Full Time</v>
      </c>
      <c r="V12" s="177" t="str">
        <f>IFERROR(__xludf.DUMMYFUNCTION("""COMPUTED_VALUE"""),"+11:00")</f>
        <v>+11:00</v>
      </c>
      <c r="W12" s="177">
        <f>IFERROR(__xludf.DUMMYFUNCTION("""COMPUTED_VALUE"""),1.7420988E9)</f>
        <v>1742098800</v>
      </c>
      <c r="X12" s="178">
        <f>IFERROR(__xludf.DUMMYFUNCTION("""COMPUTED_VALUE"""),45732.754745370374)</f>
        <v>45732.75475</v>
      </c>
      <c r="Y12" s="177" t="str">
        <f>IFERROR(__xludf.DUMMYFUNCTION("""COMPUTED_VALUE"""),"M.C.G.")</f>
        <v>M.C.G.</v>
      </c>
      <c r="Z12" s="177" t="str">
        <f>IFERROR(__xludf.DUMMYFUNCTION("""COMPUTED_VALUE"""),"Greater Western Sydney")</f>
        <v>Greater Western Sydney</v>
      </c>
      <c r="AA12" s="177">
        <f>IFERROR(__xludf.DUMMYFUNCTION("""COMPUTED_VALUE"""),9.0)</f>
        <v>9</v>
      </c>
      <c r="AB12" s="177">
        <f>IFERROR(__xludf.DUMMYFUNCTION("""COMPUTED_VALUE"""),2025.0)</f>
        <v>2025</v>
      </c>
      <c r="AC12" s="177" t="str">
        <f t="shared" si="3"/>
        <v>Sunday</v>
      </c>
    </row>
    <row r="13">
      <c r="A13" s="175" t="str">
        <f t="shared" si="1"/>
        <v>19</v>
      </c>
      <c r="B13" s="176">
        <f t="shared" si="2"/>
        <v>9</v>
      </c>
      <c r="C13" s="177">
        <f>IFERROR(__xludf.DUMMYFUNCTION("""COMPUTED_VALUE"""),37102.0)</f>
        <v>37102</v>
      </c>
      <c r="D13" s="177">
        <f>IFERROR(__xludf.DUMMYFUNCTION("""COMPUTED_VALUE"""),16.0)</f>
        <v>16</v>
      </c>
      <c r="E13" s="177">
        <f>IFERROR(__xludf.DUMMYFUNCTION("""COMPUTED_VALUE"""),20.0)</f>
        <v>20</v>
      </c>
      <c r="F13" s="177">
        <f>IFERROR(__xludf.DUMMYFUNCTION("""COMPUTED_VALUE"""),136.0)</f>
        <v>136</v>
      </c>
      <c r="G13" s="177" t="str">
        <f>IFERROR(__xludf.DUMMYFUNCTION("""COMPUTED_VALUE"""),"Gold Coast")</f>
        <v>Gold Coast</v>
      </c>
      <c r="H13" s="177">
        <f>IFERROR(__xludf.DUMMYFUNCTION("""COMPUTED_VALUE"""),8.0)</f>
        <v>8</v>
      </c>
      <c r="I13" s="177">
        <f>IFERROR(__xludf.DUMMYFUNCTION("""COMPUTED_VALUE"""),100.0)</f>
        <v>100</v>
      </c>
      <c r="J13" s="178">
        <f>IFERROR(__xludf.DUMMYFUNCTION("""COMPUTED_VALUE"""),45732.756944444445)</f>
        <v>45732.75694</v>
      </c>
      <c r="K13" s="177">
        <f>IFERROR(__xludf.DUMMYFUNCTION("""COMPUTED_VALUE"""),7.0)</f>
        <v>7</v>
      </c>
      <c r="L13" s="177">
        <f>IFERROR(__xludf.DUMMYFUNCTION("""COMPUTED_VALUE"""),7.0)</f>
        <v>7</v>
      </c>
      <c r="M13" s="177">
        <f>IFERROR(__xludf.DUMMYFUNCTION("""COMPUTED_VALUE"""),49.0)</f>
        <v>49</v>
      </c>
      <c r="N13" s="177" t="str">
        <f>IFERROR(__xludf.DUMMYFUNCTION("""COMPUTED_VALUE"""),"West Coast")</f>
        <v>West Coast</v>
      </c>
      <c r="O13" s="177">
        <f>IFERROR(__xludf.DUMMYFUNCTION("""COMPUTED_VALUE"""),17.0)</f>
        <v>17</v>
      </c>
      <c r="P13" s="177">
        <f>IFERROR(__xludf.DUMMYFUNCTION("""COMPUTED_VALUE"""),0.0)</f>
        <v>0</v>
      </c>
      <c r="Q13" s="177">
        <f>IFERROR(__xludf.DUMMYFUNCTION("""COMPUTED_VALUE"""),0.0)</f>
        <v>0</v>
      </c>
      <c r="R13" s="178">
        <f>IFERROR(__xludf.DUMMYFUNCTION("""COMPUTED_VALUE"""),45732.631944444445)</f>
        <v>45732.63194</v>
      </c>
      <c r="S13" s="177">
        <f>IFERROR(__xludf.DUMMYFUNCTION("""COMPUTED_VALUE"""),1.0)</f>
        <v>1</v>
      </c>
      <c r="T13" s="177" t="str">
        <f>IFERROR(__xludf.DUMMYFUNCTION("""COMPUTED_VALUE"""),"Round 1")</f>
        <v>Round 1</v>
      </c>
      <c r="U13" s="177" t="str">
        <f>IFERROR(__xludf.DUMMYFUNCTION("""COMPUTED_VALUE"""),"Full Time")</f>
        <v>Full Time</v>
      </c>
      <c r="V13" s="177" t="str">
        <f>IFERROR(__xludf.DUMMYFUNCTION("""COMPUTED_VALUE"""),"+11:00")</f>
        <v>+11:00</v>
      </c>
      <c r="W13" s="177">
        <f>IFERROR(__xludf.DUMMYFUNCTION("""COMPUTED_VALUE"""),1.742109E9)</f>
        <v>1742109000</v>
      </c>
      <c r="X13" s="178">
        <f>IFERROR(__xludf.DUMMYFUNCTION("""COMPUTED_VALUE"""),45732.871087962965)</f>
        <v>45732.87109</v>
      </c>
      <c r="Y13" s="177" t="str">
        <f>IFERROR(__xludf.DUMMYFUNCTION("""COMPUTED_VALUE"""),"Perth Stadium")</f>
        <v>Perth Stadium</v>
      </c>
      <c r="Z13" s="177" t="str">
        <f>IFERROR(__xludf.DUMMYFUNCTION("""COMPUTED_VALUE"""),"Gold Coast")</f>
        <v>Gold Coast</v>
      </c>
      <c r="AA13" s="177">
        <f>IFERROR(__xludf.DUMMYFUNCTION("""COMPUTED_VALUE"""),8.0)</f>
        <v>8</v>
      </c>
      <c r="AB13" s="177">
        <f>IFERROR(__xludf.DUMMYFUNCTION("""COMPUTED_VALUE"""),2025.0)</f>
        <v>2025</v>
      </c>
      <c r="AC13" s="177" t="str">
        <f t="shared" si="3"/>
        <v>Sunday</v>
      </c>
    </row>
    <row r="14">
      <c r="A14" s="175" t="str">
        <f t="shared" si="1"/>
        <v>21</v>
      </c>
      <c r="B14" s="176">
        <f t="shared" si="2"/>
        <v>1</v>
      </c>
      <c r="C14" s="177">
        <f>IFERROR(__xludf.DUMMYFUNCTION("""COMPUTED_VALUE"""),37103.0)</f>
        <v>37103</v>
      </c>
      <c r="D14" s="177">
        <f>IFERROR(__xludf.DUMMYFUNCTION("""COMPUTED_VALUE"""),8.0)</f>
        <v>8</v>
      </c>
      <c r="E14" s="177">
        <f>IFERROR(__xludf.DUMMYFUNCTION("""COMPUTED_VALUE"""),12.0)</f>
        <v>12</v>
      </c>
      <c r="F14" s="177">
        <f>IFERROR(__xludf.DUMMYFUNCTION("""COMPUTED_VALUE"""),80.0)</f>
        <v>80</v>
      </c>
      <c r="G14" s="177" t="str">
        <f>IFERROR(__xludf.DUMMYFUNCTION("""COMPUTED_VALUE"""),"Hawthorn")</f>
        <v>Hawthorn</v>
      </c>
      <c r="H14" s="177">
        <f>IFERROR(__xludf.DUMMYFUNCTION("""COMPUTED_VALUE"""),10.0)</f>
        <v>10</v>
      </c>
      <c r="I14" s="177">
        <f>IFERROR(__xludf.DUMMYFUNCTION("""COMPUTED_VALUE"""),100.0)</f>
        <v>100</v>
      </c>
      <c r="J14" s="178">
        <f>IFERROR(__xludf.DUMMYFUNCTION("""COMPUTED_VALUE"""),45736.8125)</f>
        <v>45736.8125</v>
      </c>
      <c r="K14" s="177">
        <f>IFERROR(__xludf.DUMMYFUNCTION("""COMPUTED_VALUE"""),12.0)</f>
        <v>12</v>
      </c>
      <c r="L14" s="177">
        <f>IFERROR(__xludf.DUMMYFUNCTION("""COMPUTED_VALUE"""),8.0)</f>
        <v>8</v>
      </c>
      <c r="M14" s="177">
        <f>IFERROR(__xludf.DUMMYFUNCTION("""COMPUTED_VALUE"""),60.0)</f>
        <v>60</v>
      </c>
      <c r="N14" s="177" t="str">
        <f>IFERROR(__xludf.DUMMYFUNCTION("""COMPUTED_VALUE"""),"Carlton")</f>
        <v>Carlton</v>
      </c>
      <c r="O14" s="177">
        <f>IFERROR(__xludf.DUMMYFUNCTION("""COMPUTED_VALUE"""),3.0)</f>
        <v>3</v>
      </c>
      <c r="P14" s="177">
        <f>IFERROR(__xludf.DUMMYFUNCTION("""COMPUTED_VALUE"""),0.0)</f>
        <v>0</v>
      </c>
      <c r="Q14" s="177">
        <f>IFERROR(__xludf.DUMMYFUNCTION("""COMPUTED_VALUE"""),0.0)</f>
        <v>0</v>
      </c>
      <c r="R14" s="178">
        <f>IFERROR(__xludf.DUMMYFUNCTION("""COMPUTED_VALUE"""),45736.8125)</f>
        <v>45736.8125</v>
      </c>
      <c r="S14" s="177">
        <f>IFERROR(__xludf.DUMMYFUNCTION("""COMPUTED_VALUE"""),2.0)</f>
        <v>2</v>
      </c>
      <c r="T14" s="177" t="str">
        <f>IFERROR(__xludf.DUMMYFUNCTION("""COMPUTED_VALUE"""),"Round 2")</f>
        <v>Round 2</v>
      </c>
      <c r="U14" s="177" t="str">
        <f>IFERROR(__xludf.DUMMYFUNCTION("""COMPUTED_VALUE"""),"Full Time")</f>
        <v>Full Time</v>
      </c>
      <c r="V14" s="177" t="str">
        <f>IFERROR(__xludf.DUMMYFUNCTION("""COMPUTED_VALUE"""),"+11:00")</f>
        <v>+11:00</v>
      </c>
      <c r="W14" s="177">
        <f>IFERROR(__xludf.DUMMYFUNCTION("""COMPUTED_VALUE"""),1.7424594E9)</f>
        <v>1742459400</v>
      </c>
      <c r="X14" s="178">
        <f>IFERROR(__xludf.DUMMYFUNCTION("""COMPUTED_VALUE"""),45736.92822916667)</f>
        <v>45736.92823</v>
      </c>
      <c r="Y14" s="177" t="str">
        <f>IFERROR(__xludf.DUMMYFUNCTION("""COMPUTED_VALUE"""),"M.C.G.")</f>
        <v>M.C.G.</v>
      </c>
      <c r="Z14" s="177" t="str">
        <f>IFERROR(__xludf.DUMMYFUNCTION("""COMPUTED_VALUE"""),"Hawthorn")</f>
        <v>Hawthorn</v>
      </c>
      <c r="AA14" s="177">
        <f>IFERROR(__xludf.DUMMYFUNCTION("""COMPUTED_VALUE"""),10.0)</f>
        <v>10</v>
      </c>
      <c r="AB14" s="177">
        <f>IFERROR(__xludf.DUMMYFUNCTION("""COMPUTED_VALUE"""),2025.0)</f>
        <v>2025</v>
      </c>
      <c r="AC14" s="177" t="str">
        <f t="shared" si="3"/>
        <v>Thursday</v>
      </c>
    </row>
    <row r="15">
      <c r="A15" s="175" t="str">
        <f t="shared" si="1"/>
        <v>22</v>
      </c>
      <c r="B15" s="176">
        <f t="shared" si="2"/>
        <v>2</v>
      </c>
      <c r="C15" s="177">
        <f>IFERROR(__xludf.DUMMYFUNCTION("""COMPUTED_VALUE"""),37104.0)</f>
        <v>37104</v>
      </c>
      <c r="D15" s="177">
        <f>IFERROR(__xludf.DUMMYFUNCTION("""COMPUTED_VALUE"""),16.0)</f>
        <v>16</v>
      </c>
      <c r="E15" s="177">
        <f>IFERROR(__xludf.DUMMYFUNCTION("""COMPUTED_VALUE"""),10.0)</f>
        <v>10</v>
      </c>
      <c r="F15" s="177">
        <f>IFERROR(__xludf.DUMMYFUNCTION("""COMPUTED_VALUE"""),76.0)</f>
        <v>76</v>
      </c>
      <c r="G15" s="177" t="str">
        <f>IFERROR(__xludf.DUMMYFUNCTION("""COMPUTED_VALUE"""),"Collingwood")</f>
        <v>Collingwood</v>
      </c>
      <c r="H15" s="177">
        <f>IFERROR(__xludf.DUMMYFUNCTION("""COMPUTED_VALUE"""),4.0)</f>
        <v>4</v>
      </c>
      <c r="I15" s="177">
        <f>IFERROR(__xludf.DUMMYFUNCTION("""COMPUTED_VALUE"""),100.0)</f>
        <v>100</v>
      </c>
      <c r="J15" s="178">
        <f>IFERROR(__xludf.DUMMYFUNCTION("""COMPUTED_VALUE"""),45737.819444444445)</f>
        <v>45737.81944</v>
      </c>
      <c r="K15" s="177">
        <f>IFERROR(__xludf.DUMMYFUNCTION("""COMPUTED_VALUE"""),10.0)</f>
        <v>10</v>
      </c>
      <c r="L15" s="177">
        <f>IFERROR(__xludf.DUMMYFUNCTION("""COMPUTED_VALUE"""),10.0)</f>
        <v>10</v>
      </c>
      <c r="M15" s="177">
        <f>IFERROR(__xludf.DUMMYFUNCTION("""COMPUTED_VALUE"""),70.0)</f>
        <v>70</v>
      </c>
      <c r="N15" s="177" t="str">
        <f>IFERROR(__xludf.DUMMYFUNCTION("""COMPUTED_VALUE"""),"Western Bulldogs")</f>
        <v>Western Bulldogs</v>
      </c>
      <c r="O15" s="177">
        <f>IFERROR(__xludf.DUMMYFUNCTION("""COMPUTED_VALUE"""),18.0)</f>
        <v>18</v>
      </c>
      <c r="P15" s="177">
        <f>IFERROR(__xludf.DUMMYFUNCTION("""COMPUTED_VALUE"""),0.0)</f>
        <v>0</v>
      </c>
      <c r="Q15" s="177">
        <f>IFERROR(__xludf.DUMMYFUNCTION("""COMPUTED_VALUE"""),0.0)</f>
        <v>0</v>
      </c>
      <c r="R15" s="178">
        <f>IFERROR(__xludf.DUMMYFUNCTION("""COMPUTED_VALUE"""),45737.819444444445)</f>
        <v>45737.81944</v>
      </c>
      <c r="S15" s="177">
        <f>IFERROR(__xludf.DUMMYFUNCTION("""COMPUTED_VALUE"""),2.0)</f>
        <v>2</v>
      </c>
      <c r="T15" s="177" t="str">
        <f>IFERROR(__xludf.DUMMYFUNCTION("""COMPUTED_VALUE"""),"Round 2")</f>
        <v>Round 2</v>
      </c>
      <c r="U15" s="177" t="str">
        <f>IFERROR(__xludf.DUMMYFUNCTION("""COMPUTED_VALUE"""),"Full Time")</f>
        <v>Full Time</v>
      </c>
      <c r="V15" s="177" t="str">
        <f>IFERROR(__xludf.DUMMYFUNCTION("""COMPUTED_VALUE"""),"+11:00")</f>
        <v>+11:00</v>
      </c>
      <c r="W15" s="177">
        <f>IFERROR(__xludf.DUMMYFUNCTION("""COMPUTED_VALUE"""),1.7425464E9)</f>
        <v>1742546400</v>
      </c>
      <c r="X15" s="178">
        <f>IFERROR(__xludf.DUMMYFUNCTION("""COMPUTED_VALUE"""),45737.928078703706)</f>
        <v>45737.92808</v>
      </c>
      <c r="Y15" s="177" t="str">
        <f>IFERROR(__xludf.DUMMYFUNCTION("""COMPUTED_VALUE"""),"M.C.G.")</f>
        <v>M.C.G.</v>
      </c>
      <c r="Z15" s="177" t="str">
        <f>IFERROR(__xludf.DUMMYFUNCTION("""COMPUTED_VALUE"""),"Collingwood")</f>
        <v>Collingwood</v>
      </c>
      <c r="AA15" s="177">
        <f>IFERROR(__xludf.DUMMYFUNCTION("""COMPUTED_VALUE"""),4.0)</f>
        <v>4</v>
      </c>
      <c r="AB15" s="177">
        <f>IFERROR(__xludf.DUMMYFUNCTION("""COMPUTED_VALUE"""),2025.0)</f>
        <v>2025</v>
      </c>
      <c r="AC15" s="177" t="str">
        <f t="shared" si="3"/>
        <v>Friday</v>
      </c>
    </row>
    <row r="16">
      <c r="A16" s="175" t="str">
        <f t="shared" si="1"/>
        <v>23</v>
      </c>
      <c r="B16" s="176">
        <f t="shared" si="2"/>
        <v>3</v>
      </c>
      <c r="C16" s="177">
        <f>IFERROR(__xludf.DUMMYFUNCTION("""COMPUTED_VALUE"""),37105.0)</f>
        <v>37105</v>
      </c>
      <c r="D16" s="177">
        <f>IFERROR(__xludf.DUMMYFUNCTION("""COMPUTED_VALUE"""),11.0)</f>
        <v>11</v>
      </c>
      <c r="E16" s="177">
        <f>IFERROR(__xludf.DUMMYFUNCTION("""COMPUTED_VALUE"""),25.0)</f>
        <v>25</v>
      </c>
      <c r="F16" s="177">
        <f>IFERROR(__xludf.DUMMYFUNCTION("""COMPUTED_VALUE"""),161.0)</f>
        <v>161</v>
      </c>
      <c r="G16" s="177" t="str">
        <f>IFERROR(__xludf.DUMMYFUNCTION("""COMPUTED_VALUE"""),"Adelaide")</f>
        <v>Adelaide</v>
      </c>
      <c r="H16" s="177">
        <f>IFERROR(__xludf.DUMMYFUNCTION("""COMPUTED_VALUE"""),1.0)</f>
        <v>1</v>
      </c>
      <c r="I16" s="177">
        <f>IFERROR(__xludf.DUMMYFUNCTION("""COMPUTED_VALUE"""),100.0)</f>
        <v>100</v>
      </c>
      <c r="J16" s="178">
        <f>IFERROR(__xludf.DUMMYFUNCTION("""COMPUTED_VALUE"""),45738.555555555555)</f>
        <v>45738.55556</v>
      </c>
      <c r="K16" s="177">
        <f>IFERROR(__xludf.DUMMYFUNCTION("""COMPUTED_VALUE"""),10.0)</f>
        <v>10</v>
      </c>
      <c r="L16" s="177">
        <f>IFERROR(__xludf.DUMMYFUNCTION("""COMPUTED_VALUE"""),15.0)</f>
        <v>15</v>
      </c>
      <c r="M16" s="177">
        <f>IFERROR(__xludf.DUMMYFUNCTION("""COMPUTED_VALUE"""),100.0)</f>
        <v>100</v>
      </c>
      <c r="N16" s="177" t="str">
        <f>IFERROR(__xludf.DUMMYFUNCTION("""COMPUTED_VALUE"""),"Essendon")</f>
        <v>Essendon</v>
      </c>
      <c r="O16" s="177">
        <f>IFERROR(__xludf.DUMMYFUNCTION("""COMPUTED_VALUE"""),5.0)</f>
        <v>5</v>
      </c>
      <c r="P16" s="177">
        <f>IFERROR(__xludf.DUMMYFUNCTION("""COMPUTED_VALUE"""),0.0)</f>
        <v>0</v>
      </c>
      <c r="Q16" s="177">
        <f>IFERROR(__xludf.DUMMYFUNCTION("""COMPUTED_VALUE"""),0.0)</f>
        <v>0</v>
      </c>
      <c r="R16" s="178">
        <f>IFERROR(__xludf.DUMMYFUNCTION("""COMPUTED_VALUE"""),45738.555555555555)</f>
        <v>45738.55556</v>
      </c>
      <c r="S16" s="177">
        <f>IFERROR(__xludf.DUMMYFUNCTION("""COMPUTED_VALUE"""),2.0)</f>
        <v>2</v>
      </c>
      <c r="T16" s="177" t="str">
        <f>IFERROR(__xludf.DUMMYFUNCTION("""COMPUTED_VALUE"""),"Round 2")</f>
        <v>Round 2</v>
      </c>
      <c r="U16" s="177" t="str">
        <f>IFERROR(__xludf.DUMMYFUNCTION("""COMPUTED_VALUE"""),"Full Time")</f>
        <v>Full Time</v>
      </c>
      <c r="V16" s="177" t="str">
        <f>IFERROR(__xludf.DUMMYFUNCTION("""COMPUTED_VALUE"""),"+11:00")</f>
        <v>+11:00</v>
      </c>
      <c r="W16" s="177">
        <f>IFERROR(__xludf.DUMMYFUNCTION("""COMPUTED_VALUE"""),1.74261E9)</f>
        <v>1742610000</v>
      </c>
      <c r="X16" s="178">
        <f>IFERROR(__xludf.DUMMYFUNCTION("""COMPUTED_VALUE"""),45738.6709837963)</f>
        <v>45738.67098</v>
      </c>
      <c r="Y16" s="177" t="str">
        <f>IFERROR(__xludf.DUMMYFUNCTION("""COMPUTED_VALUE"""),"M.C.G.")</f>
        <v>M.C.G.</v>
      </c>
      <c r="Z16" s="177" t="str">
        <f>IFERROR(__xludf.DUMMYFUNCTION("""COMPUTED_VALUE"""),"Adelaide")</f>
        <v>Adelaide</v>
      </c>
      <c r="AA16" s="177">
        <f>IFERROR(__xludf.DUMMYFUNCTION("""COMPUTED_VALUE"""),1.0)</f>
        <v>1</v>
      </c>
      <c r="AB16" s="177">
        <f>IFERROR(__xludf.DUMMYFUNCTION("""COMPUTED_VALUE"""),2025.0)</f>
        <v>2025</v>
      </c>
      <c r="AC16" s="177" t="str">
        <f t="shared" si="3"/>
        <v>Saturday</v>
      </c>
    </row>
    <row r="17">
      <c r="A17" s="175" t="str">
        <f t="shared" si="1"/>
        <v>24</v>
      </c>
      <c r="B17" s="176">
        <f t="shared" si="2"/>
        <v>4</v>
      </c>
      <c r="C17" s="177">
        <f>IFERROR(__xludf.DUMMYFUNCTION("""COMPUTED_VALUE"""),37106.0)</f>
        <v>37106</v>
      </c>
      <c r="D17" s="177">
        <f>IFERROR(__xludf.DUMMYFUNCTION("""COMPUTED_VALUE"""),14.0)</f>
        <v>14</v>
      </c>
      <c r="E17" s="177">
        <f>IFERROR(__xludf.DUMMYFUNCTION("""COMPUTED_VALUE"""),9.0)</f>
        <v>9</v>
      </c>
      <c r="F17" s="177">
        <f>IFERROR(__xludf.DUMMYFUNCTION("""COMPUTED_VALUE"""),68.0)</f>
        <v>68</v>
      </c>
      <c r="G17" s="177" t="str">
        <f>IFERROR(__xludf.DUMMYFUNCTION("""COMPUTED_VALUE"""),"Richmond")</f>
        <v>Richmond</v>
      </c>
      <c r="H17" s="177">
        <f>IFERROR(__xludf.DUMMYFUNCTION("""COMPUTED_VALUE"""),14.0)</f>
        <v>14</v>
      </c>
      <c r="I17" s="177">
        <f>IFERROR(__xludf.DUMMYFUNCTION("""COMPUTED_VALUE"""),100.0)</f>
        <v>100</v>
      </c>
      <c r="J17" s="178">
        <f>IFERROR(__xludf.DUMMYFUNCTION("""COMPUTED_VALUE"""),45738.677083333336)</f>
        <v>45738.67708</v>
      </c>
      <c r="K17" s="177">
        <f>IFERROR(__xludf.DUMMYFUNCTION("""COMPUTED_VALUE"""),14.0)</f>
        <v>14</v>
      </c>
      <c r="L17" s="177">
        <f>IFERROR(__xludf.DUMMYFUNCTION("""COMPUTED_VALUE"""),21.0)</f>
        <v>21</v>
      </c>
      <c r="M17" s="177">
        <f>IFERROR(__xludf.DUMMYFUNCTION("""COMPUTED_VALUE"""),140.0)</f>
        <v>140</v>
      </c>
      <c r="N17" s="177" t="str">
        <f>IFERROR(__xludf.DUMMYFUNCTION("""COMPUTED_VALUE"""),"Port Adelaide")</f>
        <v>Port Adelaide</v>
      </c>
      <c r="O17" s="177">
        <f>IFERROR(__xludf.DUMMYFUNCTION("""COMPUTED_VALUE"""),13.0)</f>
        <v>13</v>
      </c>
      <c r="P17" s="177">
        <f>IFERROR(__xludf.DUMMYFUNCTION("""COMPUTED_VALUE"""),0.0)</f>
        <v>0</v>
      </c>
      <c r="Q17" s="177">
        <f>IFERROR(__xludf.DUMMYFUNCTION("""COMPUTED_VALUE"""),0.0)</f>
        <v>0</v>
      </c>
      <c r="R17" s="178">
        <f>IFERROR(__xludf.DUMMYFUNCTION("""COMPUTED_VALUE"""),45738.65625)</f>
        <v>45738.65625</v>
      </c>
      <c r="S17" s="177">
        <f>IFERROR(__xludf.DUMMYFUNCTION("""COMPUTED_VALUE"""),2.0)</f>
        <v>2</v>
      </c>
      <c r="T17" s="177" t="str">
        <f>IFERROR(__xludf.DUMMYFUNCTION("""COMPUTED_VALUE"""),"Round 2")</f>
        <v>Round 2</v>
      </c>
      <c r="U17" s="177" t="str">
        <f>IFERROR(__xludf.DUMMYFUNCTION("""COMPUTED_VALUE"""),"Full Time")</f>
        <v>Full Time</v>
      </c>
      <c r="V17" s="177" t="str">
        <f>IFERROR(__xludf.DUMMYFUNCTION("""COMPUTED_VALUE"""),"+11:00")</f>
        <v>+11:00</v>
      </c>
      <c r="W17" s="177">
        <f>IFERROR(__xludf.DUMMYFUNCTION("""COMPUTED_VALUE"""),1.7426205E9)</f>
        <v>1742620500</v>
      </c>
      <c r="X17" s="178">
        <f>IFERROR(__xludf.DUMMYFUNCTION("""COMPUTED_VALUE"""),45738.7915625)</f>
        <v>45738.79156</v>
      </c>
      <c r="Y17" s="177" t="str">
        <f>IFERROR(__xludf.DUMMYFUNCTION("""COMPUTED_VALUE"""),"Adelaide Oval")</f>
        <v>Adelaide Oval</v>
      </c>
      <c r="Z17" s="177" t="str">
        <f>IFERROR(__xludf.DUMMYFUNCTION("""COMPUTED_VALUE"""),"Port Adelaide")</f>
        <v>Port Adelaide</v>
      </c>
      <c r="AA17" s="177">
        <f>IFERROR(__xludf.DUMMYFUNCTION("""COMPUTED_VALUE"""),13.0)</f>
        <v>13</v>
      </c>
      <c r="AB17" s="177">
        <f>IFERROR(__xludf.DUMMYFUNCTION("""COMPUTED_VALUE"""),2025.0)</f>
        <v>2025</v>
      </c>
      <c r="AC17" s="177" t="str">
        <f t="shared" si="3"/>
        <v>Saturday</v>
      </c>
    </row>
    <row r="18">
      <c r="A18" s="175" t="str">
        <f t="shared" si="1"/>
        <v>25</v>
      </c>
      <c r="B18" s="176">
        <f t="shared" si="2"/>
        <v>5</v>
      </c>
      <c r="C18" s="177">
        <f>IFERROR(__xludf.DUMMYFUNCTION("""COMPUTED_VALUE"""),37107.0)</f>
        <v>37107</v>
      </c>
      <c r="D18" s="177">
        <f>IFERROR(__xludf.DUMMYFUNCTION("""COMPUTED_VALUE"""),13.0)</f>
        <v>13</v>
      </c>
      <c r="E18" s="177">
        <f>IFERROR(__xludf.DUMMYFUNCTION("""COMPUTED_VALUE"""),13.0)</f>
        <v>13</v>
      </c>
      <c r="F18" s="177">
        <f>IFERROR(__xludf.DUMMYFUNCTION("""COMPUTED_VALUE"""),91.0)</f>
        <v>91</v>
      </c>
      <c r="G18" s="177" t="str">
        <f>IFERROR(__xludf.DUMMYFUNCTION("""COMPUTED_VALUE"""),"Geelong")</f>
        <v>Geelong</v>
      </c>
      <c r="H18" s="177">
        <f>IFERROR(__xludf.DUMMYFUNCTION("""COMPUTED_VALUE"""),7.0)</f>
        <v>7</v>
      </c>
      <c r="I18" s="177">
        <f>IFERROR(__xludf.DUMMYFUNCTION("""COMPUTED_VALUE"""),100.0)</f>
        <v>100</v>
      </c>
      <c r="J18" s="178">
        <f>IFERROR(__xludf.DUMMYFUNCTION("""COMPUTED_VALUE"""),45738.81597222222)</f>
        <v>45738.81597</v>
      </c>
      <c r="K18" s="177">
        <f>IFERROR(__xludf.DUMMYFUNCTION("""COMPUTED_VALUE"""),8.0)</f>
        <v>8</v>
      </c>
      <c r="L18" s="177">
        <f>IFERROR(__xludf.DUMMYFUNCTION("""COMPUTED_VALUE"""),15.0)</f>
        <v>15</v>
      </c>
      <c r="M18" s="177">
        <f>IFERROR(__xludf.DUMMYFUNCTION("""COMPUTED_VALUE"""),98.0)</f>
        <v>98</v>
      </c>
      <c r="N18" s="177" t="str">
        <f>IFERROR(__xludf.DUMMYFUNCTION("""COMPUTED_VALUE"""),"St Kilda")</f>
        <v>St Kilda</v>
      </c>
      <c r="O18" s="177">
        <f>IFERROR(__xludf.DUMMYFUNCTION("""COMPUTED_VALUE"""),15.0)</f>
        <v>15</v>
      </c>
      <c r="P18" s="177">
        <f>IFERROR(__xludf.DUMMYFUNCTION("""COMPUTED_VALUE"""),0.0)</f>
        <v>0</v>
      </c>
      <c r="Q18" s="177">
        <f>IFERROR(__xludf.DUMMYFUNCTION("""COMPUTED_VALUE"""),0.0)</f>
        <v>0</v>
      </c>
      <c r="R18" s="178">
        <f>IFERROR(__xludf.DUMMYFUNCTION("""COMPUTED_VALUE"""),45738.81597222222)</f>
        <v>45738.81597</v>
      </c>
      <c r="S18" s="177">
        <f>IFERROR(__xludf.DUMMYFUNCTION("""COMPUTED_VALUE"""),2.0)</f>
        <v>2</v>
      </c>
      <c r="T18" s="177" t="str">
        <f>IFERROR(__xludf.DUMMYFUNCTION("""COMPUTED_VALUE"""),"Round 2")</f>
        <v>Round 2</v>
      </c>
      <c r="U18" s="177" t="str">
        <f>IFERROR(__xludf.DUMMYFUNCTION("""COMPUTED_VALUE"""),"Full Time")</f>
        <v>Full Time</v>
      </c>
      <c r="V18" s="177" t="str">
        <f>IFERROR(__xludf.DUMMYFUNCTION("""COMPUTED_VALUE"""),"+11:00")</f>
        <v>+11:00</v>
      </c>
      <c r="W18" s="177">
        <f>IFERROR(__xludf.DUMMYFUNCTION("""COMPUTED_VALUE"""),1.7426325E9)</f>
        <v>1742632500</v>
      </c>
      <c r="X18" s="178">
        <f>IFERROR(__xludf.DUMMYFUNCTION("""COMPUTED_VALUE"""),45738.93400462963)</f>
        <v>45738.934</v>
      </c>
      <c r="Y18" s="177" t="str">
        <f>IFERROR(__xludf.DUMMYFUNCTION("""COMPUTED_VALUE"""),"Docklands")</f>
        <v>Docklands</v>
      </c>
      <c r="Z18" s="177" t="str">
        <f>IFERROR(__xludf.DUMMYFUNCTION("""COMPUTED_VALUE"""),"St Kilda")</f>
        <v>St Kilda</v>
      </c>
      <c r="AA18" s="177">
        <f>IFERROR(__xludf.DUMMYFUNCTION("""COMPUTED_VALUE"""),15.0)</f>
        <v>15</v>
      </c>
      <c r="AB18" s="177">
        <f>IFERROR(__xludf.DUMMYFUNCTION("""COMPUTED_VALUE"""),2025.0)</f>
        <v>2025</v>
      </c>
      <c r="AC18" s="177" t="str">
        <f t="shared" si="3"/>
        <v>Saturday</v>
      </c>
    </row>
    <row r="19">
      <c r="A19" s="175" t="str">
        <f t="shared" si="1"/>
        <v>26</v>
      </c>
      <c r="B19" s="176">
        <f t="shared" si="2"/>
        <v>6</v>
      </c>
      <c r="C19" s="177">
        <f>IFERROR(__xludf.DUMMYFUNCTION("""COMPUTED_VALUE"""),37108.0)</f>
        <v>37108</v>
      </c>
      <c r="D19" s="177">
        <f>IFERROR(__xludf.DUMMYFUNCTION("""COMPUTED_VALUE"""),9.0)</f>
        <v>9</v>
      </c>
      <c r="E19" s="177">
        <f>IFERROR(__xludf.DUMMYFUNCTION("""COMPUTED_VALUE"""),11.0)</f>
        <v>11</v>
      </c>
      <c r="F19" s="177">
        <f>IFERROR(__xludf.DUMMYFUNCTION("""COMPUTED_VALUE"""),75.0)</f>
        <v>75</v>
      </c>
      <c r="G19" s="177" t="str">
        <f>IFERROR(__xludf.DUMMYFUNCTION("""COMPUTED_VALUE"""),"West Coast")</f>
        <v>West Coast</v>
      </c>
      <c r="H19" s="177">
        <f>IFERROR(__xludf.DUMMYFUNCTION("""COMPUTED_VALUE"""),17.0)</f>
        <v>17</v>
      </c>
      <c r="I19" s="177">
        <f>IFERROR(__xludf.DUMMYFUNCTION("""COMPUTED_VALUE"""),100.0)</f>
        <v>100</v>
      </c>
      <c r="J19" s="178">
        <f>IFERROR(__xludf.DUMMYFUNCTION("""COMPUTED_VALUE"""),45739.54861111111)</f>
        <v>45739.54861</v>
      </c>
      <c r="K19" s="177">
        <f>IFERROR(__xludf.DUMMYFUNCTION("""COMPUTED_VALUE"""),10.0)</f>
        <v>10</v>
      </c>
      <c r="L19" s="177">
        <f>IFERROR(__xludf.DUMMYFUNCTION("""COMPUTED_VALUE"""),14.0)</f>
        <v>14</v>
      </c>
      <c r="M19" s="177">
        <f>IFERROR(__xludf.DUMMYFUNCTION("""COMPUTED_VALUE"""),94.0)</f>
        <v>94</v>
      </c>
      <c r="N19" s="177" t="str">
        <f>IFERROR(__xludf.DUMMYFUNCTION("""COMPUTED_VALUE"""),"Brisbane Lions")</f>
        <v>Brisbane Lions</v>
      </c>
      <c r="O19" s="177">
        <f>IFERROR(__xludf.DUMMYFUNCTION("""COMPUTED_VALUE"""),2.0)</f>
        <v>2</v>
      </c>
      <c r="P19" s="177">
        <f>IFERROR(__xludf.DUMMYFUNCTION("""COMPUTED_VALUE"""),0.0)</f>
        <v>0</v>
      </c>
      <c r="Q19" s="177">
        <f>IFERROR(__xludf.DUMMYFUNCTION("""COMPUTED_VALUE"""),0.0)</f>
        <v>0</v>
      </c>
      <c r="R19" s="178">
        <f>IFERROR(__xludf.DUMMYFUNCTION("""COMPUTED_VALUE"""),45739.506944444445)</f>
        <v>45739.50694</v>
      </c>
      <c r="S19" s="177">
        <f>IFERROR(__xludf.DUMMYFUNCTION("""COMPUTED_VALUE"""),2.0)</f>
        <v>2</v>
      </c>
      <c r="T19" s="177" t="str">
        <f>IFERROR(__xludf.DUMMYFUNCTION("""COMPUTED_VALUE"""),"Round 2")</f>
        <v>Round 2</v>
      </c>
      <c r="U19" s="177" t="str">
        <f>IFERROR(__xludf.DUMMYFUNCTION("""COMPUTED_VALUE"""),"Full Time")</f>
        <v>Full Time</v>
      </c>
      <c r="V19" s="177" t="str">
        <f>IFERROR(__xludf.DUMMYFUNCTION("""COMPUTED_VALUE"""),"+11:00")</f>
        <v>+11:00</v>
      </c>
      <c r="W19" s="177">
        <f>IFERROR(__xludf.DUMMYFUNCTION("""COMPUTED_VALUE"""),1.7426958E9)</f>
        <v>1742695800</v>
      </c>
      <c r="X19" s="178">
        <f>IFERROR(__xludf.DUMMYFUNCTION("""COMPUTED_VALUE"""),45739.66814814815)</f>
        <v>45739.66815</v>
      </c>
      <c r="Y19" s="177" t="str">
        <f>IFERROR(__xludf.DUMMYFUNCTION("""COMPUTED_VALUE"""),"Gabba")</f>
        <v>Gabba</v>
      </c>
      <c r="Z19" s="177" t="str">
        <f>IFERROR(__xludf.DUMMYFUNCTION("""COMPUTED_VALUE"""),"Brisbane Lions")</f>
        <v>Brisbane Lions</v>
      </c>
      <c r="AA19" s="177">
        <f>IFERROR(__xludf.DUMMYFUNCTION("""COMPUTED_VALUE"""),2.0)</f>
        <v>2</v>
      </c>
      <c r="AB19" s="177">
        <f>IFERROR(__xludf.DUMMYFUNCTION("""COMPUTED_VALUE"""),2025.0)</f>
        <v>2025</v>
      </c>
      <c r="AC19" s="177" t="str">
        <f t="shared" si="3"/>
        <v>Sunday</v>
      </c>
    </row>
    <row r="20">
      <c r="A20" s="175" t="str">
        <f t="shared" si="1"/>
        <v>27</v>
      </c>
      <c r="B20" s="176">
        <f t="shared" si="2"/>
        <v>7</v>
      </c>
      <c r="C20" s="177">
        <f>IFERROR(__xludf.DUMMYFUNCTION("""COMPUTED_VALUE"""),37109.0)</f>
        <v>37109</v>
      </c>
      <c r="D20" s="177">
        <f>IFERROR(__xludf.DUMMYFUNCTION("""COMPUTED_VALUE"""),12.0)</f>
        <v>12</v>
      </c>
      <c r="E20" s="177">
        <f>IFERROR(__xludf.DUMMYFUNCTION("""COMPUTED_VALUE"""),9.0)</f>
        <v>9</v>
      </c>
      <c r="F20" s="177">
        <f>IFERROR(__xludf.DUMMYFUNCTION("""COMPUTED_VALUE"""),66.0)</f>
        <v>66</v>
      </c>
      <c r="G20" s="177" t="str">
        <f>IFERROR(__xludf.DUMMYFUNCTION("""COMPUTED_VALUE"""),"Melbourne")</f>
        <v>Melbourne</v>
      </c>
      <c r="H20" s="177">
        <f>IFERROR(__xludf.DUMMYFUNCTION("""COMPUTED_VALUE"""),11.0)</f>
        <v>11</v>
      </c>
      <c r="I20" s="177">
        <f>IFERROR(__xludf.DUMMYFUNCTION("""COMPUTED_VALUE"""),100.0)</f>
        <v>100</v>
      </c>
      <c r="J20" s="178">
        <f>IFERROR(__xludf.DUMMYFUNCTION("""COMPUTED_VALUE"""),45739.63888888889)</f>
        <v>45739.63889</v>
      </c>
      <c r="K20" s="177">
        <f>IFERROR(__xludf.DUMMYFUNCTION("""COMPUTED_VALUE"""),11.0)</f>
        <v>11</v>
      </c>
      <c r="L20" s="177">
        <f>IFERROR(__xludf.DUMMYFUNCTION("""COMPUTED_VALUE"""),19.0)</f>
        <v>19</v>
      </c>
      <c r="M20" s="177">
        <f>IFERROR(__xludf.DUMMYFUNCTION("""COMPUTED_VALUE"""),125.0)</f>
        <v>125</v>
      </c>
      <c r="N20" s="177" t="str">
        <f>IFERROR(__xludf.DUMMYFUNCTION("""COMPUTED_VALUE"""),"North Melbourne")</f>
        <v>North Melbourne</v>
      </c>
      <c r="O20" s="177">
        <f>IFERROR(__xludf.DUMMYFUNCTION("""COMPUTED_VALUE"""),12.0)</f>
        <v>12</v>
      </c>
      <c r="P20" s="177">
        <f>IFERROR(__xludf.DUMMYFUNCTION("""COMPUTED_VALUE"""),0.0)</f>
        <v>0</v>
      </c>
      <c r="Q20" s="177">
        <f>IFERROR(__xludf.DUMMYFUNCTION("""COMPUTED_VALUE"""),0.0)</f>
        <v>0</v>
      </c>
      <c r="R20" s="178">
        <f>IFERROR(__xludf.DUMMYFUNCTION("""COMPUTED_VALUE"""),45739.63888888889)</f>
        <v>45739.63889</v>
      </c>
      <c r="S20" s="177">
        <f>IFERROR(__xludf.DUMMYFUNCTION("""COMPUTED_VALUE"""),2.0)</f>
        <v>2</v>
      </c>
      <c r="T20" s="177" t="str">
        <f>IFERROR(__xludf.DUMMYFUNCTION("""COMPUTED_VALUE"""),"Round 2")</f>
        <v>Round 2</v>
      </c>
      <c r="U20" s="177" t="str">
        <f>IFERROR(__xludf.DUMMYFUNCTION("""COMPUTED_VALUE"""),"Full Time")</f>
        <v>Full Time</v>
      </c>
      <c r="V20" s="177" t="str">
        <f>IFERROR(__xludf.DUMMYFUNCTION("""COMPUTED_VALUE"""),"+11:00")</f>
        <v>+11:00</v>
      </c>
      <c r="W20" s="177">
        <f>IFERROR(__xludf.DUMMYFUNCTION("""COMPUTED_VALUE"""),1.7427036E9)</f>
        <v>1742703600</v>
      </c>
      <c r="X20" s="178">
        <f>IFERROR(__xludf.DUMMYFUNCTION("""COMPUTED_VALUE"""),45739.75131944445)</f>
        <v>45739.75132</v>
      </c>
      <c r="Y20" s="177" t="str">
        <f>IFERROR(__xludf.DUMMYFUNCTION("""COMPUTED_VALUE"""),"Docklands")</f>
        <v>Docklands</v>
      </c>
      <c r="Z20" s="177" t="str">
        <f>IFERROR(__xludf.DUMMYFUNCTION("""COMPUTED_VALUE"""),"North Melbourne")</f>
        <v>North Melbourne</v>
      </c>
      <c r="AA20" s="177">
        <f>IFERROR(__xludf.DUMMYFUNCTION("""COMPUTED_VALUE"""),12.0)</f>
        <v>12</v>
      </c>
      <c r="AB20" s="177">
        <f>IFERROR(__xludf.DUMMYFUNCTION("""COMPUTED_VALUE"""),2025.0)</f>
        <v>2025</v>
      </c>
      <c r="AC20" s="177" t="str">
        <f t="shared" si="3"/>
        <v>Sunday</v>
      </c>
    </row>
    <row r="21">
      <c r="A21" s="175" t="str">
        <f t="shared" si="1"/>
        <v>28</v>
      </c>
      <c r="B21" s="176">
        <f t="shared" si="2"/>
        <v>8</v>
      </c>
      <c r="C21" s="177">
        <f>IFERROR(__xludf.DUMMYFUNCTION("""COMPUTED_VALUE"""),37110.0)</f>
        <v>37110</v>
      </c>
      <c r="D21" s="177">
        <f>IFERROR(__xludf.DUMMYFUNCTION("""COMPUTED_VALUE"""),14.0)</f>
        <v>14</v>
      </c>
      <c r="E21" s="177">
        <f>IFERROR(__xludf.DUMMYFUNCTION("""COMPUTED_VALUE"""),9.0)</f>
        <v>9</v>
      </c>
      <c r="F21" s="177">
        <f>IFERROR(__xludf.DUMMYFUNCTION("""COMPUTED_VALUE"""),68.0)</f>
        <v>68</v>
      </c>
      <c r="G21" s="177" t="str">
        <f>IFERROR(__xludf.DUMMYFUNCTION("""COMPUTED_VALUE"""),"Sydney")</f>
        <v>Sydney</v>
      </c>
      <c r="H21" s="177">
        <f>IFERROR(__xludf.DUMMYFUNCTION("""COMPUTED_VALUE"""),16.0)</f>
        <v>16</v>
      </c>
      <c r="I21" s="177">
        <f>IFERROR(__xludf.DUMMYFUNCTION("""COMPUTED_VALUE"""),100.0)</f>
        <v>100</v>
      </c>
      <c r="J21" s="178">
        <f>IFERROR(__xludf.DUMMYFUNCTION("""COMPUTED_VALUE"""),45739.756944444445)</f>
        <v>45739.75694</v>
      </c>
      <c r="K21" s="177">
        <f>IFERROR(__xludf.DUMMYFUNCTION("""COMPUTED_VALUE"""),11.0)</f>
        <v>11</v>
      </c>
      <c r="L21" s="177">
        <f>IFERROR(__xludf.DUMMYFUNCTION("""COMPUTED_VALUE"""),9.0)</f>
        <v>9</v>
      </c>
      <c r="M21" s="177">
        <f>IFERROR(__xludf.DUMMYFUNCTION("""COMPUTED_VALUE"""),65.0)</f>
        <v>65</v>
      </c>
      <c r="N21" s="177" t="str">
        <f>IFERROR(__xludf.DUMMYFUNCTION("""COMPUTED_VALUE"""),"Fremantle")</f>
        <v>Fremantle</v>
      </c>
      <c r="O21" s="177">
        <f>IFERROR(__xludf.DUMMYFUNCTION("""COMPUTED_VALUE"""),6.0)</f>
        <v>6</v>
      </c>
      <c r="P21" s="177">
        <f>IFERROR(__xludf.DUMMYFUNCTION("""COMPUTED_VALUE"""),0.0)</f>
        <v>0</v>
      </c>
      <c r="Q21" s="177">
        <f>IFERROR(__xludf.DUMMYFUNCTION("""COMPUTED_VALUE"""),0.0)</f>
        <v>0</v>
      </c>
      <c r="R21" s="178">
        <f>IFERROR(__xludf.DUMMYFUNCTION("""COMPUTED_VALUE"""),45739.631944444445)</f>
        <v>45739.63194</v>
      </c>
      <c r="S21" s="177">
        <f>IFERROR(__xludf.DUMMYFUNCTION("""COMPUTED_VALUE"""),2.0)</f>
        <v>2</v>
      </c>
      <c r="T21" s="177" t="str">
        <f>IFERROR(__xludf.DUMMYFUNCTION("""COMPUTED_VALUE"""),"Round 2")</f>
        <v>Round 2</v>
      </c>
      <c r="U21" s="177" t="str">
        <f>IFERROR(__xludf.DUMMYFUNCTION("""COMPUTED_VALUE"""),"Full Time")</f>
        <v>Full Time</v>
      </c>
      <c r="V21" s="177" t="str">
        <f>IFERROR(__xludf.DUMMYFUNCTION("""COMPUTED_VALUE"""),"+11:00")</f>
        <v>+11:00</v>
      </c>
      <c r="W21" s="177">
        <f>IFERROR(__xludf.DUMMYFUNCTION("""COMPUTED_VALUE"""),1.7427138E9)</f>
        <v>1742713800</v>
      </c>
      <c r="X21" s="178">
        <f>IFERROR(__xludf.DUMMYFUNCTION("""COMPUTED_VALUE"""),45739.86440972222)</f>
        <v>45739.86441</v>
      </c>
      <c r="Y21" s="177" t="str">
        <f>IFERROR(__xludf.DUMMYFUNCTION("""COMPUTED_VALUE"""),"Perth Stadium")</f>
        <v>Perth Stadium</v>
      </c>
      <c r="Z21" s="177" t="str">
        <f>IFERROR(__xludf.DUMMYFUNCTION("""COMPUTED_VALUE"""),"Sydney")</f>
        <v>Sydney</v>
      </c>
      <c r="AA21" s="177">
        <f>IFERROR(__xludf.DUMMYFUNCTION("""COMPUTED_VALUE"""),16.0)</f>
        <v>16</v>
      </c>
      <c r="AB21" s="177">
        <f>IFERROR(__xludf.DUMMYFUNCTION("""COMPUTED_VALUE"""),2025.0)</f>
        <v>2025</v>
      </c>
      <c r="AC21" s="177" t="str">
        <f t="shared" si="3"/>
        <v>Sunday</v>
      </c>
    </row>
    <row r="22">
      <c r="A22" s="175" t="str">
        <f t="shared" si="1"/>
        <v>31</v>
      </c>
      <c r="B22" s="176">
        <f t="shared" si="2"/>
        <v>1</v>
      </c>
      <c r="C22" s="177">
        <f>IFERROR(__xludf.DUMMYFUNCTION("""COMPUTED_VALUE"""),37111.0)</f>
        <v>37111</v>
      </c>
      <c r="D22" s="177">
        <f>IFERROR(__xludf.DUMMYFUNCTION("""COMPUTED_VALUE"""),12.0)</f>
        <v>12</v>
      </c>
      <c r="E22" s="177">
        <f>IFERROR(__xludf.DUMMYFUNCTION("""COMPUTED_VALUE"""),8.0)</f>
        <v>8</v>
      </c>
      <c r="F22" s="177">
        <f>IFERROR(__xludf.DUMMYFUNCTION("""COMPUTED_VALUE"""),60.0)</f>
        <v>60</v>
      </c>
      <c r="G22" s="177" t="str">
        <f>IFERROR(__xludf.DUMMYFUNCTION("""COMPUTED_VALUE"""),"Port Adelaide")</f>
        <v>Port Adelaide</v>
      </c>
      <c r="H22" s="177">
        <f>IFERROR(__xludf.DUMMYFUNCTION("""COMPUTED_VALUE"""),13.0)</f>
        <v>13</v>
      </c>
      <c r="I22" s="177">
        <f>IFERROR(__xludf.DUMMYFUNCTION("""COMPUTED_VALUE"""),100.0)</f>
        <v>100</v>
      </c>
      <c r="J22" s="178">
        <f>IFERROR(__xludf.DUMMYFUNCTION("""COMPUTED_VALUE"""),45743.8125)</f>
        <v>45743.8125</v>
      </c>
      <c r="K22" s="177">
        <f>IFERROR(__xludf.DUMMYFUNCTION("""COMPUTED_VALUE"""),18.0)</f>
        <v>18</v>
      </c>
      <c r="L22" s="177">
        <f>IFERROR(__xludf.DUMMYFUNCTION("""COMPUTED_VALUE"""),9.0)</f>
        <v>9</v>
      </c>
      <c r="M22" s="177">
        <f>IFERROR(__xludf.DUMMYFUNCTION("""COMPUTED_VALUE"""),72.0)</f>
        <v>72</v>
      </c>
      <c r="N22" s="177" t="str">
        <f>IFERROR(__xludf.DUMMYFUNCTION("""COMPUTED_VALUE"""),"Essendon")</f>
        <v>Essendon</v>
      </c>
      <c r="O22" s="177">
        <f>IFERROR(__xludf.DUMMYFUNCTION("""COMPUTED_VALUE"""),5.0)</f>
        <v>5</v>
      </c>
      <c r="P22" s="177">
        <f>IFERROR(__xludf.DUMMYFUNCTION("""COMPUTED_VALUE"""),0.0)</f>
        <v>0</v>
      </c>
      <c r="Q22" s="177">
        <f>IFERROR(__xludf.DUMMYFUNCTION("""COMPUTED_VALUE"""),0.0)</f>
        <v>0</v>
      </c>
      <c r="R22" s="178">
        <f>IFERROR(__xludf.DUMMYFUNCTION("""COMPUTED_VALUE"""),45743.8125)</f>
        <v>45743.8125</v>
      </c>
      <c r="S22" s="177">
        <f>IFERROR(__xludf.DUMMYFUNCTION("""COMPUTED_VALUE"""),3.0)</f>
        <v>3</v>
      </c>
      <c r="T22" s="177" t="str">
        <f>IFERROR(__xludf.DUMMYFUNCTION("""COMPUTED_VALUE"""),"Round 3")</f>
        <v>Round 3</v>
      </c>
      <c r="U22" s="177" t="str">
        <f>IFERROR(__xludf.DUMMYFUNCTION("""COMPUTED_VALUE"""),"Full Time")</f>
        <v>Full Time</v>
      </c>
      <c r="V22" s="177" t="str">
        <f>IFERROR(__xludf.DUMMYFUNCTION("""COMPUTED_VALUE"""),"+11:00")</f>
        <v>+11:00</v>
      </c>
      <c r="W22" s="177">
        <f>IFERROR(__xludf.DUMMYFUNCTION("""COMPUTED_VALUE"""),1.7430642E9)</f>
        <v>1743064200</v>
      </c>
      <c r="X22" s="178">
        <f>IFERROR(__xludf.DUMMYFUNCTION("""COMPUTED_VALUE"""),45743.91947916667)</f>
        <v>45743.91948</v>
      </c>
      <c r="Y22" s="177" t="str">
        <f>IFERROR(__xludf.DUMMYFUNCTION("""COMPUTED_VALUE"""),"Docklands")</f>
        <v>Docklands</v>
      </c>
      <c r="Z22" s="177" t="str">
        <f>IFERROR(__xludf.DUMMYFUNCTION("""COMPUTED_VALUE"""),"Essendon")</f>
        <v>Essendon</v>
      </c>
      <c r="AA22" s="177">
        <f>IFERROR(__xludf.DUMMYFUNCTION("""COMPUTED_VALUE"""),5.0)</f>
        <v>5</v>
      </c>
      <c r="AB22" s="177">
        <f>IFERROR(__xludf.DUMMYFUNCTION("""COMPUTED_VALUE"""),2025.0)</f>
        <v>2025</v>
      </c>
      <c r="AC22" s="177" t="str">
        <f t="shared" si="3"/>
        <v>Thursday</v>
      </c>
    </row>
    <row r="23">
      <c r="A23" s="175" t="str">
        <f t="shared" si="1"/>
        <v>32</v>
      </c>
      <c r="B23" s="176">
        <f t="shared" si="2"/>
        <v>2</v>
      </c>
      <c r="C23" s="177">
        <f>IFERROR(__xludf.DUMMYFUNCTION("""COMPUTED_VALUE"""),37112.0)</f>
        <v>37112</v>
      </c>
      <c r="D23" s="177">
        <f>IFERROR(__xludf.DUMMYFUNCTION("""COMPUTED_VALUE"""),11.0)</f>
        <v>11</v>
      </c>
      <c r="E23" s="177">
        <f>IFERROR(__xludf.DUMMYFUNCTION("""COMPUTED_VALUE"""),12.0)</f>
        <v>12</v>
      </c>
      <c r="F23" s="177">
        <f>IFERROR(__xludf.DUMMYFUNCTION("""COMPUTED_VALUE"""),83.0)</f>
        <v>83</v>
      </c>
      <c r="G23" s="177" t="str">
        <f>IFERROR(__xludf.DUMMYFUNCTION("""COMPUTED_VALUE"""),"Western Bulldogs")</f>
        <v>Western Bulldogs</v>
      </c>
      <c r="H23" s="177">
        <f>IFERROR(__xludf.DUMMYFUNCTION("""COMPUTED_VALUE"""),18.0)</f>
        <v>18</v>
      </c>
      <c r="I23" s="177">
        <f>IFERROR(__xludf.DUMMYFUNCTION("""COMPUTED_VALUE"""),100.0)</f>
        <v>100</v>
      </c>
      <c r="J23" s="178">
        <f>IFERROR(__xludf.DUMMYFUNCTION("""COMPUTED_VALUE"""),45744.819444444445)</f>
        <v>45744.81944</v>
      </c>
      <c r="K23" s="177">
        <f>IFERROR(__xludf.DUMMYFUNCTION("""COMPUTED_VALUE"""),9.0)</f>
        <v>9</v>
      </c>
      <c r="L23" s="177">
        <f>IFERROR(__xludf.DUMMYFUNCTION("""COMPUTED_VALUE"""),11.0)</f>
        <v>11</v>
      </c>
      <c r="M23" s="177">
        <f>IFERROR(__xludf.DUMMYFUNCTION("""COMPUTED_VALUE"""),75.0)</f>
        <v>75</v>
      </c>
      <c r="N23" s="177" t="str">
        <f>IFERROR(__xludf.DUMMYFUNCTION("""COMPUTED_VALUE"""),"Carlton")</f>
        <v>Carlton</v>
      </c>
      <c r="O23" s="177">
        <f>IFERROR(__xludf.DUMMYFUNCTION("""COMPUTED_VALUE"""),3.0)</f>
        <v>3</v>
      </c>
      <c r="P23" s="177">
        <f>IFERROR(__xludf.DUMMYFUNCTION("""COMPUTED_VALUE"""),0.0)</f>
        <v>0</v>
      </c>
      <c r="Q23" s="177">
        <f>IFERROR(__xludf.DUMMYFUNCTION("""COMPUTED_VALUE"""),0.0)</f>
        <v>0</v>
      </c>
      <c r="R23" s="178">
        <f>IFERROR(__xludf.DUMMYFUNCTION("""COMPUTED_VALUE"""),45744.819444444445)</f>
        <v>45744.81944</v>
      </c>
      <c r="S23" s="177">
        <f>IFERROR(__xludf.DUMMYFUNCTION("""COMPUTED_VALUE"""),3.0)</f>
        <v>3</v>
      </c>
      <c r="T23" s="177" t="str">
        <f>IFERROR(__xludf.DUMMYFUNCTION("""COMPUTED_VALUE"""),"Round 3")</f>
        <v>Round 3</v>
      </c>
      <c r="U23" s="177" t="str">
        <f>IFERROR(__xludf.DUMMYFUNCTION("""COMPUTED_VALUE"""),"Full Time")</f>
        <v>Full Time</v>
      </c>
      <c r="V23" s="177" t="str">
        <f>IFERROR(__xludf.DUMMYFUNCTION("""COMPUTED_VALUE"""),"+11:00")</f>
        <v>+11:00</v>
      </c>
      <c r="W23" s="177">
        <f>IFERROR(__xludf.DUMMYFUNCTION("""COMPUTED_VALUE"""),1.7431512E9)</f>
        <v>1743151200</v>
      </c>
      <c r="X23" s="178">
        <f>IFERROR(__xludf.DUMMYFUNCTION("""COMPUTED_VALUE"""),45744.93038194445)</f>
        <v>45744.93038</v>
      </c>
      <c r="Y23" s="177" t="str">
        <f>IFERROR(__xludf.DUMMYFUNCTION("""COMPUTED_VALUE"""),"Docklands")</f>
        <v>Docklands</v>
      </c>
      <c r="Z23" s="177" t="str">
        <f>IFERROR(__xludf.DUMMYFUNCTION("""COMPUTED_VALUE"""),"Western Bulldogs")</f>
        <v>Western Bulldogs</v>
      </c>
      <c r="AA23" s="177">
        <f>IFERROR(__xludf.DUMMYFUNCTION("""COMPUTED_VALUE"""),18.0)</f>
        <v>18</v>
      </c>
      <c r="AB23" s="177">
        <f>IFERROR(__xludf.DUMMYFUNCTION("""COMPUTED_VALUE"""),2025.0)</f>
        <v>2025</v>
      </c>
      <c r="AC23" s="177" t="str">
        <f t="shared" si="3"/>
        <v>Friday</v>
      </c>
    </row>
    <row r="24">
      <c r="A24" s="175" t="str">
        <f t="shared" si="1"/>
        <v>33</v>
      </c>
      <c r="B24" s="176">
        <f t="shared" si="2"/>
        <v>3</v>
      </c>
      <c r="C24" s="177">
        <f>IFERROR(__xludf.DUMMYFUNCTION("""COMPUTED_VALUE"""),37113.0)</f>
        <v>37113</v>
      </c>
      <c r="D24" s="177">
        <f>IFERROR(__xludf.DUMMYFUNCTION("""COMPUTED_VALUE"""),12.0)</f>
        <v>12</v>
      </c>
      <c r="E24" s="177">
        <f>IFERROR(__xludf.DUMMYFUNCTION("""COMPUTED_VALUE"""),18.0)</f>
        <v>18</v>
      </c>
      <c r="F24" s="177">
        <f>IFERROR(__xludf.DUMMYFUNCTION("""COMPUTED_VALUE"""),120.0)</f>
        <v>120</v>
      </c>
      <c r="G24" s="177" t="str">
        <f>IFERROR(__xludf.DUMMYFUNCTION("""COMPUTED_VALUE"""),"Gold Coast")</f>
        <v>Gold Coast</v>
      </c>
      <c r="H24" s="177">
        <f>IFERROR(__xludf.DUMMYFUNCTION("""COMPUTED_VALUE"""),8.0)</f>
        <v>8</v>
      </c>
      <c r="I24" s="177">
        <f>IFERROR(__xludf.DUMMYFUNCTION("""COMPUTED_VALUE"""),100.0)</f>
        <v>100</v>
      </c>
      <c r="J24" s="178">
        <f>IFERROR(__xludf.DUMMYFUNCTION("""COMPUTED_VALUE"""),45745.555555555555)</f>
        <v>45745.55556</v>
      </c>
      <c r="K24" s="177">
        <f>IFERROR(__xludf.DUMMYFUNCTION("""COMPUTED_VALUE"""),14.0)</f>
        <v>14</v>
      </c>
      <c r="L24" s="177">
        <f>IFERROR(__xludf.DUMMYFUNCTION("""COMPUTED_VALUE"""),8.0)</f>
        <v>8</v>
      </c>
      <c r="M24" s="177">
        <f>IFERROR(__xludf.DUMMYFUNCTION("""COMPUTED_VALUE"""),62.0)</f>
        <v>62</v>
      </c>
      <c r="N24" s="177" t="str">
        <f>IFERROR(__xludf.DUMMYFUNCTION("""COMPUTED_VALUE"""),"Melbourne")</f>
        <v>Melbourne</v>
      </c>
      <c r="O24" s="177">
        <f>IFERROR(__xludf.DUMMYFUNCTION("""COMPUTED_VALUE"""),11.0)</f>
        <v>11</v>
      </c>
      <c r="P24" s="177">
        <f>IFERROR(__xludf.DUMMYFUNCTION("""COMPUTED_VALUE"""),0.0)</f>
        <v>0</v>
      </c>
      <c r="Q24" s="177">
        <f>IFERROR(__xludf.DUMMYFUNCTION("""COMPUTED_VALUE"""),0.0)</f>
        <v>0</v>
      </c>
      <c r="R24" s="178">
        <f>IFERROR(__xludf.DUMMYFUNCTION("""COMPUTED_VALUE"""),45745.555555555555)</f>
        <v>45745.55556</v>
      </c>
      <c r="S24" s="177">
        <f>IFERROR(__xludf.DUMMYFUNCTION("""COMPUTED_VALUE"""),3.0)</f>
        <v>3</v>
      </c>
      <c r="T24" s="177" t="str">
        <f>IFERROR(__xludf.DUMMYFUNCTION("""COMPUTED_VALUE"""),"Round 3")</f>
        <v>Round 3</v>
      </c>
      <c r="U24" s="177" t="str">
        <f>IFERROR(__xludf.DUMMYFUNCTION("""COMPUTED_VALUE"""),"Full Time")</f>
        <v>Full Time</v>
      </c>
      <c r="V24" s="177" t="str">
        <f>IFERROR(__xludf.DUMMYFUNCTION("""COMPUTED_VALUE"""),"+11:00")</f>
        <v>+11:00</v>
      </c>
      <c r="W24" s="177">
        <f>IFERROR(__xludf.DUMMYFUNCTION("""COMPUTED_VALUE"""),1.7432148E9)</f>
        <v>1743214800</v>
      </c>
      <c r="X24" s="178">
        <f>IFERROR(__xludf.DUMMYFUNCTION("""COMPUTED_VALUE"""),45745.66680555556)</f>
        <v>45745.66681</v>
      </c>
      <c r="Y24" s="177" t="str">
        <f>IFERROR(__xludf.DUMMYFUNCTION("""COMPUTED_VALUE"""),"M.C.G.")</f>
        <v>M.C.G.</v>
      </c>
      <c r="Z24" s="177" t="str">
        <f>IFERROR(__xludf.DUMMYFUNCTION("""COMPUTED_VALUE"""),"Gold Coast")</f>
        <v>Gold Coast</v>
      </c>
      <c r="AA24" s="177">
        <f>IFERROR(__xludf.DUMMYFUNCTION("""COMPUTED_VALUE"""),8.0)</f>
        <v>8</v>
      </c>
      <c r="AB24" s="177">
        <f>IFERROR(__xludf.DUMMYFUNCTION("""COMPUTED_VALUE"""),2025.0)</f>
        <v>2025</v>
      </c>
      <c r="AC24" s="177" t="str">
        <f t="shared" si="3"/>
        <v>Saturday</v>
      </c>
    </row>
    <row r="25">
      <c r="A25" s="175" t="str">
        <f t="shared" si="1"/>
        <v>34</v>
      </c>
      <c r="B25" s="176">
        <f t="shared" si="2"/>
        <v>4</v>
      </c>
      <c r="C25" s="177">
        <f>IFERROR(__xludf.DUMMYFUNCTION("""COMPUTED_VALUE"""),37114.0)</f>
        <v>37114</v>
      </c>
      <c r="D25" s="177">
        <f>IFERROR(__xludf.DUMMYFUNCTION("""COMPUTED_VALUE"""),11.0)</f>
        <v>11</v>
      </c>
      <c r="E25" s="177">
        <f>IFERROR(__xludf.DUMMYFUNCTION("""COMPUTED_VALUE"""),7.0)</f>
        <v>7</v>
      </c>
      <c r="F25" s="177">
        <f>IFERROR(__xludf.DUMMYFUNCTION("""COMPUTED_VALUE"""),53.0)</f>
        <v>53</v>
      </c>
      <c r="G25" s="177" t="str">
        <f>IFERROR(__xludf.DUMMYFUNCTION("""COMPUTED_VALUE"""),"Richmond")</f>
        <v>Richmond</v>
      </c>
      <c r="H25" s="177">
        <f>IFERROR(__xludf.DUMMYFUNCTION("""COMPUTED_VALUE"""),14.0)</f>
        <v>14</v>
      </c>
      <c r="I25" s="177">
        <f>IFERROR(__xludf.DUMMYFUNCTION("""COMPUTED_VALUE"""),100.0)</f>
        <v>100</v>
      </c>
      <c r="J25" s="178">
        <f>IFERROR(__xludf.DUMMYFUNCTION("""COMPUTED_VALUE"""),45745.677083333336)</f>
        <v>45745.67708</v>
      </c>
      <c r="K25" s="177">
        <f>IFERROR(__xludf.DUMMYFUNCTION("""COMPUTED_VALUE"""),15.0)</f>
        <v>15</v>
      </c>
      <c r="L25" s="177">
        <f>IFERROR(__xludf.DUMMYFUNCTION("""COMPUTED_VALUE"""),20.0)</f>
        <v>20</v>
      </c>
      <c r="M25" s="177">
        <f>IFERROR(__xludf.DUMMYFUNCTION("""COMPUTED_VALUE"""),135.0)</f>
        <v>135</v>
      </c>
      <c r="N25" s="177" t="str">
        <f>IFERROR(__xludf.DUMMYFUNCTION("""COMPUTED_VALUE"""),"St Kilda")</f>
        <v>St Kilda</v>
      </c>
      <c r="O25" s="177">
        <f>IFERROR(__xludf.DUMMYFUNCTION("""COMPUTED_VALUE"""),15.0)</f>
        <v>15</v>
      </c>
      <c r="P25" s="177">
        <f>IFERROR(__xludf.DUMMYFUNCTION("""COMPUTED_VALUE"""),0.0)</f>
        <v>0</v>
      </c>
      <c r="Q25" s="177">
        <f>IFERROR(__xludf.DUMMYFUNCTION("""COMPUTED_VALUE"""),0.0)</f>
        <v>0</v>
      </c>
      <c r="R25" s="178">
        <f>IFERROR(__xludf.DUMMYFUNCTION("""COMPUTED_VALUE"""),45745.677083333336)</f>
        <v>45745.67708</v>
      </c>
      <c r="S25" s="177">
        <f>IFERROR(__xludf.DUMMYFUNCTION("""COMPUTED_VALUE"""),3.0)</f>
        <v>3</v>
      </c>
      <c r="T25" s="177" t="str">
        <f>IFERROR(__xludf.DUMMYFUNCTION("""COMPUTED_VALUE"""),"Round 3")</f>
        <v>Round 3</v>
      </c>
      <c r="U25" s="177" t="str">
        <f>IFERROR(__xludf.DUMMYFUNCTION("""COMPUTED_VALUE"""),"Full Time")</f>
        <v>Full Time</v>
      </c>
      <c r="V25" s="177" t="str">
        <f>IFERROR(__xludf.DUMMYFUNCTION("""COMPUTED_VALUE"""),"+11:00")</f>
        <v>+11:00</v>
      </c>
      <c r="W25" s="177">
        <f>IFERROR(__xludf.DUMMYFUNCTION("""COMPUTED_VALUE"""),1.7432253E9)</f>
        <v>1743225300</v>
      </c>
      <c r="X25" s="178">
        <f>IFERROR(__xludf.DUMMYFUNCTION("""COMPUTED_VALUE"""),45745.879745370374)</f>
        <v>45745.87975</v>
      </c>
      <c r="Y25" s="177" t="str">
        <f>IFERROR(__xludf.DUMMYFUNCTION("""COMPUTED_VALUE"""),"Docklands")</f>
        <v>Docklands</v>
      </c>
      <c r="Z25" s="177" t="str">
        <f>IFERROR(__xludf.DUMMYFUNCTION("""COMPUTED_VALUE"""),"St Kilda")</f>
        <v>St Kilda</v>
      </c>
      <c r="AA25" s="177">
        <f>IFERROR(__xludf.DUMMYFUNCTION("""COMPUTED_VALUE"""),15.0)</f>
        <v>15</v>
      </c>
      <c r="AB25" s="177">
        <f>IFERROR(__xludf.DUMMYFUNCTION("""COMPUTED_VALUE"""),2025.0)</f>
        <v>2025</v>
      </c>
      <c r="AC25" s="177" t="str">
        <f t="shared" si="3"/>
        <v>Saturday</v>
      </c>
    </row>
    <row r="26">
      <c r="A26" s="175" t="str">
        <f t="shared" si="1"/>
        <v>35</v>
      </c>
      <c r="B26" s="176">
        <f t="shared" si="2"/>
        <v>5</v>
      </c>
      <c r="C26" s="177">
        <f>IFERROR(__xludf.DUMMYFUNCTION("""COMPUTED_VALUE"""),37090.0)</f>
        <v>37090</v>
      </c>
      <c r="D26" s="177">
        <f>IFERROR(__xludf.DUMMYFUNCTION("""COMPUTED_VALUE"""),7.0)</f>
        <v>7</v>
      </c>
      <c r="E26" s="177">
        <f>IFERROR(__xludf.DUMMYFUNCTION("""COMPUTED_VALUE"""),9.0)</f>
        <v>9</v>
      </c>
      <c r="F26" s="177">
        <f>IFERROR(__xludf.DUMMYFUNCTION("""COMPUTED_VALUE"""),61.0)</f>
        <v>61</v>
      </c>
      <c r="G26" s="177" t="str">
        <f>IFERROR(__xludf.DUMMYFUNCTION("""COMPUTED_VALUE"""),"Geelong")</f>
        <v>Geelong</v>
      </c>
      <c r="H26" s="177">
        <f>IFERROR(__xludf.DUMMYFUNCTION("""COMPUTED_VALUE"""),7.0)</f>
        <v>7</v>
      </c>
      <c r="I26" s="177">
        <f>IFERROR(__xludf.DUMMYFUNCTION("""COMPUTED_VALUE"""),100.0)</f>
        <v>100</v>
      </c>
      <c r="J26" s="178">
        <f>IFERROR(__xludf.DUMMYFUNCTION("""COMPUTED_VALUE"""),45745.81597222222)</f>
        <v>45745.81597</v>
      </c>
      <c r="K26" s="177">
        <f>IFERROR(__xludf.DUMMYFUNCTION("""COMPUTED_VALUE"""),10.0)</f>
        <v>10</v>
      </c>
      <c r="L26" s="177">
        <f>IFERROR(__xludf.DUMMYFUNCTION("""COMPUTED_VALUE"""),10.0)</f>
        <v>10</v>
      </c>
      <c r="M26" s="177">
        <f>IFERROR(__xludf.DUMMYFUNCTION("""COMPUTED_VALUE"""),70.0)</f>
        <v>70</v>
      </c>
      <c r="N26" s="177" t="str">
        <f>IFERROR(__xludf.DUMMYFUNCTION("""COMPUTED_VALUE"""),"Brisbane Lions")</f>
        <v>Brisbane Lions</v>
      </c>
      <c r="O26" s="177">
        <f>IFERROR(__xludf.DUMMYFUNCTION("""COMPUTED_VALUE"""),2.0)</f>
        <v>2</v>
      </c>
      <c r="P26" s="177">
        <f>IFERROR(__xludf.DUMMYFUNCTION("""COMPUTED_VALUE"""),0.0)</f>
        <v>0</v>
      </c>
      <c r="Q26" s="177">
        <f>IFERROR(__xludf.DUMMYFUNCTION("""COMPUTED_VALUE"""),0.0)</f>
        <v>0</v>
      </c>
      <c r="R26" s="178">
        <f>IFERROR(__xludf.DUMMYFUNCTION("""COMPUTED_VALUE"""),45745.774305555555)</f>
        <v>45745.77431</v>
      </c>
      <c r="S26" s="177">
        <f>IFERROR(__xludf.DUMMYFUNCTION("""COMPUTED_VALUE"""),3.0)</f>
        <v>3</v>
      </c>
      <c r="T26" s="177" t="str">
        <f>IFERROR(__xludf.DUMMYFUNCTION("""COMPUTED_VALUE"""),"Round 3")</f>
        <v>Round 3</v>
      </c>
      <c r="U26" s="177" t="str">
        <f>IFERROR(__xludf.DUMMYFUNCTION("""COMPUTED_VALUE"""),"Full Time")</f>
        <v>Full Time</v>
      </c>
      <c r="V26" s="177" t="str">
        <f>IFERROR(__xludf.DUMMYFUNCTION("""COMPUTED_VALUE"""),"+11:00")</f>
        <v>+11:00</v>
      </c>
      <c r="W26" s="177">
        <f>IFERROR(__xludf.DUMMYFUNCTION("""COMPUTED_VALUE"""),1.7432373E9)</f>
        <v>1743237300</v>
      </c>
      <c r="X26" s="178">
        <f>IFERROR(__xludf.DUMMYFUNCTION("""COMPUTED_VALUE"""),45745.92901620371)</f>
        <v>45745.92902</v>
      </c>
      <c r="Y26" s="177" t="str">
        <f>IFERROR(__xludf.DUMMYFUNCTION("""COMPUTED_VALUE"""),"Gabba")</f>
        <v>Gabba</v>
      </c>
      <c r="Z26" s="177" t="str">
        <f>IFERROR(__xludf.DUMMYFUNCTION("""COMPUTED_VALUE"""),"Brisbane Lions")</f>
        <v>Brisbane Lions</v>
      </c>
      <c r="AA26" s="177">
        <f>IFERROR(__xludf.DUMMYFUNCTION("""COMPUTED_VALUE"""),2.0)</f>
        <v>2</v>
      </c>
      <c r="AB26" s="177">
        <f>IFERROR(__xludf.DUMMYFUNCTION("""COMPUTED_VALUE"""),2025.0)</f>
        <v>2025</v>
      </c>
      <c r="AC26" s="177" t="str">
        <f t="shared" si="3"/>
        <v>Saturday</v>
      </c>
    </row>
    <row r="27">
      <c r="A27" s="175" t="str">
        <f t="shared" si="1"/>
        <v>36</v>
      </c>
      <c r="B27" s="176">
        <f t="shared" si="2"/>
        <v>6</v>
      </c>
      <c r="C27" s="177">
        <f>IFERROR(__xludf.DUMMYFUNCTION("""COMPUTED_VALUE"""),37115.0)</f>
        <v>37115</v>
      </c>
      <c r="D27" s="177">
        <f>IFERROR(__xludf.DUMMYFUNCTION("""COMPUTED_VALUE"""),10.0)</f>
        <v>10</v>
      </c>
      <c r="E27" s="177">
        <f>IFERROR(__xludf.DUMMYFUNCTION("""COMPUTED_VALUE"""),9.0)</f>
        <v>9</v>
      </c>
      <c r="F27" s="177">
        <f>IFERROR(__xludf.DUMMYFUNCTION("""COMPUTED_VALUE"""),64.0)</f>
        <v>64</v>
      </c>
      <c r="G27" s="177" t="str">
        <f>IFERROR(__xludf.DUMMYFUNCTION("""COMPUTED_VALUE"""),"Greater Western Sydney")</f>
        <v>Greater Western Sydney</v>
      </c>
      <c r="H27" s="177">
        <f>IFERROR(__xludf.DUMMYFUNCTION("""COMPUTED_VALUE"""),9.0)</f>
        <v>9</v>
      </c>
      <c r="I27" s="177">
        <f>IFERROR(__xludf.DUMMYFUNCTION("""COMPUTED_VALUE"""),100.0)</f>
        <v>100</v>
      </c>
      <c r="J27" s="178">
        <f>IFERROR(__xludf.DUMMYFUNCTION("""COMPUTED_VALUE"""),45745.81597222222)</f>
        <v>45745.81597</v>
      </c>
      <c r="K27" s="177">
        <f>IFERROR(__xludf.DUMMYFUNCTION("""COMPUTED_VALUE"""),16.0)</f>
        <v>16</v>
      </c>
      <c r="L27" s="177">
        <f>IFERROR(__xludf.DUMMYFUNCTION("""COMPUTED_VALUE"""),10.0)</f>
        <v>10</v>
      </c>
      <c r="M27" s="177">
        <f>IFERROR(__xludf.DUMMYFUNCTION("""COMPUTED_VALUE"""),76.0)</f>
        <v>76</v>
      </c>
      <c r="N27" s="177" t="str">
        <f>IFERROR(__xludf.DUMMYFUNCTION("""COMPUTED_VALUE"""),"Hawthorn")</f>
        <v>Hawthorn</v>
      </c>
      <c r="O27" s="177">
        <f>IFERROR(__xludf.DUMMYFUNCTION("""COMPUTED_VALUE"""),10.0)</f>
        <v>10</v>
      </c>
      <c r="P27" s="177">
        <f>IFERROR(__xludf.DUMMYFUNCTION("""COMPUTED_VALUE"""),0.0)</f>
        <v>0</v>
      </c>
      <c r="Q27" s="177">
        <f>IFERROR(__xludf.DUMMYFUNCTION("""COMPUTED_VALUE"""),0.0)</f>
        <v>0</v>
      </c>
      <c r="R27" s="178">
        <f>IFERROR(__xludf.DUMMYFUNCTION("""COMPUTED_VALUE"""),45745.81597222222)</f>
        <v>45745.81597</v>
      </c>
      <c r="S27" s="177">
        <f>IFERROR(__xludf.DUMMYFUNCTION("""COMPUTED_VALUE"""),3.0)</f>
        <v>3</v>
      </c>
      <c r="T27" s="177" t="str">
        <f>IFERROR(__xludf.DUMMYFUNCTION("""COMPUTED_VALUE"""),"Round 3")</f>
        <v>Round 3</v>
      </c>
      <c r="U27" s="177" t="str">
        <f>IFERROR(__xludf.DUMMYFUNCTION("""COMPUTED_VALUE"""),"Full Time")</f>
        <v>Full Time</v>
      </c>
      <c r="V27" s="177" t="str">
        <f>IFERROR(__xludf.DUMMYFUNCTION("""COMPUTED_VALUE"""),"+11:00")</f>
        <v>+11:00</v>
      </c>
      <c r="W27" s="177">
        <f>IFERROR(__xludf.DUMMYFUNCTION("""COMPUTED_VALUE"""),1.7432373E9)</f>
        <v>1743237300</v>
      </c>
      <c r="X27" s="178">
        <f>IFERROR(__xludf.DUMMYFUNCTION("""COMPUTED_VALUE"""),45745.9227662037)</f>
        <v>45745.92277</v>
      </c>
      <c r="Y27" s="177" t="str">
        <f>IFERROR(__xludf.DUMMYFUNCTION("""COMPUTED_VALUE"""),"York Park")</f>
        <v>York Park</v>
      </c>
      <c r="Z27" s="177" t="str">
        <f>IFERROR(__xludf.DUMMYFUNCTION("""COMPUTED_VALUE"""),"Hawthorn")</f>
        <v>Hawthorn</v>
      </c>
      <c r="AA27" s="177">
        <f>IFERROR(__xludf.DUMMYFUNCTION("""COMPUTED_VALUE"""),10.0)</f>
        <v>10</v>
      </c>
      <c r="AB27" s="177">
        <f>IFERROR(__xludf.DUMMYFUNCTION("""COMPUTED_VALUE"""),2025.0)</f>
        <v>2025</v>
      </c>
      <c r="AC27" s="177" t="str">
        <f t="shared" si="3"/>
        <v>Saturday</v>
      </c>
    </row>
    <row r="28">
      <c r="A28" s="175" t="str">
        <f t="shared" si="1"/>
        <v>37</v>
      </c>
      <c r="B28" s="176">
        <f t="shared" si="2"/>
        <v>7</v>
      </c>
      <c r="C28" s="177">
        <f>IFERROR(__xludf.DUMMYFUNCTION("""COMPUTED_VALUE"""),37116.0)</f>
        <v>37116</v>
      </c>
      <c r="D28" s="177">
        <f>IFERROR(__xludf.DUMMYFUNCTION("""COMPUTED_VALUE"""),6.0)</f>
        <v>6</v>
      </c>
      <c r="E28" s="177">
        <f>IFERROR(__xludf.DUMMYFUNCTION("""COMPUTED_VALUE"""),12.0)</f>
        <v>12</v>
      </c>
      <c r="F28" s="177">
        <f>IFERROR(__xludf.DUMMYFUNCTION("""COMPUTED_VALUE"""),78.0)</f>
        <v>78</v>
      </c>
      <c r="G28" s="177" t="str">
        <f>IFERROR(__xludf.DUMMYFUNCTION("""COMPUTED_VALUE"""),"North Melbourne")</f>
        <v>North Melbourne</v>
      </c>
      <c r="H28" s="177">
        <f>IFERROR(__xludf.DUMMYFUNCTION("""COMPUTED_VALUE"""),12.0)</f>
        <v>12</v>
      </c>
      <c r="I28" s="177">
        <f>IFERROR(__xludf.DUMMYFUNCTION("""COMPUTED_VALUE"""),100.0)</f>
        <v>100</v>
      </c>
      <c r="J28" s="178">
        <f>IFERROR(__xludf.DUMMYFUNCTION("""COMPUTED_VALUE"""),45746.63888888889)</f>
        <v>45746.63889</v>
      </c>
      <c r="K28" s="177">
        <f>IFERROR(__xludf.DUMMYFUNCTION("""COMPUTED_VALUE"""),12.0)</f>
        <v>12</v>
      </c>
      <c r="L28" s="177">
        <f>IFERROR(__xludf.DUMMYFUNCTION("""COMPUTED_VALUE"""),17.0)</f>
        <v>17</v>
      </c>
      <c r="M28" s="177">
        <f>IFERROR(__xludf.DUMMYFUNCTION("""COMPUTED_VALUE"""),114.0)</f>
        <v>114</v>
      </c>
      <c r="N28" s="177" t="str">
        <f>IFERROR(__xludf.DUMMYFUNCTION("""COMPUTED_VALUE"""),"Adelaide")</f>
        <v>Adelaide</v>
      </c>
      <c r="O28" s="177">
        <f>IFERROR(__xludf.DUMMYFUNCTION("""COMPUTED_VALUE"""),1.0)</f>
        <v>1</v>
      </c>
      <c r="P28" s="177">
        <f>IFERROR(__xludf.DUMMYFUNCTION("""COMPUTED_VALUE"""),0.0)</f>
        <v>0</v>
      </c>
      <c r="Q28" s="177">
        <f>IFERROR(__xludf.DUMMYFUNCTION("""COMPUTED_VALUE"""),0.0)</f>
        <v>0</v>
      </c>
      <c r="R28" s="178">
        <f>IFERROR(__xludf.DUMMYFUNCTION("""COMPUTED_VALUE"""),45746.618055555555)</f>
        <v>45746.61806</v>
      </c>
      <c r="S28" s="177">
        <f>IFERROR(__xludf.DUMMYFUNCTION("""COMPUTED_VALUE"""),3.0)</f>
        <v>3</v>
      </c>
      <c r="T28" s="177" t="str">
        <f>IFERROR(__xludf.DUMMYFUNCTION("""COMPUTED_VALUE"""),"Round 3")</f>
        <v>Round 3</v>
      </c>
      <c r="U28" s="177" t="str">
        <f>IFERROR(__xludf.DUMMYFUNCTION("""COMPUTED_VALUE"""),"Full Time")</f>
        <v>Full Time</v>
      </c>
      <c r="V28" s="177" t="str">
        <f>IFERROR(__xludf.DUMMYFUNCTION("""COMPUTED_VALUE"""),"+11:00")</f>
        <v>+11:00</v>
      </c>
      <c r="W28" s="177">
        <f>IFERROR(__xludf.DUMMYFUNCTION("""COMPUTED_VALUE"""),1.7433084E9)</f>
        <v>1743308400</v>
      </c>
      <c r="X28" s="178">
        <f>IFERROR(__xludf.DUMMYFUNCTION("""COMPUTED_VALUE"""),45746.75309027778)</f>
        <v>45746.75309</v>
      </c>
      <c r="Y28" s="177" t="str">
        <f>IFERROR(__xludf.DUMMYFUNCTION("""COMPUTED_VALUE"""),"Adelaide Oval")</f>
        <v>Adelaide Oval</v>
      </c>
      <c r="Z28" s="177" t="str">
        <f>IFERROR(__xludf.DUMMYFUNCTION("""COMPUTED_VALUE"""),"Adelaide")</f>
        <v>Adelaide</v>
      </c>
      <c r="AA28" s="177">
        <f>IFERROR(__xludf.DUMMYFUNCTION("""COMPUTED_VALUE"""),1.0)</f>
        <v>1</v>
      </c>
      <c r="AB28" s="177">
        <f>IFERROR(__xludf.DUMMYFUNCTION("""COMPUTED_VALUE"""),2025.0)</f>
        <v>2025</v>
      </c>
      <c r="AC28" s="177" t="str">
        <f t="shared" si="3"/>
        <v>Sunday</v>
      </c>
    </row>
    <row r="29">
      <c r="A29" s="175" t="str">
        <f t="shared" si="1"/>
        <v>38</v>
      </c>
      <c r="B29" s="176">
        <f t="shared" si="2"/>
        <v>8</v>
      </c>
      <c r="C29" s="177">
        <f>IFERROR(__xludf.DUMMYFUNCTION("""COMPUTED_VALUE"""),37117.0)</f>
        <v>37117</v>
      </c>
      <c r="D29" s="177">
        <f>IFERROR(__xludf.DUMMYFUNCTION("""COMPUTED_VALUE"""),16.0)</f>
        <v>16</v>
      </c>
      <c r="E29" s="177">
        <f>IFERROR(__xludf.DUMMYFUNCTION("""COMPUTED_VALUE"""),15.0)</f>
        <v>15</v>
      </c>
      <c r="F29" s="177">
        <f>IFERROR(__xludf.DUMMYFUNCTION("""COMPUTED_VALUE"""),106.0)</f>
        <v>106</v>
      </c>
      <c r="G29" s="177" t="str">
        <f>IFERROR(__xludf.DUMMYFUNCTION("""COMPUTED_VALUE"""),"Fremantle")</f>
        <v>Fremantle</v>
      </c>
      <c r="H29" s="177">
        <f>IFERROR(__xludf.DUMMYFUNCTION("""COMPUTED_VALUE"""),6.0)</f>
        <v>6</v>
      </c>
      <c r="I29" s="177">
        <f>IFERROR(__xludf.DUMMYFUNCTION("""COMPUTED_VALUE"""),100.0)</f>
        <v>100</v>
      </c>
      <c r="J29" s="178">
        <f>IFERROR(__xludf.DUMMYFUNCTION("""COMPUTED_VALUE"""),45746.756944444445)</f>
        <v>45746.75694</v>
      </c>
      <c r="K29" s="177">
        <f>IFERROR(__xludf.DUMMYFUNCTION("""COMPUTED_VALUE"""),8.0)</f>
        <v>8</v>
      </c>
      <c r="L29" s="177">
        <f>IFERROR(__xludf.DUMMYFUNCTION("""COMPUTED_VALUE"""),10.0)</f>
        <v>10</v>
      </c>
      <c r="M29" s="177">
        <f>IFERROR(__xludf.DUMMYFUNCTION("""COMPUTED_VALUE"""),68.0)</f>
        <v>68</v>
      </c>
      <c r="N29" s="177" t="str">
        <f>IFERROR(__xludf.DUMMYFUNCTION("""COMPUTED_VALUE"""),"West Coast")</f>
        <v>West Coast</v>
      </c>
      <c r="O29" s="177">
        <f>IFERROR(__xludf.DUMMYFUNCTION("""COMPUTED_VALUE"""),17.0)</f>
        <v>17</v>
      </c>
      <c r="P29" s="177">
        <f>IFERROR(__xludf.DUMMYFUNCTION("""COMPUTED_VALUE"""),0.0)</f>
        <v>0</v>
      </c>
      <c r="Q29" s="177">
        <f>IFERROR(__xludf.DUMMYFUNCTION("""COMPUTED_VALUE"""),0.0)</f>
        <v>0</v>
      </c>
      <c r="R29" s="178">
        <f>IFERROR(__xludf.DUMMYFUNCTION("""COMPUTED_VALUE"""),45746.631944444445)</f>
        <v>45746.63194</v>
      </c>
      <c r="S29" s="177">
        <f>IFERROR(__xludf.DUMMYFUNCTION("""COMPUTED_VALUE"""),3.0)</f>
        <v>3</v>
      </c>
      <c r="T29" s="177" t="str">
        <f>IFERROR(__xludf.DUMMYFUNCTION("""COMPUTED_VALUE"""),"Round 3")</f>
        <v>Round 3</v>
      </c>
      <c r="U29" s="177" t="str">
        <f>IFERROR(__xludf.DUMMYFUNCTION("""COMPUTED_VALUE"""),"Full Time")</f>
        <v>Full Time</v>
      </c>
      <c r="V29" s="177" t="str">
        <f>IFERROR(__xludf.DUMMYFUNCTION("""COMPUTED_VALUE"""),"+11:00")</f>
        <v>+11:00</v>
      </c>
      <c r="W29" s="177">
        <f>IFERROR(__xludf.DUMMYFUNCTION("""COMPUTED_VALUE"""),1.7433186E9)</f>
        <v>1743318600</v>
      </c>
      <c r="X29" s="178">
        <f>IFERROR(__xludf.DUMMYFUNCTION("""COMPUTED_VALUE"""),45746.87059027778)</f>
        <v>45746.87059</v>
      </c>
      <c r="Y29" s="177" t="str">
        <f>IFERROR(__xludf.DUMMYFUNCTION("""COMPUTED_VALUE"""),"Perth Stadium")</f>
        <v>Perth Stadium</v>
      </c>
      <c r="Z29" s="177" t="str">
        <f>IFERROR(__xludf.DUMMYFUNCTION("""COMPUTED_VALUE"""),"Fremantle")</f>
        <v>Fremantle</v>
      </c>
      <c r="AA29" s="177">
        <f>IFERROR(__xludf.DUMMYFUNCTION("""COMPUTED_VALUE"""),6.0)</f>
        <v>6</v>
      </c>
      <c r="AB29" s="177">
        <f>IFERROR(__xludf.DUMMYFUNCTION("""COMPUTED_VALUE"""),2025.0)</f>
        <v>2025</v>
      </c>
      <c r="AC29" s="177" t="str">
        <f t="shared" si="3"/>
        <v>Sunday</v>
      </c>
    </row>
    <row r="30">
      <c r="A30" s="175" t="str">
        <f t="shared" si="1"/>
        <v>41</v>
      </c>
      <c r="B30" s="176">
        <f t="shared" si="2"/>
        <v>1</v>
      </c>
      <c r="C30" s="177">
        <f>IFERROR(__xludf.DUMMYFUNCTION("""COMPUTED_VALUE"""),37118.0)</f>
        <v>37118</v>
      </c>
      <c r="D30" s="177">
        <f>IFERROR(__xludf.DUMMYFUNCTION("""COMPUTED_VALUE"""),10.0)</f>
        <v>10</v>
      </c>
      <c r="E30" s="177">
        <f>IFERROR(__xludf.DUMMYFUNCTION("""COMPUTED_VALUE"""),6.0)</f>
        <v>6</v>
      </c>
      <c r="F30" s="177">
        <f>IFERROR(__xludf.DUMMYFUNCTION("""COMPUTED_VALUE"""),46.0)</f>
        <v>46</v>
      </c>
      <c r="G30" s="177" t="str">
        <f>IFERROR(__xludf.DUMMYFUNCTION("""COMPUTED_VALUE"""),"Carlton")</f>
        <v>Carlton</v>
      </c>
      <c r="H30" s="177">
        <f>IFERROR(__xludf.DUMMYFUNCTION("""COMPUTED_VALUE"""),3.0)</f>
        <v>3</v>
      </c>
      <c r="I30" s="177">
        <f>IFERROR(__xludf.DUMMYFUNCTION("""COMPUTED_VALUE"""),100.0)</f>
        <v>100</v>
      </c>
      <c r="J30" s="178">
        <f>IFERROR(__xludf.DUMMYFUNCTION("""COMPUTED_VALUE"""),45750.8125)</f>
        <v>45750.8125</v>
      </c>
      <c r="K30" s="177">
        <f>IFERROR(__xludf.DUMMYFUNCTION("""COMPUTED_VALUE"""),15.0)</f>
        <v>15</v>
      </c>
      <c r="L30" s="177">
        <f>IFERROR(__xludf.DUMMYFUNCTION("""COMPUTED_VALUE"""),8.0)</f>
        <v>8</v>
      </c>
      <c r="M30" s="177">
        <f>IFERROR(__xludf.DUMMYFUNCTION("""COMPUTED_VALUE"""),63.0)</f>
        <v>63</v>
      </c>
      <c r="N30" s="177" t="str">
        <f>IFERROR(__xludf.DUMMYFUNCTION("""COMPUTED_VALUE"""),"Collingwood")</f>
        <v>Collingwood</v>
      </c>
      <c r="O30" s="177">
        <f>IFERROR(__xludf.DUMMYFUNCTION("""COMPUTED_VALUE"""),4.0)</f>
        <v>4</v>
      </c>
      <c r="P30" s="177">
        <f>IFERROR(__xludf.DUMMYFUNCTION("""COMPUTED_VALUE"""),0.0)</f>
        <v>0</v>
      </c>
      <c r="Q30" s="177">
        <f>IFERROR(__xludf.DUMMYFUNCTION("""COMPUTED_VALUE"""),0.0)</f>
        <v>0</v>
      </c>
      <c r="R30" s="178">
        <f>IFERROR(__xludf.DUMMYFUNCTION("""COMPUTED_VALUE"""),45750.8125)</f>
        <v>45750.8125</v>
      </c>
      <c r="S30" s="177">
        <f>IFERROR(__xludf.DUMMYFUNCTION("""COMPUTED_VALUE"""),4.0)</f>
        <v>4</v>
      </c>
      <c r="T30" s="177" t="str">
        <f>IFERROR(__xludf.DUMMYFUNCTION("""COMPUTED_VALUE"""),"Round 4")</f>
        <v>Round 4</v>
      </c>
      <c r="U30" s="177" t="str">
        <f>IFERROR(__xludf.DUMMYFUNCTION("""COMPUTED_VALUE"""),"Full Time")</f>
        <v>Full Time</v>
      </c>
      <c r="V30" s="177" t="str">
        <f>IFERROR(__xludf.DUMMYFUNCTION("""COMPUTED_VALUE"""),"+11:00")</f>
        <v>+11:00</v>
      </c>
      <c r="W30" s="177">
        <f>IFERROR(__xludf.DUMMYFUNCTION("""COMPUTED_VALUE"""),1.743669E9)</f>
        <v>1743669000</v>
      </c>
      <c r="X30" s="178">
        <f>IFERROR(__xludf.DUMMYFUNCTION("""COMPUTED_VALUE"""),45750.924675925926)</f>
        <v>45750.92468</v>
      </c>
      <c r="Y30" s="177" t="str">
        <f>IFERROR(__xludf.DUMMYFUNCTION("""COMPUTED_VALUE"""),"M.C.G.")</f>
        <v>M.C.G.</v>
      </c>
      <c r="Z30" s="177" t="str">
        <f>IFERROR(__xludf.DUMMYFUNCTION("""COMPUTED_VALUE"""),"Collingwood")</f>
        <v>Collingwood</v>
      </c>
      <c r="AA30" s="177">
        <f>IFERROR(__xludf.DUMMYFUNCTION("""COMPUTED_VALUE"""),4.0)</f>
        <v>4</v>
      </c>
      <c r="AB30" s="177">
        <f>IFERROR(__xludf.DUMMYFUNCTION("""COMPUTED_VALUE"""),2025.0)</f>
        <v>2025</v>
      </c>
      <c r="AC30" s="177" t="str">
        <f t="shared" si="3"/>
        <v>Thursday</v>
      </c>
    </row>
    <row r="31">
      <c r="A31" s="175" t="str">
        <f t="shared" si="1"/>
        <v>42</v>
      </c>
      <c r="B31" s="176">
        <f t="shared" si="2"/>
        <v>2</v>
      </c>
      <c r="C31" s="177">
        <f>IFERROR(__xludf.DUMMYFUNCTION("""COMPUTED_VALUE"""),37119.0)</f>
        <v>37119</v>
      </c>
      <c r="D31" s="177">
        <f>IFERROR(__xludf.DUMMYFUNCTION("""COMPUTED_VALUE"""),10.0)</f>
        <v>10</v>
      </c>
      <c r="E31" s="177">
        <f>IFERROR(__xludf.DUMMYFUNCTION("""COMPUTED_VALUE"""),6.0)</f>
        <v>6</v>
      </c>
      <c r="F31" s="177">
        <f>IFERROR(__xludf.DUMMYFUNCTION("""COMPUTED_VALUE"""),46.0)</f>
        <v>46</v>
      </c>
      <c r="G31" s="177" t="str">
        <f>IFERROR(__xludf.DUMMYFUNCTION("""COMPUTED_VALUE"""),"Melbourne")</f>
        <v>Melbourne</v>
      </c>
      <c r="H31" s="177">
        <f>IFERROR(__xludf.DUMMYFUNCTION("""COMPUTED_VALUE"""),11.0)</f>
        <v>11</v>
      </c>
      <c r="I31" s="177">
        <f>IFERROR(__xludf.DUMMYFUNCTION("""COMPUTED_VALUE"""),100.0)</f>
        <v>100</v>
      </c>
      <c r="J31" s="178">
        <f>IFERROR(__xludf.DUMMYFUNCTION("""COMPUTED_VALUE"""),45751.819444444445)</f>
        <v>45751.81944</v>
      </c>
      <c r="K31" s="177">
        <f>IFERROR(__xludf.DUMMYFUNCTION("""COMPUTED_VALUE"""),13.0)</f>
        <v>13</v>
      </c>
      <c r="L31" s="177">
        <f>IFERROR(__xludf.DUMMYFUNCTION("""COMPUTED_VALUE"""),12.0)</f>
        <v>12</v>
      </c>
      <c r="M31" s="177">
        <f>IFERROR(__xludf.DUMMYFUNCTION("""COMPUTED_VALUE"""),85.0)</f>
        <v>85</v>
      </c>
      <c r="N31" s="177" t="str">
        <f>IFERROR(__xludf.DUMMYFUNCTION("""COMPUTED_VALUE"""),"Geelong")</f>
        <v>Geelong</v>
      </c>
      <c r="O31" s="177">
        <f>IFERROR(__xludf.DUMMYFUNCTION("""COMPUTED_VALUE"""),7.0)</f>
        <v>7</v>
      </c>
      <c r="P31" s="177">
        <f>IFERROR(__xludf.DUMMYFUNCTION("""COMPUTED_VALUE"""),0.0)</f>
        <v>0</v>
      </c>
      <c r="Q31" s="177">
        <f>IFERROR(__xludf.DUMMYFUNCTION("""COMPUTED_VALUE"""),0.0)</f>
        <v>0</v>
      </c>
      <c r="R31" s="178">
        <f>IFERROR(__xludf.DUMMYFUNCTION("""COMPUTED_VALUE"""),45751.819444444445)</f>
        <v>45751.81944</v>
      </c>
      <c r="S31" s="177">
        <f>IFERROR(__xludf.DUMMYFUNCTION("""COMPUTED_VALUE"""),4.0)</f>
        <v>4</v>
      </c>
      <c r="T31" s="177" t="str">
        <f>IFERROR(__xludf.DUMMYFUNCTION("""COMPUTED_VALUE"""),"Round 4")</f>
        <v>Round 4</v>
      </c>
      <c r="U31" s="177" t="str">
        <f>IFERROR(__xludf.DUMMYFUNCTION("""COMPUTED_VALUE"""),"Full Time")</f>
        <v>Full Time</v>
      </c>
      <c r="V31" s="177" t="str">
        <f>IFERROR(__xludf.DUMMYFUNCTION("""COMPUTED_VALUE"""),"+11:00")</f>
        <v>+11:00</v>
      </c>
      <c r="W31" s="177">
        <f>IFERROR(__xludf.DUMMYFUNCTION("""COMPUTED_VALUE"""),1.743756E9)</f>
        <v>1743756000</v>
      </c>
      <c r="X31" s="178">
        <f>IFERROR(__xludf.DUMMYFUNCTION("""COMPUTED_VALUE"""),45751.92493055556)</f>
        <v>45751.92493</v>
      </c>
      <c r="Y31" s="177" t="str">
        <f>IFERROR(__xludf.DUMMYFUNCTION("""COMPUTED_VALUE"""),"Kardinia Park")</f>
        <v>Kardinia Park</v>
      </c>
      <c r="Z31" s="177" t="str">
        <f>IFERROR(__xludf.DUMMYFUNCTION("""COMPUTED_VALUE"""),"Geelong")</f>
        <v>Geelong</v>
      </c>
      <c r="AA31" s="177">
        <f>IFERROR(__xludf.DUMMYFUNCTION("""COMPUTED_VALUE"""),7.0)</f>
        <v>7</v>
      </c>
      <c r="AB31" s="177">
        <f>IFERROR(__xludf.DUMMYFUNCTION("""COMPUTED_VALUE"""),2025.0)</f>
        <v>2025</v>
      </c>
      <c r="AC31" s="177" t="str">
        <f t="shared" si="3"/>
        <v>Friday</v>
      </c>
    </row>
    <row r="32">
      <c r="A32" s="175" t="str">
        <f t="shared" si="1"/>
        <v>43</v>
      </c>
      <c r="B32" s="176">
        <f t="shared" si="2"/>
        <v>3</v>
      </c>
      <c r="C32" s="177">
        <f>IFERROR(__xludf.DUMMYFUNCTION("""COMPUTED_VALUE"""),37120.0)</f>
        <v>37120</v>
      </c>
      <c r="D32" s="177">
        <f>IFERROR(__xludf.DUMMYFUNCTION("""COMPUTED_VALUE"""),6.0)</f>
        <v>6</v>
      </c>
      <c r="E32" s="177">
        <f>IFERROR(__xludf.DUMMYFUNCTION("""COMPUTED_VALUE"""),14.0)</f>
        <v>14</v>
      </c>
      <c r="F32" s="177">
        <f>IFERROR(__xludf.DUMMYFUNCTION("""COMPUTED_VALUE"""),90.0)</f>
        <v>90</v>
      </c>
      <c r="G32" s="177" t="str">
        <f>IFERROR(__xludf.DUMMYFUNCTION("""COMPUTED_VALUE"""),"Adelaide")</f>
        <v>Adelaide</v>
      </c>
      <c r="H32" s="177">
        <f>IFERROR(__xludf.DUMMYFUNCTION("""COMPUTED_VALUE"""),1.0)</f>
        <v>1</v>
      </c>
      <c r="I32" s="177">
        <f>IFERROR(__xludf.DUMMYFUNCTION("""COMPUTED_VALUE"""),100.0)</f>
        <v>100</v>
      </c>
      <c r="J32" s="178">
        <f>IFERROR(__xludf.DUMMYFUNCTION("""COMPUTED_VALUE"""),45752.555555555555)</f>
        <v>45752.55556</v>
      </c>
      <c r="K32" s="177">
        <f>IFERROR(__xludf.DUMMYFUNCTION("""COMPUTED_VALUE"""),13.0)</f>
        <v>13</v>
      </c>
      <c r="L32" s="177">
        <f>IFERROR(__xludf.DUMMYFUNCTION("""COMPUTED_VALUE"""),13.0)</f>
        <v>13</v>
      </c>
      <c r="M32" s="177">
        <f>IFERROR(__xludf.DUMMYFUNCTION("""COMPUTED_VALUE"""),91.0)</f>
        <v>91</v>
      </c>
      <c r="N32" s="177" t="str">
        <f>IFERROR(__xludf.DUMMYFUNCTION("""COMPUTED_VALUE"""),"Gold Coast")</f>
        <v>Gold Coast</v>
      </c>
      <c r="O32" s="177">
        <f>IFERROR(__xludf.DUMMYFUNCTION("""COMPUTED_VALUE"""),8.0)</f>
        <v>8</v>
      </c>
      <c r="P32" s="177">
        <f>IFERROR(__xludf.DUMMYFUNCTION("""COMPUTED_VALUE"""),0.0)</f>
        <v>0</v>
      </c>
      <c r="Q32" s="177">
        <f>IFERROR(__xludf.DUMMYFUNCTION("""COMPUTED_VALUE"""),0.0)</f>
        <v>0</v>
      </c>
      <c r="R32" s="178">
        <f>IFERROR(__xludf.DUMMYFUNCTION("""COMPUTED_VALUE"""),45752.51388888889)</f>
        <v>45752.51389</v>
      </c>
      <c r="S32" s="177">
        <f>IFERROR(__xludf.DUMMYFUNCTION("""COMPUTED_VALUE"""),4.0)</f>
        <v>4</v>
      </c>
      <c r="T32" s="177" t="str">
        <f>IFERROR(__xludf.DUMMYFUNCTION("""COMPUTED_VALUE"""),"Round 4")</f>
        <v>Round 4</v>
      </c>
      <c r="U32" s="177" t="str">
        <f>IFERROR(__xludf.DUMMYFUNCTION("""COMPUTED_VALUE"""),"Full Time")</f>
        <v>Full Time</v>
      </c>
      <c r="V32" s="177" t="str">
        <f>IFERROR(__xludf.DUMMYFUNCTION("""COMPUTED_VALUE"""),"+11:00")</f>
        <v>+11:00</v>
      </c>
      <c r="W32" s="177">
        <f>IFERROR(__xludf.DUMMYFUNCTION("""COMPUTED_VALUE"""),1.7438196E9)</f>
        <v>1743819600</v>
      </c>
      <c r="X32" s="178">
        <f>IFERROR(__xludf.DUMMYFUNCTION("""COMPUTED_VALUE"""),45752.669594907406)</f>
        <v>45752.66959</v>
      </c>
      <c r="Y32" s="177" t="str">
        <f>IFERROR(__xludf.DUMMYFUNCTION("""COMPUTED_VALUE"""),"Carrara")</f>
        <v>Carrara</v>
      </c>
      <c r="Z32" s="177" t="str">
        <f>IFERROR(__xludf.DUMMYFUNCTION("""COMPUTED_VALUE"""),"Gold Coast")</f>
        <v>Gold Coast</v>
      </c>
      <c r="AA32" s="177">
        <f>IFERROR(__xludf.DUMMYFUNCTION("""COMPUTED_VALUE"""),8.0)</f>
        <v>8</v>
      </c>
      <c r="AB32" s="177">
        <f>IFERROR(__xludf.DUMMYFUNCTION("""COMPUTED_VALUE"""),2025.0)</f>
        <v>2025</v>
      </c>
      <c r="AC32" s="177" t="str">
        <f t="shared" si="3"/>
        <v>Saturday</v>
      </c>
    </row>
    <row r="33">
      <c r="A33" s="175" t="str">
        <f t="shared" si="1"/>
        <v>44</v>
      </c>
      <c r="B33" s="176">
        <f t="shared" si="2"/>
        <v>4</v>
      </c>
      <c r="C33" s="177">
        <f>IFERROR(__xludf.DUMMYFUNCTION("""COMPUTED_VALUE"""),37121.0)</f>
        <v>37121</v>
      </c>
      <c r="D33" s="177">
        <f>IFERROR(__xludf.DUMMYFUNCTION("""COMPUTED_VALUE"""),10.0)</f>
        <v>10</v>
      </c>
      <c r="E33" s="177">
        <f>IFERROR(__xludf.DUMMYFUNCTION("""COMPUTED_VALUE"""),18.0)</f>
        <v>18</v>
      </c>
      <c r="F33" s="177">
        <f>IFERROR(__xludf.DUMMYFUNCTION("""COMPUTED_VALUE"""),118.0)</f>
        <v>118</v>
      </c>
      <c r="G33" s="177" t="str">
        <f>IFERROR(__xludf.DUMMYFUNCTION("""COMPUTED_VALUE"""),"Brisbane Lions")</f>
        <v>Brisbane Lions</v>
      </c>
      <c r="H33" s="177">
        <f>IFERROR(__xludf.DUMMYFUNCTION("""COMPUTED_VALUE"""),2.0)</f>
        <v>2</v>
      </c>
      <c r="I33" s="177">
        <f>IFERROR(__xludf.DUMMYFUNCTION("""COMPUTED_VALUE"""),100.0)</f>
        <v>100</v>
      </c>
      <c r="J33" s="178">
        <f>IFERROR(__xludf.DUMMYFUNCTION("""COMPUTED_VALUE"""),45752.677083333336)</f>
        <v>45752.67708</v>
      </c>
      <c r="K33" s="177">
        <f>IFERROR(__xludf.DUMMYFUNCTION("""COMPUTED_VALUE"""),12.0)</f>
        <v>12</v>
      </c>
      <c r="L33" s="177">
        <f>IFERROR(__xludf.DUMMYFUNCTION("""COMPUTED_VALUE"""),13.0)</f>
        <v>13</v>
      </c>
      <c r="M33" s="177">
        <f>IFERROR(__xludf.DUMMYFUNCTION("""COMPUTED_VALUE"""),90.0)</f>
        <v>90</v>
      </c>
      <c r="N33" s="177" t="str">
        <f>IFERROR(__xludf.DUMMYFUNCTION("""COMPUTED_VALUE"""),"Richmond")</f>
        <v>Richmond</v>
      </c>
      <c r="O33" s="177">
        <f>IFERROR(__xludf.DUMMYFUNCTION("""COMPUTED_VALUE"""),14.0)</f>
        <v>14</v>
      </c>
      <c r="P33" s="177">
        <f>IFERROR(__xludf.DUMMYFUNCTION("""COMPUTED_VALUE"""),0.0)</f>
        <v>0</v>
      </c>
      <c r="Q33" s="177">
        <f>IFERROR(__xludf.DUMMYFUNCTION("""COMPUTED_VALUE"""),0.0)</f>
        <v>0</v>
      </c>
      <c r="R33" s="178">
        <f>IFERROR(__xludf.DUMMYFUNCTION("""COMPUTED_VALUE"""),45752.677083333336)</f>
        <v>45752.67708</v>
      </c>
      <c r="S33" s="177">
        <f>IFERROR(__xludf.DUMMYFUNCTION("""COMPUTED_VALUE"""),4.0)</f>
        <v>4</v>
      </c>
      <c r="T33" s="177" t="str">
        <f>IFERROR(__xludf.DUMMYFUNCTION("""COMPUTED_VALUE"""),"Round 4")</f>
        <v>Round 4</v>
      </c>
      <c r="U33" s="177" t="str">
        <f>IFERROR(__xludf.DUMMYFUNCTION("""COMPUTED_VALUE"""),"Full Time")</f>
        <v>Full Time</v>
      </c>
      <c r="V33" s="177" t="str">
        <f>IFERROR(__xludf.DUMMYFUNCTION("""COMPUTED_VALUE"""),"+11:00")</f>
        <v>+11:00</v>
      </c>
      <c r="W33" s="177">
        <f>IFERROR(__xludf.DUMMYFUNCTION("""COMPUTED_VALUE"""),1.7438301E9)</f>
        <v>1743830100</v>
      </c>
      <c r="X33" s="178">
        <f>IFERROR(__xludf.DUMMYFUNCTION("""COMPUTED_VALUE"""),45752.790358796294)</f>
        <v>45752.79036</v>
      </c>
      <c r="Y33" s="177" t="str">
        <f>IFERROR(__xludf.DUMMYFUNCTION("""COMPUTED_VALUE"""),"M.C.G.")</f>
        <v>M.C.G.</v>
      </c>
      <c r="Z33" s="177" t="str">
        <f>IFERROR(__xludf.DUMMYFUNCTION("""COMPUTED_VALUE"""),"Brisbane Lions")</f>
        <v>Brisbane Lions</v>
      </c>
      <c r="AA33" s="177">
        <f>IFERROR(__xludf.DUMMYFUNCTION("""COMPUTED_VALUE"""),2.0)</f>
        <v>2</v>
      </c>
      <c r="AB33" s="177">
        <f>IFERROR(__xludf.DUMMYFUNCTION("""COMPUTED_VALUE"""),2025.0)</f>
        <v>2025</v>
      </c>
      <c r="AC33" s="177" t="str">
        <f t="shared" si="3"/>
        <v>Saturday</v>
      </c>
    </row>
    <row r="34">
      <c r="A34" s="175" t="str">
        <f t="shared" si="1"/>
        <v>45</v>
      </c>
      <c r="B34" s="176">
        <f t="shared" si="2"/>
        <v>5</v>
      </c>
      <c r="C34" s="177">
        <f>IFERROR(__xludf.DUMMYFUNCTION("""COMPUTED_VALUE"""),37122.0)</f>
        <v>37122</v>
      </c>
      <c r="D34" s="177">
        <f>IFERROR(__xludf.DUMMYFUNCTION("""COMPUTED_VALUE"""),9.0)</f>
        <v>9</v>
      </c>
      <c r="E34" s="177">
        <f>IFERROR(__xludf.DUMMYFUNCTION("""COMPUTED_VALUE"""),18.0)</f>
        <v>18</v>
      </c>
      <c r="F34" s="177">
        <f>IFERROR(__xludf.DUMMYFUNCTION("""COMPUTED_VALUE"""),117.0)</f>
        <v>117</v>
      </c>
      <c r="G34" s="177" t="str">
        <f>IFERROR(__xludf.DUMMYFUNCTION("""COMPUTED_VALUE"""),"Sydney")</f>
        <v>Sydney</v>
      </c>
      <c r="H34" s="177">
        <f>IFERROR(__xludf.DUMMYFUNCTION("""COMPUTED_VALUE"""),16.0)</f>
        <v>16</v>
      </c>
      <c r="I34" s="177">
        <f>IFERROR(__xludf.DUMMYFUNCTION("""COMPUTED_VALUE"""),100.0)</f>
        <v>100</v>
      </c>
      <c r="J34" s="178">
        <f>IFERROR(__xludf.DUMMYFUNCTION("""COMPUTED_VALUE"""),45752.81597222222)</f>
        <v>45752.81597</v>
      </c>
      <c r="K34" s="177">
        <f>IFERROR(__xludf.DUMMYFUNCTION("""COMPUTED_VALUE"""),4.0)</f>
        <v>4</v>
      </c>
      <c r="L34" s="177">
        <f>IFERROR(__xludf.DUMMYFUNCTION("""COMPUTED_VALUE"""),8.0)</f>
        <v>8</v>
      </c>
      <c r="M34" s="177">
        <f>IFERROR(__xludf.DUMMYFUNCTION("""COMPUTED_VALUE"""),52.0)</f>
        <v>52</v>
      </c>
      <c r="N34" s="177" t="str">
        <f>IFERROR(__xludf.DUMMYFUNCTION("""COMPUTED_VALUE"""),"North Melbourne")</f>
        <v>North Melbourne</v>
      </c>
      <c r="O34" s="177">
        <f>IFERROR(__xludf.DUMMYFUNCTION("""COMPUTED_VALUE"""),12.0)</f>
        <v>12</v>
      </c>
      <c r="P34" s="177">
        <f>IFERROR(__xludf.DUMMYFUNCTION("""COMPUTED_VALUE"""),0.0)</f>
        <v>0</v>
      </c>
      <c r="Q34" s="177">
        <f>IFERROR(__xludf.DUMMYFUNCTION("""COMPUTED_VALUE"""),0.0)</f>
        <v>0</v>
      </c>
      <c r="R34" s="178">
        <f>IFERROR(__xludf.DUMMYFUNCTION("""COMPUTED_VALUE"""),45752.81597222222)</f>
        <v>45752.81597</v>
      </c>
      <c r="S34" s="177">
        <f>IFERROR(__xludf.DUMMYFUNCTION("""COMPUTED_VALUE"""),4.0)</f>
        <v>4</v>
      </c>
      <c r="T34" s="177" t="str">
        <f>IFERROR(__xludf.DUMMYFUNCTION("""COMPUTED_VALUE"""),"Round 4")</f>
        <v>Round 4</v>
      </c>
      <c r="U34" s="177" t="str">
        <f>IFERROR(__xludf.DUMMYFUNCTION("""COMPUTED_VALUE"""),"Full Time")</f>
        <v>Full Time</v>
      </c>
      <c r="V34" s="177" t="str">
        <f>IFERROR(__xludf.DUMMYFUNCTION("""COMPUTED_VALUE"""),"+11:00")</f>
        <v>+11:00</v>
      </c>
      <c r="W34" s="177">
        <f>IFERROR(__xludf.DUMMYFUNCTION("""COMPUTED_VALUE"""),1.7438421E9)</f>
        <v>1743842100</v>
      </c>
      <c r="X34" s="178">
        <f>IFERROR(__xludf.DUMMYFUNCTION("""COMPUTED_VALUE"""),45752.92371527778)</f>
        <v>45752.92372</v>
      </c>
      <c r="Y34" s="177" t="str">
        <f>IFERROR(__xludf.DUMMYFUNCTION("""COMPUTED_VALUE"""),"Docklands")</f>
        <v>Docklands</v>
      </c>
      <c r="Z34" s="177" t="str">
        <f>IFERROR(__xludf.DUMMYFUNCTION("""COMPUTED_VALUE"""),"Sydney")</f>
        <v>Sydney</v>
      </c>
      <c r="AA34" s="177">
        <f>IFERROR(__xludf.DUMMYFUNCTION("""COMPUTED_VALUE"""),16.0)</f>
        <v>16</v>
      </c>
      <c r="AB34" s="177">
        <f>IFERROR(__xludf.DUMMYFUNCTION("""COMPUTED_VALUE"""),2025.0)</f>
        <v>2025</v>
      </c>
      <c r="AC34" s="177" t="str">
        <f t="shared" si="3"/>
        <v>Saturday</v>
      </c>
    </row>
    <row r="35">
      <c r="A35" s="175" t="str">
        <f t="shared" si="1"/>
        <v>46</v>
      </c>
      <c r="B35" s="176">
        <f t="shared" si="2"/>
        <v>6</v>
      </c>
      <c r="C35" s="177">
        <f>IFERROR(__xludf.DUMMYFUNCTION("""COMPUTED_VALUE"""),37123.0)</f>
        <v>37123</v>
      </c>
      <c r="D35" s="177">
        <f>IFERROR(__xludf.DUMMYFUNCTION("""COMPUTED_VALUE"""),9.0)</f>
        <v>9</v>
      </c>
      <c r="E35" s="177">
        <f>IFERROR(__xludf.DUMMYFUNCTION("""COMPUTED_VALUE"""),7.0)</f>
        <v>7</v>
      </c>
      <c r="F35" s="177">
        <f>IFERROR(__xludf.DUMMYFUNCTION("""COMPUTED_VALUE"""),51.0)</f>
        <v>51</v>
      </c>
      <c r="G35" s="177" t="str">
        <f>IFERROR(__xludf.DUMMYFUNCTION("""COMPUTED_VALUE"""),"West Coast")</f>
        <v>West Coast</v>
      </c>
      <c r="H35" s="177">
        <f>IFERROR(__xludf.DUMMYFUNCTION("""COMPUTED_VALUE"""),17.0)</f>
        <v>17</v>
      </c>
      <c r="I35" s="177">
        <f>IFERROR(__xludf.DUMMYFUNCTION("""COMPUTED_VALUE"""),100.0)</f>
        <v>100</v>
      </c>
      <c r="J35" s="178">
        <f>IFERROR(__xludf.DUMMYFUNCTION("""COMPUTED_VALUE"""),45753.54861111111)</f>
        <v>45753.54861</v>
      </c>
      <c r="K35" s="177">
        <f>IFERROR(__xludf.DUMMYFUNCTION("""COMPUTED_VALUE"""),12.0)</f>
        <v>12</v>
      </c>
      <c r="L35" s="177">
        <f>IFERROR(__xludf.DUMMYFUNCTION("""COMPUTED_VALUE"""),20.0)</f>
        <v>20</v>
      </c>
      <c r="M35" s="177">
        <f>IFERROR(__xludf.DUMMYFUNCTION("""COMPUTED_VALUE"""),132.0)</f>
        <v>132</v>
      </c>
      <c r="N35" s="177" t="str">
        <f>IFERROR(__xludf.DUMMYFUNCTION("""COMPUTED_VALUE"""),"Greater Western Sydney")</f>
        <v>Greater Western Sydney</v>
      </c>
      <c r="O35" s="177">
        <f>IFERROR(__xludf.DUMMYFUNCTION("""COMPUTED_VALUE"""),9.0)</f>
        <v>9</v>
      </c>
      <c r="P35" s="177">
        <f>IFERROR(__xludf.DUMMYFUNCTION("""COMPUTED_VALUE"""),0.0)</f>
        <v>0</v>
      </c>
      <c r="Q35" s="177">
        <f>IFERROR(__xludf.DUMMYFUNCTION("""COMPUTED_VALUE"""),0.0)</f>
        <v>0</v>
      </c>
      <c r="R35" s="178">
        <f>IFERROR(__xludf.DUMMYFUNCTION("""COMPUTED_VALUE"""),45753.54861111111)</f>
        <v>45753.54861</v>
      </c>
      <c r="S35" s="177">
        <f>IFERROR(__xludf.DUMMYFUNCTION("""COMPUTED_VALUE"""),4.0)</f>
        <v>4</v>
      </c>
      <c r="T35" s="177" t="str">
        <f>IFERROR(__xludf.DUMMYFUNCTION("""COMPUTED_VALUE"""),"Round 4")</f>
        <v>Round 4</v>
      </c>
      <c r="U35" s="177" t="str">
        <f>IFERROR(__xludf.DUMMYFUNCTION("""COMPUTED_VALUE"""),"Full Time")</f>
        <v>Full Time</v>
      </c>
      <c r="V35" s="177" t="str">
        <f>IFERROR(__xludf.DUMMYFUNCTION("""COMPUTED_VALUE"""),"+10:00")</f>
        <v>+10:00</v>
      </c>
      <c r="W35" s="177">
        <f>IFERROR(__xludf.DUMMYFUNCTION("""COMPUTED_VALUE"""),1.743909E9)</f>
        <v>1743909000</v>
      </c>
      <c r="X35" s="178">
        <f>IFERROR(__xludf.DUMMYFUNCTION("""COMPUTED_VALUE"""),45753.661099537036)</f>
        <v>45753.6611</v>
      </c>
      <c r="Y35" s="177" t="str">
        <f>IFERROR(__xludf.DUMMYFUNCTION("""COMPUTED_VALUE"""),"Sydney Showground")</f>
        <v>Sydney Showground</v>
      </c>
      <c r="Z35" s="177" t="str">
        <f>IFERROR(__xludf.DUMMYFUNCTION("""COMPUTED_VALUE"""),"Greater Western Sydney")</f>
        <v>Greater Western Sydney</v>
      </c>
      <c r="AA35" s="177">
        <f>IFERROR(__xludf.DUMMYFUNCTION("""COMPUTED_VALUE"""),9.0)</f>
        <v>9</v>
      </c>
      <c r="AB35" s="177">
        <f>IFERROR(__xludf.DUMMYFUNCTION("""COMPUTED_VALUE"""),2025.0)</f>
        <v>2025</v>
      </c>
      <c r="AC35" s="177" t="str">
        <f t="shared" si="3"/>
        <v>Sunday</v>
      </c>
    </row>
    <row r="36">
      <c r="A36" s="175" t="str">
        <f t="shared" si="1"/>
        <v>47</v>
      </c>
      <c r="B36" s="176">
        <f t="shared" si="2"/>
        <v>7</v>
      </c>
      <c r="C36" s="174">
        <f>IFERROR(__xludf.DUMMYFUNCTION("""COMPUTED_VALUE"""),37124.0)</f>
        <v>37124</v>
      </c>
      <c r="D36" s="174">
        <f>IFERROR(__xludf.DUMMYFUNCTION("""COMPUTED_VALUE"""),11.0)</f>
        <v>11</v>
      </c>
      <c r="E36" s="174">
        <f>IFERROR(__xludf.DUMMYFUNCTION("""COMPUTED_VALUE"""),13.0)</f>
        <v>13</v>
      </c>
      <c r="F36" s="177">
        <f>IFERROR(__xludf.DUMMYFUNCTION("""COMPUTED_VALUE"""),89.0)</f>
        <v>89</v>
      </c>
      <c r="G36" s="177" t="str">
        <f>IFERROR(__xludf.DUMMYFUNCTION("""COMPUTED_VALUE"""),"St Kilda")</f>
        <v>St Kilda</v>
      </c>
      <c r="H36" s="177">
        <f>IFERROR(__xludf.DUMMYFUNCTION("""COMPUTED_VALUE"""),15.0)</f>
        <v>15</v>
      </c>
      <c r="I36" s="177">
        <f>IFERROR(__xludf.DUMMYFUNCTION("""COMPUTED_VALUE"""),100.0)</f>
        <v>100</v>
      </c>
      <c r="J36" s="178">
        <f>IFERROR(__xludf.DUMMYFUNCTION("""COMPUTED_VALUE"""),45753.63888888889)</f>
        <v>45753.63889</v>
      </c>
      <c r="K36" s="177">
        <f>IFERROR(__xludf.DUMMYFUNCTION("""COMPUTED_VALUE"""),12.0)</f>
        <v>12</v>
      </c>
      <c r="L36" s="177">
        <f>IFERROR(__xludf.DUMMYFUNCTION("""COMPUTED_VALUE"""),10.0)</f>
        <v>10</v>
      </c>
      <c r="M36" s="177">
        <f>IFERROR(__xludf.DUMMYFUNCTION("""COMPUTED_VALUE"""),72.0)</f>
        <v>72</v>
      </c>
      <c r="N36" s="177" t="str">
        <f>IFERROR(__xludf.DUMMYFUNCTION("""COMPUTED_VALUE"""),"Port Adelaide")</f>
        <v>Port Adelaide</v>
      </c>
      <c r="O36" s="177">
        <f>IFERROR(__xludf.DUMMYFUNCTION("""COMPUTED_VALUE"""),13.0)</f>
        <v>13</v>
      </c>
      <c r="P36" s="177">
        <f>IFERROR(__xludf.DUMMYFUNCTION("""COMPUTED_VALUE"""),0.0)</f>
        <v>0</v>
      </c>
      <c r="Q36" s="177">
        <f>IFERROR(__xludf.DUMMYFUNCTION("""COMPUTED_VALUE"""),0.0)</f>
        <v>0</v>
      </c>
      <c r="R36" s="178">
        <f>IFERROR(__xludf.DUMMYFUNCTION("""COMPUTED_VALUE"""),45753.618055555555)</f>
        <v>45753.61806</v>
      </c>
      <c r="S36" s="177">
        <f>IFERROR(__xludf.DUMMYFUNCTION("""COMPUTED_VALUE"""),4.0)</f>
        <v>4</v>
      </c>
      <c r="T36" s="177" t="str">
        <f>IFERROR(__xludf.DUMMYFUNCTION("""COMPUTED_VALUE"""),"Round 4")</f>
        <v>Round 4</v>
      </c>
      <c r="U36" s="177" t="str">
        <f>IFERROR(__xludf.DUMMYFUNCTION("""COMPUTED_VALUE"""),"Full Time")</f>
        <v>Full Time</v>
      </c>
      <c r="V36" s="177" t="str">
        <f>IFERROR(__xludf.DUMMYFUNCTION("""COMPUTED_VALUE"""),"+10:00")</f>
        <v>+10:00</v>
      </c>
      <c r="W36" s="177">
        <f>IFERROR(__xludf.DUMMYFUNCTION("""COMPUTED_VALUE"""),1.7439168E9)</f>
        <v>1743916800</v>
      </c>
      <c r="X36" s="178">
        <f>IFERROR(__xludf.DUMMYFUNCTION("""COMPUTED_VALUE"""),45753.751284722224)</f>
        <v>45753.75128</v>
      </c>
      <c r="Y36" s="177" t="str">
        <f>IFERROR(__xludf.DUMMYFUNCTION("""COMPUTED_VALUE"""),"Adelaide Oval")</f>
        <v>Adelaide Oval</v>
      </c>
      <c r="Z36" s="177" t="str">
        <f>IFERROR(__xludf.DUMMYFUNCTION("""COMPUTED_VALUE"""),"St Kilda")</f>
        <v>St Kilda</v>
      </c>
      <c r="AA36" s="177">
        <f>IFERROR(__xludf.DUMMYFUNCTION("""COMPUTED_VALUE"""),15.0)</f>
        <v>15</v>
      </c>
      <c r="AB36" s="177">
        <f>IFERROR(__xludf.DUMMYFUNCTION("""COMPUTED_VALUE"""),2025.0)</f>
        <v>2025</v>
      </c>
      <c r="AC36" s="177" t="str">
        <f t="shared" si="3"/>
        <v>Sunday</v>
      </c>
    </row>
    <row r="37">
      <c r="A37" s="175" t="str">
        <f t="shared" si="1"/>
        <v>48</v>
      </c>
      <c r="B37" s="176">
        <f t="shared" si="2"/>
        <v>8</v>
      </c>
      <c r="C37" s="174">
        <f>IFERROR(__xludf.DUMMYFUNCTION("""COMPUTED_VALUE"""),37125.0)</f>
        <v>37125</v>
      </c>
      <c r="D37" s="174">
        <f>IFERROR(__xludf.DUMMYFUNCTION("""COMPUTED_VALUE"""),9.0)</f>
        <v>9</v>
      </c>
      <c r="E37" s="174">
        <f>IFERROR(__xludf.DUMMYFUNCTION("""COMPUTED_VALUE"""),12.0)</f>
        <v>12</v>
      </c>
      <c r="F37" s="177">
        <f>IFERROR(__xludf.DUMMYFUNCTION("""COMPUTED_VALUE"""),81.0)</f>
        <v>81</v>
      </c>
      <c r="G37" s="177" t="str">
        <f>IFERROR(__xludf.DUMMYFUNCTION("""COMPUTED_VALUE"""),"Western Bulldogs")</f>
        <v>Western Bulldogs</v>
      </c>
      <c r="H37" s="177">
        <f>IFERROR(__xludf.DUMMYFUNCTION("""COMPUTED_VALUE"""),18.0)</f>
        <v>18</v>
      </c>
      <c r="I37" s="177">
        <f>IFERROR(__xludf.DUMMYFUNCTION("""COMPUTED_VALUE"""),100.0)</f>
        <v>100</v>
      </c>
      <c r="J37" s="178">
        <f>IFERROR(__xludf.DUMMYFUNCTION("""COMPUTED_VALUE"""),45753.71527777778)</f>
        <v>45753.71528</v>
      </c>
      <c r="K37" s="177">
        <f>IFERROR(__xludf.DUMMYFUNCTION("""COMPUTED_VALUE"""),7.0)</f>
        <v>7</v>
      </c>
      <c r="L37" s="177">
        <f>IFERROR(__xludf.DUMMYFUNCTION("""COMPUTED_VALUE"""),15.0)</f>
        <v>15</v>
      </c>
      <c r="M37" s="177">
        <f>IFERROR(__xludf.DUMMYFUNCTION("""COMPUTED_VALUE"""),97.0)</f>
        <v>97</v>
      </c>
      <c r="N37" s="177" t="str">
        <f>IFERROR(__xludf.DUMMYFUNCTION("""COMPUTED_VALUE"""),"Fremantle")</f>
        <v>Fremantle</v>
      </c>
      <c r="O37" s="177">
        <f>IFERROR(__xludf.DUMMYFUNCTION("""COMPUTED_VALUE"""),6.0)</f>
        <v>6</v>
      </c>
      <c r="P37" s="177">
        <f>IFERROR(__xludf.DUMMYFUNCTION("""COMPUTED_VALUE"""),0.0)</f>
        <v>0</v>
      </c>
      <c r="Q37" s="177">
        <f>IFERROR(__xludf.DUMMYFUNCTION("""COMPUTED_VALUE"""),0.0)</f>
        <v>0</v>
      </c>
      <c r="R37" s="178">
        <f>IFERROR(__xludf.DUMMYFUNCTION("""COMPUTED_VALUE"""),45753.631944444445)</f>
        <v>45753.63194</v>
      </c>
      <c r="S37" s="177">
        <f>IFERROR(__xludf.DUMMYFUNCTION("""COMPUTED_VALUE"""),4.0)</f>
        <v>4</v>
      </c>
      <c r="T37" s="177" t="str">
        <f>IFERROR(__xludf.DUMMYFUNCTION("""COMPUTED_VALUE"""),"Round 4")</f>
        <v>Round 4</v>
      </c>
      <c r="U37" s="177" t="str">
        <f>IFERROR(__xludf.DUMMYFUNCTION("""COMPUTED_VALUE"""),"Full Time")</f>
        <v>Full Time</v>
      </c>
      <c r="V37" s="177" t="str">
        <f>IFERROR(__xludf.DUMMYFUNCTION("""COMPUTED_VALUE"""),"+10:00")</f>
        <v>+10:00</v>
      </c>
      <c r="W37" s="177">
        <f>IFERROR(__xludf.DUMMYFUNCTION("""COMPUTED_VALUE"""),1.7439234E9)</f>
        <v>1743923400</v>
      </c>
      <c r="X37" s="178">
        <f>IFERROR(__xludf.DUMMYFUNCTION("""COMPUTED_VALUE"""),45753.83253472222)</f>
        <v>45753.83253</v>
      </c>
      <c r="Y37" s="177" t="str">
        <f>IFERROR(__xludf.DUMMYFUNCTION("""COMPUTED_VALUE"""),"Perth Stadium")</f>
        <v>Perth Stadium</v>
      </c>
      <c r="Z37" s="177" t="str">
        <f>IFERROR(__xludf.DUMMYFUNCTION("""COMPUTED_VALUE"""),"Fremantle")</f>
        <v>Fremantle</v>
      </c>
      <c r="AA37" s="177">
        <f>IFERROR(__xludf.DUMMYFUNCTION("""COMPUTED_VALUE"""),6.0)</f>
        <v>6</v>
      </c>
      <c r="AB37" s="177">
        <f>IFERROR(__xludf.DUMMYFUNCTION("""COMPUTED_VALUE"""),2025.0)</f>
        <v>2025</v>
      </c>
      <c r="AC37" s="177" t="str">
        <f t="shared" si="3"/>
        <v>Sunday</v>
      </c>
    </row>
    <row r="38">
      <c r="A38" s="175" t="str">
        <f t="shared" si="1"/>
        <v>51</v>
      </c>
      <c r="B38" s="176">
        <f t="shared" si="2"/>
        <v>1</v>
      </c>
      <c r="C38" s="174">
        <f>IFERROR(__xludf.DUMMYFUNCTION("""COMPUTED_VALUE"""),37126.0)</f>
        <v>37126</v>
      </c>
      <c r="D38" s="174">
        <f>IFERROR(__xludf.DUMMYFUNCTION("""COMPUTED_VALUE"""),11.0)</f>
        <v>11</v>
      </c>
      <c r="E38" s="174">
        <f>IFERROR(__xludf.DUMMYFUNCTION("""COMPUTED_VALUE"""),18.0)</f>
        <v>18</v>
      </c>
      <c r="F38" s="177">
        <f>IFERROR(__xludf.DUMMYFUNCTION("""COMPUTED_VALUE"""),119.0)</f>
        <v>119</v>
      </c>
      <c r="G38" s="177" t="str">
        <f>IFERROR(__xludf.DUMMYFUNCTION("""COMPUTED_VALUE"""),"Geelong")</f>
        <v>Geelong</v>
      </c>
      <c r="H38" s="177">
        <f>IFERROR(__xludf.DUMMYFUNCTION("""COMPUTED_VALUE"""),7.0)</f>
        <v>7</v>
      </c>
      <c r="I38" s="177">
        <f>IFERROR(__xludf.DUMMYFUNCTION("""COMPUTED_VALUE"""),100.0)</f>
        <v>100</v>
      </c>
      <c r="J38" s="178">
        <f>IFERROR(__xludf.DUMMYFUNCTION("""COMPUTED_VALUE"""),45757.819444444445)</f>
        <v>45757.81944</v>
      </c>
      <c r="K38" s="177">
        <f>IFERROR(__xludf.DUMMYFUNCTION("""COMPUTED_VALUE"""),10.0)</f>
        <v>10</v>
      </c>
      <c r="L38" s="177">
        <f>IFERROR(__xludf.DUMMYFUNCTION("""COMPUTED_VALUE"""),15.0)</f>
        <v>15</v>
      </c>
      <c r="M38" s="177">
        <f>IFERROR(__xludf.DUMMYFUNCTION("""COMPUTED_VALUE"""),100.0)</f>
        <v>100</v>
      </c>
      <c r="N38" s="177" t="str">
        <f>IFERROR(__xludf.DUMMYFUNCTION("""COMPUTED_VALUE"""),"Adelaide")</f>
        <v>Adelaide</v>
      </c>
      <c r="O38" s="177">
        <f>IFERROR(__xludf.DUMMYFUNCTION("""COMPUTED_VALUE"""),1.0)</f>
        <v>1</v>
      </c>
      <c r="P38" s="177">
        <f>IFERROR(__xludf.DUMMYFUNCTION("""COMPUTED_VALUE"""),0.0)</f>
        <v>0</v>
      </c>
      <c r="Q38" s="177">
        <f>IFERROR(__xludf.DUMMYFUNCTION("""COMPUTED_VALUE"""),0.0)</f>
        <v>0</v>
      </c>
      <c r="R38" s="178">
        <f>IFERROR(__xludf.DUMMYFUNCTION("""COMPUTED_VALUE"""),45757.79861111111)</f>
        <v>45757.79861</v>
      </c>
      <c r="S38" s="177">
        <f>IFERROR(__xludf.DUMMYFUNCTION("""COMPUTED_VALUE"""),5.0)</f>
        <v>5</v>
      </c>
      <c r="T38" s="177" t="str">
        <f>IFERROR(__xludf.DUMMYFUNCTION("""COMPUTED_VALUE"""),"Round 5")</f>
        <v>Round 5</v>
      </c>
      <c r="U38" s="177" t="str">
        <f>IFERROR(__xludf.DUMMYFUNCTION("""COMPUTED_VALUE"""),"Full Time")</f>
        <v>Full Time</v>
      </c>
      <c r="V38" s="177" t="str">
        <f>IFERROR(__xludf.DUMMYFUNCTION("""COMPUTED_VALUE"""),"+10:00")</f>
        <v>+10:00</v>
      </c>
      <c r="W38" s="177">
        <f>IFERROR(__xludf.DUMMYFUNCTION("""COMPUTED_VALUE"""),1.744278E9)</f>
        <v>1744278000</v>
      </c>
      <c r="X38" s="178">
        <f>IFERROR(__xludf.DUMMYFUNCTION("""COMPUTED_VALUE"""),45757.93418981481)</f>
        <v>45757.93419</v>
      </c>
      <c r="Y38" s="177" t="str">
        <f>IFERROR(__xludf.DUMMYFUNCTION("""COMPUTED_VALUE"""),"Adelaide Oval")</f>
        <v>Adelaide Oval</v>
      </c>
      <c r="Z38" s="177" t="str">
        <f>IFERROR(__xludf.DUMMYFUNCTION("""COMPUTED_VALUE"""),"Geelong")</f>
        <v>Geelong</v>
      </c>
      <c r="AA38" s="177">
        <f>IFERROR(__xludf.DUMMYFUNCTION("""COMPUTED_VALUE"""),7.0)</f>
        <v>7</v>
      </c>
      <c r="AB38" s="177">
        <f>IFERROR(__xludf.DUMMYFUNCTION("""COMPUTED_VALUE"""),2025.0)</f>
        <v>2025</v>
      </c>
      <c r="AC38" s="177" t="str">
        <f t="shared" si="3"/>
        <v>Thursday</v>
      </c>
    </row>
    <row r="39">
      <c r="A39" s="175" t="str">
        <f t="shared" si="1"/>
        <v>52</v>
      </c>
      <c r="B39" s="176">
        <f t="shared" si="2"/>
        <v>2</v>
      </c>
      <c r="C39" s="174">
        <f>IFERROR(__xludf.DUMMYFUNCTION("""COMPUTED_VALUE"""),37127.0)</f>
        <v>37127</v>
      </c>
      <c r="D39" s="174">
        <f>IFERROR(__xludf.DUMMYFUNCTION("""COMPUTED_VALUE"""),6.0)</f>
        <v>6</v>
      </c>
      <c r="E39" s="174">
        <f>IFERROR(__xludf.DUMMYFUNCTION("""COMPUTED_VALUE"""),12.0)</f>
        <v>12</v>
      </c>
      <c r="F39" s="177">
        <f>IFERROR(__xludf.DUMMYFUNCTION("""COMPUTED_VALUE"""),78.0)</f>
        <v>78</v>
      </c>
      <c r="G39" s="177" t="str">
        <f>IFERROR(__xludf.DUMMYFUNCTION("""COMPUTED_VALUE"""),"Sydney")</f>
        <v>Sydney</v>
      </c>
      <c r="H39" s="177">
        <f>IFERROR(__xludf.DUMMYFUNCTION("""COMPUTED_VALUE"""),16.0)</f>
        <v>16</v>
      </c>
      <c r="I39" s="177">
        <f>IFERROR(__xludf.DUMMYFUNCTION("""COMPUTED_VALUE"""),100.0)</f>
        <v>100</v>
      </c>
      <c r="J39" s="178">
        <f>IFERROR(__xludf.DUMMYFUNCTION("""COMPUTED_VALUE"""),45758.819444444445)</f>
        <v>45758.81944</v>
      </c>
      <c r="K39" s="177">
        <f>IFERROR(__xludf.DUMMYFUNCTION("""COMPUTED_VALUE"""),13.0)</f>
        <v>13</v>
      </c>
      <c r="L39" s="177">
        <f>IFERROR(__xludf.DUMMYFUNCTION("""COMPUTED_VALUE"""),16.0)</f>
        <v>16</v>
      </c>
      <c r="M39" s="177">
        <f>IFERROR(__xludf.DUMMYFUNCTION("""COMPUTED_VALUE"""),109.0)</f>
        <v>109</v>
      </c>
      <c r="N39" s="177" t="str">
        <f>IFERROR(__xludf.DUMMYFUNCTION("""COMPUTED_VALUE"""),"Collingwood")</f>
        <v>Collingwood</v>
      </c>
      <c r="O39" s="177">
        <f>IFERROR(__xludf.DUMMYFUNCTION("""COMPUTED_VALUE"""),4.0)</f>
        <v>4</v>
      </c>
      <c r="P39" s="177">
        <f>IFERROR(__xludf.DUMMYFUNCTION("""COMPUTED_VALUE"""),0.0)</f>
        <v>0</v>
      </c>
      <c r="Q39" s="177">
        <f>IFERROR(__xludf.DUMMYFUNCTION("""COMPUTED_VALUE"""),0.0)</f>
        <v>0</v>
      </c>
      <c r="R39" s="178">
        <f>IFERROR(__xludf.DUMMYFUNCTION("""COMPUTED_VALUE"""),45758.79861111111)</f>
        <v>45758.79861</v>
      </c>
      <c r="S39" s="177">
        <f>IFERROR(__xludf.DUMMYFUNCTION("""COMPUTED_VALUE"""),5.0)</f>
        <v>5</v>
      </c>
      <c r="T39" s="177" t="str">
        <f>IFERROR(__xludf.DUMMYFUNCTION("""COMPUTED_VALUE"""),"Round 5")</f>
        <v>Round 5</v>
      </c>
      <c r="U39" s="177" t="str">
        <f>IFERROR(__xludf.DUMMYFUNCTION("""COMPUTED_VALUE"""),"Full Time")</f>
        <v>Full Time</v>
      </c>
      <c r="V39" s="177" t="str">
        <f>IFERROR(__xludf.DUMMYFUNCTION("""COMPUTED_VALUE"""),"+10:00")</f>
        <v>+10:00</v>
      </c>
      <c r="W39" s="177">
        <f>IFERROR(__xludf.DUMMYFUNCTION("""COMPUTED_VALUE"""),1.7443644E9)</f>
        <v>1744364400</v>
      </c>
      <c r="X39" s="178">
        <f>IFERROR(__xludf.DUMMYFUNCTION("""COMPUTED_VALUE"""),45758.931666666664)</f>
        <v>45758.93167</v>
      </c>
      <c r="Y39" s="177" t="str">
        <f>IFERROR(__xludf.DUMMYFUNCTION("""COMPUTED_VALUE"""),"Adelaide Oval")</f>
        <v>Adelaide Oval</v>
      </c>
      <c r="Z39" s="177" t="str">
        <f>IFERROR(__xludf.DUMMYFUNCTION("""COMPUTED_VALUE"""),"Collingwood")</f>
        <v>Collingwood</v>
      </c>
      <c r="AA39" s="177">
        <f>IFERROR(__xludf.DUMMYFUNCTION("""COMPUTED_VALUE"""),4.0)</f>
        <v>4</v>
      </c>
      <c r="AB39" s="177">
        <f>IFERROR(__xludf.DUMMYFUNCTION("""COMPUTED_VALUE"""),2025.0)</f>
        <v>2025</v>
      </c>
      <c r="AC39" s="177" t="str">
        <f t="shared" si="3"/>
        <v>Friday</v>
      </c>
    </row>
    <row r="40">
      <c r="A40" s="175" t="str">
        <f t="shared" si="1"/>
        <v>53</v>
      </c>
      <c r="B40" s="176">
        <f t="shared" si="2"/>
        <v>3</v>
      </c>
      <c r="C40" s="174">
        <f>IFERROR(__xludf.DUMMYFUNCTION("""COMPUTED_VALUE"""),37128.0)</f>
        <v>37128</v>
      </c>
      <c r="D40" s="174">
        <f>IFERROR(__xludf.DUMMYFUNCTION("""COMPUTED_VALUE"""),15.0)</f>
        <v>15</v>
      </c>
      <c r="E40" s="174">
        <f>IFERROR(__xludf.DUMMYFUNCTION("""COMPUTED_VALUE"""),21.0)</f>
        <v>21</v>
      </c>
      <c r="F40" s="177">
        <f>IFERROR(__xludf.DUMMYFUNCTION("""COMPUTED_VALUE"""),141.0)</f>
        <v>141</v>
      </c>
      <c r="G40" s="177" t="str">
        <f>IFERROR(__xludf.DUMMYFUNCTION("""COMPUTED_VALUE"""),"Gold Coast")</f>
        <v>Gold Coast</v>
      </c>
      <c r="H40" s="177">
        <f>IFERROR(__xludf.DUMMYFUNCTION("""COMPUTED_VALUE"""),8.0)</f>
        <v>8</v>
      </c>
      <c r="I40" s="177">
        <f>IFERROR(__xludf.DUMMYFUNCTION("""COMPUTED_VALUE"""),100.0)</f>
        <v>100</v>
      </c>
      <c r="J40" s="178">
        <f>IFERROR(__xludf.DUMMYFUNCTION("""COMPUTED_VALUE"""),45759.524305555555)</f>
        <v>45759.52431</v>
      </c>
      <c r="K40" s="177">
        <f>IFERROR(__xludf.DUMMYFUNCTION("""COMPUTED_VALUE"""),11.0)</f>
        <v>11</v>
      </c>
      <c r="L40" s="177">
        <f>IFERROR(__xludf.DUMMYFUNCTION("""COMPUTED_VALUE"""),13.0)</f>
        <v>13</v>
      </c>
      <c r="M40" s="177">
        <f>IFERROR(__xludf.DUMMYFUNCTION("""COMPUTED_VALUE"""),89.0)</f>
        <v>89</v>
      </c>
      <c r="N40" s="177" t="str">
        <f>IFERROR(__xludf.DUMMYFUNCTION("""COMPUTED_VALUE"""),"North Melbourne")</f>
        <v>North Melbourne</v>
      </c>
      <c r="O40" s="177">
        <f>IFERROR(__xludf.DUMMYFUNCTION("""COMPUTED_VALUE"""),12.0)</f>
        <v>12</v>
      </c>
      <c r="P40" s="177">
        <f>IFERROR(__xludf.DUMMYFUNCTION("""COMPUTED_VALUE"""),0.0)</f>
        <v>0</v>
      </c>
      <c r="Q40" s="177">
        <f>IFERROR(__xludf.DUMMYFUNCTION("""COMPUTED_VALUE"""),0.0)</f>
        <v>0</v>
      </c>
      <c r="R40" s="178">
        <f>IFERROR(__xludf.DUMMYFUNCTION("""COMPUTED_VALUE"""),45759.50347222222)</f>
        <v>45759.50347</v>
      </c>
      <c r="S40" s="177">
        <f>IFERROR(__xludf.DUMMYFUNCTION("""COMPUTED_VALUE"""),5.0)</f>
        <v>5</v>
      </c>
      <c r="T40" s="177" t="str">
        <f>IFERROR(__xludf.DUMMYFUNCTION("""COMPUTED_VALUE"""),"Round 5")</f>
        <v>Round 5</v>
      </c>
      <c r="U40" s="177" t="str">
        <f>IFERROR(__xludf.DUMMYFUNCTION("""COMPUTED_VALUE"""),"Full Time")</f>
        <v>Full Time</v>
      </c>
      <c r="V40" s="177" t="str">
        <f>IFERROR(__xludf.DUMMYFUNCTION("""COMPUTED_VALUE"""),"+10:00")</f>
        <v>+10:00</v>
      </c>
      <c r="W40" s="177">
        <f>IFERROR(__xludf.DUMMYFUNCTION("""COMPUTED_VALUE"""),1.7444253E9)</f>
        <v>1744425300</v>
      </c>
      <c r="X40" s="178">
        <f>IFERROR(__xludf.DUMMYFUNCTION("""COMPUTED_VALUE"""),45759.64393518519)</f>
        <v>45759.64394</v>
      </c>
      <c r="Y40" s="177" t="str">
        <f>IFERROR(__xludf.DUMMYFUNCTION("""COMPUTED_VALUE"""),"Barossa Park")</f>
        <v>Barossa Park</v>
      </c>
      <c r="Z40" s="177" t="str">
        <f>IFERROR(__xludf.DUMMYFUNCTION("""COMPUTED_VALUE"""),"Gold Coast")</f>
        <v>Gold Coast</v>
      </c>
      <c r="AA40" s="177">
        <f>IFERROR(__xludf.DUMMYFUNCTION("""COMPUTED_VALUE"""),8.0)</f>
        <v>8</v>
      </c>
      <c r="AB40" s="177">
        <f>IFERROR(__xludf.DUMMYFUNCTION("""COMPUTED_VALUE"""),2025.0)</f>
        <v>2025</v>
      </c>
      <c r="AC40" s="177" t="str">
        <f t="shared" si="3"/>
        <v>Saturday</v>
      </c>
    </row>
    <row r="41">
      <c r="A41" s="175" t="str">
        <f t="shared" si="1"/>
        <v>54</v>
      </c>
      <c r="B41" s="176">
        <f t="shared" si="2"/>
        <v>4</v>
      </c>
      <c r="C41" s="174">
        <f>IFERROR(__xludf.DUMMYFUNCTION("""COMPUTED_VALUE"""),37129.0)</f>
        <v>37129</v>
      </c>
      <c r="D41" s="174">
        <f>IFERROR(__xludf.DUMMYFUNCTION("""COMPUTED_VALUE"""),14.0)</f>
        <v>14</v>
      </c>
      <c r="E41" s="174">
        <f>IFERROR(__xludf.DUMMYFUNCTION("""COMPUTED_VALUE"""),6.0)</f>
        <v>6</v>
      </c>
      <c r="F41" s="177">
        <f>IFERROR(__xludf.DUMMYFUNCTION("""COMPUTED_VALUE"""),50.0)</f>
        <v>50</v>
      </c>
      <c r="G41" s="177" t="str">
        <f>IFERROR(__xludf.DUMMYFUNCTION("""COMPUTED_VALUE"""),"West Coast")</f>
        <v>West Coast</v>
      </c>
      <c r="H41" s="177">
        <f>IFERROR(__xludf.DUMMYFUNCTION("""COMPUTED_VALUE"""),17.0)</f>
        <v>17</v>
      </c>
      <c r="I41" s="177">
        <f>IFERROR(__xludf.DUMMYFUNCTION("""COMPUTED_VALUE"""),100.0)</f>
        <v>100</v>
      </c>
      <c r="J41" s="178">
        <f>IFERROR(__xludf.DUMMYFUNCTION("""COMPUTED_VALUE"""),45759.555555555555)</f>
        <v>45759.55556</v>
      </c>
      <c r="K41" s="177">
        <f>IFERROR(__xludf.DUMMYFUNCTION("""COMPUTED_VALUE"""),19.0)</f>
        <v>19</v>
      </c>
      <c r="L41" s="177">
        <f>IFERROR(__xludf.DUMMYFUNCTION("""COMPUTED_VALUE"""),17.0)</f>
        <v>17</v>
      </c>
      <c r="M41" s="177">
        <f>IFERROR(__xludf.DUMMYFUNCTION("""COMPUTED_VALUE"""),121.0)</f>
        <v>121</v>
      </c>
      <c r="N41" s="177" t="str">
        <f>IFERROR(__xludf.DUMMYFUNCTION("""COMPUTED_VALUE"""),"Carlton")</f>
        <v>Carlton</v>
      </c>
      <c r="O41" s="177">
        <f>IFERROR(__xludf.DUMMYFUNCTION("""COMPUTED_VALUE"""),3.0)</f>
        <v>3</v>
      </c>
      <c r="P41" s="177">
        <f>IFERROR(__xludf.DUMMYFUNCTION("""COMPUTED_VALUE"""),0.0)</f>
        <v>0</v>
      </c>
      <c r="Q41" s="177">
        <f>IFERROR(__xludf.DUMMYFUNCTION("""COMPUTED_VALUE"""),0.0)</f>
        <v>0</v>
      </c>
      <c r="R41" s="178">
        <f>IFERROR(__xludf.DUMMYFUNCTION("""COMPUTED_VALUE"""),45759.53472222222)</f>
        <v>45759.53472</v>
      </c>
      <c r="S41" s="177">
        <f>IFERROR(__xludf.DUMMYFUNCTION("""COMPUTED_VALUE"""),5.0)</f>
        <v>5</v>
      </c>
      <c r="T41" s="177" t="str">
        <f>IFERROR(__xludf.DUMMYFUNCTION("""COMPUTED_VALUE"""),"Round 5")</f>
        <v>Round 5</v>
      </c>
      <c r="U41" s="177" t="str">
        <f>IFERROR(__xludf.DUMMYFUNCTION("""COMPUTED_VALUE"""),"Full Time")</f>
        <v>Full Time</v>
      </c>
      <c r="V41" s="177" t="str">
        <f>IFERROR(__xludf.DUMMYFUNCTION("""COMPUTED_VALUE"""),"+10:00")</f>
        <v>+10:00</v>
      </c>
      <c r="W41" s="177">
        <f>IFERROR(__xludf.DUMMYFUNCTION("""COMPUTED_VALUE"""),1.744428E9)</f>
        <v>1744428000</v>
      </c>
      <c r="X41" s="178">
        <f>IFERROR(__xludf.DUMMYFUNCTION("""COMPUTED_VALUE"""),45759.668900462966)</f>
        <v>45759.6689</v>
      </c>
      <c r="Y41" s="177" t="str">
        <f>IFERROR(__xludf.DUMMYFUNCTION("""COMPUTED_VALUE"""),"Adelaide Oval")</f>
        <v>Adelaide Oval</v>
      </c>
      <c r="Z41" s="177" t="str">
        <f>IFERROR(__xludf.DUMMYFUNCTION("""COMPUTED_VALUE"""),"Carlton")</f>
        <v>Carlton</v>
      </c>
      <c r="AA41" s="177">
        <f>IFERROR(__xludf.DUMMYFUNCTION("""COMPUTED_VALUE"""),3.0)</f>
        <v>3</v>
      </c>
      <c r="AB41" s="177">
        <f>IFERROR(__xludf.DUMMYFUNCTION("""COMPUTED_VALUE"""),2025.0)</f>
        <v>2025</v>
      </c>
      <c r="AC41" s="177" t="str">
        <f t="shared" si="3"/>
        <v>Saturday</v>
      </c>
    </row>
    <row r="42">
      <c r="A42" s="175" t="str">
        <f t="shared" si="1"/>
        <v>55</v>
      </c>
      <c r="B42" s="176">
        <f t="shared" si="2"/>
        <v>5</v>
      </c>
      <c r="C42" s="174">
        <f>IFERROR(__xludf.DUMMYFUNCTION("""COMPUTED_VALUE"""),37130.0)</f>
        <v>37130</v>
      </c>
      <c r="D42" s="174">
        <f>IFERROR(__xludf.DUMMYFUNCTION("""COMPUTED_VALUE"""),10.0)</f>
        <v>10</v>
      </c>
      <c r="E42" s="174">
        <f>IFERROR(__xludf.DUMMYFUNCTION("""COMPUTED_VALUE"""),18.0)</f>
        <v>18</v>
      </c>
      <c r="F42" s="177">
        <f>IFERROR(__xludf.DUMMYFUNCTION("""COMPUTED_VALUE"""),118.0)</f>
        <v>118</v>
      </c>
      <c r="G42" s="177" t="str">
        <f>IFERROR(__xludf.DUMMYFUNCTION("""COMPUTED_VALUE"""),"Brisbane Lions")</f>
        <v>Brisbane Lions</v>
      </c>
      <c r="H42" s="177">
        <f>IFERROR(__xludf.DUMMYFUNCTION("""COMPUTED_VALUE"""),2.0)</f>
        <v>2</v>
      </c>
      <c r="I42" s="177">
        <f>IFERROR(__xludf.DUMMYFUNCTION("""COMPUTED_VALUE"""),100.0)</f>
        <v>100</v>
      </c>
      <c r="J42" s="178">
        <f>IFERROR(__xludf.DUMMYFUNCTION("""COMPUTED_VALUE"""),45759.677083333336)</f>
        <v>45759.67708</v>
      </c>
      <c r="K42" s="177">
        <f>IFERROR(__xludf.DUMMYFUNCTION("""COMPUTED_VALUE"""),13.0)</f>
        <v>13</v>
      </c>
      <c r="L42" s="177">
        <f>IFERROR(__xludf.DUMMYFUNCTION("""COMPUTED_VALUE"""),14.0)</f>
        <v>14</v>
      </c>
      <c r="M42" s="177">
        <f>IFERROR(__xludf.DUMMYFUNCTION("""COMPUTED_VALUE"""),97.0)</f>
        <v>97</v>
      </c>
      <c r="N42" s="177" t="str">
        <f>IFERROR(__xludf.DUMMYFUNCTION("""COMPUTED_VALUE"""),"Western Bulldogs")</f>
        <v>Western Bulldogs</v>
      </c>
      <c r="O42" s="177">
        <f>IFERROR(__xludf.DUMMYFUNCTION("""COMPUTED_VALUE"""),18.0)</f>
        <v>18</v>
      </c>
      <c r="P42" s="177">
        <f>IFERROR(__xludf.DUMMYFUNCTION("""COMPUTED_VALUE"""),0.0)</f>
        <v>0</v>
      </c>
      <c r="Q42" s="177">
        <f>IFERROR(__xludf.DUMMYFUNCTION("""COMPUTED_VALUE"""),0.0)</f>
        <v>0</v>
      </c>
      <c r="R42" s="178">
        <f>IFERROR(__xludf.DUMMYFUNCTION("""COMPUTED_VALUE"""),45759.65625)</f>
        <v>45759.65625</v>
      </c>
      <c r="S42" s="177">
        <f>IFERROR(__xludf.DUMMYFUNCTION("""COMPUTED_VALUE"""),5.0)</f>
        <v>5</v>
      </c>
      <c r="T42" s="177" t="str">
        <f>IFERROR(__xludf.DUMMYFUNCTION("""COMPUTED_VALUE"""),"Round 5")</f>
        <v>Round 5</v>
      </c>
      <c r="U42" s="177" t="str">
        <f>IFERROR(__xludf.DUMMYFUNCTION("""COMPUTED_VALUE"""),"Full Time")</f>
        <v>Full Time</v>
      </c>
      <c r="V42" s="177" t="str">
        <f>IFERROR(__xludf.DUMMYFUNCTION("""COMPUTED_VALUE"""),"+10:00")</f>
        <v>+10:00</v>
      </c>
      <c r="W42" s="177">
        <f>IFERROR(__xludf.DUMMYFUNCTION("""COMPUTED_VALUE"""),1.7444385E9)</f>
        <v>1744438500</v>
      </c>
      <c r="X42" s="178">
        <f>IFERROR(__xludf.DUMMYFUNCTION("""COMPUTED_VALUE"""),45759.7944212963)</f>
        <v>45759.79442</v>
      </c>
      <c r="Y42" s="177" t="str">
        <f>IFERROR(__xludf.DUMMYFUNCTION("""COMPUTED_VALUE"""),"Norwood Oval")</f>
        <v>Norwood Oval</v>
      </c>
      <c r="Z42" s="177" t="str">
        <f>IFERROR(__xludf.DUMMYFUNCTION("""COMPUTED_VALUE"""),"Brisbane Lions")</f>
        <v>Brisbane Lions</v>
      </c>
      <c r="AA42" s="177">
        <f>IFERROR(__xludf.DUMMYFUNCTION("""COMPUTED_VALUE"""),2.0)</f>
        <v>2</v>
      </c>
      <c r="AB42" s="177">
        <f>IFERROR(__xludf.DUMMYFUNCTION("""COMPUTED_VALUE"""),2025.0)</f>
        <v>2025</v>
      </c>
      <c r="AC42" s="177" t="str">
        <f t="shared" si="3"/>
        <v>Saturday</v>
      </c>
    </row>
    <row r="43">
      <c r="A43" s="175" t="str">
        <f t="shared" si="1"/>
        <v>56</v>
      </c>
      <c r="B43" s="176">
        <f t="shared" si="2"/>
        <v>6</v>
      </c>
      <c r="C43" s="174">
        <f>IFERROR(__xludf.DUMMYFUNCTION("""COMPUTED_VALUE"""),37131.0)</f>
        <v>37131</v>
      </c>
      <c r="D43" s="174">
        <f>IFERROR(__xludf.DUMMYFUNCTION("""COMPUTED_VALUE"""),6.0)</f>
        <v>6</v>
      </c>
      <c r="E43" s="174">
        <f>IFERROR(__xludf.DUMMYFUNCTION("""COMPUTED_VALUE"""),15.0)</f>
        <v>15</v>
      </c>
      <c r="F43" s="177">
        <f>IFERROR(__xludf.DUMMYFUNCTION("""COMPUTED_VALUE"""),96.0)</f>
        <v>96</v>
      </c>
      <c r="G43" s="177" t="str">
        <f>IFERROR(__xludf.DUMMYFUNCTION("""COMPUTED_VALUE"""),"Essendon")</f>
        <v>Essendon</v>
      </c>
      <c r="H43" s="177">
        <f>IFERROR(__xludf.DUMMYFUNCTION("""COMPUTED_VALUE"""),5.0)</f>
        <v>5</v>
      </c>
      <c r="I43" s="177">
        <f>IFERROR(__xludf.DUMMYFUNCTION("""COMPUTED_VALUE"""),100.0)</f>
        <v>100</v>
      </c>
      <c r="J43" s="178">
        <f>IFERROR(__xludf.DUMMYFUNCTION("""COMPUTED_VALUE"""),45759.81597222222)</f>
        <v>45759.81597</v>
      </c>
      <c r="K43" s="177">
        <f>IFERROR(__xludf.DUMMYFUNCTION("""COMPUTED_VALUE"""),9.0)</f>
        <v>9</v>
      </c>
      <c r="L43" s="177">
        <f>IFERROR(__xludf.DUMMYFUNCTION("""COMPUTED_VALUE"""),8.0)</f>
        <v>8</v>
      </c>
      <c r="M43" s="177">
        <f>IFERROR(__xludf.DUMMYFUNCTION("""COMPUTED_VALUE"""),57.0)</f>
        <v>57</v>
      </c>
      <c r="N43" s="177" t="str">
        <f>IFERROR(__xludf.DUMMYFUNCTION("""COMPUTED_VALUE"""),"Melbourne")</f>
        <v>Melbourne</v>
      </c>
      <c r="O43" s="177">
        <f>IFERROR(__xludf.DUMMYFUNCTION("""COMPUTED_VALUE"""),11.0)</f>
        <v>11</v>
      </c>
      <c r="P43" s="177">
        <f>IFERROR(__xludf.DUMMYFUNCTION("""COMPUTED_VALUE"""),0.0)</f>
        <v>0</v>
      </c>
      <c r="Q43" s="177">
        <f>IFERROR(__xludf.DUMMYFUNCTION("""COMPUTED_VALUE"""),0.0)</f>
        <v>0</v>
      </c>
      <c r="R43" s="178">
        <f>IFERROR(__xludf.DUMMYFUNCTION("""COMPUTED_VALUE"""),45759.79513888889)</f>
        <v>45759.79514</v>
      </c>
      <c r="S43" s="177">
        <f>IFERROR(__xludf.DUMMYFUNCTION("""COMPUTED_VALUE"""),5.0)</f>
        <v>5</v>
      </c>
      <c r="T43" s="177" t="str">
        <f>IFERROR(__xludf.DUMMYFUNCTION("""COMPUTED_VALUE"""),"Round 5")</f>
        <v>Round 5</v>
      </c>
      <c r="U43" s="177" t="str">
        <f>IFERROR(__xludf.DUMMYFUNCTION("""COMPUTED_VALUE"""),"Full Time")</f>
        <v>Full Time</v>
      </c>
      <c r="V43" s="177" t="str">
        <f>IFERROR(__xludf.DUMMYFUNCTION("""COMPUTED_VALUE"""),"+10:00")</f>
        <v>+10:00</v>
      </c>
      <c r="W43" s="177">
        <f>IFERROR(__xludf.DUMMYFUNCTION("""COMPUTED_VALUE"""),1.7444505E9)</f>
        <v>1744450500</v>
      </c>
      <c r="X43" s="178">
        <f>IFERROR(__xludf.DUMMYFUNCTION("""COMPUTED_VALUE"""),45759.93041666667)</f>
        <v>45759.93042</v>
      </c>
      <c r="Y43" s="177" t="str">
        <f>IFERROR(__xludf.DUMMYFUNCTION("""COMPUTED_VALUE"""),"Adelaide Oval")</f>
        <v>Adelaide Oval</v>
      </c>
      <c r="Z43" s="177" t="str">
        <f>IFERROR(__xludf.DUMMYFUNCTION("""COMPUTED_VALUE"""),"Essendon")</f>
        <v>Essendon</v>
      </c>
      <c r="AA43" s="177">
        <f>IFERROR(__xludf.DUMMYFUNCTION("""COMPUTED_VALUE"""),5.0)</f>
        <v>5</v>
      </c>
      <c r="AB43" s="177">
        <f>IFERROR(__xludf.DUMMYFUNCTION("""COMPUTED_VALUE"""),2025.0)</f>
        <v>2025</v>
      </c>
      <c r="AC43" s="177" t="str">
        <f t="shared" si="3"/>
        <v>Saturday</v>
      </c>
    </row>
    <row r="44">
      <c r="A44" s="175" t="str">
        <f t="shared" si="1"/>
        <v>57</v>
      </c>
      <c r="B44" s="176">
        <f t="shared" si="2"/>
        <v>7</v>
      </c>
      <c r="C44" s="174">
        <f>IFERROR(__xludf.DUMMYFUNCTION("""COMPUTED_VALUE"""),37132.0)</f>
        <v>37132</v>
      </c>
      <c r="D44" s="174">
        <f>IFERROR(__xludf.DUMMYFUNCTION("""COMPUTED_VALUE"""),12.0)</f>
        <v>12</v>
      </c>
      <c r="E44" s="174">
        <f>IFERROR(__xludf.DUMMYFUNCTION("""COMPUTED_VALUE"""),16.0)</f>
        <v>16</v>
      </c>
      <c r="F44" s="177">
        <f>IFERROR(__xludf.DUMMYFUNCTION("""COMPUTED_VALUE"""),108.0)</f>
        <v>108</v>
      </c>
      <c r="G44" s="177" t="str">
        <f>IFERROR(__xludf.DUMMYFUNCTION("""COMPUTED_VALUE"""),"Fremantle")</f>
        <v>Fremantle</v>
      </c>
      <c r="H44" s="177">
        <f>IFERROR(__xludf.DUMMYFUNCTION("""COMPUTED_VALUE"""),6.0)</f>
        <v>6</v>
      </c>
      <c r="I44" s="177">
        <f>IFERROR(__xludf.DUMMYFUNCTION("""COMPUTED_VALUE"""),100.0)</f>
        <v>100</v>
      </c>
      <c r="J44" s="178">
        <f>IFERROR(__xludf.DUMMYFUNCTION("""COMPUTED_VALUE"""),45760.524305555555)</f>
        <v>45760.52431</v>
      </c>
      <c r="K44" s="177">
        <f>IFERROR(__xludf.DUMMYFUNCTION("""COMPUTED_VALUE"""),5.0)</f>
        <v>5</v>
      </c>
      <c r="L44" s="177">
        <f>IFERROR(__xludf.DUMMYFUNCTION("""COMPUTED_VALUE"""),7.0)</f>
        <v>7</v>
      </c>
      <c r="M44" s="177">
        <f>IFERROR(__xludf.DUMMYFUNCTION("""COMPUTED_VALUE"""),47.0)</f>
        <v>47</v>
      </c>
      <c r="N44" s="177" t="str">
        <f>IFERROR(__xludf.DUMMYFUNCTION("""COMPUTED_VALUE"""),"Richmond")</f>
        <v>Richmond</v>
      </c>
      <c r="O44" s="177">
        <f>IFERROR(__xludf.DUMMYFUNCTION("""COMPUTED_VALUE"""),14.0)</f>
        <v>14</v>
      </c>
      <c r="P44" s="177">
        <f>IFERROR(__xludf.DUMMYFUNCTION("""COMPUTED_VALUE"""),0.0)</f>
        <v>0</v>
      </c>
      <c r="Q44" s="177">
        <f>IFERROR(__xludf.DUMMYFUNCTION("""COMPUTED_VALUE"""),0.0)</f>
        <v>0</v>
      </c>
      <c r="R44" s="178">
        <f>IFERROR(__xludf.DUMMYFUNCTION("""COMPUTED_VALUE"""),45760.50347222222)</f>
        <v>45760.50347</v>
      </c>
      <c r="S44" s="177">
        <f>IFERROR(__xludf.DUMMYFUNCTION("""COMPUTED_VALUE"""),5.0)</f>
        <v>5</v>
      </c>
      <c r="T44" s="177" t="str">
        <f>IFERROR(__xludf.DUMMYFUNCTION("""COMPUTED_VALUE"""),"Round 5")</f>
        <v>Round 5</v>
      </c>
      <c r="U44" s="177" t="str">
        <f>IFERROR(__xludf.DUMMYFUNCTION("""COMPUTED_VALUE"""),"Full Time")</f>
        <v>Full Time</v>
      </c>
      <c r="V44" s="177" t="str">
        <f>IFERROR(__xludf.DUMMYFUNCTION("""COMPUTED_VALUE"""),"+10:00")</f>
        <v>+10:00</v>
      </c>
      <c r="W44" s="177">
        <f>IFERROR(__xludf.DUMMYFUNCTION("""COMPUTED_VALUE"""),1.7445117E9)</f>
        <v>1744511700</v>
      </c>
      <c r="X44" s="178">
        <f>IFERROR(__xludf.DUMMYFUNCTION("""COMPUTED_VALUE"""),45760.63752314815)</f>
        <v>45760.63752</v>
      </c>
      <c r="Y44" s="177" t="str">
        <f>IFERROR(__xludf.DUMMYFUNCTION("""COMPUTED_VALUE"""),"Barossa Park")</f>
        <v>Barossa Park</v>
      </c>
      <c r="Z44" s="177" t="str">
        <f>IFERROR(__xludf.DUMMYFUNCTION("""COMPUTED_VALUE"""),"Fremantle")</f>
        <v>Fremantle</v>
      </c>
      <c r="AA44" s="177">
        <f>IFERROR(__xludf.DUMMYFUNCTION("""COMPUTED_VALUE"""),6.0)</f>
        <v>6</v>
      </c>
      <c r="AB44" s="177">
        <f>IFERROR(__xludf.DUMMYFUNCTION("""COMPUTED_VALUE"""),2025.0)</f>
        <v>2025</v>
      </c>
      <c r="AC44" s="177" t="str">
        <f t="shared" si="3"/>
        <v>Sunday</v>
      </c>
    </row>
    <row r="45">
      <c r="A45" s="175" t="str">
        <f t="shared" si="1"/>
        <v>58</v>
      </c>
      <c r="B45" s="176">
        <f t="shared" si="2"/>
        <v>8</v>
      </c>
      <c r="C45" s="174">
        <f>IFERROR(__xludf.DUMMYFUNCTION("""COMPUTED_VALUE"""),37133.0)</f>
        <v>37133</v>
      </c>
      <c r="D45" s="174">
        <f>IFERROR(__xludf.DUMMYFUNCTION("""COMPUTED_VALUE"""),14.0)</f>
        <v>14</v>
      </c>
      <c r="E45" s="174">
        <f>IFERROR(__xludf.DUMMYFUNCTION("""COMPUTED_VALUE"""),16.0)</f>
        <v>16</v>
      </c>
      <c r="F45" s="177">
        <f>IFERROR(__xludf.DUMMYFUNCTION("""COMPUTED_VALUE"""),110.0)</f>
        <v>110</v>
      </c>
      <c r="G45" s="177" t="str">
        <f>IFERROR(__xludf.DUMMYFUNCTION("""COMPUTED_VALUE"""),"Greater Western Sydney")</f>
        <v>Greater Western Sydney</v>
      </c>
      <c r="H45" s="177">
        <f>IFERROR(__xludf.DUMMYFUNCTION("""COMPUTED_VALUE"""),9.0)</f>
        <v>9</v>
      </c>
      <c r="I45" s="177">
        <f>IFERROR(__xludf.DUMMYFUNCTION("""COMPUTED_VALUE"""),100.0)</f>
        <v>100</v>
      </c>
      <c r="J45" s="178">
        <f>IFERROR(__xludf.DUMMYFUNCTION("""COMPUTED_VALUE"""),45760.63888888889)</f>
        <v>45760.63889</v>
      </c>
      <c r="K45" s="177">
        <f>IFERROR(__xludf.DUMMYFUNCTION("""COMPUTED_VALUE"""),10.0)</f>
        <v>10</v>
      </c>
      <c r="L45" s="177">
        <f>IFERROR(__xludf.DUMMYFUNCTION("""COMPUTED_VALUE"""),12.0)</f>
        <v>12</v>
      </c>
      <c r="M45" s="177">
        <f>IFERROR(__xludf.DUMMYFUNCTION("""COMPUTED_VALUE"""),82.0)</f>
        <v>82</v>
      </c>
      <c r="N45" s="177" t="str">
        <f>IFERROR(__xludf.DUMMYFUNCTION("""COMPUTED_VALUE"""),"St Kilda")</f>
        <v>St Kilda</v>
      </c>
      <c r="O45" s="177">
        <f>IFERROR(__xludf.DUMMYFUNCTION("""COMPUTED_VALUE"""),15.0)</f>
        <v>15</v>
      </c>
      <c r="P45" s="177">
        <f>IFERROR(__xludf.DUMMYFUNCTION("""COMPUTED_VALUE"""),0.0)</f>
        <v>0</v>
      </c>
      <c r="Q45" s="177">
        <f>IFERROR(__xludf.DUMMYFUNCTION("""COMPUTED_VALUE"""),0.0)</f>
        <v>0</v>
      </c>
      <c r="R45" s="178">
        <f>IFERROR(__xludf.DUMMYFUNCTION("""COMPUTED_VALUE"""),45760.618055555555)</f>
        <v>45760.61806</v>
      </c>
      <c r="S45" s="177">
        <f>IFERROR(__xludf.DUMMYFUNCTION("""COMPUTED_VALUE"""),5.0)</f>
        <v>5</v>
      </c>
      <c r="T45" s="177" t="str">
        <f>IFERROR(__xludf.DUMMYFUNCTION("""COMPUTED_VALUE"""),"Round 5")</f>
        <v>Round 5</v>
      </c>
      <c r="U45" s="177" t="str">
        <f>IFERROR(__xludf.DUMMYFUNCTION("""COMPUTED_VALUE"""),"Full Time")</f>
        <v>Full Time</v>
      </c>
      <c r="V45" s="177" t="str">
        <f>IFERROR(__xludf.DUMMYFUNCTION("""COMPUTED_VALUE"""),"+10:00")</f>
        <v>+10:00</v>
      </c>
      <c r="W45" s="177">
        <f>IFERROR(__xludf.DUMMYFUNCTION("""COMPUTED_VALUE"""),1.7445216E9)</f>
        <v>1744521600</v>
      </c>
      <c r="X45" s="178">
        <f>IFERROR(__xludf.DUMMYFUNCTION("""COMPUTED_VALUE"""),45760.75525462963)</f>
        <v>45760.75525</v>
      </c>
      <c r="Y45" s="177" t="str">
        <f>IFERROR(__xludf.DUMMYFUNCTION("""COMPUTED_VALUE"""),"Norwood Oval")</f>
        <v>Norwood Oval</v>
      </c>
      <c r="Z45" s="177" t="str">
        <f>IFERROR(__xludf.DUMMYFUNCTION("""COMPUTED_VALUE"""),"Greater Western Sydney")</f>
        <v>Greater Western Sydney</v>
      </c>
      <c r="AA45" s="177">
        <f>IFERROR(__xludf.DUMMYFUNCTION("""COMPUTED_VALUE"""),9.0)</f>
        <v>9</v>
      </c>
      <c r="AB45" s="177">
        <f>IFERROR(__xludf.DUMMYFUNCTION("""COMPUTED_VALUE"""),2025.0)</f>
        <v>2025</v>
      </c>
      <c r="AC45" s="177" t="str">
        <f t="shared" si="3"/>
        <v>Sunday</v>
      </c>
    </row>
    <row r="46">
      <c r="A46" s="175" t="str">
        <f t="shared" si="1"/>
        <v>59</v>
      </c>
      <c r="B46" s="176">
        <f t="shared" si="2"/>
        <v>9</v>
      </c>
      <c r="C46" s="174">
        <f>IFERROR(__xludf.DUMMYFUNCTION("""COMPUTED_VALUE"""),37134.0)</f>
        <v>37134</v>
      </c>
      <c r="D46" s="174">
        <f>IFERROR(__xludf.DUMMYFUNCTION("""COMPUTED_VALUE"""),7.0)</f>
        <v>7</v>
      </c>
      <c r="E46" s="174">
        <f>IFERROR(__xludf.DUMMYFUNCTION("""COMPUTED_VALUE"""),14.0)</f>
        <v>14</v>
      </c>
      <c r="F46" s="177">
        <f>IFERROR(__xludf.DUMMYFUNCTION("""COMPUTED_VALUE"""),91.0)</f>
        <v>91</v>
      </c>
      <c r="G46" s="177" t="str">
        <f>IFERROR(__xludf.DUMMYFUNCTION("""COMPUTED_VALUE"""),"Hawthorn")</f>
        <v>Hawthorn</v>
      </c>
      <c r="H46" s="177">
        <f>IFERROR(__xludf.DUMMYFUNCTION("""COMPUTED_VALUE"""),10.0)</f>
        <v>10</v>
      </c>
      <c r="I46" s="177">
        <f>IFERROR(__xludf.DUMMYFUNCTION("""COMPUTED_VALUE"""),100.0)</f>
        <v>100</v>
      </c>
      <c r="J46" s="178">
        <f>IFERROR(__xludf.DUMMYFUNCTION("""COMPUTED_VALUE"""),45760.805555555555)</f>
        <v>45760.80556</v>
      </c>
      <c r="K46" s="177">
        <f>IFERROR(__xludf.DUMMYFUNCTION("""COMPUTED_VALUE"""),13.0)</f>
        <v>13</v>
      </c>
      <c r="L46" s="177">
        <f>IFERROR(__xludf.DUMMYFUNCTION("""COMPUTED_VALUE"""),18.0)</f>
        <v>18</v>
      </c>
      <c r="M46" s="177">
        <f>IFERROR(__xludf.DUMMYFUNCTION("""COMPUTED_VALUE"""),121.0)</f>
        <v>121</v>
      </c>
      <c r="N46" s="177" t="str">
        <f>IFERROR(__xludf.DUMMYFUNCTION("""COMPUTED_VALUE"""),"Port Adelaide")</f>
        <v>Port Adelaide</v>
      </c>
      <c r="O46" s="177">
        <f>IFERROR(__xludf.DUMMYFUNCTION("""COMPUTED_VALUE"""),13.0)</f>
        <v>13</v>
      </c>
      <c r="P46" s="177">
        <f>IFERROR(__xludf.DUMMYFUNCTION("""COMPUTED_VALUE"""),0.0)</f>
        <v>0</v>
      </c>
      <c r="Q46" s="177">
        <f>IFERROR(__xludf.DUMMYFUNCTION("""COMPUTED_VALUE"""),0.0)</f>
        <v>0</v>
      </c>
      <c r="R46" s="178">
        <f>IFERROR(__xludf.DUMMYFUNCTION("""COMPUTED_VALUE"""),45760.78472222222)</f>
        <v>45760.78472</v>
      </c>
      <c r="S46" s="177">
        <f>IFERROR(__xludf.DUMMYFUNCTION("""COMPUTED_VALUE"""),5.0)</f>
        <v>5</v>
      </c>
      <c r="T46" s="177" t="str">
        <f>IFERROR(__xludf.DUMMYFUNCTION("""COMPUTED_VALUE"""),"Round 5")</f>
        <v>Round 5</v>
      </c>
      <c r="U46" s="177" t="str">
        <f>IFERROR(__xludf.DUMMYFUNCTION("""COMPUTED_VALUE"""),"Full Time")</f>
        <v>Full Time</v>
      </c>
      <c r="V46" s="177" t="str">
        <f>IFERROR(__xludf.DUMMYFUNCTION("""COMPUTED_VALUE"""),"+10:00")</f>
        <v>+10:00</v>
      </c>
      <c r="W46" s="177">
        <f>IFERROR(__xludf.DUMMYFUNCTION("""COMPUTED_VALUE"""),1.744536E9)</f>
        <v>1744536000</v>
      </c>
      <c r="X46" s="178">
        <f>IFERROR(__xludf.DUMMYFUNCTION("""COMPUTED_VALUE"""),45760.92320601852)</f>
        <v>45760.92321</v>
      </c>
      <c r="Y46" s="177" t="str">
        <f>IFERROR(__xludf.DUMMYFUNCTION("""COMPUTED_VALUE"""),"Adelaide Oval")</f>
        <v>Adelaide Oval</v>
      </c>
      <c r="Z46" s="177" t="str">
        <f>IFERROR(__xludf.DUMMYFUNCTION("""COMPUTED_VALUE"""),"Port Adelaide")</f>
        <v>Port Adelaide</v>
      </c>
      <c r="AA46" s="177">
        <f>IFERROR(__xludf.DUMMYFUNCTION("""COMPUTED_VALUE"""),13.0)</f>
        <v>13</v>
      </c>
      <c r="AB46" s="177">
        <f>IFERROR(__xludf.DUMMYFUNCTION("""COMPUTED_VALUE"""),2025.0)</f>
        <v>2025</v>
      </c>
      <c r="AC46" s="177" t="str">
        <f t="shared" si="3"/>
        <v>Sunday</v>
      </c>
    </row>
    <row r="47">
      <c r="A47" s="175" t="str">
        <f t="shared" si="1"/>
        <v>61</v>
      </c>
      <c r="B47" s="176">
        <f t="shared" si="2"/>
        <v>1</v>
      </c>
      <c r="C47" s="174">
        <f>IFERROR(__xludf.DUMMYFUNCTION("""COMPUTED_VALUE"""),37135.0)</f>
        <v>37135</v>
      </c>
      <c r="D47" s="174">
        <f>IFERROR(__xludf.DUMMYFUNCTION("""COMPUTED_VALUE"""),9.0)</f>
        <v>9</v>
      </c>
      <c r="E47" s="174">
        <f>IFERROR(__xludf.DUMMYFUNCTION("""COMPUTED_VALUE"""),16.0)</f>
        <v>16</v>
      </c>
      <c r="F47" s="177">
        <f>IFERROR(__xludf.DUMMYFUNCTION("""COMPUTED_VALUE"""),105.0)</f>
        <v>105</v>
      </c>
      <c r="G47" s="177" t="str">
        <f>IFERROR(__xludf.DUMMYFUNCTION("""COMPUTED_VALUE"""),"Collingwood")</f>
        <v>Collingwood</v>
      </c>
      <c r="H47" s="177">
        <f>IFERROR(__xludf.DUMMYFUNCTION("""COMPUTED_VALUE"""),4.0)</f>
        <v>4</v>
      </c>
      <c r="I47" s="177">
        <f>IFERROR(__xludf.DUMMYFUNCTION("""COMPUTED_VALUE"""),100.0)</f>
        <v>100</v>
      </c>
      <c r="J47" s="178">
        <f>IFERROR(__xludf.DUMMYFUNCTION("""COMPUTED_VALUE"""),45764.8125)</f>
        <v>45764.8125</v>
      </c>
      <c r="K47" s="177">
        <f>IFERROR(__xludf.DUMMYFUNCTION("""COMPUTED_VALUE"""),11.0)</f>
        <v>11</v>
      </c>
      <c r="L47" s="177">
        <f>IFERROR(__xludf.DUMMYFUNCTION("""COMPUTED_VALUE"""),7.0)</f>
        <v>7</v>
      </c>
      <c r="M47" s="177">
        <f>IFERROR(__xludf.DUMMYFUNCTION("""COMPUTED_VALUE"""),53.0)</f>
        <v>53</v>
      </c>
      <c r="N47" s="177" t="str">
        <f>IFERROR(__xludf.DUMMYFUNCTION("""COMPUTED_VALUE"""),"Brisbane Lions")</f>
        <v>Brisbane Lions</v>
      </c>
      <c r="O47" s="177">
        <f>IFERROR(__xludf.DUMMYFUNCTION("""COMPUTED_VALUE"""),2.0)</f>
        <v>2</v>
      </c>
      <c r="P47" s="177">
        <f>IFERROR(__xludf.DUMMYFUNCTION("""COMPUTED_VALUE"""),0.0)</f>
        <v>0</v>
      </c>
      <c r="Q47" s="177">
        <f>IFERROR(__xludf.DUMMYFUNCTION("""COMPUTED_VALUE"""),0.0)</f>
        <v>0</v>
      </c>
      <c r="R47" s="178">
        <f>IFERROR(__xludf.DUMMYFUNCTION("""COMPUTED_VALUE"""),45764.8125)</f>
        <v>45764.8125</v>
      </c>
      <c r="S47" s="177">
        <f>IFERROR(__xludf.DUMMYFUNCTION("""COMPUTED_VALUE"""),6.0)</f>
        <v>6</v>
      </c>
      <c r="T47" s="177" t="str">
        <f>IFERROR(__xludf.DUMMYFUNCTION("""COMPUTED_VALUE"""),"Round 6")</f>
        <v>Round 6</v>
      </c>
      <c r="U47" s="177" t="str">
        <f>IFERROR(__xludf.DUMMYFUNCTION("""COMPUTED_VALUE"""),"Full Time")</f>
        <v>Full Time</v>
      </c>
      <c r="V47" s="177" t="str">
        <f>IFERROR(__xludf.DUMMYFUNCTION("""COMPUTED_VALUE"""),"+10:00")</f>
        <v>+10:00</v>
      </c>
      <c r="W47" s="177">
        <f>IFERROR(__xludf.DUMMYFUNCTION("""COMPUTED_VALUE"""),1.7448822E9)</f>
        <v>1744882200</v>
      </c>
      <c r="X47" s="178">
        <f>IFERROR(__xludf.DUMMYFUNCTION("""COMPUTED_VALUE"""),45764.923784722225)</f>
        <v>45764.92378</v>
      </c>
      <c r="Y47" s="177" t="str">
        <f>IFERROR(__xludf.DUMMYFUNCTION("""COMPUTED_VALUE"""),"Gabba")</f>
        <v>Gabba</v>
      </c>
      <c r="Z47" s="177" t="str">
        <f>IFERROR(__xludf.DUMMYFUNCTION("""COMPUTED_VALUE"""),"Collingwood")</f>
        <v>Collingwood</v>
      </c>
      <c r="AA47" s="177">
        <f>IFERROR(__xludf.DUMMYFUNCTION("""COMPUTED_VALUE"""),4.0)</f>
        <v>4</v>
      </c>
      <c r="AB47" s="177">
        <f>IFERROR(__xludf.DUMMYFUNCTION("""COMPUTED_VALUE"""),2025.0)</f>
        <v>2025</v>
      </c>
      <c r="AC47" s="177" t="str">
        <f t="shared" si="3"/>
        <v>Thursday</v>
      </c>
    </row>
    <row r="48">
      <c r="A48" s="175" t="str">
        <f t="shared" si="1"/>
        <v>62</v>
      </c>
      <c r="B48" s="176">
        <f t="shared" si="2"/>
        <v>2</v>
      </c>
      <c r="C48" s="174">
        <f>IFERROR(__xludf.DUMMYFUNCTION("""COMPUTED_VALUE"""),37136.0)</f>
        <v>37136</v>
      </c>
      <c r="D48" s="174">
        <f>IFERROR(__xludf.DUMMYFUNCTION("""COMPUTED_VALUE"""),9.0)</f>
        <v>9</v>
      </c>
      <c r="E48" s="174">
        <f>IFERROR(__xludf.DUMMYFUNCTION("""COMPUTED_VALUE"""),24.0)</f>
        <v>24</v>
      </c>
      <c r="F48" s="177">
        <f>IFERROR(__xludf.DUMMYFUNCTION("""COMPUTED_VALUE"""),153.0)</f>
        <v>153</v>
      </c>
      <c r="G48" s="177" t="str">
        <f>IFERROR(__xludf.DUMMYFUNCTION("""COMPUTED_VALUE"""),"Carlton")</f>
        <v>Carlton</v>
      </c>
      <c r="H48" s="177">
        <f>IFERROR(__xludf.DUMMYFUNCTION("""COMPUTED_VALUE"""),3.0)</f>
        <v>3</v>
      </c>
      <c r="I48" s="177">
        <f>IFERROR(__xludf.DUMMYFUNCTION("""COMPUTED_VALUE"""),100.0)</f>
        <v>100</v>
      </c>
      <c r="J48" s="178">
        <f>IFERROR(__xludf.DUMMYFUNCTION("""COMPUTED_VALUE"""),45765.63888888889)</f>
        <v>45765.63889</v>
      </c>
      <c r="K48" s="177">
        <f>IFERROR(__xludf.DUMMYFUNCTION("""COMPUTED_VALUE"""),5.0)</f>
        <v>5</v>
      </c>
      <c r="L48" s="177">
        <f>IFERROR(__xludf.DUMMYFUNCTION("""COMPUTED_VALUE"""),11.0)</f>
        <v>11</v>
      </c>
      <c r="M48" s="177">
        <f>IFERROR(__xludf.DUMMYFUNCTION("""COMPUTED_VALUE"""),71.0)</f>
        <v>71</v>
      </c>
      <c r="N48" s="177" t="str">
        <f>IFERROR(__xludf.DUMMYFUNCTION("""COMPUTED_VALUE"""),"North Melbourne")</f>
        <v>North Melbourne</v>
      </c>
      <c r="O48" s="177">
        <f>IFERROR(__xludf.DUMMYFUNCTION("""COMPUTED_VALUE"""),12.0)</f>
        <v>12</v>
      </c>
      <c r="P48" s="177">
        <f>IFERROR(__xludf.DUMMYFUNCTION("""COMPUTED_VALUE"""),0.0)</f>
        <v>0</v>
      </c>
      <c r="Q48" s="177">
        <f>IFERROR(__xludf.DUMMYFUNCTION("""COMPUTED_VALUE"""),0.0)</f>
        <v>0</v>
      </c>
      <c r="R48" s="178">
        <f>IFERROR(__xludf.DUMMYFUNCTION("""COMPUTED_VALUE"""),45765.63888888889)</f>
        <v>45765.63889</v>
      </c>
      <c r="S48" s="177">
        <f>IFERROR(__xludf.DUMMYFUNCTION("""COMPUTED_VALUE"""),6.0)</f>
        <v>6</v>
      </c>
      <c r="T48" s="177" t="str">
        <f>IFERROR(__xludf.DUMMYFUNCTION("""COMPUTED_VALUE"""),"Round 6")</f>
        <v>Round 6</v>
      </c>
      <c r="U48" s="177" t="str">
        <f>IFERROR(__xludf.DUMMYFUNCTION("""COMPUTED_VALUE"""),"Full Time")</f>
        <v>Full Time</v>
      </c>
      <c r="V48" s="177" t="str">
        <f>IFERROR(__xludf.DUMMYFUNCTION("""COMPUTED_VALUE"""),"+10:00")</f>
        <v>+10:00</v>
      </c>
      <c r="W48" s="177">
        <f>IFERROR(__xludf.DUMMYFUNCTION("""COMPUTED_VALUE"""),1.7449536E9)</f>
        <v>1744953600</v>
      </c>
      <c r="X48" s="178">
        <f>IFERROR(__xludf.DUMMYFUNCTION("""COMPUTED_VALUE"""),45765.75611111111)</f>
        <v>45765.75611</v>
      </c>
      <c r="Y48" s="177" t="str">
        <f>IFERROR(__xludf.DUMMYFUNCTION("""COMPUTED_VALUE"""),"Docklands")</f>
        <v>Docklands</v>
      </c>
      <c r="Z48" s="177" t="str">
        <f>IFERROR(__xludf.DUMMYFUNCTION("""COMPUTED_VALUE"""),"Carlton")</f>
        <v>Carlton</v>
      </c>
      <c r="AA48" s="177">
        <f>IFERROR(__xludf.DUMMYFUNCTION("""COMPUTED_VALUE"""),3.0)</f>
        <v>3</v>
      </c>
      <c r="AB48" s="177">
        <f>IFERROR(__xludf.DUMMYFUNCTION("""COMPUTED_VALUE"""),2025.0)</f>
        <v>2025</v>
      </c>
      <c r="AC48" s="177" t="str">
        <f t="shared" si="3"/>
        <v>Friday</v>
      </c>
    </row>
    <row r="49">
      <c r="A49" s="175" t="str">
        <f t="shared" si="1"/>
        <v>63</v>
      </c>
      <c r="B49" s="176">
        <f t="shared" si="2"/>
        <v>3</v>
      </c>
      <c r="C49" s="174">
        <f>IFERROR(__xludf.DUMMYFUNCTION("""COMPUTED_VALUE"""),37137.0)</f>
        <v>37137</v>
      </c>
      <c r="D49" s="174">
        <f>IFERROR(__xludf.DUMMYFUNCTION("""COMPUTED_VALUE"""),11.0)</f>
        <v>11</v>
      </c>
      <c r="E49" s="174">
        <f>IFERROR(__xludf.DUMMYFUNCTION("""COMPUTED_VALUE"""),11.0)</f>
        <v>11</v>
      </c>
      <c r="F49" s="177">
        <f>IFERROR(__xludf.DUMMYFUNCTION("""COMPUTED_VALUE"""),77.0)</f>
        <v>77</v>
      </c>
      <c r="G49" s="177" t="str">
        <f>IFERROR(__xludf.DUMMYFUNCTION("""COMPUTED_VALUE"""),"Essendon")</f>
        <v>Essendon</v>
      </c>
      <c r="H49" s="177">
        <f>IFERROR(__xludf.DUMMYFUNCTION("""COMPUTED_VALUE"""),5.0)</f>
        <v>5</v>
      </c>
      <c r="I49" s="177">
        <f>IFERROR(__xludf.DUMMYFUNCTION("""COMPUTED_VALUE"""),100.0)</f>
        <v>100</v>
      </c>
      <c r="J49" s="178">
        <f>IFERROR(__xludf.DUMMYFUNCTION("""COMPUTED_VALUE"""),45765.756944444445)</f>
        <v>45765.75694</v>
      </c>
      <c r="K49" s="177">
        <f>IFERROR(__xludf.DUMMYFUNCTION("""COMPUTED_VALUE"""),9.0)</f>
        <v>9</v>
      </c>
      <c r="L49" s="177">
        <f>IFERROR(__xludf.DUMMYFUNCTION("""COMPUTED_VALUE"""),11.0)</f>
        <v>11</v>
      </c>
      <c r="M49" s="177">
        <f>IFERROR(__xludf.DUMMYFUNCTION("""COMPUTED_VALUE"""),75.0)</f>
        <v>75</v>
      </c>
      <c r="N49" s="177" t="str">
        <f>IFERROR(__xludf.DUMMYFUNCTION("""COMPUTED_VALUE"""),"West Coast")</f>
        <v>West Coast</v>
      </c>
      <c r="O49" s="177">
        <f>IFERROR(__xludf.DUMMYFUNCTION("""COMPUTED_VALUE"""),17.0)</f>
        <v>17</v>
      </c>
      <c r="P49" s="177">
        <f>IFERROR(__xludf.DUMMYFUNCTION("""COMPUTED_VALUE"""),0.0)</f>
        <v>0</v>
      </c>
      <c r="Q49" s="177">
        <f>IFERROR(__xludf.DUMMYFUNCTION("""COMPUTED_VALUE"""),0.0)</f>
        <v>0</v>
      </c>
      <c r="R49" s="178">
        <f>IFERROR(__xludf.DUMMYFUNCTION("""COMPUTED_VALUE"""),45765.67361111111)</f>
        <v>45765.67361</v>
      </c>
      <c r="S49" s="177">
        <f>IFERROR(__xludf.DUMMYFUNCTION("""COMPUTED_VALUE"""),6.0)</f>
        <v>6</v>
      </c>
      <c r="T49" s="177" t="str">
        <f>IFERROR(__xludf.DUMMYFUNCTION("""COMPUTED_VALUE"""),"Round 6")</f>
        <v>Round 6</v>
      </c>
      <c r="U49" s="177" t="str">
        <f>IFERROR(__xludf.DUMMYFUNCTION("""COMPUTED_VALUE"""),"Full Time")</f>
        <v>Full Time</v>
      </c>
      <c r="V49" s="177" t="str">
        <f>IFERROR(__xludf.DUMMYFUNCTION("""COMPUTED_VALUE"""),"+10:00")</f>
        <v>+10:00</v>
      </c>
      <c r="W49" s="177">
        <f>IFERROR(__xludf.DUMMYFUNCTION("""COMPUTED_VALUE"""),1.7449638E9)</f>
        <v>1744963800</v>
      </c>
      <c r="X49" s="178">
        <f>IFERROR(__xludf.DUMMYFUNCTION("""COMPUTED_VALUE"""),45765.86662037037)</f>
        <v>45765.86662</v>
      </c>
      <c r="Y49" s="177" t="str">
        <f>IFERROR(__xludf.DUMMYFUNCTION("""COMPUTED_VALUE"""),"Perth Stadium")</f>
        <v>Perth Stadium</v>
      </c>
      <c r="Z49" s="177" t="str">
        <f>IFERROR(__xludf.DUMMYFUNCTION("""COMPUTED_VALUE"""),"Essendon")</f>
        <v>Essendon</v>
      </c>
      <c r="AA49" s="177">
        <f>IFERROR(__xludf.DUMMYFUNCTION("""COMPUTED_VALUE"""),5.0)</f>
        <v>5</v>
      </c>
      <c r="AB49" s="177">
        <f>IFERROR(__xludf.DUMMYFUNCTION("""COMPUTED_VALUE"""),2025.0)</f>
        <v>2025</v>
      </c>
      <c r="AC49" s="177" t="str">
        <f t="shared" si="3"/>
        <v>Friday</v>
      </c>
    </row>
    <row r="50">
      <c r="A50" s="175" t="str">
        <f t="shared" si="1"/>
        <v>64</v>
      </c>
      <c r="B50" s="176">
        <f t="shared" si="2"/>
        <v>4</v>
      </c>
      <c r="C50" s="174">
        <f>IFERROR(__xludf.DUMMYFUNCTION("""COMPUTED_VALUE"""),37138.0)</f>
        <v>37138</v>
      </c>
      <c r="D50" s="174">
        <f>IFERROR(__xludf.DUMMYFUNCTION("""COMPUTED_VALUE"""),13.0)</f>
        <v>13</v>
      </c>
      <c r="E50" s="174">
        <f>IFERROR(__xludf.DUMMYFUNCTION("""COMPUTED_VALUE"""),14.0)</f>
        <v>14</v>
      </c>
      <c r="F50" s="177">
        <f>IFERROR(__xludf.DUMMYFUNCTION("""COMPUTED_VALUE"""),97.0)</f>
        <v>97</v>
      </c>
      <c r="G50" s="177" t="str">
        <f>IFERROR(__xludf.DUMMYFUNCTION("""COMPUTED_VALUE"""),"Fremantle")</f>
        <v>Fremantle</v>
      </c>
      <c r="H50" s="177">
        <f>IFERROR(__xludf.DUMMYFUNCTION("""COMPUTED_VALUE"""),6.0)</f>
        <v>6</v>
      </c>
      <c r="I50" s="177">
        <f>IFERROR(__xludf.DUMMYFUNCTION("""COMPUTED_VALUE"""),100.0)</f>
        <v>100</v>
      </c>
      <c r="J50" s="178">
        <f>IFERROR(__xludf.DUMMYFUNCTION("""COMPUTED_VALUE"""),45766.555555555555)</f>
        <v>45766.55556</v>
      </c>
      <c r="K50" s="177">
        <f>IFERROR(__xludf.DUMMYFUNCTION("""COMPUTED_VALUE"""),11.0)</f>
        <v>11</v>
      </c>
      <c r="L50" s="177">
        <f>IFERROR(__xludf.DUMMYFUNCTION("""COMPUTED_VALUE"""),16.0)</f>
        <v>16</v>
      </c>
      <c r="M50" s="177">
        <f>IFERROR(__xludf.DUMMYFUNCTION("""COMPUTED_VALUE"""),107.0)</f>
        <v>107</v>
      </c>
      <c r="N50" s="177" t="str">
        <f>IFERROR(__xludf.DUMMYFUNCTION("""COMPUTED_VALUE"""),"Melbourne")</f>
        <v>Melbourne</v>
      </c>
      <c r="O50" s="177">
        <f>IFERROR(__xludf.DUMMYFUNCTION("""COMPUTED_VALUE"""),11.0)</f>
        <v>11</v>
      </c>
      <c r="P50" s="177">
        <f>IFERROR(__xludf.DUMMYFUNCTION("""COMPUTED_VALUE"""),0.0)</f>
        <v>0</v>
      </c>
      <c r="Q50" s="177">
        <f>IFERROR(__xludf.DUMMYFUNCTION("""COMPUTED_VALUE"""),0.0)</f>
        <v>0</v>
      </c>
      <c r="R50" s="178">
        <f>IFERROR(__xludf.DUMMYFUNCTION("""COMPUTED_VALUE"""),45766.555555555555)</f>
        <v>45766.55556</v>
      </c>
      <c r="S50" s="177">
        <f>IFERROR(__xludf.DUMMYFUNCTION("""COMPUTED_VALUE"""),6.0)</f>
        <v>6</v>
      </c>
      <c r="T50" s="177" t="str">
        <f>IFERROR(__xludf.DUMMYFUNCTION("""COMPUTED_VALUE"""),"Round 6")</f>
        <v>Round 6</v>
      </c>
      <c r="U50" s="177" t="str">
        <f>IFERROR(__xludf.DUMMYFUNCTION("""COMPUTED_VALUE"""),"Full Time")</f>
        <v>Full Time</v>
      </c>
      <c r="V50" s="177" t="str">
        <f>IFERROR(__xludf.DUMMYFUNCTION("""COMPUTED_VALUE"""),"+10:00")</f>
        <v>+10:00</v>
      </c>
      <c r="W50" s="177">
        <f>IFERROR(__xludf.DUMMYFUNCTION("""COMPUTED_VALUE"""),1.7450328E9)</f>
        <v>1745032800</v>
      </c>
      <c r="X50" s="178">
        <f>IFERROR(__xludf.DUMMYFUNCTION("""COMPUTED_VALUE"""),45766.66736111111)</f>
        <v>45766.66736</v>
      </c>
      <c r="Y50" s="177" t="str">
        <f>IFERROR(__xludf.DUMMYFUNCTION("""COMPUTED_VALUE"""),"M.C.G.")</f>
        <v>M.C.G.</v>
      </c>
      <c r="Z50" s="177" t="str">
        <f>IFERROR(__xludf.DUMMYFUNCTION("""COMPUTED_VALUE"""),"Melbourne")</f>
        <v>Melbourne</v>
      </c>
      <c r="AA50" s="177">
        <f>IFERROR(__xludf.DUMMYFUNCTION("""COMPUTED_VALUE"""),11.0)</f>
        <v>11</v>
      </c>
      <c r="AB50" s="177">
        <f>IFERROR(__xludf.DUMMYFUNCTION("""COMPUTED_VALUE"""),2025.0)</f>
        <v>2025</v>
      </c>
      <c r="AC50" s="177" t="str">
        <f t="shared" si="3"/>
        <v>Saturday</v>
      </c>
    </row>
    <row r="51">
      <c r="A51" s="175" t="str">
        <f t="shared" si="1"/>
        <v>65</v>
      </c>
      <c r="B51" s="176">
        <f t="shared" si="2"/>
        <v>5</v>
      </c>
      <c r="C51" s="174">
        <f>IFERROR(__xludf.DUMMYFUNCTION("""COMPUTED_VALUE"""),37139.0)</f>
        <v>37139</v>
      </c>
      <c r="D51" s="174">
        <f>IFERROR(__xludf.DUMMYFUNCTION("""COMPUTED_VALUE"""),10.0)</f>
        <v>10</v>
      </c>
      <c r="E51" s="174">
        <f>IFERROR(__xludf.DUMMYFUNCTION("""COMPUTED_VALUE"""),4.0)</f>
        <v>4</v>
      </c>
      <c r="F51" s="177">
        <f>IFERROR(__xludf.DUMMYFUNCTION("""COMPUTED_VALUE"""),34.0)</f>
        <v>34</v>
      </c>
      <c r="G51" s="177" t="str">
        <f>IFERROR(__xludf.DUMMYFUNCTION("""COMPUTED_VALUE"""),"Greater Western Sydney")</f>
        <v>Greater Western Sydney</v>
      </c>
      <c r="H51" s="177">
        <f>IFERROR(__xludf.DUMMYFUNCTION("""COMPUTED_VALUE"""),9.0)</f>
        <v>9</v>
      </c>
      <c r="I51" s="177">
        <f>IFERROR(__xludf.DUMMYFUNCTION("""COMPUTED_VALUE"""),100.0)</f>
        <v>100</v>
      </c>
      <c r="J51" s="178">
        <f>IFERROR(__xludf.DUMMYFUNCTION("""COMPUTED_VALUE"""),45766.677083333336)</f>
        <v>45766.67708</v>
      </c>
      <c r="K51" s="177">
        <f>IFERROR(__xludf.DUMMYFUNCTION("""COMPUTED_VALUE"""),10.0)</f>
        <v>10</v>
      </c>
      <c r="L51" s="177">
        <f>IFERROR(__xludf.DUMMYFUNCTION("""COMPUTED_VALUE"""),7.0)</f>
        <v>7</v>
      </c>
      <c r="M51" s="177">
        <f>IFERROR(__xludf.DUMMYFUNCTION("""COMPUTED_VALUE"""),52.0)</f>
        <v>52</v>
      </c>
      <c r="N51" s="177" t="str">
        <f>IFERROR(__xludf.DUMMYFUNCTION("""COMPUTED_VALUE"""),"Adelaide")</f>
        <v>Adelaide</v>
      </c>
      <c r="O51" s="177">
        <f>IFERROR(__xludf.DUMMYFUNCTION("""COMPUTED_VALUE"""),1.0)</f>
        <v>1</v>
      </c>
      <c r="P51" s="177">
        <f>IFERROR(__xludf.DUMMYFUNCTION("""COMPUTED_VALUE"""),0.0)</f>
        <v>0</v>
      </c>
      <c r="Q51" s="177">
        <f>IFERROR(__xludf.DUMMYFUNCTION("""COMPUTED_VALUE"""),0.0)</f>
        <v>0</v>
      </c>
      <c r="R51" s="178">
        <f>IFERROR(__xludf.DUMMYFUNCTION("""COMPUTED_VALUE"""),45766.65625)</f>
        <v>45766.65625</v>
      </c>
      <c r="S51" s="177">
        <f>IFERROR(__xludf.DUMMYFUNCTION("""COMPUTED_VALUE"""),6.0)</f>
        <v>6</v>
      </c>
      <c r="T51" s="177" t="str">
        <f>IFERROR(__xludf.DUMMYFUNCTION("""COMPUTED_VALUE"""),"Round 6")</f>
        <v>Round 6</v>
      </c>
      <c r="U51" s="177" t="str">
        <f>IFERROR(__xludf.DUMMYFUNCTION("""COMPUTED_VALUE"""),"Full Time")</f>
        <v>Full Time</v>
      </c>
      <c r="V51" s="177" t="str">
        <f>IFERROR(__xludf.DUMMYFUNCTION("""COMPUTED_VALUE"""),"+10:00")</f>
        <v>+10:00</v>
      </c>
      <c r="W51" s="177">
        <f>IFERROR(__xludf.DUMMYFUNCTION("""COMPUTED_VALUE"""),1.7450433E9)</f>
        <v>1745043300</v>
      </c>
      <c r="X51" s="178">
        <f>IFERROR(__xludf.DUMMYFUNCTION("""COMPUTED_VALUE"""),45766.78256944445)</f>
        <v>45766.78257</v>
      </c>
      <c r="Y51" s="177" t="str">
        <f>IFERROR(__xludf.DUMMYFUNCTION("""COMPUTED_VALUE"""),"Adelaide Oval")</f>
        <v>Adelaide Oval</v>
      </c>
      <c r="Z51" s="177" t="str">
        <f>IFERROR(__xludf.DUMMYFUNCTION("""COMPUTED_VALUE"""),"Adelaide")</f>
        <v>Adelaide</v>
      </c>
      <c r="AA51" s="177">
        <f>IFERROR(__xludf.DUMMYFUNCTION("""COMPUTED_VALUE"""),1.0)</f>
        <v>1</v>
      </c>
      <c r="AB51" s="177">
        <f>IFERROR(__xludf.DUMMYFUNCTION("""COMPUTED_VALUE"""),2025.0)</f>
        <v>2025</v>
      </c>
      <c r="AC51" s="177" t="str">
        <f t="shared" si="3"/>
        <v>Saturday</v>
      </c>
    </row>
    <row r="52">
      <c r="A52" s="175" t="str">
        <f t="shared" si="1"/>
        <v>66</v>
      </c>
      <c r="B52" s="176">
        <f t="shared" si="2"/>
        <v>6</v>
      </c>
      <c r="C52" s="174">
        <f>IFERROR(__xludf.DUMMYFUNCTION("""COMPUTED_VALUE"""),37140.0)</f>
        <v>37140</v>
      </c>
      <c r="D52" s="174">
        <f>IFERROR(__xludf.DUMMYFUNCTION("""COMPUTED_VALUE"""),15.0)</f>
        <v>15</v>
      </c>
      <c r="E52" s="174">
        <f>IFERROR(__xludf.DUMMYFUNCTION("""COMPUTED_VALUE"""),9.0)</f>
        <v>9</v>
      </c>
      <c r="F52" s="177">
        <f>IFERROR(__xludf.DUMMYFUNCTION("""COMPUTED_VALUE"""),69.0)</f>
        <v>69</v>
      </c>
      <c r="G52" s="177" t="str">
        <f>IFERROR(__xludf.DUMMYFUNCTION("""COMPUTED_VALUE"""),"Gold Coast")</f>
        <v>Gold Coast</v>
      </c>
      <c r="H52" s="177">
        <f>IFERROR(__xludf.DUMMYFUNCTION("""COMPUTED_VALUE"""),8.0)</f>
        <v>8</v>
      </c>
      <c r="I52" s="177">
        <f>IFERROR(__xludf.DUMMYFUNCTION("""COMPUTED_VALUE"""),100.0)</f>
        <v>100</v>
      </c>
      <c r="J52" s="178">
        <f>IFERROR(__xludf.DUMMYFUNCTION("""COMPUTED_VALUE"""),45766.81597222222)</f>
        <v>45766.81597</v>
      </c>
      <c r="K52" s="177">
        <f>IFERROR(__xludf.DUMMYFUNCTION("""COMPUTED_VALUE"""),8.0)</f>
        <v>8</v>
      </c>
      <c r="L52" s="177">
        <f>IFERROR(__xludf.DUMMYFUNCTION("""COMPUTED_VALUE"""),12.0)</f>
        <v>12</v>
      </c>
      <c r="M52" s="177">
        <f>IFERROR(__xludf.DUMMYFUNCTION("""COMPUTED_VALUE"""),80.0)</f>
        <v>80</v>
      </c>
      <c r="N52" s="177" t="str">
        <f>IFERROR(__xludf.DUMMYFUNCTION("""COMPUTED_VALUE"""),"Richmond")</f>
        <v>Richmond</v>
      </c>
      <c r="O52" s="177">
        <f>IFERROR(__xludf.DUMMYFUNCTION("""COMPUTED_VALUE"""),14.0)</f>
        <v>14</v>
      </c>
      <c r="P52" s="177">
        <f>IFERROR(__xludf.DUMMYFUNCTION("""COMPUTED_VALUE"""),0.0)</f>
        <v>0</v>
      </c>
      <c r="Q52" s="177">
        <f>IFERROR(__xludf.DUMMYFUNCTION("""COMPUTED_VALUE"""),0.0)</f>
        <v>0</v>
      </c>
      <c r="R52" s="178">
        <f>IFERROR(__xludf.DUMMYFUNCTION("""COMPUTED_VALUE"""),45766.81597222222)</f>
        <v>45766.81597</v>
      </c>
      <c r="S52" s="177">
        <f>IFERROR(__xludf.DUMMYFUNCTION("""COMPUTED_VALUE"""),6.0)</f>
        <v>6</v>
      </c>
      <c r="T52" s="177" t="str">
        <f>IFERROR(__xludf.DUMMYFUNCTION("""COMPUTED_VALUE"""),"Round 6")</f>
        <v>Round 6</v>
      </c>
      <c r="U52" s="177" t="str">
        <f>IFERROR(__xludf.DUMMYFUNCTION("""COMPUTED_VALUE"""),"Full Time")</f>
        <v>Full Time</v>
      </c>
      <c r="V52" s="177" t="str">
        <f>IFERROR(__xludf.DUMMYFUNCTION("""COMPUTED_VALUE"""),"+10:00")</f>
        <v>+10:00</v>
      </c>
      <c r="W52" s="177">
        <f>IFERROR(__xludf.DUMMYFUNCTION("""COMPUTED_VALUE"""),1.7450553E9)</f>
        <v>1745055300</v>
      </c>
      <c r="X52" s="178">
        <f>IFERROR(__xludf.DUMMYFUNCTION("""COMPUTED_VALUE"""),45766.92460648148)</f>
        <v>45766.92461</v>
      </c>
      <c r="Y52" s="177" t="str">
        <f>IFERROR(__xludf.DUMMYFUNCTION("""COMPUTED_VALUE"""),"Docklands")</f>
        <v>Docklands</v>
      </c>
      <c r="Z52" s="177" t="str">
        <f>IFERROR(__xludf.DUMMYFUNCTION("""COMPUTED_VALUE"""),"Richmond")</f>
        <v>Richmond</v>
      </c>
      <c r="AA52" s="177">
        <f>IFERROR(__xludf.DUMMYFUNCTION("""COMPUTED_VALUE"""),14.0)</f>
        <v>14</v>
      </c>
      <c r="AB52" s="177">
        <f>IFERROR(__xludf.DUMMYFUNCTION("""COMPUTED_VALUE"""),2025.0)</f>
        <v>2025</v>
      </c>
      <c r="AC52" s="177" t="str">
        <f t="shared" si="3"/>
        <v>Saturday</v>
      </c>
    </row>
    <row r="53">
      <c r="A53" s="175" t="str">
        <f t="shared" si="1"/>
        <v>67</v>
      </c>
      <c r="B53" s="176">
        <f t="shared" si="2"/>
        <v>7</v>
      </c>
      <c r="C53" s="174">
        <f>IFERROR(__xludf.DUMMYFUNCTION("""COMPUTED_VALUE"""),37141.0)</f>
        <v>37141</v>
      </c>
      <c r="D53" s="174">
        <f>IFERROR(__xludf.DUMMYFUNCTION("""COMPUTED_VALUE"""),7.0)</f>
        <v>7</v>
      </c>
      <c r="E53" s="174">
        <f>IFERROR(__xludf.DUMMYFUNCTION("""COMPUTED_VALUE"""),13.0)</f>
        <v>13</v>
      </c>
      <c r="F53" s="177">
        <f>IFERROR(__xludf.DUMMYFUNCTION("""COMPUTED_VALUE"""),85.0)</f>
        <v>85</v>
      </c>
      <c r="G53" s="177" t="str">
        <f>IFERROR(__xludf.DUMMYFUNCTION("""COMPUTED_VALUE"""),"Port Adelaide")</f>
        <v>Port Adelaide</v>
      </c>
      <c r="H53" s="177">
        <f>IFERROR(__xludf.DUMMYFUNCTION("""COMPUTED_VALUE"""),13.0)</f>
        <v>13</v>
      </c>
      <c r="I53" s="177">
        <f>IFERROR(__xludf.DUMMYFUNCTION("""COMPUTED_VALUE"""),100.0)</f>
        <v>100</v>
      </c>
      <c r="J53" s="178">
        <f>IFERROR(__xludf.DUMMYFUNCTION("""COMPUTED_VALUE"""),45767.63888888889)</f>
        <v>45767.63889</v>
      </c>
      <c r="K53" s="177">
        <f>IFERROR(__xludf.DUMMYFUNCTION("""COMPUTED_VALUE"""),17.0)</f>
        <v>17</v>
      </c>
      <c r="L53" s="177">
        <f>IFERROR(__xludf.DUMMYFUNCTION("""COMPUTED_VALUE"""),10.0)</f>
        <v>10</v>
      </c>
      <c r="M53" s="177">
        <f>IFERROR(__xludf.DUMMYFUNCTION("""COMPUTED_VALUE"""),77.0)</f>
        <v>77</v>
      </c>
      <c r="N53" s="177" t="str">
        <f>IFERROR(__xludf.DUMMYFUNCTION("""COMPUTED_VALUE"""),"Sydney")</f>
        <v>Sydney</v>
      </c>
      <c r="O53" s="177">
        <f>IFERROR(__xludf.DUMMYFUNCTION("""COMPUTED_VALUE"""),16.0)</f>
        <v>16</v>
      </c>
      <c r="P53" s="177">
        <f>IFERROR(__xludf.DUMMYFUNCTION("""COMPUTED_VALUE"""),0.0)</f>
        <v>0</v>
      </c>
      <c r="Q53" s="177">
        <f>IFERROR(__xludf.DUMMYFUNCTION("""COMPUTED_VALUE"""),0.0)</f>
        <v>0</v>
      </c>
      <c r="R53" s="178">
        <f>IFERROR(__xludf.DUMMYFUNCTION("""COMPUTED_VALUE"""),45767.63888888889)</f>
        <v>45767.63889</v>
      </c>
      <c r="S53" s="177">
        <f>IFERROR(__xludf.DUMMYFUNCTION("""COMPUTED_VALUE"""),6.0)</f>
        <v>6</v>
      </c>
      <c r="T53" s="177" t="str">
        <f>IFERROR(__xludf.DUMMYFUNCTION("""COMPUTED_VALUE"""),"Round 6")</f>
        <v>Round 6</v>
      </c>
      <c r="U53" s="177" t="str">
        <f>IFERROR(__xludf.DUMMYFUNCTION("""COMPUTED_VALUE"""),"Full Time")</f>
        <v>Full Time</v>
      </c>
      <c r="V53" s="177" t="str">
        <f>IFERROR(__xludf.DUMMYFUNCTION("""COMPUTED_VALUE"""),"+10:00")</f>
        <v>+10:00</v>
      </c>
      <c r="W53" s="177">
        <f>IFERROR(__xludf.DUMMYFUNCTION("""COMPUTED_VALUE"""),1.7451264E9)</f>
        <v>1745126400</v>
      </c>
      <c r="X53" s="178">
        <f>IFERROR(__xludf.DUMMYFUNCTION("""COMPUTED_VALUE"""),45767.75244212963)</f>
        <v>45767.75244</v>
      </c>
      <c r="Y53" s="177" t="str">
        <f>IFERROR(__xludf.DUMMYFUNCTION("""COMPUTED_VALUE"""),"S.C.G.")</f>
        <v>S.C.G.</v>
      </c>
      <c r="Z53" s="177" t="str">
        <f>IFERROR(__xludf.DUMMYFUNCTION("""COMPUTED_VALUE"""),"Port Adelaide")</f>
        <v>Port Adelaide</v>
      </c>
      <c r="AA53" s="177">
        <f>IFERROR(__xludf.DUMMYFUNCTION("""COMPUTED_VALUE"""),13.0)</f>
        <v>13</v>
      </c>
      <c r="AB53" s="177">
        <f>IFERROR(__xludf.DUMMYFUNCTION("""COMPUTED_VALUE"""),2025.0)</f>
        <v>2025</v>
      </c>
      <c r="AC53" s="177" t="str">
        <f t="shared" si="3"/>
        <v>Sunday</v>
      </c>
    </row>
    <row r="54">
      <c r="A54" s="175" t="str">
        <f t="shared" si="1"/>
        <v>68</v>
      </c>
      <c r="B54" s="176">
        <f t="shared" si="2"/>
        <v>8</v>
      </c>
      <c r="C54" s="174">
        <f>IFERROR(__xludf.DUMMYFUNCTION("""COMPUTED_VALUE"""),37142.0)</f>
        <v>37142</v>
      </c>
      <c r="D54" s="174">
        <f>IFERROR(__xludf.DUMMYFUNCTION("""COMPUTED_VALUE"""),8.0)</f>
        <v>8</v>
      </c>
      <c r="E54" s="174">
        <f>IFERROR(__xludf.DUMMYFUNCTION("""COMPUTED_VALUE"""),8.0)</f>
        <v>8</v>
      </c>
      <c r="F54" s="177">
        <f>IFERROR(__xludf.DUMMYFUNCTION("""COMPUTED_VALUE"""),56.0)</f>
        <v>56</v>
      </c>
      <c r="G54" s="177" t="str">
        <f>IFERROR(__xludf.DUMMYFUNCTION("""COMPUTED_VALUE"""),"St Kilda")</f>
        <v>St Kilda</v>
      </c>
      <c r="H54" s="177">
        <f>IFERROR(__xludf.DUMMYFUNCTION("""COMPUTED_VALUE"""),15.0)</f>
        <v>15</v>
      </c>
      <c r="I54" s="177">
        <f>IFERROR(__xludf.DUMMYFUNCTION("""COMPUTED_VALUE"""),100.0)</f>
        <v>100</v>
      </c>
      <c r="J54" s="178">
        <f>IFERROR(__xludf.DUMMYFUNCTION("""COMPUTED_VALUE"""),45767.805555555555)</f>
        <v>45767.80556</v>
      </c>
      <c r="K54" s="177">
        <f>IFERROR(__xludf.DUMMYFUNCTION("""COMPUTED_VALUE"""),19.0)</f>
        <v>19</v>
      </c>
      <c r="L54" s="177">
        <f>IFERROR(__xludf.DUMMYFUNCTION("""COMPUTED_VALUE"""),18.0)</f>
        <v>18</v>
      </c>
      <c r="M54" s="177">
        <f>IFERROR(__xludf.DUMMYFUNCTION("""COMPUTED_VALUE"""),127.0)</f>
        <v>127</v>
      </c>
      <c r="N54" s="177" t="str">
        <f>IFERROR(__xludf.DUMMYFUNCTION("""COMPUTED_VALUE"""),"Western Bulldogs")</f>
        <v>Western Bulldogs</v>
      </c>
      <c r="O54" s="177">
        <f>IFERROR(__xludf.DUMMYFUNCTION("""COMPUTED_VALUE"""),18.0)</f>
        <v>18</v>
      </c>
      <c r="P54" s="177">
        <f>IFERROR(__xludf.DUMMYFUNCTION("""COMPUTED_VALUE"""),0.0)</f>
        <v>0</v>
      </c>
      <c r="Q54" s="177">
        <f>IFERROR(__xludf.DUMMYFUNCTION("""COMPUTED_VALUE"""),0.0)</f>
        <v>0</v>
      </c>
      <c r="R54" s="178">
        <f>IFERROR(__xludf.DUMMYFUNCTION("""COMPUTED_VALUE"""),45767.805555555555)</f>
        <v>45767.80556</v>
      </c>
      <c r="S54" s="177">
        <f>IFERROR(__xludf.DUMMYFUNCTION("""COMPUTED_VALUE"""),6.0)</f>
        <v>6</v>
      </c>
      <c r="T54" s="177" t="str">
        <f>IFERROR(__xludf.DUMMYFUNCTION("""COMPUTED_VALUE"""),"Round 6")</f>
        <v>Round 6</v>
      </c>
      <c r="U54" s="177" t="str">
        <f>IFERROR(__xludf.DUMMYFUNCTION("""COMPUTED_VALUE"""),"Full Time")</f>
        <v>Full Time</v>
      </c>
      <c r="V54" s="177" t="str">
        <f>IFERROR(__xludf.DUMMYFUNCTION("""COMPUTED_VALUE"""),"+10:00")</f>
        <v>+10:00</v>
      </c>
      <c r="W54" s="177">
        <f>IFERROR(__xludf.DUMMYFUNCTION("""COMPUTED_VALUE"""),1.7451408E9)</f>
        <v>1745140800</v>
      </c>
      <c r="X54" s="178">
        <f>IFERROR(__xludf.DUMMYFUNCTION("""COMPUTED_VALUE"""),45767.91579861111)</f>
        <v>45767.9158</v>
      </c>
      <c r="Y54" s="177" t="str">
        <f>IFERROR(__xludf.DUMMYFUNCTION("""COMPUTED_VALUE"""),"Docklands")</f>
        <v>Docklands</v>
      </c>
      <c r="Z54" s="177" t="str">
        <f>IFERROR(__xludf.DUMMYFUNCTION("""COMPUTED_VALUE"""),"Western Bulldogs")</f>
        <v>Western Bulldogs</v>
      </c>
      <c r="AA54" s="177">
        <f>IFERROR(__xludf.DUMMYFUNCTION("""COMPUTED_VALUE"""),18.0)</f>
        <v>18</v>
      </c>
      <c r="AB54" s="177">
        <f>IFERROR(__xludf.DUMMYFUNCTION("""COMPUTED_VALUE"""),2025.0)</f>
        <v>2025</v>
      </c>
      <c r="AC54" s="177" t="str">
        <f t="shared" si="3"/>
        <v>Sunday</v>
      </c>
    </row>
    <row r="55">
      <c r="A55" s="175" t="str">
        <f t="shared" si="1"/>
        <v>69</v>
      </c>
      <c r="B55" s="176">
        <f t="shared" si="2"/>
        <v>9</v>
      </c>
      <c r="C55" s="174">
        <f>IFERROR(__xludf.DUMMYFUNCTION("""COMPUTED_VALUE"""),37143.0)</f>
        <v>37143</v>
      </c>
      <c r="D55" s="174">
        <f>IFERROR(__xludf.DUMMYFUNCTION("""COMPUTED_VALUE"""),13.0)</f>
        <v>13</v>
      </c>
      <c r="E55" s="174">
        <f>IFERROR(__xludf.DUMMYFUNCTION("""COMPUTED_VALUE"""),11.0)</f>
        <v>11</v>
      </c>
      <c r="F55" s="177">
        <f>IFERROR(__xludf.DUMMYFUNCTION("""COMPUTED_VALUE"""),79.0)</f>
        <v>79</v>
      </c>
      <c r="G55" s="177" t="str">
        <f>IFERROR(__xludf.DUMMYFUNCTION("""COMPUTED_VALUE"""),"Hawthorn")</f>
        <v>Hawthorn</v>
      </c>
      <c r="H55" s="177">
        <f>IFERROR(__xludf.DUMMYFUNCTION("""COMPUTED_VALUE"""),10.0)</f>
        <v>10</v>
      </c>
      <c r="I55" s="177">
        <f>IFERROR(__xludf.DUMMYFUNCTION("""COMPUTED_VALUE"""),100.0)</f>
        <v>100</v>
      </c>
      <c r="J55" s="178">
        <f>IFERROR(__xludf.DUMMYFUNCTION("""COMPUTED_VALUE"""),45768.63888888889)</f>
        <v>45768.63889</v>
      </c>
      <c r="K55" s="177">
        <f>IFERROR(__xludf.DUMMYFUNCTION("""COMPUTED_VALUE"""),14.0)</f>
        <v>14</v>
      </c>
      <c r="L55" s="177">
        <f>IFERROR(__xludf.DUMMYFUNCTION("""COMPUTED_VALUE"""),12.0)</f>
        <v>12</v>
      </c>
      <c r="M55" s="177">
        <f>IFERROR(__xludf.DUMMYFUNCTION("""COMPUTED_VALUE"""),86.0)</f>
        <v>86</v>
      </c>
      <c r="N55" s="177" t="str">
        <f>IFERROR(__xludf.DUMMYFUNCTION("""COMPUTED_VALUE"""),"Geelong")</f>
        <v>Geelong</v>
      </c>
      <c r="O55" s="177">
        <f>IFERROR(__xludf.DUMMYFUNCTION("""COMPUTED_VALUE"""),7.0)</f>
        <v>7</v>
      </c>
      <c r="P55" s="177">
        <f>IFERROR(__xludf.DUMMYFUNCTION("""COMPUTED_VALUE"""),0.0)</f>
        <v>0</v>
      </c>
      <c r="Q55" s="177">
        <f>IFERROR(__xludf.DUMMYFUNCTION("""COMPUTED_VALUE"""),0.0)</f>
        <v>0</v>
      </c>
      <c r="R55" s="178">
        <f>IFERROR(__xludf.DUMMYFUNCTION("""COMPUTED_VALUE"""),45768.63888888889)</f>
        <v>45768.63889</v>
      </c>
      <c r="S55" s="177">
        <f>IFERROR(__xludf.DUMMYFUNCTION("""COMPUTED_VALUE"""),6.0)</f>
        <v>6</v>
      </c>
      <c r="T55" s="177" t="str">
        <f>IFERROR(__xludf.DUMMYFUNCTION("""COMPUTED_VALUE"""),"Round 6")</f>
        <v>Round 6</v>
      </c>
      <c r="U55" s="177" t="str">
        <f>IFERROR(__xludf.DUMMYFUNCTION("""COMPUTED_VALUE"""),"Full Time")</f>
        <v>Full Time</v>
      </c>
      <c r="V55" s="177" t="str">
        <f>IFERROR(__xludf.DUMMYFUNCTION("""COMPUTED_VALUE"""),"+10:00")</f>
        <v>+10:00</v>
      </c>
      <c r="W55" s="177">
        <f>IFERROR(__xludf.DUMMYFUNCTION("""COMPUTED_VALUE"""),1.7452128E9)</f>
        <v>1745212800</v>
      </c>
      <c r="X55" s="178">
        <f>IFERROR(__xludf.DUMMYFUNCTION("""COMPUTED_VALUE"""),45768.75171296296)</f>
        <v>45768.75171</v>
      </c>
      <c r="Y55" s="177" t="str">
        <f>IFERROR(__xludf.DUMMYFUNCTION("""COMPUTED_VALUE"""),"M.C.G.")</f>
        <v>M.C.G.</v>
      </c>
      <c r="Z55" s="177" t="str">
        <f>IFERROR(__xludf.DUMMYFUNCTION("""COMPUTED_VALUE"""),"Geelong")</f>
        <v>Geelong</v>
      </c>
      <c r="AA55" s="177">
        <f>IFERROR(__xludf.DUMMYFUNCTION("""COMPUTED_VALUE"""),7.0)</f>
        <v>7</v>
      </c>
      <c r="AB55" s="177">
        <f>IFERROR(__xludf.DUMMYFUNCTION("""COMPUTED_VALUE"""),2025.0)</f>
        <v>2025</v>
      </c>
      <c r="AC55" s="177" t="str">
        <f t="shared" si="3"/>
        <v>Monday</v>
      </c>
    </row>
    <row r="56">
      <c r="A56" s="175" t="str">
        <f t="shared" si="1"/>
        <v>71</v>
      </c>
      <c r="B56" s="176">
        <f t="shared" si="2"/>
        <v>1</v>
      </c>
      <c r="C56" s="174">
        <f>IFERROR(__xludf.DUMMYFUNCTION("""COMPUTED_VALUE"""),37144.0)</f>
        <v>37144</v>
      </c>
      <c r="D56" s="174">
        <f>IFERROR(__xludf.DUMMYFUNCTION("""COMPUTED_VALUE"""),9.0)</f>
        <v>9</v>
      </c>
      <c r="E56" s="174">
        <f>IFERROR(__xludf.DUMMYFUNCTION("""COMPUTED_VALUE"""),9.0)</f>
        <v>9</v>
      </c>
      <c r="F56" s="177">
        <f>IFERROR(__xludf.DUMMYFUNCTION("""COMPUTED_VALUE"""),63.0)</f>
        <v>63</v>
      </c>
      <c r="G56" s="177" t="str">
        <f>IFERROR(__xludf.DUMMYFUNCTION("""COMPUTED_VALUE"""),"Richmond")</f>
        <v>Richmond</v>
      </c>
      <c r="H56" s="177">
        <f>IFERROR(__xludf.DUMMYFUNCTION("""COMPUTED_VALUE"""),14.0)</f>
        <v>14</v>
      </c>
      <c r="I56" s="177">
        <f>IFERROR(__xludf.DUMMYFUNCTION("""COMPUTED_VALUE"""),100.0)</f>
        <v>100</v>
      </c>
      <c r="J56" s="178">
        <f>IFERROR(__xludf.DUMMYFUNCTION("""COMPUTED_VALUE"""),45771.8125)</f>
        <v>45771.8125</v>
      </c>
      <c r="K56" s="177">
        <f>IFERROR(__xludf.DUMMYFUNCTION("""COMPUTED_VALUE"""),11.0)</f>
        <v>11</v>
      </c>
      <c r="L56" s="177">
        <f>IFERROR(__xludf.DUMMYFUNCTION("""COMPUTED_VALUE"""),12.0)</f>
        <v>12</v>
      </c>
      <c r="M56" s="177">
        <f>IFERROR(__xludf.DUMMYFUNCTION("""COMPUTED_VALUE"""),83.0)</f>
        <v>83</v>
      </c>
      <c r="N56" s="177" t="str">
        <f>IFERROR(__xludf.DUMMYFUNCTION("""COMPUTED_VALUE"""),"Melbourne")</f>
        <v>Melbourne</v>
      </c>
      <c r="O56" s="177">
        <f>IFERROR(__xludf.DUMMYFUNCTION("""COMPUTED_VALUE"""),11.0)</f>
        <v>11</v>
      </c>
      <c r="P56" s="177">
        <f>IFERROR(__xludf.DUMMYFUNCTION("""COMPUTED_VALUE"""),0.0)</f>
        <v>0</v>
      </c>
      <c r="Q56" s="177">
        <f>IFERROR(__xludf.DUMMYFUNCTION("""COMPUTED_VALUE"""),0.0)</f>
        <v>0</v>
      </c>
      <c r="R56" s="178">
        <f>IFERROR(__xludf.DUMMYFUNCTION("""COMPUTED_VALUE"""),45771.8125)</f>
        <v>45771.8125</v>
      </c>
      <c r="S56" s="177">
        <f>IFERROR(__xludf.DUMMYFUNCTION("""COMPUTED_VALUE"""),7.0)</f>
        <v>7</v>
      </c>
      <c r="T56" s="177" t="str">
        <f>IFERROR(__xludf.DUMMYFUNCTION("""COMPUTED_VALUE"""),"Round 7")</f>
        <v>Round 7</v>
      </c>
      <c r="U56" s="177" t="str">
        <f>IFERROR(__xludf.DUMMYFUNCTION("""COMPUTED_VALUE"""),"Full Time")</f>
        <v>Full Time</v>
      </c>
      <c r="V56" s="177" t="str">
        <f>IFERROR(__xludf.DUMMYFUNCTION("""COMPUTED_VALUE"""),"+10:00")</f>
        <v>+10:00</v>
      </c>
      <c r="W56" s="177">
        <f>IFERROR(__xludf.DUMMYFUNCTION("""COMPUTED_VALUE"""),1.745487E9)</f>
        <v>1745487000</v>
      </c>
      <c r="X56" s="178">
        <f>IFERROR(__xludf.DUMMYFUNCTION("""COMPUTED_VALUE"""),45772.74034722222)</f>
        <v>45772.74035</v>
      </c>
      <c r="Y56" s="177" t="str">
        <f>IFERROR(__xludf.DUMMYFUNCTION("""COMPUTED_VALUE"""),"M.C.G.")</f>
        <v>M.C.G.</v>
      </c>
      <c r="Z56" s="177" t="str">
        <f>IFERROR(__xludf.DUMMYFUNCTION("""COMPUTED_VALUE"""),"Melbourne")</f>
        <v>Melbourne</v>
      </c>
      <c r="AA56" s="177">
        <f>IFERROR(__xludf.DUMMYFUNCTION("""COMPUTED_VALUE"""),11.0)</f>
        <v>11</v>
      </c>
      <c r="AB56" s="177">
        <f>IFERROR(__xludf.DUMMYFUNCTION("""COMPUTED_VALUE"""),2025.0)</f>
        <v>2025</v>
      </c>
      <c r="AC56" s="177" t="str">
        <f t="shared" si="3"/>
        <v>Thursday</v>
      </c>
    </row>
    <row r="57">
      <c r="A57" s="175" t="str">
        <f t="shared" si="1"/>
        <v>72</v>
      </c>
      <c r="B57" s="176">
        <f t="shared" si="2"/>
        <v>2</v>
      </c>
      <c r="C57" s="174">
        <f>IFERROR(__xludf.DUMMYFUNCTION("""COMPUTED_VALUE"""),37145.0)</f>
        <v>37145</v>
      </c>
      <c r="D57" s="174">
        <f>IFERROR(__xludf.DUMMYFUNCTION("""COMPUTED_VALUE"""),6.0)</f>
        <v>6</v>
      </c>
      <c r="E57" s="174">
        <f>IFERROR(__xludf.DUMMYFUNCTION("""COMPUTED_VALUE"""),10.0)</f>
        <v>10</v>
      </c>
      <c r="F57" s="177">
        <f>IFERROR(__xludf.DUMMYFUNCTION("""COMPUTED_VALUE"""),66.0)</f>
        <v>66</v>
      </c>
      <c r="G57" s="177" t="str">
        <f>IFERROR(__xludf.DUMMYFUNCTION("""COMPUTED_VALUE"""),"Essendon")</f>
        <v>Essendon</v>
      </c>
      <c r="H57" s="177">
        <f>IFERROR(__xludf.DUMMYFUNCTION("""COMPUTED_VALUE"""),5.0)</f>
        <v>5</v>
      </c>
      <c r="I57" s="177">
        <f>IFERROR(__xludf.DUMMYFUNCTION("""COMPUTED_VALUE"""),100.0)</f>
        <v>100</v>
      </c>
      <c r="J57" s="178">
        <f>IFERROR(__xludf.DUMMYFUNCTION("""COMPUTED_VALUE"""),45772.63888888889)</f>
        <v>45772.63889</v>
      </c>
      <c r="K57" s="177">
        <f>IFERROR(__xludf.DUMMYFUNCTION("""COMPUTED_VALUE"""),11.0)</f>
        <v>11</v>
      </c>
      <c r="L57" s="177">
        <f>IFERROR(__xludf.DUMMYFUNCTION("""COMPUTED_VALUE"""),16.0)</f>
        <v>16</v>
      </c>
      <c r="M57" s="177">
        <f>IFERROR(__xludf.DUMMYFUNCTION("""COMPUTED_VALUE"""),107.0)</f>
        <v>107</v>
      </c>
      <c r="N57" s="177" t="str">
        <f>IFERROR(__xludf.DUMMYFUNCTION("""COMPUTED_VALUE"""),"Collingwood")</f>
        <v>Collingwood</v>
      </c>
      <c r="O57" s="177">
        <f>IFERROR(__xludf.DUMMYFUNCTION("""COMPUTED_VALUE"""),4.0)</f>
        <v>4</v>
      </c>
      <c r="P57" s="177">
        <f>IFERROR(__xludf.DUMMYFUNCTION("""COMPUTED_VALUE"""),0.0)</f>
        <v>0</v>
      </c>
      <c r="Q57" s="177">
        <f>IFERROR(__xludf.DUMMYFUNCTION("""COMPUTED_VALUE"""),0.0)</f>
        <v>0</v>
      </c>
      <c r="R57" s="178">
        <f>IFERROR(__xludf.DUMMYFUNCTION("""COMPUTED_VALUE"""),45772.63888888889)</f>
        <v>45772.63889</v>
      </c>
      <c r="S57" s="177">
        <f>IFERROR(__xludf.DUMMYFUNCTION("""COMPUTED_VALUE"""),7.0)</f>
        <v>7</v>
      </c>
      <c r="T57" s="177" t="str">
        <f>IFERROR(__xludf.DUMMYFUNCTION("""COMPUTED_VALUE"""),"Round 7")</f>
        <v>Round 7</v>
      </c>
      <c r="U57" s="177" t="str">
        <f>IFERROR(__xludf.DUMMYFUNCTION("""COMPUTED_VALUE"""),"Full Time")</f>
        <v>Full Time</v>
      </c>
      <c r="V57" s="177" t="str">
        <f>IFERROR(__xludf.DUMMYFUNCTION("""COMPUTED_VALUE"""),"+10:00")</f>
        <v>+10:00</v>
      </c>
      <c r="W57" s="177">
        <f>IFERROR(__xludf.DUMMYFUNCTION("""COMPUTED_VALUE"""),1.7455584E9)</f>
        <v>1745558400</v>
      </c>
      <c r="X57" s="178">
        <f>IFERROR(__xludf.DUMMYFUNCTION("""COMPUTED_VALUE"""),45772.75078703704)</f>
        <v>45772.75079</v>
      </c>
      <c r="Y57" s="177" t="str">
        <f>IFERROR(__xludf.DUMMYFUNCTION("""COMPUTED_VALUE"""),"M.C.G.")</f>
        <v>M.C.G.</v>
      </c>
      <c r="Z57" s="177" t="str">
        <f>IFERROR(__xludf.DUMMYFUNCTION("""COMPUTED_VALUE"""),"Collingwood")</f>
        <v>Collingwood</v>
      </c>
      <c r="AA57" s="177">
        <f>IFERROR(__xludf.DUMMYFUNCTION("""COMPUTED_VALUE"""),4.0)</f>
        <v>4</v>
      </c>
      <c r="AB57" s="177">
        <f>IFERROR(__xludf.DUMMYFUNCTION("""COMPUTED_VALUE"""),2025.0)</f>
        <v>2025</v>
      </c>
      <c r="AC57" s="177" t="str">
        <f t="shared" si="3"/>
        <v>Friday</v>
      </c>
    </row>
    <row r="58">
      <c r="A58" s="175" t="str">
        <f t="shared" si="1"/>
        <v>73</v>
      </c>
      <c r="B58" s="176">
        <f t="shared" si="2"/>
        <v>3</v>
      </c>
      <c r="C58" s="174">
        <f>IFERROR(__xludf.DUMMYFUNCTION("""COMPUTED_VALUE"""),37146.0)</f>
        <v>37146</v>
      </c>
      <c r="D58" s="174">
        <f>IFERROR(__xludf.DUMMYFUNCTION("""COMPUTED_VALUE"""),13.0)</f>
        <v>13</v>
      </c>
      <c r="E58" s="174">
        <f>IFERROR(__xludf.DUMMYFUNCTION("""COMPUTED_VALUE"""),9.0)</f>
        <v>9</v>
      </c>
      <c r="F58" s="177">
        <f>IFERROR(__xludf.DUMMYFUNCTION("""COMPUTED_VALUE"""),67.0)</f>
        <v>67</v>
      </c>
      <c r="G58" s="177" t="str">
        <f>IFERROR(__xludf.DUMMYFUNCTION("""COMPUTED_VALUE"""),"Adelaide")</f>
        <v>Adelaide</v>
      </c>
      <c r="H58" s="177">
        <f>IFERROR(__xludf.DUMMYFUNCTION("""COMPUTED_VALUE"""),1.0)</f>
        <v>1</v>
      </c>
      <c r="I58" s="177">
        <f>IFERROR(__xludf.DUMMYFUNCTION("""COMPUTED_VALUE"""),100.0)</f>
        <v>100</v>
      </c>
      <c r="J58" s="178">
        <f>IFERROR(__xludf.DUMMYFUNCTION("""COMPUTED_VALUE"""),45772.84027777778)</f>
        <v>45772.84028</v>
      </c>
      <c r="K58" s="177">
        <f>IFERROR(__xludf.DUMMYFUNCTION("""COMPUTED_VALUE"""),13.0)</f>
        <v>13</v>
      </c>
      <c r="L58" s="177">
        <f>IFERROR(__xludf.DUMMYFUNCTION("""COMPUTED_VALUE"""),12.0)</f>
        <v>12</v>
      </c>
      <c r="M58" s="177">
        <f>IFERROR(__xludf.DUMMYFUNCTION("""COMPUTED_VALUE"""),85.0)</f>
        <v>85</v>
      </c>
      <c r="N58" s="177" t="str">
        <f>IFERROR(__xludf.DUMMYFUNCTION("""COMPUTED_VALUE"""),"Fremantle")</f>
        <v>Fremantle</v>
      </c>
      <c r="O58" s="177">
        <f>IFERROR(__xludf.DUMMYFUNCTION("""COMPUTED_VALUE"""),6.0)</f>
        <v>6</v>
      </c>
      <c r="P58" s="177">
        <f>IFERROR(__xludf.DUMMYFUNCTION("""COMPUTED_VALUE"""),0.0)</f>
        <v>0</v>
      </c>
      <c r="Q58" s="177">
        <f>IFERROR(__xludf.DUMMYFUNCTION("""COMPUTED_VALUE"""),0.0)</f>
        <v>0</v>
      </c>
      <c r="R58" s="178">
        <f>IFERROR(__xludf.DUMMYFUNCTION("""COMPUTED_VALUE"""),45772.756944444445)</f>
        <v>45772.75694</v>
      </c>
      <c r="S58" s="177">
        <f>IFERROR(__xludf.DUMMYFUNCTION("""COMPUTED_VALUE"""),7.0)</f>
        <v>7</v>
      </c>
      <c r="T58" s="177" t="str">
        <f>IFERROR(__xludf.DUMMYFUNCTION("""COMPUTED_VALUE"""),"Round 7")</f>
        <v>Round 7</v>
      </c>
      <c r="U58" s="177" t="str">
        <f>IFERROR(__xludf.DUMMYFUNCTION("""COMPUTED_VALUE"""),"Full Time")</f>
        <v>Full Time</v>
      </c>
      <c r="V58" s="177" t="str">
        <f>IFERROR(__xludf.DUMMYFUNCTION("""COMPUTED_VALUE"""),"+10:00")</f>
        <v>+10:00</v>
      </c>
      <c r="W58" s="177">
        <f>IFERROR(__xludf.DUMMYFUNCTION("""COMPUTED_VALUE"""),1.7455758E9)</f>
        <v>1745575800</v>
      </c>
      <c r="X58" s="178">
        <f>IFERROR(__xludf.DUMMYFUNCTION("""COMPUTED_VALUE"""),45772.94724537037)</f>
        <v>45772.94725</v>
      </c>
      <c r="Y58" s="177" t="str">
        <f>IFERROR(__xludf.DUMMYFUNCTION("""COMPUTED_VALUE"""),"Perth Stadium")</f>
        <v>Perth Stadium</v>
      </c>
      <c r="Z58" s="177" t="str">
        <f>IFERROR(__xludf.DUMMYFUNCTION("""COMPUTED_VALUE"""),"Fremantle")</f>
        <v>Fremantle</v>
      </c>
      <c r="AA58" s="177">
        <f>IFERROR(__xludf.DUMMYFUNCTION("""COMPUTED_VALUE"""),6.0)</f>
        <v>6</v>
      </c>
      <c r="AB58" s="177">
        <f>IFERROR(__xludf.DUMMYFUNCTION("""COMPUTED_VALUE"""),2025.0)</f>
        <v>2025</v>
      </c>
      <c r="AC58" s="177" t="str">
        <f t="shared" si="3"/>
        <v>Friday</v>
      </c>
    </row>
    <row r="59">
      <c r="A59" s="175" t="str">
        <f t="shared" si="1"/>
        <v>74</v>
      </c>
      <c r="B59" s="176">
        <f t="shared" si="2"/>
        <v>4</v>
      </c>
      <c r="C59" s="174">
        <f>IFERROR(__xludf.DUMMYFUNCTION("""COMPUTED_VALUE"""),37147.0)</f>
        <v>37147</v>
      </c>
      <c r="D59" s="174">
        <f>IFERROR(__xludf.DUMMYFUNCTION("""COMPUTED_VALUE"""),16.0)</f>
        <v>16</v>
      </c>
      <c r="E59" s="174">
        <f>IFERROR(__xludf.DUMMYFUNCTION("""COMPUTED_VALUE"""),17.0)</f>
        <v>17</v>
      </c>
      <c r="F59" s="177">
        <f>IFERROR(__xludf.DUMMYFUNCTION("""COMPUTED_VALUE"""),118.0)</f>
        <v>118</v>
      </c>
      <c r="G59" s="177" t="str">
        <f>IFERROR(__xludf.DUMMYFUNCTION("""COMPUTED_VALUE"""),"Brisbane Lions")</f>
        <v>Brisbane Lions</v>
      </c>
      <c r="H59" s="177">
        <f>IFERROR(__xludf.DUMMYFUNCTION("""COMPUTED_VALUE"""),2.0)</f>
        <v>2</v>
      </c>
      <c r="I59" s="177">
        <f>IFERROR(__xludf.DUMMYFUNCTION("""COMPUTED_VALUE"""),100.0)</f>
        <v>100</v>
      </c>
      <c r="J59" s="178">
        <f>IFERROR(__xludf.DUMMYFUNCTION("""COMPUTED_VALUE"""),45773.555555555555)</f>
        <v>45773.55556</v>
      </c>
      <c r="K59" s="177">
        <f>IFERROR(__xludf.DUMMYFUNCTION("""COMPUTED_VALUE"""),7.0)</f>
        <v>7</v>
      </c>
      <c r="L59" s="177">
        <f>IFERROR(__xludf.DUMMYFUNCTION("""COMPUTED_VALUE"""),11.0)</f>
        <v>11</v>
      </c>
      <c r="M59" s="177">
        <f>IFERROR(__xludf.DUMMYFUNCTION("""COMPUTED_VALUE"""),73.0)</f>
        <v>73</v>
      </c>
      <c r="N59" s="177" t="str">
        <f>IFERROR(__xludf.DUMMYFUNCTION("""COMPUTED_VALUE"""),"St Kilda")</f>
        <v>St Kilda</v>
      </c>
      <c r="O59" s="177">
        <f>IFERROR(__xludf.DUMMYFUNCTION("""COMPUTED_VALUE"""),15.0)</f>
        <v>15</v>
      </c>
      <c r="P59" s="177">
        <f>IFERROR(__xludf.DUMMYFUNCTION("""COMPUTED_VALUE"""),0.0)</f>
        <v>0</v>
      </c>
      <c r="Q59" s="177">
        <f>IFERROR(__xludf.DUMMYFUNCTION("""COMPUTED_VALUE"""),0.0)</f>
        <v>0</v>
      </c>
      <c r="R59" s="178">
        <f>IFERROR(__xludf.DUMMYFUNCTION("""COMPUTED_VALUE"""),45773.555555555555)</f>
        <v>45773.55556</v>
      </c>
      <c r="S59" s="177">
        <f>IFERROR(__xludf.DUMMYFUNCTION("""COMPUTED_VALUE"""),7.0)</f>
        <v>7</v>
      </c>
      <c r="T59" s="177" t="str">
        <f>IFERROR(__xludf.DUMMYFUNCTION("""COMPUTED_VALUE"""),"Round 7")</f>
        <v>Round 7</v>
      </c>
      <c r="U59" s="177" t="str">
        <f>IFERROR(__xludf.DUMMYFUNCTION("""COMPUTED_VALUE"""),"Full Time")</f>
        <v>Full Time</v>
      </c>
      <c r="V59" s="177" t="str">
        <f>IFERROR(__xludf.DUMMYFUNCTION("""COMPUTED_VALUE"""),"+10:00")</f>
        <v>+10:00</v>
      </c>
      <c r="W59" s="177">
        <f>IFERROR(__xludf.DUMMYFUNCTION("""COMPUTED_VALUE"""),1.7456376E9)</f>
        <v>1745637600</v>
      </c>
      <c r="X59" s="178">
        <f>IFERROR(__xludf.DUMMYFUNCTION("""COMPUTED_VALUE"""),45773.67103009259)</f>
        <v>45773.67103</v>
      </c>
      <c r="Y59" s="177" t="str">
        <f>IFERROR(__xludf.DUMMYFUNCTION("""COMPUTED_VALUE"""),"Docklands")</f>
        <v>Docklands</v>
      </c>
      <c r="Z59" s="177" t="str">
        <f>IFERROR(__xludf.DUMMYFUNCTION("""COMPUTED_VALUE"""),"Brisbane Lions")</f>
        <v>Brisbane Lions</v>
      </c>
      <c r="AA59" s="177">
        <f>IFERROR(__xludf.DUMMYFUNCTION("""COMPUTED_VALUE"""),2.0)</f>
        <v>2</v>
      </c>
      <c r="AB59" s="177">
        <f>IFERROR(__xludf.DUMMYFUNCTION("""COMPUTED_VALUE"""),2025.0)</f>
        <v>2025</v>
      </c>
      <c r="AC59" s="177" t="str">
        <f t="shared" si="3"/>
        <v>Saturday</v>
      </c>
    </row>
    <row r="60">
      <c r="A60" s="175" t="str">
        <f t="shared" si="1"/>
        <v>75</v>
      </c>
      <c r="B60" s="176">
        <f t="shared" si="2"/>
        <v>5</v>
      </c>
      <c r="C60" s="174">
        <f>IFERROR(__xludf.DUMMYFUNCTION("""COMPUTED_VALUE"""),37148.0)</f>
        <v>37148</v>
      </c>
      <c r="D60" s="174">
        <f>IFERROR(__xludf.DUMMYFUNCTION("""COMPUTED_VALUE"""),10.0)</f>
        <v>10</v>
      </c>
      <c r="E60" s="174">
        <f>IFERROR(__xludf.DUMMYFUNCTION("""COMPUTED_VALUE"""),13.0)</f>
        <v>13</v>
      </c>
      <c r="F60" s="177">
        <f>IFERROR(__xludf.DUMMYFUNCTION("""COMPUTED_VALUE"""),88.0)</f>
        <v>88</v>
      </c>
      <c r="G60" s="177" t="str">
        <f>IFERROR(__xludf.DUMMYFUNCTION("""COMPUTED_VALUE"""),"North Melbourne")</f>
        <v>North Melbourne</v>
      </c>
      <c r="H60" s="177">
        <f>IFERROR(__xludf.DUMMYFUNCTION("""COMPUTED_VALUE"""),12.0)</f>
        <v>12</v>
      </c>
      <c r="I60" s="177">
        <f>IFERROR(__xludf.DUMMYFUNCTION("""COMPUTED_VALUE"""),100.0)</f>
        <v>100</v>
      </c>
      <c r="J60" s="178">
        <f>IFERROR(__xludf.DUMMYFUNCTION("""COMPUTED_VALUE"""),45773.677083333336)</f>
        <v>45773.67708</v>
      </c>
      <c r="K60" s="177">
        <f>IFERROR(__xludf.DUMMYFUNCTION("""COMPUTED_VALUE"""),13.0)</f>
        <v>13</v>
      </c>
      <c r="L60" s="177">
        <f>IFERROR(__xludf.DUMMYFUNCTION("""COMPUTED_VALUE"""),14.0)</f>
        <v>14</v>
      </c>
      <c r="M60" s="177">
        <f>IFERROR(__xludf.DUMMYFUNCTION("""COMPUTED_VALUE"""),97.0)</f>
        <v>97</v>
      </c>
      <c r="N60" s="177" t="str">
        <f>IFERROR(__xludf.DUMMYFUNCTION("""COMPUTED_VALUE"""),"Port Adelaide")</f>
        <v>Port Adelaide</v>
      </c>
      <c r="O60" s="177">
        <f>IFERROR(__xludf.DUMMYFUNCTION("""COMPUTED_VALUE"""),13.0)</f>
        <v>13</v>
      </c>
      <c r="P60" s="177">
        <f>IFERROR(__xludf.DUMMYFUNCTION("""COMPUTED_VALUE"""),0.0)</f>
        <v>0</v>
      </c>
      <c r="Q60" s="177">
        <f>IFERROR(__xludf.DUMMYFUNCTION("""COMPUTED_VALUE"""),0.0)</f>
        <v>0</v>
      </c>
      <c r="R60" s="178">
        <f>IFERROR(__xludf.DUMMYFUNCTION("""COMPUTED_VALUE"""),45773.65625)</f>
        <v>45773.65625</v>
      </c>
      <c r="S60" s="177">
        <f>IFERROR(__xludf.DUMMYFUNCTION("""COMPUTED_VALUE"""),7.0)</f>
        <v>7</v>
      </c>
      <c r="T60" s="177" t="str">
        <f>IFERROR(__xludf.DUMMYFUNCTION("""COMPUTED_VALUE"""),"Round 7")</f>
        <v>Round 7</v>
      </c>
      <c r="U60" s="177" t="str">
        <f>IFERROR(__xludf.DUMMYFUNCTION("""COMPUTED_VALUE"""),"Full Time")</f>
        <v>Full Time</v>
      </c>
      <c r="V60" s="177" t="str">
        <f>IFERROR(__xludf.DUMMYFUNCTION("""COMPUTED_VALUE"""),"+10:00")</f>
        <v>+10:00</v>
      </c>
      <c r="W60" s="177">
        <f>IFERROR(__xludf.DUMMYFUNCTION("""COMPUTED_VALUE"""),1.7456481E9)</f>
        <v>1745648100</v>
      </c>
      <c r="X60" s="178">
        <f>IFERROR(__xludf.DUMMYFUNCTION("""COMPUTED_VALUE"""),45773.79951388889)</f>
        <v>45773.79951</v>
      </c>
      <c r="Y60" s="177" t="str">
        <f>IFERROR(__xludf.DUMMYFUNCTION("""COMPUTED_VALUE"""),"Adelaide Oval")</f>
        <v>Adelaide Oval</v>
      </c>
      <c r="Z60" s="177" t="str">
        <f>IFERROR(__xludf.DUMMYFUNCTION("""COMPUTED_VALUE"""),"Port Adelaide")</f>
        <v>Port Adelaide</v>
      </c>
      <c r="AA60" s="177">
        <f>IFERROR(__xludf.DUMMYFUNCTION("""COMPUTED_VALUE"""),13.0)</f>
        <v>13</v>
      </c>
      <c r="AB60" s="177">
        <f>IFERROR(__xludf.DUMMYFUNCTION("""COMPUTED_VALUE"""),2025.0)</f>
        <v>2025</v>
      </c>
      <c r="AC60" s="177" t="str">
        <f t="shared" si="3"/>
        <v>Saturday</v>
      </c>
    </row>
    <row r="61">
      <c r="A61" s="175" t="str">
        <f t="shared" si="1"/>
        <v>76</v>
      </c>
      <c r="B61" s="176">
        <f t="shared" si="2"/>
        <v>6</v>
      </c>
      <c r="C61" s="174">
        <f>IFERROR(__xludf.DUMMYFUNCTION("""COMPUTED_VALUE"""),37149.0)</f>
        <v>37149</v>
      </c>
      <c r="D61" s="174">
        <f>IFERROR(__xludf.DUMMYFUNCTION("""COMPUTED_VALUE"""),11.0)</f>
        <v>11</v>
      </c>
      <c r="E61" s="174">
        <f>IFERROR(__xludf.DUMMYFUNCTION("""COMPUTED_VALUE"""),17.0)</f>
        <v>17</v>
      </c>
      <c r="F61" s="177">
        <f>IFERROR(__xludf.DUMMYFUNCTION("""COMPUTED_VALUE"""),113.0)</f>
        <v>113</v>
      </c>
      <c r="G61" s="177" t="str">
        <f>IFERROR(__xludf.DUMMYFUNCTION("""COMPUTED_VALUE"""),"Western Bulldogs")</f>
        <v>Western Bulldogs</v>
      </c>
      <c r="H61" s="177">
        <f>IFERROR(__xludf.DUMMYFUNCTION("""COMPUTED_VALUE"""),18.0)</f>
        <v>18</v>
      </c>
      <c r="I61" s="177">
        <f>IFERROR(__xludf.DUMMYFUNCTION("""COMPUTED_VALUE"""),100.0)</f>
        <v>100</v>
      </c>
      <c r="J61" s="178">
        <f>IFERROR(__xludf.DUMMYFUNCTION("""COMPUTED_VALUE"""),45773.81597222222)</f>
        <v>45773.81597</v>
      </c>
      <c r="K61" s="177">
        <f>IFERROR(__xludf.DUMMYFUNCTION("""COMPUTED_VALUE"""),9.0)</f>
        <v>9</v>
      </c>
      <c r="L61" s="177">
        <f>IFERROR(__xludf.DUMMYFUNCTION("""COMPUTED_VALUE"""),12.0)</f>
        <v>12</v>
      </c>
      <c r="M61" s="177">
        <f>IFERROR(__xludf.DUMMYFUNCTION("""COMPUTED_VALUE"""),81.0)</f>
        <v>81</v>
      </c>
      <c r="N61" s="177" t="str">
        <f>IFERROR(__xludf.DUMMYFUNCTION("""COMPUTED_VALUE"""),"Greater Western Sydney")</f>
        <v>Greater Western Sydney</v>
      </c>
      <c r="O61" s="177">
        <f>IFERROR(__xludf.DUMMYFUNCTION("""COMPUTED_VALUE"""),9.0)</f>
        <v>9</v>
      </c>
      <c r="P61" s="177">
        <f>IFERROR(__xludf.DUMMYFUNCTION("""COMPUTED_VALUE"""),0.0)</f>
        <v>0</v>
      </c>
      <c r="Q61" s="177">
        <f>IFERROR(__xludf.DUMMYFUNCTION("""COMPUTED_VALUE"""),0.0)</f>
        <v>0</v>
      </c>
      <c r="R61" s="178">
        <f>IFERROR(__xludf.DUMMYFUNCTION("""COMPUTED_VALUE"""),45773.81597222222)</f>
        <v>45773.81597</v>
      </c>
      <c r="S61" s="177">
        <f>IFERROR(__xludf.DUMMYFUNCTION("""COMPUTED_VALUE"""),7.0)</f>
        <v>7</v>
      </c>
      <c r="T61" s="177" t="str">
        <f>IFERROR(__xludf.DUMMYFUNCTION("""COMPUTED_VALUE"""),"Round 7")</f>
        <v>Round 7</v>
      </c>
      <c r="U61" s="177" t="str">
        <f>IFERROR(__xludf.DUMMYFUNCTION("""COMPUTED_VALUE"""),"Full Time")</f>
        <v>Full Time</v>
      </c>
      <c r="V61" s="177" t="str">
        <f>IFERROR(__xludf.DUMMYFUNCTION("""COMPUTED_VALUE"""),"+10:00")</f>
        <v>+10:00</v>
      </c>
      <c r="W61" s="177">
        <f>IFERROR(__xludf.DUMMYFUNCTION("""COMPUTED_VALUE"""),1.7456601E9)</f>
        <v>1745660100</v>
      </c>
      <c r="X61" s="178">
        <f>IFERROR(__xludf.DUMMYFUNCTION("""COMPUTED_VALUE"""),45773.93204861111)</f>
        <v>45773.93205</v>
      </c>
      <c r="Y61" s="177" t="str">
        <f>IFERROR(__xludf.DUMMYFUNCTION("""COMPUTED_VALUE"""),"Manuka Oval")</f>
        <v>Manuka Oval</v>
      </c>
      <c r="Z61" s="177" t="str">
        <f>IFERROR(__xludf.DUMMYFUNCTION("""COMPUTED_VALUE"""),"Western Bulldogs")</f>
        <v>Western Bulldogs</v>
      </c>
      <c r="AA61" s="177">
        <f>IFERROR(__xludf.DUMMYFUNCTION("""COMPUTED_VALUE"""),18.0)</f>
        <v>18</v>
      </c>
      <c r="AB61" s="177">
        <f>IFERROR(__xludf.DUMMYFUNCTION("""COMPUTED_VALUE"""),2025.0)</f>
        <v>2025</v>
      </c>
      <c r="AC61" s="177" t="str">
        <f t="shared" si="3"/>
        <v>Saturday</v>
      </c>
    </row>
    <row r="62">
      <c r="A62" s="175" t="str">
        <f t="shared" si="1"/>
        <v>77</v>
      </c>
      <c r="B62" s="176">
        <f t="shared" si="2"/>
        <v>7</v>
      </c>
      <c r="C62" s="177">
        <f>IFERROR(__xludf.DUMMYFUNCTION("""COMPUTED_VALUE"""),37150.0)</f>
        <v>37150</v>
      </c>
      <c r="D62" s="177">
        <f>IFERROR(__xludf.DUMMYFUNCTION("""COMPUTED_VALUE"""),7.0)</f>
        <v>7</v>
      </c>
      <c r="E62" s="177">
        <f>IFERROR(__xludf.DUMMYFUNCTION("""COMPUTED_VALUE"""),12.0)</f>
        <v>12</v>
      </c>
      <c r="F62" s="177">
        <f>IFERROR(__xludf.DUMMYFUNCTION("""COMPUTED_VALUE"""),79.0)</f>
        <v>79</v>
      </c>
      <c r="G62" s="177" t="str">
        <f>IFERROR(__xludf.DUMMYFUNCTION("""COMPUTED_VALUE"""),"Sydney")</f>
        <v>Sydney</v>
      </c>
      <c r="H62" s="177">
        <f>IFERROR(__xludf.DUMMYFUNCTION("""COMPUTED_VALUE"""),16.0)</f>
        <v>16</v>
      </c>
      <c r="I62" s="177">
        <f>IFERROR(__xludf.DUMMYFUNCTION("""COMPUTED_VALUE"""),100.0)</f>
        <v>100</v>
      </c>
      <c r="J62" s="178">
        <f>IFERROR(__xludf.DUMMYFUNCTION("""COMPUTED_VALUE"""),45774.552083333336)</f>
        <v>45774.55208</v>
      </c>
      <c r="K62" s="177">
        <f>IFERROR(__xludf.DUMMYFUNCTION("""COMPUTED_VALUE"""),15.0)</f>
        <v>15</v>
      </c>
      <c r="L62" s="177">
        <f>IFERROR(__xludf.DUMMYFUNCTION("""COMPUTED_VALUE"""),17.0)</f>
        <v>17</v>
      </c>
      <c r="M62" s="177">
        <f>IFERROR(__xludf.DUMMYFUNCTION("""COMPUTED_VALUE"""),117.0)</f>
        <v>117</v>
      </c>
      <c r="N62" s="177" t="str">
        <f>IFERROR(__xludf.DUMMYFUNCTION("""COMPUTED_VALUE"""),"Gold Coast")</f>
        <v>Gold Coast</v>
      </c>
      <c r="O62" s="177">
        <f>IFERROR(__xludf.DUMMYFUNCTION("""COMPUTED_VALUE"""),8.0)</f>
        <v>8</v>
      </c>
      <c r="P62" s="177">
        <f>IFERROR(__xludf.DUMMYFUNCTION("""COMPUTED_VALUE"""),0.0)</f>
        <v>0</v>
      </c>
      <c r="Q62" s="177">
        <f>IFERROR(__xludf.DUMMYFUNCTION("""COMPUTED_VALUE"""),0.0)</f>
        <v>0</v>
      </c>
      <c r="R62" s="178">
        <f>IFERROR(__xludf.DUMMYFUNCTION("""COMPUTED_VALUE"""),45774.552083333336)</f>
        <v>45774.55208</v>
      </c>
      <c r="S62" s="177">
        <f>IFERROR(__xludf.DUMMYFUNCTION("""COMPUTED_VALUE"""),7.0)</f>
        <v>7</v>
      </c>
      <c r="T62" s="177" t="str">
        <f>IFERROR(__xludf.DUMMYFUNCTION("""COMPUTED_VALUE"""),"Round 7")</f>
        <v>Round 7</v>
      </c>
      <c r="U62" s="177" t="str">
        <f>IFERROR(__xludf.DUMMYFUNCTION("""COMPUTED_VALUE"""),"Full Time")</f>
        <v>Full Time</v>
      </c>
      <c r="V62" s="177" t="str">
        <f>IFERROR(__xludf.DUMMYFUNCTION("""COMPUTED_VALUE"""),"+10:00")</f>
        <v>+10:00</v>
      </c>
      <c r="W62" s="177">
        <f>IFERROR(__xludf.DUMMYFUNCTION("""COMPUTED_VALUE"""),1.7457237E9)</f>
        <v>1745723700</v>
      </c>
      <c r="X62" s="178">
        <f>IFERROR(__xludf.DUMMYFUNCTION("""COMPUTED_VALUE"""),45774.66631944444)</f>
        <v>45774.66632</v>
      </c>
      <c r="Y62" s="177" t="str">
        <f>IFERROR(__xludf.DUMMYFUNCTION("""COMPUTED_VALUE"""),"Carrara")</f>
        <v>Carrara</v>
      </c>
      <c r="Z62" s="177" t="str">
        <f>IFERROR(__xludf.DUMMYFUNCTION("""COMPUTED_VALUE"""),"Gold Coast")</f>
        <v>Gold Coast</v>
      </c>
      <c r="AA62" s="177">
        <f>IFERROR(__xludf.DUMMYFUNCTION("""COMPUTED_VALUE"""),8.0)</f>
        <v>8</v>
      </c>
      <c r="AB62" s="177">
        <f>IFERROR(__xludf.DUMMYFUNCTION("""COMPUTED_VALUE"""),2025.0)</f>
        <v>2025</v>
      </c>
      <c r="AC62" s="177" t="str">
        <f t="shared" si="3"/>
        <v>Sunday</v>
      </c>
    </row>
    <row r="63">
      <c r="A63" s="175" t="str">
        <f t="shared" si="1"/>
        <v>78</v>
      </c>
      <c r="B63" s="176">
        <f t="shared" si="2"/>
        <v>8</v>
      </c>
      <c r="C63" s="177">
        <f>IFERROR(__xludf.DUMMYFUNCTION("""COMPUTED_VALUE"""),37151.0)</f>
        <v>37151</v>
      </c>
      <c r="D63" s="177">
        <f>IFERROR(__xludf.DUMMYFUNCTION("""COMPUTED_VALUE"""),4.0)</f>
        <v>4</v>
      </c>
      <c r="E63" s="177">
        <f>IFERROR(__xludf.DUMMYFUNCTION("""COMPUTED_VALUE"""),12.0)</f>
        <v>12</v>
      </c>
      <c r="F63" s="177">
        <f>IFERROR(__xludf.DUMMYFUNCTION("""COMPUTED_VALUE"""),76.0)</f>
        <v>76</v>
      </c>
      <c r="G63" s="177" t="str">
        <f>IFERROR(__xludf.DUMMYFUNCTION("""COMPUTED_VALUE"""),"Geelong")</f>
        <v>Geelong</v>
      </c>
      <c r="H63" s="177">
        <f>IFERROR(__xludf.DUMMYFUNCTION("""COMPUTED_VALUE"""),7.0)</f>
        <v>7</v>
      </c>
      <c r="I63" s="177">
        <f>IFERROR(__xludf.DUMMYFUNCTION("""COMPUTED_VALUE"""),100.0)</f>
        <v>100</v>
      </c>
      <c r="J63" s="178">
        <f>IFERROR(__xludf.DUMMYFUNCTION("""COMPUTED_VALUE"""),45774.63888888889)</f>
        <v>45774.63889</v>
      </c>
      <c r="K63" s="177">
        <f>IFERROR(__xludf.DUMMYFUNCTION("""COMPUTED_VALUE"""),10.0)</f>
        <v>10</v>
      </c>
      <c r="L63" s="177">
        <f>IFERROR(__xludf.DUMMYFUNCTION("""COMPUTED_VALUE"""),14.0)</f>
        <v>14</v>
      </c>
      <c r="M63" s="177">
        <f>IFERROR(__xludf.DUMMYFUNCTION("""COMPUTED_VALUE"""),94.0)</f>
        <v>94</v>
      </c>
      <c r="N63" s="177" t="str">
        <f>IFERROR(__xludf.DUMMYFUNCTION("""COMPUTED_VALUE"""),"Carlton")</f>
        <v>Carlton</v>
      </c>
      <c r="O63" s="177">
        <f>IFERROR(__xludf.DUMMYFUNCTION("""COMPUTED_VALUE"""),3.0)</f>
        <v>3</v>
      </c>
      <c r="P63" s="177">
        <f>IFERROR(__xludf.DUMMYFUNCTION("""COMPUTED_VALUE"""),0.0)</f>
        <v>0</v>
      </c>
      <c r="Q63" s="177">
        <f>IFERROR(__xludf.DUMMYFUNCTION("""COMPUTED_VALUE"""),0.0)</f>
        <v>0</v>
      </c>
      <c r="R63" s="178">
        <f>IFERROR(__xludf.DUMMYFUNCTION("""COMPUTED_VALUE"""),45774.63888888889)</f>
        <v>45774.63889</v>
      </c>
      <c r="S63" s="177">
        <f>IFERROR(__xludf.DUMMYFUNCTION("""COMPUTED_VALUE"""),7.0)</f>
        <v>7</v>
      </c>
      <c r="T63" s="177" t="str">
        <f>IFERROR(__xludf.DUMMYFUNCTION("""COMPUTED_VALUE"""),"Round 7")</f>
        <v>Round 7</v>
      </c>
      <c r="U63" s="177" t="str">
        <f>IFERROR(__xludf.DUMMYFUNCTION("""COMPUTED_VALUE"""),"Full Time")</f>
        <v>Full Time</v>
      </c>
      <c r="V63" s="177" t="str">
        <f>IFERROR(__xludf.DUMMYFUNCTION("""COMPUTED_VALUE"""),"+10:00")</f>
        <v>+10:00</v>
      </c>
      <c r="W63" s="177">
        <f>IFERROR(__xludf.DUMMYFUNCTION("""COMPUTED_VALUE"""),1.7457312E9)</f>
        <v>1745731200</v>
      </c>
      <c r="X63" s="178">
        <f>IFERROR(__xludf.DUMMYFUNCTION("""COMPUTED_VALUE"""),45774.750543981485)</f>
        <v>45774.75054</v>
      </c>
      <c r="Y63" s="177" t="str">
        <f>IFERROR(__xludf.DUMMYFUNCTION("""COMPUTED_VALUE"""),"M.C.G.")</f>
        <v>M.C.G.</v>
      </c>
      <c r="Z63" s="177" t="str">
        <f>IFERROR(__xludf.DUMMYFUNCTION("""COMPUTED_VALUE"""),"Carlton")</f>
        <v>Carlton</v>
      </c>
      <c r="AA63" s="177">
        <f>IFERROR(__xludf.DUMMYFUNCTION("""COMPUTED_VALUE"""),3.0)</f>
        <v>3</v>
      </c>
      <c r="AB63" s="177">
        <f>IFERROR(__xludf.DUMMYFUNCTION("""COMPUTED_VALUE"""),2025.0)</f>
        <v>2025</v>
      </c>
      <c r="AC63" s="177" t="str">
        <f t="shared" si="3"/>
        <v>Sunday</v>
      </c>
    </row>
    <row r="64">
      <c r="A64" s="175" t="str">
        <f t="shared" si="1"/>
        <v>79</v>
      </c>
      <c r="B64" s="176">
        <f t="shared" si="2"/>
        <v>9</v>
      </c>
      <c r="C64" s="177">
        <f>IFERROR(__xludf.DUMMYFUNCTION("""COMPUTED_VALUE"""),37152.0)</f>
        <v>37152</v>
      </c>
      <c r="D64" s="177">
        <f>IFERROR(__xludf.DUMMYFUNCTION("""COMPUTED_VALUE"""),8.0)</f>
        <v>8</v>
      </c>
      <c r="E64" s="177">
        <f>IFERROR(__xludf.DUMMYFUNCTION("""COMPUTED_VALUE"""),11.0)</f>
        <v>11</v>
      </c>
      <c r="F64" s="177">
        <f>IFERROR(__xludf.DUMMYFUNCTION("""COMPUTED_VALUE"""),74.0)</f>
        <v>74</v>
      </c>
      <c r="G64" s="177" t="str">
        <f>IFERROR(__xludf.DUMMYFUNCTION("""COMPUTED_VALUE"""),"West Coast")</f>
        <v>West Coast</v>
      </c>
      <c r="H64" s="177">
        <f>IFERROR(__xludf.DUMMYFUNCTION("""COMPUTED_VALUE"""),17.0)</f>
        <v>17</v>
      </c>
      <c r="I64" s="177">
        <f>IFERROR(__xludf.DUMMYFUNCTION("""COMPUTED_VALUE"""),100.0)</f>
        <v>100</v>
      </c>
      <c r="J64" s="178">
        <f>IFERROR(__xludf.DUMMYFUNCTION("""COMPUTED_VALUE"""),45774.697916666664)</f>
        <v>45774.69792</v>
      </c>
      <c r="K64" s="177">
        <f>IFERROR(__xludf.DUMMYFUNCTION("""COMPUTED_VALUE"""),16.0)</f>
        <v>16</v>
      </c>
      <c r="L64" s="177">
        <f>IFERROR(__xludf.DUMMYFUNCTION("""COMPUTED_VALUE"""),18.0)</f>
        <v>18</v>
      </c>
      <c r="M64" s="177">
        <f>IFERROR(__xludf.DUMMYFUNCTION("""COMPUTED_VALUE"""),124.0)</f>
        <v>124</v>
      </c>
      <c r="N64" s="177" t="str">
        <f>IFERROR(__xludf.DUMMYFUNCTION("""COMPUTED_VALUE"""),"Hawthorn")</f>
        <v>Hawthorn</v>
      </c>
      <c r="O64" s="177">
        <f>IFERROR(__xludf.DUMMYFUNCTION("""COMPUTED_VALUE"""),10.0)</f>
        <v>10</v>
      </c>
      <c r="P64" s="177">
        <f>IFERROR(__xludf.DUMMYFUNCTION("""COMPUTED_VALUE"""),0.0)</f>
        <v>0</v>
      </c>
      <c r="Q64" s="177">
        <f>IFERROR(__xludf.DUMMYFUNCTION("""COMPUTED_VALUE"""),0.0)</f>
        <v>0</v>
      </c>
      <c r="R64" s="178">
        <f>IFERROR(__xludf.DUMMYFUNCTION("""COMPUTED_VALUE"""),45774.697916666664)</f>
        <v>45774.69792</v>
      </c>
      <c r="S64" s="177">
        <f>IFERROR(__xludf.DUMMYFUNCTION("""COMPUTED_VALUE"""),7.0)</f>
        <v>7</v>
      </c>
      <c r="T64" s="177" t="str">
        <f>IFERROR(__xludf.DUMMYFUNCTION("""COMPUTED_VALUE"""),"Round 7")</f>
        <v>Round 7</v>
      </c>
      <c r="U64" s="177" t="str">
        <f>IFERROR(__xludf.DUMMYFUNCTION("""COMPUTED_VALUE"""),"Full Time")</f>
        <v>Full Time</v>
      </c>
      <c r="V64" s="177" t="str">
        <f>IFERROR(__xludf.DUMMYFUNCTION("""COMPUTED_VALUE"""),"+10:00")</f>
        <v>+10:00</v>
      </c>
      <c r="W64" s="177">
        <f>IFERROR(__xludf.DUMMYFUNCTION("""COMPUTED_VALUE"""),1.7457363E9)</f>
        <v>1745736300</v>
      </c>
      <c r="X64" s="178">
        <f>IFERROR(__xludf.DUMMYFUNCTION("""COMPUTED_VALUE"""),45774.8115625)</f>
        <v>45774.81156</v>
      </c>
      <c r="Y64" s="177" t="str">
        <f>IFERROR(__xludf.DUMMYFUNCTION("""COMPUTED_VALUE"""),"Docklands")</f>
        <v>Docklands</v>
      </c>
      <c r="Z64" s="177" t="str">
        <f>IFERROR(__xludf.DUMMYFUNCTION("""COMPUTED_VALUE"""),"Hawthorn")</f>
        <v>Hawthorn</v>
      </c>
      <c r="AA64" s="177">
        <f>IFERROR(__xludf.DUMMYFUNCTION("""COMPUTED_VALUE"""),10.0)</f>
        <v>10</v>
      </c>
      <c r="AB64" s="177">
        <f>IFERROR(__xludf.DUMMYFUNCTION("""COMPUTED_VALUE"""),2025.0)</f>
        <v>2025</v>
      </c>
      <c r="AC64" s="177" t="str">
        <f t="shared" si="3"/>
        <v>Sunday</v>
      </c>
    </row>
    <row r="65">
      <c r="A65" s="175" t="str">
        <f t="shared" si="1"/>
        <v>81</v>
      </c>
      <c r="B65" s="176">
        <f t="shared" si="2"/>
        <v>1</v>
      </c>
      <c r="C65" s="177">
        <f>IFERROR(__xludf.DUMMYFUNCTION("""COMPUTED_VALUE"""),37153.0)</f>
        <v>37153</v>
      </c>
      <c r="D65" s="177">
        <f>IFERROR(__xludf.DUMMYFUNCTION("""COMPUTED_VALUE"""),8.0)</f>
        <v>8</v>
      </c>
      <c r="E65" s="177">
        <f>IFERROR(__xludf.DUMMYFUNCTION("""COMPUTED_VALUE"""),9.0)</f>
        <v>9</v>
      </c>
      <c r="F65" s="177">
        <f>IFERROR(__xludf.DUMMYFUNCTION("""COMPUTED_VALUE"""),62.0)</f>
        <v>62</v>
      </c>
      <c r="G65" s="177" t="str">
        <f>IFERROR(__xludf.DUMMYFUNCTION("""COMPUTED_VALUE"""),"North Melbourne")</f>
        <v>North Melbourne</v>
      </c>
      <c r="H65" s="177">
        <f>IFERROR(__xludf.DUMMYFUNCTION("""COMPUTED_VALUE"""),12.0)</f>
        <v>12</v>
      </c>
      <c r="I65" s="177">
        <f>IFERROR(__xludf.DUMMYFUNCTION("""COMPUTED_VALUE"""),100.0)</f>
        <v>100</v>
      </c>
      <c r="J65" s="178">
        <f>IFERROR(__xludf.DUMMYFUNCTION("""COMPUTED_VALUE"""),45778.8125)</f>
        <v>45778.8125</v>
      </c>
      <c r="K65" s="177">
        <f>IFERROR(__xludf.DUMMYFUNCTION("""COMPUTED_VALUE"""),11.0)</f>
        <v>11</v>
      </c>
      <c r="L65" s="177">
        <f>IFERROR(__xludf.DUMMYFUNCTION("""COMPUTED_VALUE"""),9.0)</f>
        <v>9</v>
      </c>
      <c r="M65" s="177">
        <f>IFERROR(__xludf.DUMMYFUNCTION("""COMPUTED_VALUE"""),65.0)</f>
        <v>65</v>
      </c>
      <c r="N65" s="177" t="str">
        <f>IFERROR(__xludf.DUMMYFUNCTION("""COMPUTED_VALUE"""),"Essendon")</f>
        <v>Essendon</v>
      </c>
      <c r="O65" s="177">
        <f>IFERROR(__xludf.DUMMYFUNCTION("""COMPUTED_VALUE"""),5.0)</f>
        <v>5</v>
      </c>
      <c r="P65" s="177">
        <f>IFERROR(__xludf.DUMMYFUNCTION("""COMPUTED_VALUE"""),0.0)</f>
        <v>0</v>
      </c>
      <c r="Q65" s="177">
        <f>IFERROR(__xludf.DUMMYFUNCTION("""COMPUTED_VALUE"""),0.0)</f>
        <v>0</v>
      </c>
      <c r="R65" s="178">
        <f>IFERROR(__xludf.DUMMYFUNCTION("""COMPUTED_VALUE"""),45778.8125)</f>
        <v>45778.8125</v>
      </c>
      <c r="S65" s="177">
        <f>IFERROR(__xludf.DUMMYFUNCTION("""COMPUTED_VALUE"""),8.0)</f>
        <v>8</v>
      </c>
      <c r="T65" s="177" t="str">
        <f>IFERROR(__xludf.DUMMYFUNCTION("""COMPUTED_VALUE"""),"Round 8")</f>
        <v>Round 8</v>
      </c>
      <c r="U65" s="177" t="str">
        <f>IFERROR(__xludf.DUMMYFUNCTION("""COMPUTED_VALUE"""),"Full Time")</f>
        <v>Full Time</v>
      </c>
      <c r="V65" s="177" t="str">
        <f>IFERROR(__xludf.DUMMYFUNCTION("""COMPUTED_VALUE"""),"+10:00")</f>
        <v>+10:00</v>
      </c>
      <c r="W65" s="177">
        <f>IFERROR(__xludf.DUMMYFUNCTION("""COMPUTED_VALUE"""),1.7460918E9)</f>
        <v>1746091800</v>
      </c>
      <c r="X65" s="178">
        <f>IFERROR(__xludf.DUMMYFUNCTION("""COMPUTED_VALUE"""),45778.921898148146)</f>
        <v>45778.9219</v>
      </c>
      <c r="Y65" s="177" t="str">
        <f>IFERROR(__xludf.DUMMYFUNCTION("""COMPUTED_VALUE"""),"Docklands")</f>
        <v>Docklands</v>
      </c>
      <c r="Z65" s="177" t="str">
        <f>IFERROR(__xludf.DUMMYFUNCTION("""COMPUTED_VALUE"""),"Essendon")</f>
        <v>Essendon</v>
      </c>
      <c r="AA65" s="177">
        <f>IFERROR(__xludf.DUMMYFUNCTION("""COMPUTED_VALUE"""),5.0)</f>
        <v>5</v>
      </c>
      <c r="AB65" s="177">
        <f>IFERROR(__xludf.DUMMYFUNCTION("""COMPUTED_VALUE"""),2025.0)</f>
        <v>2025</v>
      </c>
      <c r="AC65" s="177" t="str">
        <f t="shared" si="3"/>
        <v>Thursday</v>
      </c>
    </row>
    <row r="66">
      <c r="A66" s="175" t="str">
        <f t="shared" si="1"/>
        <v>82</v>
      </c>
      <c r="B66" s="176">
        <f t="shared" si="2"/>
        <v>2</v>
      </c>
      <c r="C66" s="177">
        <f>IFERROR(__xludf.DUMMYFUNCTION("""COMPUTED_VALUE"""),37154.0)</f>
        <v>37154</v>
      </c>
      <c r="D66" s="177">
        <f>IFERROR(__xludf.DUMMYFUNCTION("""COMPUTED_VALUE"""),3.0)</f>
        <v>3</v>
      </c>
      <c r="E66" s="177">
        <f>IFERROR(__xludf.DUMMYFUNCTION("""COMPUTED_VALUE"""),5.0)</f>
        <v>5</v>
      </c>
      <c r="F66" s="177">
        <f>IFERROR(__xludf.DUMMYFUNCTION("""COMPUTED_VALUE"""),33.0)</f>
        <v>33</v>
      </c>
      <c r="G66" s="177" t="str">
        <f>IFERROR(__xludf.DUMMYFUNCTION("""COMPUTED_VALUE"""),"Fremantle")</f>
        <v>Fremantle</v>
      </c>
      <c r="H66" s="177">
        <f>IFERROR(__xludf.DUMMYFUNCTION("""COMPUTED_VALUE"""),6.0)</f>
        <v>6</v>
      </c>
      <c r="I66" s="177">
        <f>IFERROR(__xludf.DUMMYFUNCTION("""COMPUTED_VALUE"""),100.0)</f>
        <v>100</v>
      </c>
      <c r="J66" s="178">
        <f>IFERROR(__xludf.DUMMYFUNCTION("""COMPUTED_VALUE"""),45779.819444444445)</f>
        <v>45779.81944</v>
      </c>
      <c r="K66" s="177">
        <f>IFERROR(__xludf.DUMMYFUNCTION("""COMPUTED_VALUE"""),10.0)</f>
        <v>10</v>
      </c>
      <c r="L66" s="177">
        <f>IFERROR(__xludf.DUMMYFUNCTION("""COMPUTED_VALUE"""),14.0)</f>
        <v>14</v>
      </c>
      <c r="M66" s="177">
        <f>IFERROR(__xludf.DUMMYFUNCTION("""COMPUTED_VALUE"""),94.0)</f>
        <v>94</v>
      </c>
      <c r="N66" s="177" t="str">
        <f>IFERROR(__xludf.DUMMYFUNCTION("""COMPUTED_VALUE"""),"St Kilda")</f>
        <v>St Kilda</v>
      </c>
      <c r="O66" s="177">
        <f>IFERROR(__xludf.DUMMYFUNCTION("""COMPUTED_VALUE"""),15.0)</f>
        <v>15</v>
      </c>
      <c r="P66" s="177">
        <f>IFERROR(__xludf.DUMMYFUNCTION("""COMPUTED_VALUE"""),0.0)</f>
        <v>0</v>
      </c>
      <c r="Q66" s="177">
        <f>IFERROR(__xludf.DUMMYFUNCTION("""COMPUTED_VALUE"""),0.0)</f>
        <v>0</v>
      </c>
      <c r="R66" s="178">
        <f>IFERROR(__xludf.DUMMYFUNCTION("""COMPUTED_VALUE"""),45779.819444444445)</f>
        <v>45779.81944</v>
      </c>
      <c r="S66" s="177">
        <f>IFERROR(__xludf.DUMMYFUNCTION("""COMPUTED_VALUE"""),8.0)</f>
        <v>8</v>
      </c>
      <c r="T66" s="177" t="str">
        <f>IFERROR(__xludf.DUMMYFUNCTION("""COMPUTED_VALUE"""),"Round 8")</f>
        <v>Round 8</v>
      </c>
      <c r="U66" s="177" t="str">
        <f>IFERROR(__xludf.DUMMYFUNCTION("""COMPUTED_VALUE"""),"Full Time")</f>
        <v>Full Time</v>
      </c>
      <c r="V66" s="177" t="str">
        <f>IFERROR(__xludf.DUMMYFUNCTION("""COMPUTED_VALUE"""),"+10:00")</f>
        <v>+10:00</v>
      </c>
      <c r="W66" s="177">
        <f>IFERROR(__xludf.DUMMYFUNCTION("""COMPUTED_VALUE"""),1.7461788E9)</f>
        <v>1746178800</v>
      </c>
      <c r="X66" s="178">
        <f>IFERROR(__xludf.DUMMYFUNCTION("""COMPUTED_VALUE"""),45779.926712962966)</f>
        <v>45779.92671</v>
      </c>
      <c r="Y66" s="177" t="str">
        <f>IFERROR(__xludf.DUMMYFUNCTION("""COMPUTED_VALUE"""),"Docklands")</f>
        <v>Docklands</v>
      </c>
      <c r="Z66" s="177" t="str">
        <f>IFERROR(__xludf.DUMMYFUNCTION("""COMPUTED_VALUE"""),"St Kilda")</f>
        <v>St Kilda</v>
      </c>
      <c r="AA66" s="177">
        <f>IFERROR(__xludf.DUMMYFUNCTION("""COMPUTED_VALUE"""),15.0)</f>
        <v>15</v>
      </c>
      <c r="AB66" s="177">
        <f>IFERROR(__xludf.DUMMYFUNCTION("""COMPUTED_VALUE"""),2025.0)</f>
        <v>2025</v>
      </c>
      <c r="AC66" s="177" t="str">
        <f t="shared" si="3"/>
        <v>Friday</v>
      </c>
    </row>
    <row r="67">
      <c r="A67" s="175" t="str">
        <f t="shared" si="1"/>
        <v>83</v>
      </c>
      <c r="B67" s="176">
        <f t="shared" si="2"/>
        <v>3</v>
      </c>
      <c r="C67" s="177">
        <f>IFERROR(__xludf.DUMMYFUNCTION("""COMPUTED_VALUE"""),37155.0)</f>
        <v>37155</v>
      </c>
      <c r="D67" s="177">
        <f>IFERROR(__xludf.DUMMYFUNCTION("""COMPUTED_VALUE"""),11.0)</f>
        <v>11</v>
      </c>
      <c r="E67" s="177">
        <f>IFERROR(__xludf.DUMMYFUNCTION("""COMPUTED_VALUE"""),5.0)</f>
        <v>5</v>
      </c>
      <c r="F67" s="177">
        <f>IFERROR(__xludf.DUMMYFUNCTION("""COMPUTED_VALUE"""),41.0)</f>
        <v>41</v>
      </c>
      <c r="G67" s="177" t="str">
        <f>IFERROR(__xludf.DUMMYFUNCTION("""COMPUTED_VALUE"""),"Port Adelaide")</f>
        <v>Port Adelaide</v>
      </c>
      <c r="H67" s="177">
        <f>IFERROR(__xludf.DUMMYFUNCTION("""COMPUTED_VALUE"""),13.0)</f>
        <v>13</v>
      </c>
      <c r="I67" s="177">
        <f>IFERROR(__xludf.DUMMYFUNCTION("""COMPUTED_VALUE"""),100.0)</f>
        <v>100</v>
      </c>
      <c r="J67" s="178">
        <f>IFERROR(__xludf.DUMMYFUNCTION("""COMPUTED_VALUE"""),45780.555555555555)</f>
        <v>45780.55556</v>
      </c>
      <c r="K67" s="177">
        <f>IFERROR(__xludf.DUMMYFUNCTION("""COMPUTED_VALUE"""),11.0)</f>
        <v>11</v>
      </c>
      <c r="L67" s="177">
        <f>IFERROR(__xludf.DUMMYFUNCTION("""COMPUTED_VALUE"""),20.0)</f>
        <v>20</v>
      </c>
      <c r="M67" s="177">
        <f>IFERROR(__xludf.DUMMYFUNCTION("""COMPUTED_VALUE"""),131.0)</f>
        <v>131</v>
      </c>
      <c r="N67" s="177" t="str">
        <f>IFERROR(__xludf.DUMMYFUNCTION("""COMPUTED_VALUE"""),"Western Bulldogs")</f>
        <v>Western Bulldogs</v>
      </c>
      <c r="O67" s="177">
        <f>IFERROR(__xludf.DUMMYFUNCTION("""COMPUTED_VALUE"""),18.0)</f>
        <v>18</v>
      </c>
      <c r="P67" s="177">
        <f>IFERROR(__xludf.DUMMYFUNCTION("""COMPUTED_VALUE"""),0.0)</f>
        <v>0</v>
      </c>
      <c r="Q67" s="177">
        <f>IFERROR(__xludf.DUMMYFUNCTION("""COMPUTED_VALUE"""),0.0)</f>
        <v>0</v>
      </c>
      <c r="R67" s="178">
        <f>IFERROR(__xludf.DUMMYFUNCTION("""COMPUTED_VALUE"""),45780.555555555555)</f>
        <v>45780.55556</v>
      </c>
      <c r="S67" s="177">
        <f>IFERROR(__xludf.DUMMYFUNCTION("""COMPUTED_VALUE"""),8.0)</f>
        <v>8</v>
      </c>
      <c r="T67" s="177" t="str">
        <f>IFERROR(__xludf.DUMMYFUNCTION("""COMPUTED_VALUE"""),"Round 8")</f>
        <v>Round 8</v>
      </c>
      <c r="U67" s="177" t="str">
        <f>IFERROR(__xludf.DUMMYFUNCTION("""COMPUTED_VALUE"""),"Full Time")</f>
        <v>Full Time</v>
      </c>
      <c r="V67" s="177" t="str">
        <f>IFERROR(__xludf.DUMMYFUNCTION("""COMPUTED_VALUE"""),"+10:00")</f>
        <v>+10:00</v>
      </c>
      <c r="W67" s="177">
        <f>IFERROR(__xludf.DUMMYFUNCTION("""COMPUTED_VALUE"""),1.7462424E9)</f>
        <v>1746242400</v>
      </c>
      <c r="X67" s="178">
        <f>IFERROR(__xludf.DUMMYFUNCTION("""COMPUTED_VALUE"""),45780.669583333336)</f>
        <v>45780.66958</v>
      </c>
      <c r="Y67" s="177" t="str">
        <f>IFERROR(__xludf.DUMMYFUNCTION("""COMPUTED_VALUE"""),"Eureka Stadium")</f>
        <v>Eureka Stadium</v>
      </c>
      <c r="Z67" s="177" t="str">
        <f>IFERROR(__xludf.DUMMYFUNCTION("""COMPUTED_VALUE"""),"Western Bulldogs")</f>
        <v>Western Bulldogs</v>
      </c>
      <c r="AA67" s="177">
        <f>IFERROR(__xludf.DUMMYFUNCTION("""COMPUTED_VALUE"""),18.0)</f>
        <v>18</v>
      </c>
      <c r="AB67" s="177">
        <f>IFERROR(__xludf.DUMMYFUNCTION("""COMPUTED_VALUE"""),2025.0)</f>
        <v>2025</v>
      </c>
      <c r="AC67" s="177" t="str">
        <f t="shared" si="3"/>
        <v>Saturday</v>
      </c>
    </row>
    <row r="68">
      <c r="A68" s="175" t="str">
        <f t="shared" si="1"/>
        <v>84</v>
      </c>
      <c r="B68" s="176">
        <f t="shared" si="2"/>
        <v>4</v>
      </c>
      <c r="C68" s="177">
        <f>IFERROR(__xludf.DUMMYFUNCTION("""COMPUTED_VALUE"""),37156.0)</f>
        <v>37156</v>
      </c>
      <c r="D68" s="177">
        <f>IFERROR(__xludf.DUMMYFUNCTION("""COMPUTED_VALUE"""),8.0)</f>
        <v>8</v>
      </c>
      <c r="E68" s="177">
        <f>IFERROR(__xludf.DUMMYFUNCTION("""COMPUTED_VALUE"""),7.0)</f>
        <v>7</v>
      </c>
      <c r="F68" s="177">
        <f>IFERROR(__xludf.DUMMYFUNCTION("""COMPUTED_VALUE"""),50.0)</f>
        <v>50</v>
      </c>
      <c r="G68" s="177" t="str">
        <f>IFERROR(__xludf.DUMMYFUNCTION("""COMPUTED_VALUE"""),"Carlton")</f>
        <v>Carlton</v>
      </c>
      <c r="H68" s="177">
        <f>IFERROR(__xludf.DUMMYFUNCTION("""COMPUTED_VALUE"""),3.0)</f>
        <v>3</v>
      </c>
      <c r="I68" s="177">
        <f>IFERROR(__xludf.DUMMYFUNCTION("""COMPUTED_VALUE"""),100.0)</f>
        <v>100</v>
      </c>
      <c r="J68" s="178">
        <f>IFERROR(__xludf.DUMMYFUNCTION("""COMPUTED_VALUE"""),45780.677083333336)</f>
        <v>45780.67708</v>
      </c>
      <c r="K68" s="177">
        <f>IFERROR(__xludf.DUMMYFUNCTION("""COMPUTED_VALUE"""),14.0)</f>
        <v>14</v>
      </c>
      <c r="L68" s="177">
        <f>IFERROR(__xludf.DUMMYFUNCTION("""COMPUTED_VALUE"""),16.0)</f>
        <v>16</v>
      </c>
      <c r="M68" s="177">
        <f>IFERROR(__xludf.DUMMYFUNCTION("""COMPUTED_VALUE"""),110.0)</f>
        <v>110</v>
      </c>
      <c r="N68" s="177" t="str">
        <f>IFERROR(__xludf.DUMMYFUNCTION("""COMPUTED_VALUE"""),"Adelaide")</f>
        <v>Adelaide</v>
      </c>
      <c r="O68" s="177">
        <f>IFERROR(__xludf.DUMMYFUNCTION("""COMPUTED_VALUE"""),1.0)</f>
        <v>1</v>
      </c>
      <c r="P68" s="177">
        <f>IFERROR(__xludf.DUMMYFUNCTION("""COMPUTED_VALUE"""),0.0)</f>
        <v>0</v>
      </c>
      <c r="Q68" s="177">
        <f>IFERROR(__xludf.DUMMYFUNCTION("""COMPUTED_VALUE"""),0.0)</f>
        <v>0</v>
      </c>
      <c r="R68" s="178">
        <f>IFERROR(__xludf.DUMMYFUNCTION("""COMPUTED_VALUE"""),45780.65625)</f>
        <v>45780.65625</v>
      </c>
      <c r="S68" s="177">
        <f>IFERROR(__xludf.DUMMYFUNCTION("""COMPUTED_VALUE"""),8.0)</f>
        <v>8</v>
      </c>
      <c r="T68" s="177" t="str">
        <f>IFERROR(__xludf.DUMMYFUNCTION("""COMPUTED_VALUE"""),"Round 8")</f>
        <v>Round 8</v>
      </c>
      <c r="U68" s="177" t="str">
        <f>IFERROR(__xludf.DUMMYFUNCTION("""COMPUTED_VALUE"""),"Full Time")</f>
        <v>Full Time</v>
      </c>
      <c r="V68" s="177" t="str">
        <f>IFERROR(__xludf.DUMMYFUNCTION("""COMPUTED_VALUE"""),"+10:00")</f>
        <v>+10:00</v>
      </c>
      <c r="W68" s="177">
        <f>IFERROR(__xludf.DUMMYFUNCTION("""COMPUTED_VALUE"""),1.7462529E9)</f>
        <v>1746252900</v>
      </c>
      <c r="X68" s="178">
        <f>IFERROR(__xludf.DUMMYFUNCTION("""COMPUTED_VALUE"""),45780.786469907405)</f>
        <v>45780.78647</v>
      </c>
      <c r="Y68" s="177" t="str">
        <f>IFERROR(__xludf.DUMMYFUNCTION("""COMPUTED_VALUE"""),"Adelaide Oval")</f>
        <v>Adelaide Oval</v>
      </c>
      <c r="Z68" s="177" t="str">
        <f>IFERROR(__xludf.DUMMYFUNCTION("""COMPUTED_VALUE"""),"Adelaide")</f>
        <v>Adelaide</v>
      </c>
      <c r="AA68" s="177">
        <f>IFERROR(__xludf.DUMMYFUNCTION("""COMPUTED_VALUE"""),1.0)</f>
        <v>1</v>
      </c>
      <c r="AB68" s="177">
        <f>IFERROR(__xludf.DUMMYFUNCTION("""COMPUTED_VALUE"""),2025.0)</f>
        <v>2025</v>
      </c>
      <c r="AC68" s="177" t="str">
        <f t="shared" si="3"/>
        <v>Saturday</v>
      </c>
    </row>
    <row r="69">
      <c r="A69" s="175" t="str">
        <f t="shared" si="1"/>
        <v>85</v>
      </c>
      <c r="B69" s="176">
        <f t="shared" si="2"/>
        <v>5</v>
      </c>
      <c r="C69" s="177">
        <f>IFERROR(__xludf.DUMMYFUNCTION("""COMPUTED_VALUE"""),37157.0)</f>
        <v>37157</v>
      </c>
      <c r="D69" s="177">
        <f>IFERROR(__xludf.DUMMYFUNCTION("""COMPUTED_VALUE"""),12.0)</f>
        <v>12</v>
      </c>
      <c r="E69" s="177">
        <f>IFERROR(__xludf.DUMMYFUNCTION("""COMPUTED_VALUE"""),13.0)</f>
        <v>13</v>
      </c>
      <c r="F69" s="177">
        <f>IFERROR(__xludf.DUMMYFUNCTION("""COMPUTED_VALUE"""),90.0)</f>
        <v>90</v>
      </c>
      <c r="G69" s="177" t="str">
        <f>IFERROR(__xludf.DUMMYFUNCTION("""COMPUTED_VALUE"""),"Geelong")</f>
        <v>Geelong</v>
      </c>
      <c r="H69" s="177">
        <f>IFERROR(__xludf.DUMMYFUNCTION("""COMPUTED_VALUE"""),7.0)</f>
        <v>7</v>
      </c>
      <c r="I69" s="177">
        <f>IFERROR(__xludf.DUMMYFUNCTION("""COMPUTED_VALUE"""),100.0)</f>
        <v>100</v>
      </c>
      <c r="J69" s="178">
        <f>IFERROR(__xludf.DUMMYFUNCTION("""COMPUTED_VALUE"""),45780.81597222222)</f>
        <v>45780.81597</v>
      </c>
      <c r="K69" s="177">
        <f>IFERROR(__xludf.DUMMYFUNCTION("""COMPUTED_VALUE"""),15.0)</f>
        <v>15</v>
      </c>
      <c r="L69" s="177">
        <f>IFERROR(__xludf.DUMMYFUNCTION("""COMPUTED_VALUE"""),12.0)</f>
        <v>12</v>
      </c>
      <c r="M69" s="177">
        <f>IFERROR(__xludf.DUMMYFUNCTION("""COMPUTED_VALUE"""),87.0)</f>
        <v>87</v>
      </c>
      <c r="N69" s="177" t="str">
        <f>IFERROR(__xludf.DUMMYFUNCTION("""COMPUTED_VALUE"""),"Collingwood")</f>
        <v>Collingwood</v>
      </c>
      <c r="O69" s="177">
        <f>IFERROR(__xludf.DUMMYFUNCTION("""COMPUTED_VALUE"""),4.0)</f>
        <v>4</v>
      </c>
      <c r="P69" s="177">
        <f>IFERROR(__xludf.DUMMYFUNCTION("""COMPUTED_VALUE"""),0.0)</f>
        <v>0</v>
      </c>
      <c r="Q69" s="177">
        <f>IFERROR(__xludf.DUMMYFUNCTION("""COMPUTED_VALUE"""),0.0)</f>
        <v>0</v>
      </c>
      <c r="R69" s="178">
        <f>IFERROR(__xludf.DUMMYFUNCTION("""COMPUTED_VALUE"""),45780.81597222222)</f>
        <v>45780.81597</v>
      </c>
      <c r="S69" s="177">
        <f>IFERROR(__xludf.DUMMYFUNCTION("""COMPUTED_VALUE"""),8.0)</f>
        <v>8</v>
      </c>
      <c r="T69" s="177" t="str">
        <f>IFERROR(__xludf.DUMMYFUNCTION("""COMPUTED_VALUE"""),"Round 8")</f>
        <v>Round 8</v>
      </c>
      <c r="U69" s="177" t="str">
        <f>IFERROR(__xludf.DUMMYFUNCTION("""COMPUTED_VALUE"""),"Full Time")</f>
        <v>Full Time</v>
      </c>
      <c r="V69" s="177" t="str">
        <f>IFERROR(__xludf.DUMMYFUNCTION("""COMPUTED_VALUE"""),"+10:00")</f>
        <v>+10:00</v>
      </c>
      <c r="W69" s="177">
        <f>IFERROR(__xludf.DUMMYFUNCTION("""COMPUTED_VALUE"""),1.7462649E9)</f>
        <v>1746264900</v>
      </c>
      <c r="X69" s="178">
        <f>IFERROR(__xludf.DUMMYFUNCTION("""COMPUTED_VALUE"""),45780.92984953704)</f>
        <v>45780.92985</v>
      </c>
      <c r="Y69" s="177" t="str">
        <f>IFERROR(__xludf.DUMMYFUNCTION("""COMPUTED_VALUE"""),"M.C.G.")</f>
        <v>M.C.G.</v>
      </c>
      <c r="Z69" s="177" t="str">
        <f>IFERROR(__xludf.DUMMYFUNCTION("""COMPUTED_VALUE"""),"Geelong")</f>
        <v>Geelong</v>
      </c>
      <c r="AA69" s="177">
        <f>IFERROR(__xludf.DUMMYFUNCTION("""COMPUTED_VALUE"""),7.0)</f>
        <v>7</v>
      </c>
      <c r="AB69" s="177">
        <f>IFERROR(__xludf.DUMMYFUNCTION("""COMPUTED_VALUE"""),2025.0)</f>
        <v>2025</v>
      </c>
      <c r="AC69" s="177" t="str">
        <f t="shared" si="3"/>
        <v>Saturday</v>
      </c>
    </row>
    <row r="70">
      <c r="A70" s="175" t="str">
        <f t="shared" si="1"/>
        <v>86</v>
      </c>
      <c r="B70" s="176">
        <f t="shared" si="2"/>
        <v>6</v>
      </c>
      <c r="C70" s="177">
        <f>IFERROR(__xludf.DUMMYFUNCTION("""COMPUTED_VALUE"""),37158.0)</f>
        <v>37158</v>
      </c>
      <c r="D70" s="177">
        <f>IFERROR(__xludf.DUMMYFUNCTION("""COMPUTED_VALUE"""),12.0)</f>
        <v>12</v>
      </c>
      <c r="E70" s="177">
        <f>IFERROR(__xludf.DUMMYFUNCTION("""COMPUTED_VALUE"""),16.0)</f>
        <v>16</v>
      </c>
      <c r="F70" s="177">
        <f>IFERROR(__xludf.DUMMYFUNCTION("""COMPUTED_VALUE"""),108.0)</f>
        <v>108</v>
      </c>
      <c r="G70" s="177" t="str">
        <f>IFERROR(__xludf.DUMMYFUNCTION("""COMPUTED_VALUE"""),"Melbourne")</f>
        <v>Melbourne</v>
      </c>
      <c r="H70" s="177">
        <f>IFERROR(__xludf.DUMMYFUNCTION("""COMPUTED_VALUE"""),11.0)</f>
        <v>11</v>
      </c>
      <c r="I70" s="177">
        <f>IFERROR(__xludf.DUMMYFUNCTION("""COMPUTED_VALUE"""),100.0)</f>
        <v>100</v>
      </c>
      <c r="J70" s="178">
        <f>IFERROR(__xludf.DUMMYFUNCTION("""COMPUTED_VALUE"""),45780.81597222222)</f>
        <v>45780.81597</v>
      </c>
      <c r="K70" s="177">
        <f>IFERROR(__xludf.DUMMYFUNCTION("""COMPUTED_VALUE"""),10.0)</f>
        <v>10</v>
      </c>
      <c r="L70" s="177">
        <f>IFERROR(__xludf.DUMMYFUNCTION("""COMPUTED_VALUE"""),11.0)</f>
        <v>11</v>
      </c>
      <c r="M70" s="177">
        <f>IFERROR(__xludf.DUMMYFUNCTION("""COMPUTED_VALUE"""),76.0)</f>
        <v>76</v>
      </c>
      <c r="N70" s="177" t="str">
        <f>IFERROR(__xludf.DUMMYFUNCTION("""COMPUTED_VALUE"""),"West Coast")</f>
        <v>West Coast</v>
      </c>
      <c r="O70" s="177">
        <f>IFERROR(__xludf.DUMMYFUNCTION("""COMPUTED_VALUE"""),17.0)</f>
        <v>17</v>
      </c>
      <c r="P70" s="177">
        <f>IFERROR(__xludf.DUMMYFUNCTION("""COMPUTED_VALUE"""),0.0)</f>
        <v>0</v>
      </c>
      <c r="Q70" s="177">
        <f>IFERROR(__xludf.DUMMYFUNCTION("""COMPUTED_VALUE"""),0.0)</f>
        <v>0</v>
      </c>
      <c r="R70" s="178">
        <f>IFERROR(__xludf.DUMMYFUNCTION("""COMPUTED_VALUE"""),45780.73263888889)</f>
        <v>45780.73264</v>
      </c>
      <c r="S70" s="177">
        <f>IFERROR(__xludf.DUMMYFUNCTION("""COMPUTED_VALUE"""),8.0)</f>
        <v>8</v>
      </c>
      <c r="T70" s="177" t="str">
        <f>IFERROR(__xludf.DUMMYFUNCTION("""COMPUTED_VALUE"""),"Round 8")</f>
        <v>Round 8</v>
      </c>
      <c r="U70" s="177" t="str">
        <f>IFERROR(__xludf.DUMMYFUNCTION("""COMPUTED_VALUE"""),"Full Time")</f>
        <v>Full Time</v>
      </c>
      <c r="V70" s="177" t="str">
        <f>IFERROR(__xludf.DUMMYFUNCTION("""COMPUTED_VALUE"""),"+10:00")</f>
        <v>+10:00</v>
      </c>
      <c r="W70" s="177">
        <f>IFERROR(__xludf.DUMMYFUNCTION("""COMPUTED_VALUE"""),1.7462649E9)</f>
        <v>1746264900</v>
      </c>
      <c r="X70" s="178">
        <f>IFERROR(__xludf.DUMMYFUNCTION("""COMPUTED_VALUE"""),45780.93239583333)</f>
        <v>45780.9324</v>
      </c>
      <c r="Y70" s="177" t="str">
        <f>IFERROR(__xludf.DUMMYFUNCTION("""COMPUTED_VALUE"""),"Perth Stadium")</f>
        <v>Perth Stadium</v>
      </c>
      <c r="Z70" s="177" t="str">
        <f>IFERROR(__xludf.DUMMYFUNCTION("""COMPUTED_VALUE"""),"Melbourne")</f>
        <v>Melbourne</v>
      </c>
      <c r="AA70" s="177">
        <f>IFERROR(__xludf.DUMMYFUNCTION("""COMPUTED_VALUE"""),11.0)</f>
        <v>11</v>
      </c>
      <c r="AB70" s="177">
        <f>IFERROR(__xludf.DUMMYFUNCTION("""COMPUTED_VALUE"""),2025.0)</f>
        <v>2025</v>
      </c>
      <c r="AC70" s="177" t="str">
        <f t="shared" si="3"/>
        <v>Saturday</v>
      </c>
    </row>
    <row r="71">
      <c r="A71" s="175" t="str">
        <f t="shared" si="1"/>
        <v>87</v>
      </c>
      <c r="B71" s="176">
        <f t="shared" si="2"/>
        <v>7</v>
      </c>
      <c r="C71" s="177">
        <f>IFERROR(__xludf.DUMMYFUNCTION("""COMPUTED_VALUE"""),37159.0)</f>
        <v>37159</v>
      </c>
      <c r="D71" s="177">
        <f>IFERROR(__xludf.DUMMYFUNCTION("""COMPUTED_VALUE"""),13.0)</f>
        <v>13</v>
      </c>
      <c r="E71" s="177">
        <f>IFERROR(__xludf.DUMMYFUNCTION("""COMPUTED_VALUE"""),10.0)</f>
        <v>10</v>
      </c>
      <c r="F71" s="177">
        <f>IFERROR(__xludf.DUMMYFUNCTION("""COMPUTED_VALUE"""),73.0)</f>
        <v>73</v>
      </c>
      <c r="G71" s="177" t="str">
        <f>IFERROR(__xludf.DUMMYFUNCTION("""COMPUTED_VALUE"""),"Greater Western Sydney")</f>
        <v>Greater Western Sydney</v>
      </c>
      <c r="H71" s="177">
        <f>IFERROR(__xludf.DUMMYFUNCTION("""COMPUTED_VALUE"""),9.0)</f>
        <v>9</v>
      </c>
      <c r="I71" s="177">
        <f>IFERROR(__xludf.DUMMYFUNCTION("""COMPUTED_VALUE"""),100.0)</f>
        <v>100</v>
      </c>
      <c r="J71" s="178">
        <f>IFERROR(__xludf.DUMMYFUNCTION("""COMPUTED_VALUE"""),45781.54861111111)</f>
        <v>45781.54861</v>
      </c>
      <c r="K71" s="177">
        <f>IFERROR(__xludf.DUMMYFUNCTION("""COMPUTED_VALUE"""),15.0)</f>
        <v>15</v>
      </c>
      <c r="L71" s="177">
        <f>IFERROR(__xludf.DUMMYFUNCTION("""COMPUTED_VALUE"""),12.0)</f>
        <v>12</v>
      </c>
      <c r="M71" s="177">
        <f>IFERROR(__xludf.DUMMYFUNCTION("""COMPUTED_VALUE"""),87.0)</f>
        <v>87</v>
      </c>
      <c r="N71" s="177" t="str">
        <f>IFERROR(__xludf.DUMMYFUNCTION("""COMPUTED_VALUE"""),"Sydney")</f>
        <v>Sydney</v>
      </c>
      <c r="O71" s="177">
        <f>IFERROR(__xludf.DUMMYFUNCTION("""COMPUTED_VALUE"""),16.0)</f>
        <v>16</v>
      </c>
      <c r="P71" s="177">
        <f>IFERROR(__xludf.DUMMYFUNCTION("""COMPUTED_VALUE"""),0.0)</f>
        <v>0</v>
      </c>
      <c r="Q71" s="177">
        <f>IFERROR(__xludf.DUMMYFUNCTION("""COMPUTED_VALUE"""),0.0)</f>
        <v>0</v>
      </c>
      <c r="R71" s="178">
        <f>IFERROR(__xludf.DUMMYFUNCTION("""COMPUTED_VALUE"""),45781.54861111111)</f>
        <v>45781.54861</v>
      </c>
      <c r="S71" s="177">
        <f>IFERROR(__xludf.DUMMYFUNCTION("""COMPUTED_VALUE"""),8.0)</f>
        <v>8</v>
      </c>
      <c r="T71" s="177" t="str">
        <f>IFERROR(__xludf.DUMMYFUNCTION("""COMPUTED_VALUE"""),"Round 8")</f>
        <v>Round 8</v>
      </c>
      <c r="U71" s="177" t="str">
        <f>IFERROR(__xludf.DUMMYFUNCTION("""COMPUTED_VALUE"""),"Full Time")</f>
        <v>Full Time</v>
      </c>
      <c r="V71" s="177" t="str">
        <f>IFERROR(__xludf.DUMMYFUNCTION("""COMPUTED_VALUE"""),"+10:00")</f>
        <v>+10:00</v>
      </c>
      <c r="W71" s="177">
        <f>IFERROR(__xludf.DUMMYFUNCTION("""COMPUTED_VALUE"""),1.7463282E9)</f>
        <v>1746328200</v>
      </c>
      <c r="X71" s="178">
        <f>IFERROR(__xludf.DUMMYFUNCTION("""COMPUTED_VALUE"""),45781.6596412037)</f>
        <v>45781.65964</v>
      </c>
      <c r="Y71" s="177" t="str">
        <f>IFERROR(__xludf.DUMMYFUNCTION("""COMPUTED_VALUE"""),"S.C.G.")</f>
        <v>S.C.G.</v>
      </c>
      <c r="Z71" s="177" t="str">
        <f>IFERROR(__xludf.DUMMYFUNCTION("""COMPUTED_VALUE"""),"Sydney")</f>
        <v>Sydney</v>
      </c>
      <c r="AA71" s="177">
        <f>IFERROR(__xludf.DUMMYFUNCTION("""COMPUTED_VALUE"""),16.0)</f>
        <v>16</v>
      </c>
      <c r="AB71" s="177">
        <f>IFERROR(__xludf.DUMMYFUNCTION("""COMPUTED_VALUE"""),2025.0)</f>
        <v>2025</v>
      </c>
      <c r="AC71" s="177" t="str">
        <f t="shared" si="3"/>
        <v>Sunday</v>
      </c>
    </row>
    <row r="72">
      <c r="A72" s="175" t="str">
        <f t="shared" si="1"/>
        <v>88</v>
      </c>
      <c r="B72" s="176">
        <f t="shared" si="2"/>
        <v>8</v>
      </c>
      <c r="C72" s="177">
        <f>IFERROR(__xludf.DUMMYFUNCTION("""COMPUTED_VALUE"""),37160.0)</f>
        <v>37160</v>
      </c>
      <c r="D72" s="177">
        <f>IFERROR(__xludf.DUMMYFUNCTION("""COMPUTED_VALUE"""),8.0)</f>
        <v>8</v>
      </c>
      <c r="E72" s="177">
        <f>IFERROR(__xludf.DUMMYFUNCTION("""COMPUTED_VALUE"""),6.0)</f>
        <v>6</v>
      </c>
      <c r="F72" s="177">
        <f>IFERROR(__xludf.DUMMYFUNCTION("""COMPUTED_VALUE"""),44.0)</f>
        <v>44</v>
      </c>
      <c r="G72" s="177" t="str">
        <f>IFERROR(__xludf.DUMMYFUNCTION("""COMPUTED_VALUE"""),"Richmond")</f>
        <v>Richmond</v>
      </c>
      <c r="H72" s="177">
        <f>IFERROR(__xludf.DUMMYFUNCTION("""COMPUTED_VALUE"""),14.0)</f>
        <v>14</v>
      </c>
      <c r="I72" s="177">
        <f>IFERROR(__xludf.DUMMYFUNCTION("""COMPUTED_VALUE"""),100.0)</f>
        <v>100</v>
      </c>
      <c r="J72" s="178">
        <f>IFERROR(__xludf.DUMMYFUNCTION("""COMPUTED_VALUE"""),45781.63888888889)</f>
        <v>45781.63889</v>
      </c>
      <c r="K72" s="177">
        <f>IFERROR(__xludf.DUMMYFUNCTION("""COMPUTED_VALUE"""),13.0)</f>
        <v>13</v>
      </c>
      <c r="L72" s="177">
        <f>IFERROR(__xludf.DUMMYFUNCTION("""COMPUTED_VALUE"""),16.0)</f>
        <v>16</v>
      </c>
      <c r="M72" s="177">
        <f>IFERROR(__xludf.DUMMYFUNCTION("""COMPUTED_VALUE"""),109.0)</f>
        <v>109</v>
      </c>
      <c r="N72" s="177" t="str">
        <f>IFERROR(__xludf.DUMMYFUNCTION("""COMPUTED_VALUE"""),"Hawthorn")</f>
        <v>Hawthorn</v>
      </c>
      <c r="O72" s="177">
        <f>IFERROR(__xludf.DUMMYFUNCTION("""COMPUTED_VALUE"""),10.0)</f>
        <v>10</v>
      </c>
      <c r="P72" s="177">
        <f>IFERROR(__xludf.DUMMYFUNCTION("""COMPUTED_VALUE"""),0.0)</f>
        <v>0</v>
      </c>
      <c r="Q72" s="177">
        <f>IFERROR(__xludf.DUMMYFUNCTION("""COMPUTED_VALUE"""),0.0)</f>
        <v>0</v>
      </c>
      <c r="R72" s="178">
        <f>IFERROR(__xludf.DUMMYFUNCTION("""COMPUTED_VALUE"""),45781.63888888889)</f>
        <v>45781.63889</v>
      </c>
      <c r="S72" s="177">
        <f>IFERROR(__xludf.DUMMYFUNCTION("""COMPUTED_VALUE"""),8.0)</f>
        <v>8</v>
      </c>
      <c r="T72" s="177" t="str">
        <f>IFERROR(__xludf.DUMMYFUNCTION("""COMPUTED_VALUE"""),"Round 8")</f>
        <v>Round 8</v>
      </c>
      <c r="U72" s="177" t="str">
        <f>IFERROR(__xludf.DUMMYFUNCTION("""COMPUTED_VALUE"""),"Full Time")</f>
        <v>Full Time</v>
      </c>
      <c r="V72" s="177" t="str">
        <f>IFERROR(__xludf.DUMMYFUNCTION("""COMPUTED_VALUE"""),"+10:00")</f>
        <v>+10:00</v>
      </c>
      <c r="W72" s="177">
        <f>IFERROR(__xludf.DUMMYFUNCTION("""COMPUTED_VALUE"""),1.746336E9)</f>
        <v>1746336000</v>
      </c>
      <c r="X72" s="178">
        <f>IFERROR(__xludf.DUMMYFUNCTION("""COMPUTED_VALUE"""),45781.745625)</f>
        <v>45781.74563</v>
      </c>
      <c r="Y72" s="177" t="str">
        <f>IFERROR(__xludf.DUMMYFUNCTION("""COMPUTED_VALUE"""),"M.C.G.")</f>
        <v>M.C.G.</v>
      </c>
      <c r="Z72" s="177" t="str">
        <f>IFERROR(__xludf.DUMMYFUNCTION("""COMPUTED_VALUE"""),"Hawthorn")</f>
        <v>Hawthorn</v>
      </c>
      <c r="AA72" s="177">
        <f>IFERROR(__xludf.DUMMYFUNCTION("""COMPUTED_VALUE"""),10.0)</f>
        <v>10</v>
      </c>
      <c r="AB72" s="177">
        <f>IFERROR(__xludf.DUMMYFUNCTION("""COMPUTED_VALUE"""),2025.0)</f>
        <v>2025</v>
      </c>
      <c r="AC72" s="177" t="str">
        <f t="shared" si="3"/>
        <v>Sunday</v>
      </c>
    </row>
    <row r="73">
      <c r="A73" s="175" t="str">
        <f t="shared" si="1"/>
        <v>89</v>
      </c>
      <c r="B73" s="176">
        <f t="shared" si="2"/>
        <v>9</v>
      </c>
      <c r="C73" s="177">
        <f>IFERROR(__xludf.DUMMYFUNCTION("""COMPUTED_VALUE"""),37161.0)</f>
        <v>37161</v>
      </c>
      <c r="D73" s="177">
        <f>IFERROR(__xludf.DUMMYFUNCTION("""COMPUTED_VALUE"""),7.0)</f>
        <v>7</v>
      </c>
      <c r="E73" s="177">
        <f>IFERROR(__xludf.DUMMYFUNCTION("""COMPUTED_VALUE"""),7.0)</f>
        <v>7</v>
      </c>
      <c r="F73" s="177">
        <f>IFERROR(__xludf.DUMMYFUNCTION("""COMPUTED_VALUE"""),49.0)</f>
        <v>49</v>
      </c>
      <c r="G73" s="177" t="str">
        <f>IFERROR(__xludf.DUMMYFUNCTION("""COMPUTED_VALUE"""),"Gold Coast")</f>
        <v>Gold Coast</v>
      </c>
      <c r="H73" s="177">
        <f>IFERROR(__xludf.DUMMYFUNCTION("""COMPUTED_VALUE"""),8.0)</f>
        <v>8</v>
      </c>
      <c r="I73" s="177">
        <f>IFERROR(__xludf.DUMMYFUNCTION("""COMPUTED_VALUE"""),100.0)</f>
        <v>100</v>
      </c>
      <c r="J73" s="178">
        <f>IFERROR(__xludf.DUMMYFUNCTION("""COMPUTED_VALUE"""),45781.805555555555)</f>
        <v>45781.80556</v>
      </c>
      <c r="K73" s="177">
        <f>IFERROR(__xludf.DUMMYFUNCTION("""COMPUTED_VALUE"""),12.0)</f>
        <v>12</v>
      </c>
      <c r="L73" s="177">
        <f>IFERROR(__xludf.DUMMYFUNCTION("""COMPUTED_VALUE"""),9.0)</f>
        <v>9</v>
      </c>
      <c r="M73" s="177">
        <f>IFERROR(__xludf.DUMMYFUNCTION("""COMPUTED_VALUE"""),66.0)</f>
        <v>66</v>
      </c>
      <c r="N73" s="177" t="str">
        <f>IFERROR(__xludf.DUMMYFUNCTION("""COMPUTED_VALUE"""),"Brisbane Lions")</f>
        <v>Brisbane Lions</v>
      </c>
      <c r="O73" s="177">
        <f>IFERROR(__xludf.DUMMYFUNCTION("""COMPUTED_VALUE"""),2.0)</f>
        <v>2</v>
      </c>
      <c r="P73" s="177">
        <f>IFERROR(__xludf.DUMMYFUNCTION("""COMPUTED_VALUE"""),0.0)</f>
        <v>0</v>
      </c>
      <c r="Q73" s="177">
        <f>IFERROR(__xludf.DUMMYFUNCTION("""COMPUTED_VALUE"""),0.0)</f>
        <v>0</v>
      </c>
      <c r="R73" s="178">
        <f>IFERROR(__xludf.DUMMYFUNCTION("""COMPUTED_VALUE"""),45781.805555555555)</f>
        <v>45781.80556</v>
      </c>
      <c r="S73" s="177">
        <f>IFERROR(__xludf.DUMMYFUNCTION("""COMPUTED_VALUE"""),8.0)</f>
        <v>8</v>
      </c>
      <c r="T73" s="177" t="str">
        <f>IFERROR(__xludf.DUMMYFUNCTION("""COMPUTED_VALUE"""),"Round 8")</f>
        <v>Round 8</v>
      </c>
      <c r="U73" s="177" t="str">
        <f>IFERROR(__xludf.DUMMYFUNCTION("""COMPUTED_VALUE"""),"Full Time")</f>
        <v>Full Time</v>
      </c>
      <c r="V73" s="177" t="str">
        <f>IFERROR(__xludf.DUMMYFUNCTION("""COMPUTED_VALUE"""),"+10:00")</f>
        <v>+10:00</v>
      </c>
      <c r="W73" s="177">
        <f>IFERROR(__xludf.DUMMYFUNCTION("""COMPUTED_VALUE"""),1.7463504E9)</f>
        <v>1746350400</v>
      </c>
      <c r="X73" s="178">
        <f>IFERROR(__xludf.DUMMYFUNCTION("""COMPUTED_VALUE"""),45781.91150462963)</f>
        <v>45781.9115</v>
      </c>
      <c r="Y73" s="177" t="str">
        <f>IFERROR(__xludf.DUMMYFUNCTION("""COMPUTED_VALUE"""),"Gabba")</f>
        <v>Gabba</v>
      </c>
      <c r="Z73" s="177" t="str">
        <f>IFERROR(__xludf.DUMMYFUNCTION("""COMPUTED_VALUE"""),"Brisbane Lions")</f>
        <v>Brisbane Lions</v>
      </c>
      <c r="AA73" s="177">
        <f>IFERROR(__xludf.DUMMYFUNCTION("""COMPUTED_VALUE"""),2.0)</f>
        <v>2</v>
      </c>
      <c r="AB73" s="177">
        <f>IFERROR(__xludf.DUMMYFUNCTION("""COMPUTED_VALUE"""),2025.0)</f>
        <v>2025</v>
      </c>
      <c r="AC73" s="177" t="str">
        <f t="shared" si="3"/>
        <v>Sunday</v>
      </c>
    </row>
    <row r="74">
      <c r="A74" s="175" t="str">
        <f t="shared" si="1"/>
        <v>91</v>
      </c>
      <c r="B74" s="176">
        <f t="shared" si="2"/>
        <v>1</v>
      </c>
      <c r="C74" s="177">
        <f>IFERROR(__xludf.DUMMYFUNCTION("""COMPUTED_VALUE"""),37162.0)</f>
        <v>37162</v>
      </c>
      <c r="D74" s="177">
        <f>IFERROR(__xludf.DUMMYFUNCTION("""COMPUTED_VALUE"""),7.0)</f>
        <v>7</v>
      </c>
      <c r="E74" s="177">
        <f>IFERROR(__xludf.DUMMYFUNCTION("""COMPUTED_VALUE"""),15.0)</f>
        <v>15</v>
      </c>
      <c r="F74" s="177">
        <f>IFERROR(__xludf.DUMMYFUNCTION("""COMPUTED_VALUE"""),97.0)</f>
        <v>97</v>
      </c>
      <c r="G74" s="177" t="str">
        <f>IFERROR(__xludf.DUMMYFUNCTION("""COMPUTED_VALUE"""),"Collingwood")</f>
        <v>Collingwood</v>
      </c>
      <c r="H74" s="177">
        <f>IFERROR(__xludf.DUMMYFUNCTION("""COMPUTED_VALUE"""),4.0)</f>
        <v>4</v>
      </c>
      <c r="I74" s="177">
        <f>IFERROR(__xludf.DUMMYFUNCTION("""COMPUTED_VALUE"""),100.0)</f>
        <v>100</v>
      </c>
      <c r="J74" s="178">
        <f>IFERROR(__xludf.DUMMYFUNCTION("""COMPUTED_VALUE"""),45785.84027777778)</f>
        <v>45785.84028</v>
      </c>
      <c r="K74" s="177">
        <f>IFERROR(__xludf.DUMMYFUNCTION("""COMPUTED_VALUE"""),11.0)</f>
        <v>11</v>
      </c>
      <c r="L74" s="177">
        <f>IFERROR(__xludf.DUMMYFUNCTION("""COMPUTED_VALUE"""),12.0)</f>
        <v>12</v>
      </c>
      <c r="M74" s="177">
        <f>IFERROR(__xludf.DUMMYFUNCTION("""COMPUTED_VALUE"""),83.0)</f>
        <v>83</v>
      </c>
      <c r="N74" s="177" t="str">
        <f>IFERROR(__xludf.DUMMYFUNCTION("""COMPUTED_VALUE"""),"Fremantle")</f>
        <v>Fremantle</v>
      </c>
      <c r="O74" s="177">
        <f>IFERROR(__xludf.DUMMYFUNCTION("""COMPUTED_VALUE"""),6.0)</f>
        <v>6</v>
      </c>
      <c r="P74" s="177">
        <f>IFERROR(__xludf.DUMMYFUNCTION("""COMPUTED_VALUE"""),0.0)</f>
        <v>0</v>
      </c>
      <c r="Q74" s="177">
        <f>IFERROR(__xludf.DUMMYFUNCTION("""COMPUTED_VALUE"""),0.0)</f>
        <v>0</v>
      </c>
      <c r="R74" s="178">
        <f>IFERROR(__xludf.DUMMYFUNCTION("""COMPUTED_VALUE"""),45785.756944444445)</f>
        <v>45785.75694</v>
      </c>
      <c r="S74" s="177">
        <f>IFERROR(__xludf.DUMMYFUNCTION("""COMPUTED_VALUE"""),9.0)</f>
        <v>9</v>
      </c>
      <c r="T74" s="177" t="str">
        <f>IFERROR(__xludf.DUMMYFUNCTION("""COMPUTED_VALUE"""),"Round 9")</f>
        <v>Round 9</v>
      </c>
      <c r="U74" s="177" t="str">
        <f>IFERROR(__xludf.DUMMYFUNCTION("""COMPUTED_VALUE"""),"Full Time")</f>
        <v>Full Time</v>
      </c>
      <c r="V74" s="177" t="str">
        <f>IFERROR(__xludf.DUMMYFUNCTION("""COMPUTED_VALUE"""),"+10:00")</f>
        <v>+10:00</v>
      </c>
      <c r="W74" s="177">
        <f>IFERROR(__xludf.DUMMYFUNCTION("""COMPUTED_VALUE"""),1.746699E9)</f>
        <v>1746699000</v>
      </c>
      <c r="X74" s="178">
        <f>IFERROR(__xludf.DUMMYFUNCTION("""COMPUTED_VALUE"""),45785.95060185185)</f>
        <v>45785.9506</v>
      </c>
      <c r="Y74" s="177" t="str">
        <f>IFERROR(__xludf.DUMMYFUNCTION("""COMPUTED_VALUE"""),"Perth Stadium")</f>
        <v>Perth Stadium</v>
      </c>
      <c r="Z74" s="177" t="str">
        <f>IFERROR(__xludf.DUMMYFUNCTION("""COMPUTED_VALUE"""),"Collingwood")</f>
        <v>Collingwood</v>
      </c>
      <c r="AA74" s="177">
        <f>IFERROR(__xludf.DUMMYFUNCTION("""COMPUTED_VALUE"""),4.0)</f>
        <v>4</v>
      </c>
      <c r="AB74" s="177">
        <f>IFERROR(__xludf.DUMMYFUNCTION("""COMPUTED_VALUE"""),2025.0)</f>
        <v>2025</v>
      </c>
      <c r="AC74" s="177" t="str">
        <f t="shared" si="3"/>
        <v>Thursday</v>
      </c>
    </row>
    <row r="75">
      <c r="A75" s="175" t="str">
        <f t="shared" si="1"/>
        <v>92</v>
      </c>
      <c r="B75" s="176">
        <f t="shared" si="2"/>
        <v>2</v>
      </c>
      <c r="C75" s="177">
        <f>IFERROR(__xludf.DUMMYFUNCTION("""COMPUTED_VALUE"""),37163.0)</f>
        <v>37163</v>
      </c>
      <c r="D75" s="177">
        <f>IFERROR(__xludf.DUMMYFUNCTION("""COMPUTED_VALUE"""),11.0)</f>
        <v>11</v>
      </c>
      <c r="E75" s="177">
        <f>IFERROR(__xludf.DUMMYFUNCTION("""COMPUTED_VALUE"""),11.0)</f>
        <v>11</v>
      </c>
      <c r="F75" s="177">
        <f>IFERROR(__xludf.DUMMYFUNCTION("""COMPUTED_VALUE"""),77.0)</f>
        <v>77</v>
      </c>
      <c r="G75" s="177" t="str">
        <f>IFERROR(__xludf.DUMMYFUNCTION("""COMPUTED_VALUE"""),"Carlton")</f>
        <v>Carlton</v>
      </c>
      <c r="H75" s="177">
        <f>IFERROR(__xludf.DUMMYFUNCTION("""COMPUTED_VALUE"""),3.0)</f>
        <v>3</v>
      </c>
      <c r="I75" s="177">
        <f>IFERROR(__xludf.DUMMYFUNCTION("""COMPUTED_VALUE"""),100.0)</f>
        <v>100</v>
      </c>
      <c r="J75" s="178">
        <f>IFERROR(__xludf.DUMMYFUNCTION("""COMPUTED_VALUE"""),45786.819444444445)</f>
        <v>45786.81944</v>
      </c>
      <c r="K75" s="177">
        <f>IFERROR(__xludf.DUMMYFUNCTION("""COMPUTED_VALUE"""),8.0)</f>
        <v>8</v>
      </c>
      <c r="L75" s="177">
        <f>IFERROR(__xludf.DUMMYFUNCTION("""COMPUTED_VALUE"""),9.0)</f>
        <v>9</v>
      </c>
      <c r="M75" s="177">
        <f>IFERROR(__xludf.DUMMYFUNCTION("""COMPUTED_VALUE"""),62.0)</f>
        <v>62</v>
      </c>
      <c r="N75" s="177" t="str">
        <f>IFERROR(__xludf.DUMMYFUNCTION("""COMPUTED_VALUE"""),"St Kilda")</f>
        <v>St Kilda</v>
      </c>
      <c r="O75" s="177">
        <f>IFERROR(__xludf.DUMMYFUNCTION("""COMPUTED_VALUE"""),15.0)</f>
        <v>15</v>
      </c>
      <c r="P75" s="177">
        <f>IFERROR(__xludf.DUMMYFUNCTION("""COMPUTED_VALUE"""),0.0)</f>
        <v>0</v>
      </c>
      <c r="Q75" s="177">
        <f>IFERROR(__xludf.DUMMYFUNCTION("""COMPUTED_VALUE"""),0.0)</f>
        <v>0</v>
      </c>
      <c r="R75" s="178">
        <f>IFERROR(__xludf.DUMMYFUNCTION("""COMPUTED_VALUE"""),45786.819444444445)</f>
        <v>45786.81944</v>
      </c>
      <c r="S75" s="177">
        <f>IFERROR(__xludf.DUMMYFUNCTION("""COMPUTED_VALUE"""),9.0)</f>
        <v>9</v>
      </c>
      <c r="T75" s="177" t="str">
        <f>IFERROR(__xludf.DUMMYFUNCTION("""COMPUTED_VALUE"""),"Round 9")</f>
        <v>Round 9</v>
      </c>
      <c r="U75" s="177" t="str">
        <f>IFERROR(__xludf.DUMMYFUNCTION("""COMPUTED_VALUE"""),"Full Time")</f>
        <v>Full Time</v>
      </c>
      <c r="V75" s="177" t="str">
        <f>IFERROR(__xludf.DUMMYFUNCTION("""COMPUTED_VALUE"""),"+10:00")</f>
        <v>+10:00</v>
      </c>
      <c r="W75" s="177">
        <f>IFERROR(__xludf.DUMMYFUNCTION("""COMPUTED_VALUE"""),1.7467836E9)</f>
        <v>1746783600</v>
      </c>
      <c r="X75" s="178">
        <f>IFERROR(__xludf.DUMMYFUNCTION("""COMPUTED_VALUE"""),45786.9324537037)</f>
        <v>45786.93245</v>
      </c>
      <c r="Y75" s="177" t="str">
        <f>IFERROR(__xludf.DUMMYFUNCTION("""COMPUTED_VALUE"""),"M.C.G.")</f>
        <v>M.C.G.</v>
      </c>
      <c r="Z75" s="177" t="str">
        <f>IFERROR(__xludf.DUMMYFUNCTION("""COMPUTED_VALUE"""),"Carlton")</f>
        <v>Carlton</v>
      </c>
      <c r="AA75" s="177">
        <f>IFERROR(__xludf.DUMMYFUNCTION("""COMPUTED_VALUE"""),3.0)</f>
        <v>3</v>
      </c>
      <c r="AB75" s="177">
        <f>IFERROR(__xludf.DUMMYFUNCTION("""COMPUTED_VALUE"""),2025.0)</f>
        <v>2025</v>
      </c>
      <c r="AC75" s="177" t="str">
        <f t="shared" si="3"/>
        <v>Friday</v>
      </c>
    </row>
    <row r="76">
      <c r="A76" s="175" t="str">
        <f t="shared" si="1"/>
        <v>93</v>
      </c>
      <c r="B76" s="176">
        <f t="shared" si="2"/>
        <v>3</v>
      </c>
      <c r="C76" s="177">
        <f>IFERROR(__xludf.DUMMYFUNCTION("""COMPUTED_VALUE"""),37164.0)</f>
        <v>37164</v>
      </c>
      <c r="D76" s="177">
        <f>IFERROR(__xludf.DUMMYFUNCTION("""COMPUTED_VALUE"""),13.0)</f>
        <v>13</v>
      </c>
      <c r="E76" s="177">
        <f>IFERROR(__xludf.DUMMYFUNCTION("""COMPUTED_VALUE"""),13.0)</f>
        <v>13</v>
      </c>
      <c r="F76" s="177">
        <f>IFERROR(__xludf.DUMMYFUNCTION("""COMPUTED_VALUE"""),91.0)</f>
        <v>91</v>
      </c>
      <c r="G76" s="177" t="str">
        <f>IFERROR(__xludf.DUMMYFUNCTION("""COMPUTED_VALUE"""),"Hawthorn")</f>
        <v>Hawthorn</v>
      </c>
      <c r="H76" s="177">
        <f>IFERROR(__xludf.DUMMYFUNCTION("""COMPUTED_VALUE"""),10.0)</f>
        <v>10</v>
      </c>
      <c r="I76" s="177">
        <f>IFERROR(__xludf.DUMMYFUNCTION("""COMPUTED_VALUE"""),100.0)</f>
        <v>100</v>
      </c>
      <c r="J76" s="178">
        <f>IFERROR(__xludf.DUMMYFUNCTION("""COMPUTED_VALUE"""),45787.555555555555)</f>
        <v>45787.55556</v>
      </c>
      <c r="K76" s="177">
        <f>IFERROR(__xludf.DUMMYFUNCTION("""COMPUTED_VALUE"""),14.0)</f>
        <v>14</v>
      </c>
      <c r="L76" s="177">
        <f>IFERROR(__xludf.DUMMYFUNCTION("""COMPUTED_VALUE"""),7.0)</f>
        <v>7</v>
      </c>
      <c r="M76" s="177">
        <f>IFERROR(__xludf.DUMMYFUNCTION("""COMPUTED_VALUE"""),56.0)</f>
        <v>56</v>
      </c>
      <c r="N76" s="177" t="str">
        <f>IFERROR(__xludf.DUMMYFUNCTION("""COMPUTED_VALUE"""),"Melbourne")</f>
        <v>Melbourne</v>
      </c>
      <c r="O76" s="177">
        <f>IFERROR(__xludf.DUMMYFUNCTION("""COMPUTED_VALUE"""),11.0)</f>
        <v>11</v>
      </c>
      <c r="P76" s="177">
        <f>IFERROR(__xludf.DUMMYFUNCTION("""COMPUTED_VALUE"""),0.0)</f>
        <v>0</v>
      </c>
      <c r="Q76" s="177">
        <f>IFERROR(__xludf.DUMMYFUNCTION("""COMPUTED_VALUE"""),0.0)</f>
        <v>0</v>
      </c>
      <c r="R76" s="178">
        <f>IFERROR(__xludf.DUMMYFUNCTION("""COMPUTED_VALUE"""),45787.555555555555)</f>
        <v>45787.55556</v>
      </c>
      <c r="S76" s="177">
        <f>IFERROR(__xludf.DUMMYFUNCTION("""COMPUTED_VALUE"""),9.0)</f>
        <v>9</v>
      </c>
      <c r="T76" s="177" t="str">
        <f>IFERROR(__xludf.DUMMYFUNCTION("""COMPUTED_VALUE"""),"Round 9")</f>
        <v>Round 9</v>
      </c>
      <c r="U76" s="177" t="str">
        <f>IFERROR(__xludf.DUMMYFUNCTION("""COMPUTED_VALUE"""),"Full Time")</f>
        <v>Full Time</v>
      </c>
      <c r="V76" s="177" t="str">
        <f>IFERROR(__xludf.DUMMYFUNCTION("""COMPUTED_VALUE"""),"+10:00")</f>
        <v>+10:00</v>
      </c>
      <c r="W76" s="177">
        <f>IFERROR(__xludf.DUMMYFUNCTION("""COMPUTED_VALUE"""),1.7468472E9)</f>
        <v>1746847200</v>
      </c>
      <c r="X76" s="178">
        <f>IFERROR(__xludf.DUMMYFUNCTION("""COMPUTED_VALUE"""),45787.66275462963)</f>
        <v>45787.66275</v>
      </c>
      <c r="Y76" s="177" t="str">
        <f>IFERROR(__xludf.DUMMYFUNCTION("""COMPUTED_VALUE"""),"M.C.G.")</f>
        <v>M.C.G.</v>
      </c>
      <c r="Z76" s="177" t="str">
        <f>IFERROR(__xludf.DUMMYFUNCTION("""COMPUTED_VALUE"""),"Hawthorn")</f>
        <v>Hawthorn</v>
      </c>
      <c r="AA76" s="177">
        <f>IFERROR(__xludf.DUMMYFUNCTION("""COMPUTED_VALUE"""),10.0)</f>
        <v>10</v>
      </c>
      <c r="AB76" s="177">
        <f>IFERROR(__xludf.DUMMYFUNCTION("""COMPUTED_VALUE"""),2025.0)</f>
        <v>2025</v>
      </c>
      <c r="AC76" s="177" t="str">
        <f t="shared" si="3"/>
        <v>Saturday</v>
      </c>
    </row>
    <row r="77">
      <c r="A77" s="175" t="str">
        <f t="shared" si="1"/>
        <v>94</v>
      </c>
      <c r="B77" s="176">
        <f t="shared" si="2"/>
        <v>4</v>
      </c>
      <c r="C77" s="177">
        <f>IFERROR(__xludf.DUMMYFUNCTION("""COMPUTED_VALUE"""),37165.0)</f>
        <v>37165</v>
      </c>
      <c r="D77" s="177">
        <f>IFERROR(__xludf.DUMMYFUNCTION("""COMPUTED_VALUE"""),15.0)</f>
        <v>15</v>
      </c>
      <c r="E77" s="177">
        <f>IFERROR(__xludf.DUMMYFUNCTION("""COMPUTED_VALUE"""),8.0)</f>
        <v>8</v>
      </c>
      <c r="F77" s="177">
        <f>IFERROR(__xludf.DUMMYFUNCTION("""COMPUTED_VALUE"""),63.0)</f>
        <v>63</v>
      </c>
      <c r="G77" s="177" t="str">
        <f>IFERROR(__xludf.DUMMYFUNCTION("""COMPUTED_VALUE"""),"Sydney")</f>
        <v>Sydney</v>
      </c>
      <c r="H77" s="177">
        <f>IFERROR(__xludf.DUMMYFUNCTION("""COMPUTED_VALUE"""),16.0)</f>
        <v>16</v>
      </c>
      <c r="I77" s="177">
        <f>IFERROR(__xludf.DUMMYFUNCTION("""COMPUTED_VALUE"""),100.0)</f>
        <v>100</v>
      </c>
      <c r="J77" s="178">
        <f>IFERROR(__xludf.DUMMYFUNCTION("""COMPUTED_VALUE"""),45787.677083333336)</f>
        <v>45787.67708</v>
      </c>
      <c r="K77" s="177">
        <f>IFERROR(__xludf.DUMMYFUNCTION("""COMPUTED_VALUE"""),5.0)</f>
        <v>5</v>
      </c>
      <c r="L77" s="177">
        <f>IFERROR(__xludf.DUMMYFUNCTION("""COMPUTED_VALUE"""),11.0)</f>
        <v>11</v>
      </c>
      <c r="M77" s="177">
        <f>IFERROR(__xludf.DUMMYFUNCTION("""COMPUTED_VALUE"""),71.0)</f>
        <v>71</v>
      </c>
      <c r="N77" s="177" t="str">
        <f>IFERROR(__xludf.DUMMYFUNCTION("""COMPUTED_VALUE"""),"Essendon")</f>
        <v>Essendon</v>
      </c>
      <c r="O77" s="177">
        <f>IFERROR(__xludf.DUMMYFUNCTION("""COMPUTED_VALUE"""),5.0)</f>
        <v>5</v>
      </c>
      <c r="P77" s="177">
        <f>IFERROR(__xludf.DUMMYFUNCTION("""COMPUTED_VALUE"""),0.0)</f>
        <v>0</v>
      </c>
      <c r="Q77" s="177">
        <f>IFERROR(__xludf.DUMMYFUNCTION("""COMPUTED_VALUE"""),0.0)</f>
        <v>0</v>
      </c>
      <c r="R77" s="178">
        <f>IFERROR(__xludf.DUMMYFUNCTION("""COMPUTED_VALUE"""),45787.677083333336)</f>
        <v>45787.67708</v>
      </c>
      <c r="S77" s="177">
        <f>IFERROR(__xludf.DUMMYFUNCTION("""COMPUTED_VALUE"""),9.0)</f>
        <v>9</v>
      </c>
      <c r="T77" s="177" t="str">
        <f>IFERROR(__xludf.DUMMYFUNCTION("""COMPUTED_VALUE"""),"Round 9")</f>
        <v>Round 9</v>
      </c>
      <c r="U77" s="177" t="str">
        <f>IFERROR(__xludf.DUMMYFUNCTION("""COMPUTED_VALUE"""),"Full Time")</f>
        <v>Full Time</v>
      </c>
      <c r="V77" s="177" t="str">
        <f>IFERROR(__xludf.DUMMYFUNCTION("""COMPUTED_VALUE"""),"+10:00")</f>
        <v>+10:00</v>
      </c>
      <c r="W77" s="177">
        <f>IFERROR(__xludf.DUMMYFUNCTION("""COMPUTED_VALUE"""),1.7468577E9)</f>
        <v>1746857700</v>
      </c>
      <c r="X77" s="178">
        <f>IFERROR(__xludf.DUMMYFUNCTION("""COMPUTED_VALUE"""),45787.783784722225)</f>
        <v>45787.78378</v>
      </c>
      <c r="Y77" s="177" t="str">
        <f>IFERROR(__xludf.DUMMYFUNCTION("""COMPUTED_VALUE"""),"Docklands")</f>
        <v>Docklands</v>
      </c>
      <c r="Z77" s="177" t="str">
        <f>IFERROR(__xludf.DUMMYFUNCTION("""COMPUTED_VALUE"""),"Essendon")</f>
        <v>Essendon</v>
      </c>
      <c r="AA77" s="177">
        <f>IFERROR(__xludf.DUMMYFUNCTION("""COMPUTED_VALUE"""),5.0)</f>
        <v>5</v>
      </c>
      <c r="AB77" s="177">
        <f>IFERROR(__xludf.DUMMYFUNCTION("""COMPUTED_VALUE"""),2025.0)</f>
        <v>2025</v>
      </c>
      <c r="AC77" s="177" t="str">
        <f t="shared" si="3"/>
        <v>Saturday</v>
      </c>
    </row>
    <row r="78">
      <c r="A78" s="175" t="str">
        <f t="shared" si="1"/>
        <v>95</v>
      </c>
      <c r="B78" s="176">
        <f t="shared" si="2"/>
        <v>5</v>
      </c>
      <c r="C78" s="177">
        <f>IFERROR(__xludf.DUMMYFUNCTION("""COMPUTED_VALUE"""),37166.0)</f>
        <v>37166</v>
      </c>
      <c r="D78" s="177">
        <f>IFERROR(__xludf.DUMMYFUNCTION("""COMPUTED_VALUE"""),12.0)</f>
        <v>12</v>
      </c>
      <c r="E78" s="177">
        <f>IFERROR(__xludf.DUMMYFUNCTION("""COMPUTED_VALUE"""),14.0)</f>
        <v>14</v>
      </c>
      <c r="F78" s="177">
        <f>IFERROR(__xludf.DUMMYFUNCTION("""COMPUTED_VALUE"""),96.0)</f>
        <v>96</v>
      </c>
      <c r="G78" s="177" t="str">
        <f>IFERROR(__xludf.DUMMYFUNCTION("""COMPUTED_VALUE"""),"Western Bulldogs")</f>
        <v>Western Bulldogs</v>
      </c>
      <c r="H78" s="177">
        <f>IFERROR(__xludf.DUMMYFUNCTION("""COMPUTED_VALUE"""),18.0)</f>
        <v>18</v>
      </c>
      <c r="I78" s="177">
        <f>IFERROR(__xludf.DUMMYFUNCTION("""COMPUTED_VALUE"""),100.0)</f>
        <v>100</v>
      </c>
      <c r="J78" s="178">
        <f>IFERROR(__xludf.DUMMYFUNCTION("""COMPUTED_VALUE"""),45787.81597222222)</f>
        <v>45787.81597</v>
      </c>
      <c r="K78" s="177">
        <f>IFERROR(__xludf.DUMMYFUNCTION("""COMPUTED_VALUE"""),16.0)</f>
        <v>16</v>
      </c>
      <c r="L78" s="177">
        <f>IFERROR(__xludf.DUMMYFUNCTION("""COMPUTED_VALUE"""),15.0)</f>
        <v>15</v>
      </c>
      <c r="M78" s="177">
        <f>IFERROR(__xludf.DUMMYFUNCTION("""COMPUTED_VALUE"""),106.0)</f>
        <v>106</v>
      </c>
      <c r="N78" s="177" t="str">
        <f>IFERROR(__xludf.DUMMYFUNCTION("""COMPUTED_VALUE"""),"Gold Coast")</f>
        <v>Gold Coast</v>
      </c>
      <c r="O78" s="177">
        <f>IFERROR(__xludf.DUMMYFUNCTION("""COMPUTED_VALUE"""),8.0)</f>
        <v>8</v>
      </c>
      <c r="P78" s="177">
        <f>IFERROR(__xludf.DUMMYFUNCTION("""COMPUTED_VALUE"""),0.0)</f>
        <v>0</v>
      </c>
      <c r="Q78" s="177">
        <f>IFERROR(__xludf.DUMMYFUNCTION("""COMPUTED_VALUE"""),0.0)</f>
        <v>0</v>
      </c>
      <c r="R78" s="178">
        <f>IFERROR(__xludf.DUMMYFUNCTION("""COMPUTED_VALUE"""),45787.79513888889)</f>
        <v>45787.79514</v>
      </c>
      <c r="S78" s="177">
        <f>IFERROR(__xludf.DUMMYFUNCTION("""COMPUTED_VALUE"""),9.0)</f>
        <v>9</v>
      </c>
      <c r="T78" s="177" t="str">
        <f>IFERROR(__xludf.DUMMYFUNCTION("""COMPUTED_VALUE"""),"Round 9")</f>
        <v>Round 9</v>
      </c>
      <c r="U78" s="177" t="str">
        <f>IFERROR(__xludf.DUMMYFUNCTION("""COMPUTED_VALUE"""),"Full Time")</f>
        <v>Full Time</v>
      </c>
      <c r="V78" s="177" t="str">
        <f>IFERROR(__xludf.DUMMYFUNCTION("""COMPUTED_VALUE"""),"+10:00")</f>
        <v>+10:00</v>
      </c>
      <c r="W78" s="177">
        <f>IFERROR(__xludf.DUMMYFUNCTION("""COMPUTED_VALUE"""),1.7468697E9)</f>
        <v>1746869700</v>
      </c>
      <c r="X78" s="178">
        <f>IFERROR(__xludf.DUMMYFUNCTION("""COMPUTED_VALUE"""),45787.93019675926)</f>
        <v>45787.9302</v>
      </c>
      <c r="Y78" s="177" t="str">
        <f>IFERROR(__xludf.DUMMYFUNCTION("""COMPUTED_VALUE"""),"Marrara Oval")</f>
        <v>Marrara Oval</v>
      </c>
      <c r="Z78" s="177" t="str">
        <f>IFERROR(__xludf.DUMMYFUNCTION("""COMPUTED_VALUE"""),"Gold Coast")</f>
        <v>Gold Coast</v>
      </c>
      <c r="AA78" s="177">
        <f>IFERROR(__xludf.DUMMYFUNCTION("""COMPUTED_VALUE"""),8.0)</f>
        <v>8</v>
      </c>
      <c r="AB78" s="177">
        <f>IFERROR(__xludf.DUMMYFUNCTION("""COMPUTED_VALUE"""),2025.0)</f>
        <v>2025</v>
      </c>
      <c r="AC78" s="177" t="str">
        <f t="shared" si="3"/>
        <v>Saturday</v>
      </c>
    </row>
    <row r="79">
      <c r="A79" s="175" t="str">
        <f t="shared" si="1"/>
        <v>96</v>
      </c>
      <c r="B79" s="176">
        <f t="shared" si="2"/>
        <v>6</v>
      </c>
      <c r="C79" s="177">
        <f>IFERROR(__xludf.DUMMYFUNCTION("""COMPUTED_VALUE"""),37167.0)</f>
        <v>37167</v>
      </c>
      <c r="D79" s="177">
        <f>IFERROR(__xludf.DUMMYFUNCTION("""COMPUTED_VALUE"""),11.0)</f>
        <v>11</v>
      </c>
      <c r="E79" s="177">
        <f>IFERROR(__xludf.DUMMYFUNCTION("""COMPUTED_VALUE"""),13.0)</f>
        <v>13</v>
      </c>
      <c r="F79" s="177">
        <f>IFERROR(__xludf.DUMMYFUNCTION("""COMPUTED_VALUE"""),89.0)</f>
        <v>89</v>
      </c>
      <c r="G79" s="177" t="str">
        <f>IFERROR(__xludf.DUMMYFUNCTION("""COMPUTED_VALUE"""),"Adelaide")</f>
        <v>Adelaide</v>
      </c>
      <c r="H79" s="177">
        <f>IFERROR(__xludf.DUMMYFUNCTION("""COMPUTED_VALUE"""),1.0)</f>
        <v>1</v>
      </c>
      <c r="I79" s="177">
        <f>IFERROR(__xludf.DUMMYFUNCTION("""COMPUTED_VALUE"""),100.0)</f>
        <v>100</v>
      </c>
      <c r="J79" s="178">
        <f>IFERROR(__xludf.DUMMYFUNCTION("""COMPUTED_VALUE"""),45787.84027777778)</f>
        <v>45787.84028</v>
      </c>
      <c r="K79" s="177">
        <f>IFERROR(__xludf.DUMMYFUNCTION("""COMPUTED_VALUE"""),12.0)</f>
        <v>12</v>
      </c>
      <c r="L79" s="177">
        <f>IFERROR(__xludf.DUMMYFUNCTION("""COMPUTED_VALUE"""),12.0)</f>
        <v>12</v>
      </c>
      <c r="M79" s="177">
        <f>IFERROR(__xludf.DUMMYFUNCTION("""COMPUTED_VALUE"""),84.0)</f>
        <v>84</v>
      </c>
      <c r="N79" s="177" t="str">
        <f>IFERROR(__xludf.DUMMYFUNCTION("""COMPUTED_VALUE"""),"Port Adelaide")</f>
        <v>Port Adelaide</v>
      </c>
      <c r="O79" s="177">
        <f>IFERROR(__xludf.DUMMYFUNCTION("""COMPUTED_VALUE"""),13.0)</f>
        <v>13</v>
      </c>
      <c r="P79" s="177">
        <f>IFERROR(__xludf.DUMMYFUNCTION("""COMPUTED_VALUE"""),0.0)</f>
        <v>0</v>
      </c>
      <c r="Q79" s="177">
        <f>IFERROR(__xludf.DUMMYFUNCTION("""COMPUTED_VALUE"""),0.0)</f>
        <v>0</v>
      </c>
      <c r="R79" s="178">
        <f>IFERROR(__xludf.DUMMYFUNCTION("""COMPUTED_VALUE"""),45787.819444444445)</f>
        <v>45787.81944</v>
      </c>
      <c r="S79" s="177">
        <f>IFERROR(__xludf.DUMMYFUNCTION("""COMPUTED_VALUE"""),9.0)</f>
        <v>9</v>
      </c>
      <c r="T79" s="177" t="str">
        <f>IFERROR(__xludf.DUMMYFUNCTION("""COMPUTED_VALUE"""),"Round 9")</f>
        <v>Round 9</v>
      </c>
      <c r="U79" s="177" t="str">
        <f>IFERROR(__xludf.DUMMYFUNCTION("""COMPUTED_VALUE"""),"Full Time")</f>
        <v>Full Time</v>
      </c>
      <c r="V79" s="177" t="str">
        <f>IFERROR(__xludf.DUMMYFUNCTION("""COMPUTED_VALUE"""),"+10:00")</f>
        <v>+10:00</v>
      </c>
      <c r="W79" s="177">
        <f>IFERROR(__xludf.DUMMYFUNCTION("""COMPUTED_VALUE"""),1.7468718E9)</f>
        <v>1746871800</v>
      </c>
      <c r="X79" s="178">
        <f>IFERROR(__xludf.DUMMYFUNCTION("""COMPUTED_VALUE"""),45787.95122685185)</f>
        <v>45787.95123</v>
      </c>
      <c r="Y79" s="177" t="str">
        <f>IFERROR(__xludf.DUMMYFUNCTION("""COMPUTED_VALUE"""),"Adelaide Oval")</f>
        <v>Adelaide Oval</v>
      </c>
      <c r="Z79" s="177" t="str">
        <f>IFERROR(__xludf.DUMMYFUNCTION("""COMPUTED_VALUE"""),"Adelaide")</f>
        <v>Adelaide</v>
      </c>
      <c r="AA79" s="177">
        <f>IFERROR(__xludf.DUMMYFUNCTION("""COMPUTED_VALUE"""),1.0)</f>
        <v>1</v>
      </c>
      <c r="AB79" s="177">
        <f>IFERROR(__xludf.DUMMYFUNCTION("""COMPUTED_VALUE"""),2025.0)</f>
        <v>2025</v>
      </c>
      <c r="AC79" s="177" t="str">
        <f t="shared" si="3"/>
        <v>Saturday</v>
      </c>
    </row>
    <row r="80">
      <c r="A80" s="175" t="str">
        <f t="shared" si="1"/>
        <v>97</v>
      </c>
      <c r="B80" s="176">
        <f t="shared" si="2"/>
        <v>7</v>
      </c>
      <c r="C80" s="177">
        <f>IFERROR(__xludf.DUMMYFUNCTION("""COMPUTED_VALUE"""),37168.0)</f>
        <v>37168</v>
      </c>
      <c r="D80" s="177">
        <f>IFERROR(__xludf.DUMMYFUNCTION("""COMPUTED_VALUE"""),13.0)</f>
        <v>13</v>
      </c>
      <c r="E80" s="177">
        <f>IFERROR(__xludf.DUMMYFUNCTION("""COMPUTED_VALUE"""),11.0)</f>
        <v>11</v>
      </c>
      <c r="F80" s="177">
        <f>IFERROR(__xludf.DUMMYFUNCTION("""COMPUTED_VALUE"""),79.0)</f>
        <v>79</v>
      </c>
      <c r="G80" s="177" t="str">
        <f>IFERROR(__xludf.DUMMYFUNCTION("""COMPUTED_VALUE"""),"West Coast")</f>
        <v>West Coast</v>
      </c>
      <c r="H80" s="177">
        <f>IFERROR(__xludf.DUMMYFUNCTION("""COMPUTED_VALUE"""),17.0)</f>
        <v>17</v>
      </c>
      <c r="I80" s="177">
        <f>IFERROR(__xludf.DUMMYFUNCTION("""COMPUTED_VALUE"""),100.0)</f>
        <v>100</v>
      </c>
      <c r="J80" s="178">
        <f>IFERROR(__xludf.DUMMYFUNCTION("""COMPUTED_VALUE"""),45788.54861111111)</f>
        <v>45788.54861</v>
      </c>
      <c r="K80" s="177">
        <f>IFERROR(__xludf.DUMMYFUNCTION("""COMPUTED_VALUE"""),15.0)</f>
        <v>15</v>
      </c>
      <c r="L80" s="177">
        <f>IFERROR(__xludf.DUMMYFUNCTION("""COMPUTED_VALUE"""),11.0)</f>
        <v>11</v>
      </c>
      <c r="M80" s="177">
        <f>IFERROR(__xludf.DUMMYFUNCTION("""COMPUTED_VALUE"""),81.0)</f>
        <v>81</v>
      </c>
      <c r="N80" s="177" t="str">
        <f>IFERROR(__xludf.DUMMYFUNCTION("""COMPUTED_VALUE"""),"Richmond")</f>
        <v>Richmond</v>
      </c>
      <c r="O80" s="177">
        <f>IFERROR(__xludf.DUMMYFUNCTION("""COMPUTED_VALUE"""),14.0)</f>
        <v>14</v>
      </c>
      <c r="P80" s="177">
        <f>IFERROR(__xludf.DUMMYFUNCTION("""COMPUTED_VALUE"""),0.0)</f>
        <v>0</v>
      </c>
      <c r="Q80" s="177">
        <f>IFERROR(__xludf.DUMMYFUNCTION("""COMPUTED_VALUE"""),0.0)</f>
        <v>0</v>
      </c>
      <c r="R80" s="178">
        <f>IFERROR(__xludf.DUMMYFUNCTION("""COMPUTED_VALUE"""),45788.54861111111)</f>
        <v>45788.54861</v>
      </c>
      <c r="S80" s="177">
        <f>IFERROR(__xludf.DUMMYFUNCTION("""COMPUTED_VALUE"""),9.0)</f>
        <v>9</v>
      </c>
      <c r="T80" s="177" t="str">
        <f>IFERROR(__xludf.DUMMYFUNCTION("""COMPUTED_VALUE"""),"Round 9")</f>
        <v>Round 9</v>
      </c>
      <c r="U80" s="177" t="str">
        <f>IFERROR(__xludf.DUMMYFUNCTION("""COMPUTED_VALUE"""),"Full Time")</f>
        <v>Full Time</v>
      </c>
      <c r="V80" s="177" t="str">
        <f>IFERROR(__xludf.DUMMYFUNCTION("""COMPUTED_VALUE"""),"+10:00")</f>
        <v>+10:00</v>
      </c>
      <c r="W80" s="177">
        <f>IFERROR(__xludf.DUMMYFUNCTION("""COMPUTED_VALUE"""),1.746933E9)</f>
        <v>1746933000</v>
      </c>
      <c r="X80" s="178">
        <f>IFERROR(__xludf.DUMMYFUNCTION("""COMPUTED_VALUE"""),45788.66122685185)</f>
        <v>45788.66123</v>
      </c>
      <c r="Y80" s="177" t="str">
        <f>IFERROR(__xludf.DUMMYFUNCTION("""COMPUTED_VALUE"""),"M.C.G.")</f>
        <v>M.C.G.</v>
      </c>
      <c r="Z80" s="177" t="str">
        <f>IFERROR(__xludf.DUMMYFUNCTION("""COMPUTED_VALUE"""),"Richmond")</f>
        <v>Richmond</v>
      </c>
      <c r="AA80" s="177">
        <f>IFERROR(__xludf.DUMMYFUNCTION("""COMPUTED_VALUE"""),14.0)</f>
        <v>14</v>
      </c>
      <c r="AB80" s="177">
        <f>IFERROR(__xludf.DUMMYFUNCTION("""COMPUTED_VALUE"""),2025.0)</f>
        <v>2025</v>
      </c>
      <c r="AC80" s="177" t="str">
        <f t="shared" si="3"/>
        <v>Sunday</v>
      </c>
    </row>
    <row r="81">
      <c r="A81" s="175" t="str">
        <f t="shared" si="1"/>
        <v>98</v>
      </c>
      <c r="B81" s="176">
        <f t="shared" si="2"/>
        <v>8</v>
      </c>
      <c r="C81" s="177">
        <f>IFERROR(__xludf.DUMMYFUNCTION("""COMPUTED_VALUE"""),37169.0)</f>
        <v>37169</v>
      </c>
      <c r="D81" s="177">
        <f>IFERROR(__xludf.DUMMYFUNCTION("""COMPUTED_VALUE"""),9.0)</f>
        <v>9</v>
      </c>
      <c r="E81" s="177">
        <f>IFERROR(__xludf.DUMMYFUNCTION("""COMPUTED_VALUE"""),16.0)</f>
        <v>16</v>
      </c>
      <c r="F81" s="177">
        <f>IFERROR(__xludf.DUMMYFUNCTION("""COMPUTED_VALUE"""),105.0)</f>
        <v>105</v>
      </c>
      <c r="G81" s="177" t="str">
        <f>IFERROR(__xludf.DUMMYFUNCTION("""COMPUTED_VALUE"""),"Greater Western Sydney")</f>
        <v>Greater Western Sydney</v>
      </c>
      <c r="H81" s="177">
        <f>IFERROR(__xludf.DUMMYFUNCTION("""COMPUTED_VALUE"""),9.0)</f>
        <v>9</v>
      </c>
      <c r="I81" s="177">
        <f>IFERROR(__xludf.DUMMYFUNCTION("""COMPUTED_VALUE"""),100.0)</f>
        <v>100</v>
      </c>
      <c r="J81" s="178">
        <f>IFERROR(__xludf.DUMMYFUNCTION("""COMPUTED_VALUE"""),45788.63888888889)</f>
        <v>45788.63889</v>
      </c>
      <c r="K81" s="177">
        <f>IFERROR(__xludf.DUMMYFUNCTION("""COMPUTED_VALUE"""),17.0)</f>
        <v>17</v>
      </c>
      <c r="L81" s="177">
        <f>IFERROR(__xludf.DUMMYFUNCTION("""COMPUTED_VALUE"""),14.0)</f>
        <v>14</v>
      </c>
      <c r="M81" s="177">
        <f>IFERROR(__xludf.DUMMYFUNCTION("""COMPUTED_VALUE"""),101.0)</f>
        <v>101</v>
      </c>
      <c r="N81" s="177" t="str">
        <f>IFERROR(__xludf.DUMMYFUNCTION("""COMPUTED_VALUE"""),"Geelong")</f>
        <v>Geelong</v>
      </c>
      <c r="O81" s="177">
        <f>IFERROR(__xludf.DUMMYFUNCTION("""COMPUTED_VALUE"""),7.0)</f>
        <v>7</v>
      </c>
      <c r="P81" s="177">
        <f>IFERROR(__xludf.DUMMYFUNCTION("""COMPUTED_VALUE"""),0.0)</f>
        <v>0</v>
      </c>
      <c r="Q81" s="177">
        <f>IFERROR(__xludf.DUMMYFUNCTION("""COMPUTED_VALUE"""),0.0)</f>
        <v>0</v>
      </c>
      <c r="R81" s="178">
        <f>IFERROR(__xludf.DUMMYFUNCTION("""COMPUTED_VALUE"""),45788.63888888889)</f>
        <v>45788.63889</v>
      </c>
      <c r="S81" s="177">
        <f>IFERROR(__xludf.DUMMYFUNCTION("""COMPUTED_VALUE"""),9.0)</f>
        <v>9</v>
      </c>
      <c r="T81" s="177" t="str">
        <f>IFERROR(__xludf.DUMMYFUNCTION("""COMPUTED_VALUE"""),"Round 9")</f>
        <v>Round 9</v>
      </c>
      <c r="U81" s="177" t="str">
        <f>IFERROR(__xludf.DUMMYFUNCTION("""COMPUTED_VALUE"""),"Full Time")</f>
        <v>Full Time</v>
      </c>
      <c r="V81" s="177" t="str">
        <f>IFERROR(__xludf.DUMMYFUNCTION("""COMPUTED_VALUE"""),"+10:00")</f>
        <v>+10:00</v>
      </c>
      <c r="W81" s="177">
        <f>IFERROR(__xludf.DUMMYFUNCTION("""COMPUTED_VALUE"""),1.7469408E9)</f>
        <v>1746940800</v>
      </c>
      <c r="X81" s="178">
        <f>IFERROR(__xludf.DUMMYFUNCTION("""COMPUTED_VALUE"""),45788.75199074074)</f>
        <v>45788.75199</v>
      </c>
      <c r="Y81" s="177" t="str">
        <f>IFERROR(__xludf.DUMMYFUNCTION("""COMPUTED_VALUE"""),"Kardinia Park")</f>
        <v>Kardinia Park</v>
      </c>
      <c r="Z81" s="177" t="str">
        <f>IFERROR(__xludf.DUMMYFUNCTION("""COMPUTED_VALUE"""),"Greater Western Sydney")</f>
        <v>Greater Western Sydney</v>
      </c>
      <c r="AA81" s="177">
        <f>IFERROR(__xludf.DUMMYFUNCTION("""COMPUTED_VALUE"""),9.0)</f>
        <v>9</v>
      </c>
      <c r="AB81" s="177">
        <f>IFERROR(__xludf.DUMMYFUNCTION("""COMPUTED_VALUE"""),2025.0)</f>
        <v>2025</v>
      </c>
      <c r="AC81" s="177" t="str">
        <f t="shared" si="3"/>
        <v>Sunday</v>
      </c>
    </row>
    <row r="82">
      <c r="A82" s="175" t="str">
        <f t="shared" si="1"/>
        <v>99</v>
      </c>
      <c r="B82" s="176">
        <f t="shared" si="2"/>
        <v>9</v>
      </c>
      <c r="C82" s="177">
        <f>IFERROR(__xludf.DUMMYFUNCTION("""COMPUTED_VALUE"""),37170.0)</f>
        <v>37170</v>
      </c>
      <c r="D82" s="177">
        <f>IFERROR(__xludf.DUMMYFUNCTION("""COMPUTED_VALUE"""),11.0)</f>
        <v>11</v>
      </c>
      <c r="E82" s="177">
        <f>IFERROR(__xludf.DUMMYFUNCTION("""COMPUTED_VALUE"""),10.0)</f>
        <v>10</v>
      </c>
      <c r="F82" s="177">
        <f>IFERROR(__xludf.DUMMYFUNCTION("""COMPUTED_VALUE"""),71.0)</f>
        <v>71</v>
      </c>
      <c r="G82" s="177" t="str">
        <f>IFERROR(__xludf.DUMMYFUNCTION("""COMPUTED_VALUE"""),"Brisbane Lions")</f>
        <v>Brisbane Lions</v>
      </c>
      <c r="H82" s="177">
        <f>IFERROR(__xludf.DUMMYFUNCTION("""COMPUTED_VALUE"""),2.0)</f>
        <v>2</v>
      </c>
      <c r="I82" s="177">
        <f>IFERROR(__xludf.DUMMYFUNCTION("""COMPUTED_VALUE"""),100.0)</f>
        <v>100</v>
      </c>
      <c r="J82" s="178">
        <f>IFERROR(__xludf.DUMMYFUNCTION("""COMPUTED_VALUE"""),45788.694444444445)</f>
        <v>45788.69444</v>
      </c>
      <c r="K82" s="177">
        <f>IFERROR(__xludf.DUMMYFUNCTION("""COMPUTED_VALUE"""),11.0)</f>
        <v>11</v>
      </c>
      <c r="L82" s="177">
        <f>IFERROR(__xludf.DUMMYFUNCTION("""COMPUTED_VALUE"""),10.0)</f>
        <v>10</v>
      </c>
      <c r="M82" s="177">
        <f>IFERROR(__xludf.DUMMYFUNCTION("""COMPUTED_VALUE"""),71.0)</f>
        <v>71</v>
      </c>
      <c r="N82" s="177" t="str">
        <f>IFERROR(__xludf.DUMMYFUNCTION("""COMPUTED_VALUE"""),"North Melbourne")</f>
        <v>North Melbourne</v>
      </c>
      <c r="O82" s="177">
        <f>IFERROR(__xludf.DUMMYFUNCTION("""COMPUTED_VALUE"""),12.0)</f>
        <v>12</v>
      </c>
      <c r="P82" s="177">
        <f>IFERROR(__xludf.DUMMYFUNCTION("""COMPUTED_VALUE"""),0.0)</f>
        <v>0</v>
      </c>
      <c r="Q82" s="177">
        <f>IFERROR(__xludf.DUMMYFUNCTION("""COMPUTED_VALUE"""),0.0)</f>
        <v>0</v>
      </c>
      <c r="R82" s="178">
        <f>IFERROR(__xludf.DUMMYFUNCTION("""COMPUTED_VALUE"""),45788.694444444445)</f>
        <v>45788.69444</v>
      </c>
      <c r="S82" s="177">
        <f>IFERROR(__xludf.DUMMYFUNCTION("""COMPUTED_VALUE"""),9.0)</f>
        <v>9</v>
      </c>
      <c r="T82" s="177" t="str">
        <f>IFERROR(__xludf.DUMMYFUNCTION("""COMPUTED_VALUE"""),"Round 9")</f>
        <v>Round 9</v>
      </c>
      <c r="U82" s="177" t="str">
        <f>IFERROR(__xludf.DUMMYFUNCTION("""COMPUTED_VALUE"""),"Full Time")</f>
        <v>Full Time</v>
      </c>
      <c r="V82" s="177" t="str">
        <f>IFERROR(__xludf.DUMMYFUNCTION("""COMPUTED_VALUE"""),"+10:00")</f>
        <v>+10:00</v>
      </c>
      <c r="W82" s="177">
        <f>IFERROR(__xludf.DUMMYFUNCTION("""COMPUTED_VALUE"""),1.7469456E9)</f>
        <v>1746945600</v>
      </c>
      <c r="X82" s="178">
        <f>IFERROR(__xludf.DUMMYFUNCTION("""COMPUTED_VALUE"""),45788.80375)</f>
        <v>45788.80375</v>
      </c>
      <c r="Y82" s="177" t="str">
        <f>IFERROR(__xludf.DUMMYFUNCTION("""COMPUTED_VALUE"""),"Bellerive Oval")</f>
        <v>Bellerive Oval</v>
      </c>
      <c r="Z82" s="177"/>
      <c r="AA82" s="177"/>
      <c r="AB82" s="177">
        <f>IFERROR(__xludf.DUMMYFUNCTION("""COMPUTED_VALUE"""),2025.0)</f>
        <v>2025</v>
      </c>
      <c r="AC82" s="177" t="str">
        <f t="shared" si="3"/>
        <v>Sunday</v>
      </c>
    </row>
    <row r="83">
      <c r="A83" s="175" t="str">
        <f t="shared" si="1"/>
        <v>101</v>
      </c>
      <c r="B83" s="176">
        <f t="shared" si="2"/>
        <v>1</v>
      </c>
      <c r="C83" s="177">
        <f>IFERROR(__xludf.DUMMYFUNCTION("""COMPUTED_VALUE"""),37171.0)</f>
        <v>37171</v>
      </c>
      <c r="D83" s="177">
        <f>IFERROR(__xludf.DUMMYFUNCTION("""COMPUTED_VALUE"""),6.0)</f>
        <v>6</v>
      </c>
      <c r="E83" s="177">
        <f>IFERROR(__xludf.DUMMYFUNCTION("""COMPUTED_VALUE"""),15.0)</f>
        <v>15</v>
      </c>
      <c r="F83" s="177">
        <f>IFERROR(__xludf.DUMMYFUNCTION("""COMPUTED_VALUE"""),96.0)</f>
        <v>96</v>
      </c>
      <c r="G83" s="177" t="str">
        <f>IFERROR(__xludf.DUMMYFUNCTION("""COMPUTED_VALUE"""),"Hawthorn")</f>
        <v>Hawthorn</v>
      </c>
      <c r="H83" s="177">
        <f>IFERROR(__xludf.DUMMYFUNCTION("""COMPUTED_VALUE"""),10.0)</f>
        <v>10</v>
      </c>
      <c r="I83" s="177">
        <f>IFERROR(__xludf.DUMMYFUNCTION("""COMPUTED_VALUE"""),100.0)</f>
        <v>100</v>
      </c>
      <c r="J83" s="178">
        <f>IFERROR(__xludf.DUMMYFUNCTION("""COMPUTED_VALUE"""),45792.8125)</f>
        <v>45792.8125</v>
      </c>
      <c r="K83" s="177">
        <f>IFERROR(__xludf.DUMMYFUNCTION("""COMPUTED_VALUE"""),8.0)</f>
        <v>8</v>
      </c>
      <c r="L83" s="177">
        <f>IFERROR(__xludf.DUMMYFUNCTION("""COMPUTED_VALUE"""),16.0)</f>
        <v>16</v>
      </c>
      <c r="M83" s="177">
        <f>IFERROR(__xludf.DUMMYFUNCTION("""COMPUTED_VALUE"""),104.0)</f>
        <v>104</v>
      </c>
      <c r="N83" s="177" t="str">
        <f>IFERROR(__xludf.DUMMYFUNCTION("""COMPUTED_VALUE"""),"Gold Coast")</f>
        <v>Gold Coast</v>
      </c>
      <c r="O83" s="177">
        <f>IFERROR(__xludf.DUMMYFUNCTION("""COMPUTED_VALUE"""),8.0)</f>
        <v>8</v>
      </c>
      <c r="P83" s="177">
        <f>IFERROR(__xludf.DUMMYFUNCTION("""COMPUTED_VALUE"""),0.0)</f>
        <v>0</v>
      </c>
      <c r="Q83" s="177">
        <f>IFERROR(__xludf.DUMMYFUNCTION("""COMPUTED_VALUE"""),0.0)</f>
        <v>0</v>
      </c>
      <c r="R83" s="178">
        <f>IFERROR(__xludf.DUMMYFUNCTION("""COMPUTED_VALUE"""),45792.791666666664)</f>
        <v>45792.79167</v>
      </c>
      <c r="S83" s="177">
        <f>IFERROR(__xludf.DUMMYFUNCTION("""COMPUTED_VALUE"""),10.0)</f>
        <v>10</v>
      </c>
      <c r="T83" s="177" t="str">
        <f>IFERROR(__xludf.DUMMYFUNCTION("""COMPUTED_VALUE"""),"Round 10")</f>
        <v>Round 10</v>
      </c>
      <c r="U83" s="177" t="str">
        <f>IFERROR(__xludf.DUMMYFUNCTION("""COMPUTED_VALUE"""),"Full Time")</f>
        <v>Full Time</v>
      </c>
      <c r="V83" s="177" t="str">
        <f>IFERROR(__xludf.DUMMYFUNCTION("""COMPUTED_VALUE"""),"+10:00")</f>
        <v>+10:00</v>
      </c>
      <c r="W83" s="177">
        <f>IFERROR(__xludf.DUMMYFUNCTION("""COMPUTED_VALUE"""),1.7473014E9)</f>
        <v>1747301400</v>
      </c>
      <c r="X83" s="178">
        <f>IFERROR(__xludf.DUMMYFUNCTION("""COMPUTED_VALUE"""),45792.93224537037)</f>
        <v>45792.93225</v>
      </c>
      <c r="Y83" s="177" t="str">
        <f>IFERROR(__xludf.DUMMYFUNCTION("""COMPUTED_VALUE"""),"Marrara Oval")</f>
        <v>Marrara Oval</v>
      </c>
      <c r="Z83" s="177" t="str">
        <f>IFERROR(__xludf.DUMMYFUNCTION("""COMPUTED_VALUE"""),"Gold Coast")</f>
        <v>Gold Coast</v>
      </c>
      <c r="AA83" s="177">
        <f>IFERROR(__xludf.DUMMYFUNCTION("""COMPUTED_VALUE"""),8.0)</f>
        <v>8</v>
      </c>
      <c r="AB83" s="177">
        <f>IFERROR(__xludf.DUMMYFUNCTION("""COMPUTED_VALUE"""),2025.0)</f>
        <v>2025</v>
      </c>
      <c r="AC83" s="177" t="str">
        <f t="shared" si="3"/>
        <v>Thursday</v>
      </c>
    </row>
    <row r="84">
      <c r="A84" s="175" t="str">
        <f t="shared" si="1"/>
        <v>102</v>
      </c>
      <c r="B84" s="176">
        <f t="shared" si="2"/>
        <v>2</v>
      </c>
      <c r="C84" s="177">
        <f>IFERROR(__xludf.DUMMYFUNCTION("""COMPUTED_VALUE"""),37172.0)</f>
        <v>37172</v>
      </c>
      <c r="D84" s="177">
        <f>IFERROR(__xludf.DUMMYFUNCTION("""COMPUTED_VALUE"""),8.0)</f>
        <v>8</v>
      </c>
      <c r="E84" s="177">
        <f>IFERROR(__xludf.DUMMYFUNCTION("""COMPUTED_VALUE"""),9.0)</f>
        <v>9</v>
      </c>
      <c r="F84" s="177">
        <f>IFERROR(__xludf.DUMMYFUNCTION("""COMPUTED_VALUE"""),62.0)</f>
        <v>62</v>
      </c>
      <c r="G84" s="177" t="str">
        <f>IFERROR(__xludf.DUMMYFUNCTION("""COMPUTED_VALUE"""),"Carlton")</f>
        <v>Carlton</v>
      </c>
      <c r="H84" s="177">
        <f>IFERROR(__xludf.DUMMYFUNCTION("""COMPUTED_VALUE"""),3.0)</f>
        <v>3</v>
      </c>
      <c r="I84" s="177">
        <f>IFERROR(__xludf.DUMMYFUNCTION("""COMPUTED_VALUE"""),100.0)</f>
        <v>100</v>
      </c>
      <c r="J84" s="178">
        <f>IFERROR(__xludf.DUMMYFUNCTION("""COMPUTED_VALUE"""),45793.819444444445)</f>
        <v>45793.81944</v>
      </c>
      <c r="K84" s="177">
        <f>IFERROR(__xludf.DUMMYFUNCTION("""COMPUTED_VALUE"""),12.0)</f>
        <v>12</v>
      </c>
      <c r="L84" s="177">
        <f>IFERROR(__xludf.DUMMYFUNCTION("""COMPUTED_VALUE"""),11.0)</f>
        <v>11</v>
      </c>
      <c r="M84" s="177">
        <f>IFERROR(__xludf.DUMMYFUNCTION("""COMPUTED_VALUE"""),78.0)</f>
        <v>78</v>
      </c>
      <c r="N84" s="177" t="str">
        <f>IFERROR(__xludf.DUMMYFUNCTION("""COMPUTED_VALUE"""),"Sydney")</f>
        <v>Sydney</v>
      </c>
      <c r="O84" s="177">
        <f>IFERROR(__xludf.DUMMYFUNCTION("""COMPUTED_VALUE"""),16.0)</f>
        <v>16</v>
      </c>
      <c r="P84" s="177">
        <f>IFERROR(__xludf.DUMMYFUNCTION("""COMPUTED_VALUE"""),0.0)</f>
        <v>0</v>
      </c>
      <c r="Q84" s="177">
        <f>IFERROR(__xludf.DUMMYFUNCTION("""COMPUTED_VALUE"""),0.0)</f>
        <v>0</v>
      </c>
      <c r="R84" s="178">
        <f>IFERROR(__xludf.DUMMYFUNCTION("""COMPUTED_VALUE"""),45793.819444444445)</f>
        <v>45793.81944</v>
      </c>
      <c r="S84" s="177">
        <f>IFERROR(__xludf.DUMMYFUNCTION("""COMPUTED_VALUE"""),10.0)</f>
        <v>10</v>
      </c>
      <c r="T84" s="177" t="str">
        <f>IFERROR(__xludf.DUMMYFUNCTION("""COMPUTED_VALUE"""),"Round 10")</f>
        <v>Round 10</v>
      </c>
      <c r="U84" s="177" t="str">
        <f>IFERROR(__xludf.DUMMYFUNCTION("""COMPUTED_VALUE"""),"Full Time")</f>
        <v>Full Time</v>
      </c>
      <c r="V84" s="177" t="str">
        <f>IFERROR(__xludf.DUMMYFUNCTION("""COMPUTED_VALUE"""),"+10:00")</f>
        <v>+10:00</v>
      </c>
      <c r="W84" s="177">
        <f>IFERROR(__xludf.DUMMYFUNCTION("""COMPUTED_VALUE"""),1.7473884E9)</f>
        <v>1747388400</v>
      </c>
      <c r="X84" s="178">
        <f>IFERROR(__xludf.DUMMYFUNCTION("""COMPUTED_VALUE"""),45793.93096064815)</f>
        <v>45793.93096</v>
      </c>
      <c r="Y84" s="177" t="str">
        <f>IFERROR(__xludf.DUMMYFUNCTION("""COMPUTED_VALUE"""),"S.C.G.")</f>
        <v>S.C.G.</v>
      </c>
      <c r="Z84" s="177" t="str">
        <f>IFERROR(__xludf.DUMMYFUNCTION("""COMPUTED_VALUE"""),"Sydney")</f>
        <v>Sydney</v>
      </c>
      <c r="AA84" s="177">
        <f>IFERROR(__xludf.DUMMYFUNCTION("""COMPUTED_VALUE"""),16.0)</f>
        <v>16</v>
      </c>
      <c r="AB84" s="177">
        <f>IFERROR(__xludf.DUMMYFUNCTION("""COMPUTED_VALUE"""),2025.0)</f>
        <v>2025</v>
      </c>
      <c r="AC84" s="177" t="str">
        <f t="shared" si="3"/>
        <v>Friday</v>
      </c>
    </row>
    <row r="85">
      <c r="A85" s="175" t="str">
        <f t="shared" si="1"/>
        <v>103</v>
      </c>
      <c r="B85" s="176">
        <f t="shared" si="2"/>
        <v>3</v>
      </c>
      <c r="C85" s="177">
        <f>IFERROR(__xludf.DUMMYFUNCTION("""COMPUTED_VALUE"""),37173.0)</f>
        <v>37173</v>
      </c>
      <c r="D85" s="177">
        <f>IFERROR(__xludf.DUMMYFUNCTION("""COMPUTED_VALUE"""),8.0)</f>
        <v>8</v>
      </c>
      <c r="E85" s="177">
        <f>IFERROR(__xludf.DUMMYFUNCTION("""COMPUTED_VALUE"""),10.0)</f>
        <v>10</v>
      </c>
      <c r="F85" s="177">
        <f>IFERROR(__xludf.DUMMYFUNCTION("""COMPUTED_VALUE"""),68.0)</f>
        <v>68</v>
      </c>
      <c r="G85" s="177" t="str">
        <f>IFERROR(__xludf.DUMMYFUNCTION("""COMPUTED_VALUE"""),"Adelaide")</f>
        <v>Adelaide</v>
      </c>
      <c r="H85" s="177">
        <f>IFERROR(__xludf.DUMMYFUNCTION("""COMPUTED_VALUE"""),1.0)</f>
        <v>1</v>
      </c>
      <c r="I85" s="177">
        <f>IFERROR(__xludf.DUMMYFUNCTION("""COMPUTED_VALUE"""),100.0)</f>
        <v>100</v>
      </c>
      <c r="J85" s="178">
        <f>IFERROR(__xludf.DUMMYFUNCTION("""COMPUTED_VALUE"""),45794.555555555555)</f>
        <v>45794.55556</v>
      </c>
      <c r="K85" s="177">
        <f>IFERROR(__xludf.DUMMYFUNCTION("""COMPUTED_VALUE"""),12.0)</f>
        <v>12</v>
      </c>
      <c r="L85" s="177">
        <f>IFERROR(__xludf.DUMMYFUNCTION("""COMPUTED_VALUE"""),11.0)</f>
        <v>11</v>
      </c>
      <c r="M85" s="177">
        <f>IFERROR(__xludf.DUMMYFUNCTION("""COMPUTED_VALUE"""),78.0)</f>
        <v>78</v>
      </c>
      <c r="N85" s="177" t="str">
        <f>IFERROR(__xludf.DUMMYFUNCTION("""COMPUTED_VALUE"""),"Collingwood")</f>
        <v>Collingwood</v>
      </c>
      <c r="O85" s="177">
        <f>IFERROR(__xludf.DUMMYFUNCTION("""COMPUTED_VALUE"""),4.0)</f>
        <v>4</v>
      </c>
      <c r="P85" s="177">
        <f>IFERROR(__xludf.DUMMYFUNCTION("""COMPUTED_VALUE"""),0.0)</f>
        <v>0</v>
      </c>
      <c r="Q85" s="177">
        <f>IFERROR(__xludf.DUMMYFUNCTION("""COMPUTED_VALUE"""),0.0)</f>
        <v>0</v>
      </c>
      <c r="R85" s="178">
        <f>IFERROR(__xludf.DUMMYFUNCTION("""COMPUTED_VALUE"""),45794.555555555555)</f>
        <v>45794.55556</v>
      </c>
      <c r="S85" s="177">
        <f>IFERROR(__xludf.DUMMYFUNCTION("""COMPUTED_VALUE"""),10.0)</f>
        <v>10</v>
      </c>
      <c r="T85" s="177" t="str">
        <f>IFERROR(__xludf.DUMMYFUNCTION("""COMPUTED_VALUE"""),"Round 10")</f>
        <v>Round 10</v>
      </c>
      <c r="U85" s="177" t="str">
        <f>IFERROR(__xludf.DUMMYFUNCTION("""COMPUTED_VALUE"""),"Full Time")</f>
        <v>Full Time</v>
      </c>
      <c r="V85" s="177" t="str">
        <f>IFERROR(__xludf.DUMMYFUNCTION("""COMPUTED_VALUE"""),"+10:00")</f>
        <v>+10:00</v>
      </c>
      <c r="W85" s="177">
        <f>IFERROR(__xludf.DUMMYFUNCTION("""COMPUTED_VALUE"""),1.747452E9)</f>
        <v>1747452000</v>
      </c>
      <c r="X85" s="178">
        <f>IFERROR(__xludf.DUMMYFUNCTION("""COMPUTED_VALUE"""),45794.66384259259)</f>
        <v>45794.66384</v>
      </c>
      <c r="Y85" s="177" t="str">
        <f>IFERROR(__xludf.DUMMYFUNCTION("""COMPUTED_VALUE"""),"M.C.G.")</f>
        <v>M.C.G.</v>
      </c>
      <c r="Z85" s="177" t="str">
        <f>IFERROR(__xludf.DUMMYFUNCTION("""COMPUTED_VALUE"""),"Collingwood")</f>
        <v>Collingwood</v>
      </c>
      <c r="AA85" s="177">
        <f>IFERROR(__xludf.DUMMYFUNCTION("""COMPUTED_VALUE"""),4.0)</f>
        <v>4</v>
      </c>
      <c r="AB85" s="177">
        <f>IFERROR(__xludf.DUMMYFUNCTION("""COMPUTED_VALUE"""),2025.0)</f>
        <v>2025</v>
      </c>
      <c r="AC85" s="177" t="str">
        <f t="shared" si="3"/>
        <v>Saturday</v>
      </c>
    </row>
    <row r="86">
      <c r="A86" s="175" t="str">
        <f t="shared" si="1"/>
        <v>104</v>
      </c>
      <c r="B86" s="176">
        <f t="shared" si="2"/>
        <v>4</v>
      </c>
      <c r="C86" s="177">
        <f>IFERROR(__xludf.DUMMYFUNCTION("""COMPUTED_VALUE"""),37175.0)</f>
        <v>37175</v>
      </c>
      <c r="D86" s="177">
        <f>IFERROR(__xludf.DUMMYFUNCTION("""COMPUTED_VALUE"""),17.0)</f>
        <v>17</v>
      </c>
      <c r="E86" s="177">
        <f>IFERROR(__xludf.DUMMYFUNCTION("""COMPUTED_VALUE"""),13.0)</f>
        <v>13</v>
      </c>
      <c r="F86" s="177">
        <f>IFERROR(__xludf.DUMMYFUNCTION("""COMPUTED_VALUE"""),95.0)</f>
        <v>95</v>
      </c>
      <c r="G86" s="177" t="str">
        <f>IFERROR(__xludf.DUMMYFUNCTION("""COMPUTED_VALUE"""),"Fremantle")</f>
        <v>Fremantle</v>
      </c>
      <c r="H86" s="177">
        <f>IFERROR(__xludf.DUMMYFUNCTION("""COMPUTED_VALUE"""),6.0)</f>
        <v>6</v>
      </c>
      <c r="I86" s="177">
        <f>IFERROR(__xludf.DUMMYFUNCTION("""COMPUTED_VALUE"""),100.0)</f>
        <v>100</v>
      </c>
      <c r="J86" s="178">
        <f>IFERROR(__xludf.DUMMYFUNCTION("""COMPUTED_VALUE"""),45794.677083333336)</f>
        <v>45794.67708</v>
      </c>
      <c r="K86" s="177">
        <f>IFERROR(__xludf.DUMMYFUNCTION("""COMPUTED_VALUE"""),13.0)</f>
        <v>13</v>
      </c>
      <c r="L86" s="177">
        <f>IFERROR(__xludf.DUMMYFUNCTION("""COMPUTED_VALUE"""),8.0)</f>
        <v>8</v>
      </c>
      <c r="M86" s="177">
        <f>IFERROR(__xludf.DUMMYFUNCTION("""COMPUTED_VALUE"""),61.0)</f>
        <v>61</v>
      </c>
      <c r="N86" s="177" t="str">
        <f>IFERROR(__xludf.DUMMYFUNCTION("""COMPUTED_VALUE"""),"Greater Western Sydney")</f>
        <v>Greater Western Sydney</v>
      </c>
      <c r="O86" s="177">
        <f>IFERROR(__xludf.DUMMYFUNCTION("""COMPUTED_VALUE"""),9.0)</f>
        <v>9</v>
      </c>
      <c r="P86" s="177">
        <f>IFERROR(__xludf.DUMMYFUNCTION("""COMPUTED_VALUE"""),0.0)</f>
        <v>0</v>
      </c>
      <c r="Q86" s="177">
        <f>IFERROR(__xludf.DUMMYFUNCTION("""COMPUTED_VALUE"""),0.0)</f>
        <v>0</v>
      </c>
      <c r="R86" s="178">
        <f>IFERROR(__xludf.DUMMYFUNCTION("""COMPUTED_VALUE"""),45794.677083333336)</f>
        <v>45794.67708</v>
      </c>
      <c r="S86" s="177">
        <f>IFERROR(__xludf.DUMMYFUNCTION("""COMPUTED_VALUE"""),10.0)</f>
        <v>10</v>
      </c>
      <c r="T86" s="177" t="str">
        <f>IFERROR(__xludf.DUMMYFUNCTION("""COMPUTED_VALUE"""),"Round 10")</f>
        <v>Round 10</v>
      </c>
      <c r="U86" s="177" t="str">
        <f>IFERROR(__xludf.DUMMYFUNCTION("""COMPUTED_VALUE"""),"Full Time")</f>
        <v>Full Time</v>
      </c>
      <c r="V86" s="177" t="str">
        <f>IFERROR(__xludf.DUMMYFUNCTION("""COMPUTED_VALUE"""),"+10:00")</f>
        <v>+10:00</v>
      </c>
      <c r="W86" s="177">
        <f>IFERROR(__xludf.DUMMYFUNCTION("""COMPUTED_VALUE"""),1.7474625E9)</f>
        <v>1747462500</v>
      </c>
      <c r="X86" s="178">
        <f>IFERROR(__xludf.DUMMYFUNCTION("""COMPUTED_VALUE"""),45794.78988425926)</f>
        <v>45794.78988</v>
      </c>
      <c r="Y86" s="177" t="str">
        <f>IFERROR(__xludf.DUMMYFUNCTION("""COMPUTED_VALUE"""),"Sydney Showground")</f>
        <v>Sydney Showground</v>
      </c>
      <c r="Z86" s="177" t="str">
        <f>IFERROR(__xludf.DUMMYFUNCTION("""COMPUTED_VALUE"""),"Fremantle")</f>
        <v>Fremantle</v>
      </c>
      <c r="AA86" s="177">
        <f>IFERROR(__xludf.DUMMYFUNCTION("""COMPUTED_VALUE"""),6.0)</f>
        <v>6</v>
      </c>
      <c r="AB86" s="177">
        <f>IFERROR(__xludf.DUMMYFUNCTION("""COMPUTED_VALUE"""),2025.0)</f>
        <v>2025</v>
      </c>
      <c r="AC86" s="177" t="str">
        <f t="shared" si="3"/>
        <v>Saturday</v>
      </c>
    </row>
    <row r="87">
      <c r="A87" s="175" t="str">
        <f t="shared" si="1"/>
        <v>105</v>
      </c>
      <c r="B87" s="176">
        <f t="shared" si="2"/>
        <v>5</v>
      </c>
      <c r="C87" s="177">
        <f>IFERROR(__xludf.DUMMYFUNCTION("""COMPUTED_VALUE"""),37174.0)</f>
        <v>37174</v>
      </c>
      <c r="D87" s="177">
        <f>IFERROR(__xludf.DUMMYFUNCTION("""COMPUTED_VALUE"""),13.0)</f>
        <v>13</v>
      </c>
      <c r="E87" s="177">
        <f>IFERROR(__xludf.DUMMYFUNCTION("""COMPUTED_VALUE"""),17.0)</f>
        <v>17</v>
      </c>
      <c r="F87" s="177">
        <f>IFERROR(__xludf.DUMMYFUNCTION("""COMPUTED_VALUE"""),115.0)</f>
        <v>115</v>
      </c>
      <c r="G87" s="177" t="str">
        <f>IFERROR(__xludf.DUMMYFUNCTION("""COMPUTED_VALUE"""),"Geelong")</f>
        <v>Geelong</v>
      </c>
      <c r="H87" s="177">
        <f>IFERROR(__xludf.DUMMYFUNCTION("""COMPUTED_VALUE"""),7.0)</f>
        <v>7</v>
      </c>
      <c r="I87" s="177">
        <f>IFERROR(__xludf.DUMMYFUNCTION("""COMPUTED_VALUE"""),100.0)</f>
        <v>100</v>
      </c>
      <c r="J87" s="178">
        <f>IFERROR(__xludf.DUMMYFUNCTION("""COMPUTED_VALUE"""),45794.677083333336)</f>
        <v>45794.67708</v>
      </c>
      <c r="K87" s="177">
        <f>IFERROR(__xludf.DUMMYFUNCTION("""COMPUTED_VALUE"""),9.0)</f>
        <v>9</v>
      </c>
      <c r="L87" s="177">
        <f>IFERROR(__xludf.DUMMYFUNCTION("""COMPUTED_VALUE"""),5.0)</f>
        <v>5</v>
      </c>
      <c r="M87" s="177">
        <f>IFERROR(__xludf.DUMMYFUNCTION("""COMPUTED_VALUE"""),39.0)</f>
        <v>39</v>
      </c>
      <c r="N87" s="177" t="str">
        <f>IFERROR(__xludf.DUMMYFUNCTION("""COMPUTED_VALUE"""),"Port Adelaide")</f>
        <v>Port Adelaide</v>
      </c>
      <c r="O87" s="177">
        <f>IFERROR(__xludf.DUMMYFUNCTION("""COMPUTED_VALUE"""),13.0)</f>
        <v>13</v>
      </c>
      <c r="P87" s="177">
        <f>IFERROR(__xludf.DUMMYFUNCTION("""COMPUTED_VALUE"""),0.0)</f>
        <v>0</v>
      </c>
      <c r="Q87" s="177">
        <f>IFERROR(__xludf.DUMMYFUNCTION("""COMPUTED_VALUE"""),0.0)</f>
        <v>0</v>
      </c>
      <c r="R87" s="178">
        <f>IFERROR(__xludf.DUMMYFUNCTION("""COMPUTED_VALUE"""),45794.65625)</f>
        <v>45794.65625</v>
      </c>
      <c r="S87" s="177">
        <f>IFERROR(__xludf.DUMMYFUNCTION("""COMPUTED_VALUE"""),10.0)</f>
        <v>10</v>
      </c>
      <c r="T87" s="177" t="str">
        <f>IFERROR(__xludf.DUMMYFUNCTION("""COMPUTED_VALUE"""),"Round 10")</f>
        <v>Round 10</v>
      </c>
      <c r="U87" s="177" t="str">
        <f>IFERROR(__xludf.DUMMYFUNCTION("""COMPUTED_VALUE"""),"Full Time")</f>
        <v>Full Time</v>
      </c>
      <c r="V87" s="177" t="str">
        <f>IFERROR(__xludf.DUMMYFUNCTION("""COMPUTED_VALUE"""),"+10:00")</f>
        <v>+10:00</v>
      </c>
      <c r="W87" s="177">
        <f>IFERROR(__xludf.DUMMYFUNCTION("""COMPUTED_VALUE"""),1.7474625E9)</f>
        <v>1747462500</v>
      </c>
      <c r="X87" s="178">
        <f>IFERROR(__xludf.DUMMYFUNCTION("""COMPUTED_VALUE"""),45794.78766203704)</f>
        <v>45794.78766</v>
      </c>
      <c r="Y87" s="177" t="str">
        <f>IFERROR(__xludf.DUMMYFUNCTION("""COMPUTED_VALUE"""),"Adelaide Oval")</f>
        <v>Adelaide Oval</v>
      </c>
      <c r="Z87" s="177" t="str">
        <f>IFERROR(__xludf.DUMMYFUNCTION("""COMPUTED_VALUE"""),"Geelong")</f>
        <v>Geelong</v>
      </c>
      <c r="AA87" s="177">
        <f>IFERROR(__xludf.DUMMYFUNCTION("""COMPUTED_VALUE"""),7.0)</f>
        <v>7</v>
      </c>
      <c r="AB87" s="177">
        <f>IFERROR(__xludf.DUMMYFUNCTION("""COMPUTED_VALUE"""),2025.0)</f>
        <v>2025</v>
      </c>
      <c r="AC87" s="177" t="str">
        <f t="shared" si="3"/>
        <v>Saturday</v>
      </c>
    </row>
    <row r="88">
      <c r="A88" s="175" t="str">
        <f t="shared" si="1"/>
        <v>106</v>
      </c>
      <c r="B88" s="176">
        <f t="shared" si="2"/>
        <v>6</v>
      </c>
      <c r="C88" s="177">
        <f>IFERROR(__xludf.DUMMYFUNCTION("""COMPUTED_VALUE"""),37176.0)</f>
        <v>37176</v>
      </c>
      <c r="D88" s="177">
        <f>IFERROR(__xludf.DUMMYFUNCTION("""COMPUTED_VALUE"""),6.0)</f>
        <v>6</v>
      </c>
      <c r="E88" s="177">
        <f>IFERROR(__xludf.DUMMYFUNCTION("""COMPUTED_VALUE"""),5.0)</f>
        <v>5</v>
      </c>
      <c r="F88" s="177">
        <f>IFERROR(__xludf.DUMMYFUNCTION("""COMPUTED_VALUE"""),36.0)</f>
        <v>36</v>
      </c>
      <c r="G88" s="177" t="str">
        <f>IFERROR(__xludf.DUMMYFUNCTION("""COMPUTED_VALUE"""),"Essendon")</f>
        <v>Essendon</v>
      </c>
      <c r="H88" s="177">
        <f>IFERROR(__xludf.DUMMYFUNCTION("""COMPUTED_VALUE"""),5.0)</f>
        <v>5</v>
      </c>
      <c r="I88" s="177">
        <f>IFERROR(__xludf.DUMMYFUNCTION("""COMPUTED_VALUE"""),100.0)</f>
        <v>100</v>
      </c>
      <c r="J88" s="178">
        <f>IFERROR(__xludf.DUMMYFUNCTION("""COMPUTED_VALUE"""),45794.81597222222)</f>
        <v>45794.81597</v>
      </c>
      <c r="K88" s="177">
        <f>IFERROR(__xludf.DUMMYFUNCTION("""COMPUTED_VALUE"""),19.0)</f>
        <v>19</v>
      </c>
      <c r="L88" s="177">
        <f>IFERROR(__xludf.DUMMYFUNCTION("""COMPUTED_VALUE"""),18.0)</f>
        <v>18</v>
      </c>
      <c r="M88" s="177">
        <f>IFERROR(__xludf.DUMMYFUNCTION("""COMPUTED_VALUE"""),127.0)</f>
        <v>127</v>
      </c>
      <c r="N88" s="177" t="str">
        <f>IFERROR(__xludf.DUMMYFUNCTION("""COMPUTED_VALUE"""),"Western Bulldogs")</f>
        <v>Western Bulldogs</v>
      </c>
      <c r="O88" s="177">
        <f>IFERROR(__xludf.DUMMYFUNCTION("""COMPUTED_VALUE"""),18.0)</f>
        <v>18</v>
      </c>
      <c r="P88" s="177">
        <f>IFERROR(__xludf.DUMMYFUNCTION("""COMPUTED_VALUE"""),0.0)</f>
        <v>0</v>
      </c>
      <c r="Q88" s="177">
        <f>IFERROR(__xludf.DUMMYFUNCTION("""COMPUTED_VALUE"""),0.0)</f>
        <v>0</v>
      </c>
      <c r="R88" s="178">
        <f>IFERROR(__xludf.DUMMYFUNCTION("""COMPUTED_VALUE"""),45794.81597222222)</f>
        <v>45794.81597</v>
      </c>
      <c r="S88" s="177">
        <f>IFERROR(__xludf.DUMMYFUNCTION("""COMPUTED_VALUE"""),10.0)</f>
        <v>10</v>
      </c>
      <c r="T88" s="177" t="str">
        <f>IFERROR(__xludf.DUMMYFUNCTION("""COMPUTED_VALUE"""),"Round 10")</f>
        <v>Round 10</v>
      </c>
      <c r="U88" s="177" t="str">
        <f>IFERROR(__xludf.DUMMYFUNCTION("""COMPUTED_VALUE"""),"Full Time")</f>
        <v>Full Time</v>
      </c>
      <c r="V88" s="177" t="str">
        <f>IFERROR(__xludf.DUMMYFUNCTION("""COMPUTED_VALUE"""),"+10:00")</f>
        <v>+10:00</v>
      </c>
      <c r="W88" s="177">
        <f>IFERROR(__xludf.DUMMYFUNCTION("""COMPUTED_VALUE"""),1.7474745E9)</f>
        <v>1747474500</v>
      </c>
      <c r="X88" s="178">
        <f>IFERROR(__xludf.DUMMYFUNCTION("""COMPUTED_VALUE"""),45794.923634259256)</f>
        <v>45794.92363</v>
      </c>
      <c r="Y88" s="177" t="str">
        <f>IFERROR(__xludf.DUMMYFUNCTION("""COMPUTED_VALUE"""),"Docklands")</f>
        <v>Docklands</v>
      </c>
      <c r="Z88" s="177" t="str">
        <f>IFERROR(__xludf.DUMMYFUNCTION("""COMPUTED_VALUE"""),"Western Bulldogs")</f>
        <v>Western Bulldogs</v>
      </c>
      <c r="AA88" s="177">
        <f>IFERROR(__xludf.DUMMYFUNCTION("""COMPUTED_VALUE"""),18.0)</f>
        <v>18</v>
      </c>
      <c r="AB88" s="177">
        <f>IFERROR(__xludf.DUMMYFUNCTION("""COMPUTED_VALUE"""),2025.0)</f>
        <v>2025</v>
      </c>
      <c r="AC88" s="177" t="str">
        <f t="shared" si="3"/>
        <v>Saturday</v>
      </c>
    </row>
    <row r="89">
      <c r="A89" s="175" t="str">
        <f t="shared" si="1"/>
        <v>107</v>
      </c>
      <c r="B89" s="176">
        <f t="shared" si="2"/>
        <v>7</v>
      </c>
      <c r="C89" s="177">
        <f>IFERROR(__xludf.DUMMYFUNCTION("""COMPUTED_VALUE"""),37177.0)</f>
        <v>37177</v>
      </c>
      <c r="D89" s="177">
        <f>IFERROR(__xludf.DUMMYFUNCTION("""COMPUTED_VALUE"""),6.0)</f>
        <v>6</v>
      </c>
      <c r="E89" s="177">
        <f>IFERROR(__xludf.DUMMYFUNCTION("""COMPUTED_VALUE"""),12.0)</f>
        <v>12</v>
      </c>
      <c r="F89" s="177">
        <f>IFERROR(__xludf.DUMMYFUNCTION("""COMPUTED_VALUE"""),78.0)</f>
        <v>78</v>
      </c>
      <c r="G89" s="177" t="str">
        <f>IFERROR(__xludf.DUMMYFUNCTION("""COMPUTED_VALUE"""),"North Melbourne")</f>
        <v>North Melbourne</v>
      </c>
      <c r="H89" s="177">
        <f>IFERROR(__xludf.DUMMYFUNCTION("""COMPUTED_VALUE"""),12.0)</f>
        <v>12</v>
      </c>
      <c r="I89" s="177">
        <f>IFERROR(__xludf.DUMMYFUNCTION("""COMPUTED_VALUE"""),100.0)</f>
        <v>100</v>
      </c>
      <c r="J89" s="178">
        <f>IFERROR(__xludf.DUMMYFUNCTION("""COMPUTED_VALUE"""),45795.54861111111)</f>
        <v>45795.54861</v>
      </c>
      <c r="K89" s="177">
        <f>IFERROR(__xludf.DUMMYFUNCTION("""COMPUTED_VALUE"""),8.0)</f>
        <v>8</v>
      </c>
      <c r="L89" s="177">
        <f>IFERROR(__xludf.DUMMYFUNCTION("""COMPUTED_VALUE"""),11.0)</f>
        <v>11</v>
      </c>
      <c r="M89" s="177">
        <f>IFERROR(__xludf.DUMMYFUNCTION("""COMPUTED_VALUE"""),74.0)</f>
        <v>74</v>
      </c>
      <c r="N89" s="177" t="str">
        <f>IFERROR(__xludf.DUMMYFUNCTION("""COMPUTED_VALUE"""),"Richmond")</f>
        <v>Richmond</v>
      </c>
      <c r="O89" s="177">
        <f>IFERROR(__xludf.DUMMYFUNCTION("""COMPUTED_VALUE"""),14.0)</f>
        <v>14</v>
      </c>
      <c r="P89" s="177">
        <f>IFERROR(__xludf.DUMMYFUNCTION("""COMPUTED_VALUE"""),0.0)</f>
        <v>0</v>
      </c>
      <c r="Q89" s="177">
        <f>IFERROR(__xludf.DUMMYFUNCTION("""COMPUTED_VALUE"""),0.0)</f>
        <v>0</v>
      </c>
      <c r="R89" s="178">
        <f>IFERROR(__xludf.DUMMYFUNCTION("""COMPUTED_VALUE"""),45795.54861111111)</f>
        <v>45795.54861</v>
      </c>
      <c r="S89" s="177">
        <f>IFERROR(__xludf.DUMMYFUNCTION("""COMPUTED_VALUE"""),10.0)</f>
        <v>10</v>
      </c>
      <c r="T89" s="177" t="str">
        <f>IFERROR(__xludf.DUMMYFUNCTION("""COMPUTED_VALUE"""),"Round 10")</f>
        <v>Round 10</v>
      </c>
      <c r="U89" s="177" t="str">
        <f>IFERROR(__xludf.DUMMYFUNCTION("""COMPUTED_VALUE"""),"Full Time")</f>
        <v>Full Time</v>
      </c>
      <c r="V89" s="177" t="str">
        <f>IFERROR(__xludf.DUMMYFUNCTION("""COMPUTED_VALUE"""),"+10:00")</f>
        <v>+10:00</v>
      </c>
      <c r="W89" s="177">
        <f>IFERROR(__xludf.DUMMYFUNCTION("""COMPUTED_VALUE"""),1.7475378E9)</f>
        <v>1747537800</v>
      </c>
      <c r="X89" s="178">
        <f>IFERROR(__xludf.DUMMYFUNCTION("""COMPUTED_VALUE"""),45795.66462962963)</f>
        <v>45795.66463</v>
      </c>
      <c r="Y89" s="177" t="str">
        <f>IFERROR(__xludf.DUMMYFUNCTION("""COMPUTED_VALUE"""),"M.C.G.")</f>
        <v>M.C.G.</v>
      </c>
      <c r="Z89" s="177" t="str">
        <f>IFERROR(__xludf.DUMMYFUNCTION("""COMPUTED_VALUE"""),"North Melbourne")</f>
        <v>North Melbourne</v>
      </c>
      <c r="AA89" s="177">
        <f>IFERROR(__xludf.DUMMYFUNCTION("""COMPUTED_VALUE"""),12.0)</f>
        <v>12</v>
      </c>
      <c r="AB89" s="177">
        <f>IFERROR(__xludf.DUMMYFUNCTION("""COMPUTED_VALUE"""),2025.0)</f>
        <v>2025</v>
      </c>
      <c r="AC89" s="177" t="str">
        <f t="shared" si="3"/>
        <v>Sunday</v>
      </c>
    </row>
    <row r="90">
      <c r="A90" s="175" t="str">
        <f t="shared" si="1"/>
        <v>108</v>
      </c>
      <c r="B90" s="176">
        <f t="shared" si="2"/>
        <v>8</v>
      </c>
      <c r="C90" s="177">
        <f>IFERROR(__xludf.DUMMYFUNCTION("""COMPUTED_VALUE"""),37178.0)</f>
        <v>37178</v>
      </c>
      <c r="D90" s="177">
        <f>IFERROR(__xludf.DUMMYFUNCTION("""COMPUTED_VALUE"""),15.0)</f>
        <v>15</v>
      </c>
      <c r="E90" s="177">
        <f>IFERROR(__xludf.DUMMYFUNCTION("""COMPUTED_VALUE"""),14.0)</f>
        <v>14</v>
      </c>
      <c r="F90" s="177">
        <f>IFERROR(__xludf.DUMMYFUNCTION("""COMPUTED_VALUE"""),99.0)</f>
        <v>99</v>
      </c>
      <c r="G90" s="177" t="str">
        <f>IFERROR(__xludf.DUMMYFUNCTION("""COMPUTED_VALUE"""),"Melbourne")</f>
        <v>Melbourne</v>
      </c>
      <c r="H90" s="177">
        <f>IFERROR(__xludf.DUMMYFUNCTION("""COMPUTED_VALUE"""),11.0)</f>
        <v>11</v>
      </c>
      <c r="I90" s="177">
        <f>IFERROR(__xludf.DUMMYFUNCTION("""COMPUTED_VALUE"""),100.0)</f>
        <v>100</v>
      </c>
      <c r="J90" s="178">
        <f>IFERROR(__xludf.DUMMYFUNCTION("""COMPUTED_VALUE"""),45795.63888888889)</f>
        <v>45795.63889</v>
      </c>
      <c r="K90" s="177">
        <f>IFERROR(__xludf.DUMMYFUNCTION("""COMPUTED_VALUE"""),10.0)</f>
        <v>10</v>
      </c>
      <c r="L90" s="177">
        <f>IFERROR(__xludf.DUMMYFUNCTION("""COMPUTED_VALUE"""),13.0)</f>
        <v>13</v>
      </c>
      <c r="M90" s="177">
        <f>IFERROR(__xludf.DUMMYFUNCTION("""COMPUTED_VALUE"""),88.0)</f>
        <v>88</v>
      </c>
      <c r="N90" s="177" t="str">
        <f>IFERROR(__xludf.DUMMYFUNCTION("""COMPUTED_VALUE"""),"Brisbane Lions")</f>
        <v>Brisbane Lions</v>
      </c>
      <c r="O90" s="177">
        <f>IFERROR(__xludf.DUMMYFUNCTION("""COMPUTED_VALUE"""),2.0)</f>
        <v>2</v>
      </c>
      <c r="P90" s="177">
        <f>IFERROR(__xludf.DUMMYFUNCTION("""COMPUTED_VALUE"""),0.0)</f>
        <v>0</v>
      </c>
      <c r="Q90" s="177">
        <f>IFERROR(__xludf.DUMMYFUNCTION("""COMPUTED_VALUE"""),0.0)</f>
        <v>0</v>
      </c>
      <c r="R90" s="178">
        <f>IFERROR(__xludf.DUMMYFUNCTION("""COMPUTED_VALUE"""),45795.63888888889)</f>
        <v>45795.63889</v>
      </c>
      <c r="S90" s="177">
        <f>IFERROR(__xludf.DUMMYFUNCTION("""COMPUTED_VALUE"""),10.0)</f>
        <v>10</v>
      </c>
      <c r="T90" s="177" t="str">
        <f>IFERROR(__xludf.DUMMYFUNCTION("""COMPUTED_VALUE"""),"Round 10")</f>
        <v>Round 10</v>
      </c>
      <c r="U90" s="177" t="str">
        <f>IFERROR(__xludf.DUMMYFUNCTION("""COMPUTED_VALUE"""),"Full Time")</f>
        <v>Full Time</v>
      </c>
      <c r="V90" s="177" t="str">
        <f>IFERROR(__xludf.DUMMYFUNCTION("""COMPUTED_VALUE"""),"+10:00")</f>
        <v>+10:00</v>
      </c>
      <c r="W90" s="177">
        <f>IFERROR(__xludf.DUMMYFUNCTION("""COMPUTED_VALUE"""),1.7475456E9)</f>
        <v>1747545600</v>
      </c>
      <c r="X90" s="178">
        <f>IFERROR(__xludf.DUMMYFUNCTION("""COMPUTED_VALUE"""),45795.753113425926)</f>
        <v>45795.75311</v>
      </c>
      <c r="Y90" s="177" t="str">
        <f>IFERROR(__xludf.DUMMYFUNCTION("""COMPUTED_VALUE"""),"Gabba")</f>
        <v>Gabba</v>
      </c>
      <c r="Z90" s="177" t="str">
        <f>IFERROR(__xludf.DUMMYFUNCTION("""COMPUTED_VALUE"""),"Melbourne")</f>
        <v>Melbourne</v>
      </c>
      <c r="AA90" s="177">
        <f>IFERROR(__xludf.DUMMYFUNCTION("""COMPUTED_VALUE"""),11.0)</f>
        <v>11</v>
      </c>
      <c r="AB90" s="177">
        <f>IFERROR(__xludf.DUMMYFUNCTION("""COMPUTED_VALUE"""),2025.0)</f>
        <v>2025</v>
      </c>
      <c r="AC90" s="177" t="str">
        <f t="shared" si="3"/>
        <v>Sunday</v>
      </c>
    </row>
    <row r="91">
      <c r="A91" s="175" t="str">
        <f t="shared" si="1"/>
        <v>109</v>
      </c>
      <c r="B91" s="176">
        <f t="shared" si="2"/>
        <v>9</v>
      </c>
      <c r="C91" s="177">
        <f>IFERROR(__xludf.DUMMYFUNCTION("""COMPUTED_VALUE"""),37179.0)</f>
        <v>37179</v>
      </c>
      <c r="D91" s="177">
        <f>IFERROR(__xludf.DUMMYFUNCTION("""COMPUTED_VALUE"""),8.0)</f>
        <v>8</v>
      </c>
      <c r="E91" s="177">
        <f>IFERROR(__xludf.DUMMYFUNCTION("""COMPUTED_VALUE"""),12.0)</f>
        <v>12</v>
      </c>
      <c r="F91" s="177">
        <f>IFERROR(__xludf.DUMMYFUNCTION("""COMPUTED_VALUE"""),80.0)</f>
        <v>80</v>
      </c>
      <c r="G91" s="177" t="str">
        <f>IFERROR(__xludf.DUMMYFUNCTION("""COMPUTED_VALUE"""),"St Kilda")</f>
        <v>St Kilda</v>
      </c>
      <c r="H91" s="177">
        <f>IFERROR(__xludf.DUMMYFUNCTION("""COMPUTED_VALUE"""),15.0)</f>
        <v>15</v>
      </c>
      <c r="I91" s="177">
        <f>IFERROR(__xludf.DUMMYFUNCTION("""COMPUTED_VALUE"""),100.0)</f>
        <v>100</v>
      </c>
      <c r="J91" s="178">
        <f>IFERROR(__xludf.DUMMYFUNCTION("""COMPUTED_VALUE"""),45795.694444444445)</f>
        <v>45795.69444</v>
      </c>
      <c r="K91" s="177">
        <f>IFERROR(__xludf.DUMMYFUNCTION("""COMPUTED_VALUE"""),12.0)</f>
        <v>12</v>
      </c>
      <c r="L91" s="177">
        <f>IFERROR(__xludf.DUMMYFUNCTION("""COMPUTED_VALUE"""),16.0)</f>
        <v>16</v>
      </c>
      <c r="M91" s="177">
        <f>IFERROR(__xludf.DUMMYFUNCTION("""COMPUTED_VALUE"""),108.0)</f>
        <v>108</v>
      </c>
      <c r="N91" s="177" t="str">
        <f>IFERROR(__xludf.DUMMYFUNCTION("""COMPUTED_VALUE"""),"West Coast")</f>
        <v>West Coast</v>
      </c>
      <c r="O91" s="177">
        <f>IFERROR(__xludf.DUMMYFUNCTION("""COMPUTED_VALUE"""),17.0)</f>
        <v>17</v>
      </c>
      <c r="P91" s="177">
        <f>IFERROR(__xludf.DUMMYFUNCTION("""COMPUTED_VALUE"""),0.0)</f>
        <v>0</v>
      </c>
      <c r="Q91" s="177">
        <f>IFERROR(__xludf.DUMMYFUNCTION("""COMPUTED_VALUE"""),0.0)</f>
        <v>0</v>
      </c>
      <c r="R91" s="178">
        <f>IFERROR(__xludf.DUMMYFUNCTION("""COMPUTED_VALUE"""),45795.61111111111)</f>
        <v>45795.61111</v>
      </c>
      <c r="S91" s="177">
        <f>IFERROR(__xludf.DUMMYFUNCTION("""COMPUTED_VALUE"""),10.0)</f>
        <v>10</v>
      </c>
      <c r="T91" s="177" t="str">
        <f>IFERROR(__xludf.DUMMYFUNCTION("""COMPUTED_VALUE"""),"Round 10")</f>
        <v>Round 10</v>
      </c>
      <c r="U91" s="177" t="str">
        <f>IFERROR(__xludf.DUMMYFUNCTION("""COMPUTED_VALUE"""),"Full Time")</f>
        <v>Full Time</v>
      </c>
      <c r="V91" s="177" t="str">
        <f>IFERROR(__xludf.DUMMYFUNCTION("""COMPUTED_VALUE"""),"+10:00")</f>
        <v>+10:00</v>
      </c>
      <c r="W91" s="177">
        <f>IFERROR(__xludf.DUMMYFUNCTION("""COMPUTED_VALUE"""),1.7475504E9)</f>
        <v>1747550400</v>
      </c>
      <c r="X91" s="178">
        <f>IFERROR(__xludf.DUMMYFUNCTION("""COMPUTED_VALUE"""),45795.80824074074)</f>
        <v>45795.80824</v>
      </c>
      <c r="Y91" s="177" t="str">
        <f>IFERROR(__xludf.DUMMYFUNCTION("""COMPUTED_VALUE"""),"Perth Stadium")</f>
        <v>Perth Stadium</v>
      </c>
      <c r="Z91" s="177" t="str">
        <f>IFERROR(__xludf.DUMMYFUNCTION("""COMPUTED_VALUE"""),"West Coast")</f>
        <v>West Coast</v>
      </c>
      <c r="AA91" s="177">
        <f>IFERROR(__xludf.DUMMYFUNCTION("""COMPUTED_VALUE"""),17.0)</f>
        <v>17</v>
      </c>
      <c r="AB91" s="177">
        <f>IFERROR(__xludf.DUMMYFUNCTION("""COMPUTED_VALUE"""),2025.0)</f>
        <v>2025</v>
      </c>
      <c r="AC91" s="177" t="str">
        <f t="shared" si="3"/>
        <v>Sunday</v>
      </c>
    </row>
    <row r="92">
      <c r="A92" s="175" t="str">
        <f t="shared" si="1"/>
        <v>111</v>
      </c>
      <c r="B92" s="176">
        <f t="shared" si="2"/>
        <v>1</v>
      </c>
      <c r="C92" s="177">
        <f>IFERROR(__xludf.DUMMYFUNCTION("""COMPUTED_VALUE"""),37180.0)</f>
        <v>37180</v>
      </c>
      <c r="D92" s="177">
        <f>IFERROR(__xludf.DUMMYFUNCTION("""COMPUTED_VALUE"""),17.0)</f>
        <v>17</v>
      </c>
      <c r="E92" s="177">
        <f>IFERROR(__xludf.DUMMYFUNCTION("""COMPUTED_VALUE"""),16.0)</f>
        <v>16</v>
      </c>
      <c r="F92" s="177">
        <f>IFERROR(__xludf.DUMMYFUNCTION("""COMPUTED_VALUE"""),113.0)</f>
        <v>113</v>
      </c>
      <c r="G92" s="177" t="str">
        <f>IFERROR(__xludf.DUMMYFUNCTION("""COMPUTED_VALUE"""),"Western Bulldogs")</f>
        <v>Western Bulldogs</v>
      </c>
      <c r="H92" s="177">
        <f>IFERROR(__xludf.DUMMYFUNCTION("""COMPUTED_VALUE"""),18.0)</f>
        <v>18</v>
      </c>
      <c r="I92" s="177">
        <f>IFERROR(__xludf.DUMMYFUNCTION("""COMPUTED_VALUE"""),100.0)</f>
        <v>100</v>
      </c>
      <c r="J92" s="178">
        <f>IFERROR(__xludf.DUMMYFUNCTION("""COMPUTED_VALUE"""),45799.8125)</f>
        <v>45799.8125</v>
      </c>
      <c r="K92" s="177">
        <f>IFERROR(__xludf.DUMMYFUNCTION("""COMPUTED_VALUE"""),7.0)</f>
        <v>7</v>
      </c>
      <c r="L92" s="177">
        <f>IFERROR(__xludf.DUMMYFUNCTION("""COMPUTED_VALUE"""),20.0)</f>
        <v>20</v>
      </c>
      <c r="M92" s="177">
        <f>IFERROR(__xludf.DUMMYFUNCTION("""COMPUTED_VALUE"""),127.0)</f>
        <v>127</v>
      </c>
      <c r="N92" s="177" t="str">
        <f>IFERROR(__xludf.DUMMYFUNCTION("""COMPUTED_VALUE"""),"Geelong")</f>
        <v>Geelong</v>
      </c>
      <c r="O92" s="177">
        <f>IFERROR(__xludf.DUMMYFUNCTION("""COMPUTED_VALUE"""),7.0)</f>
        <v>7</v>
      </c>
      <c r="P92" s="177">
        <f>IFERROR(__xludf.DUMMYFUNCTION("""COMPUTED_VALUE"""),0.0)</f>
        <v>0</v>
      </c>
      <c r="Q92" s="177">
        <f>IFERROR(__xludf.DUMMYFUNCTION("""COMPUTED_VALUE"""),0.0)</f>
        <v>0</v>
      </c>
      <c r="R92" s="178">
        <f>IFERROR(__xludf.DUMMYFUNCTION("""COMPUTED_VALUE"""),45799.8125)</f>
        <v>45799.8125</v>
      </c>
      <c r="S92" s="177">
        <f>IFERROR(__xludf.DUMMYFUNCTION("""COMPUTED_VALUE"""),11.0)</f>
        <v>11</v>
      </c>
      <c r="T92" s="177" t="str">
        <f>IFERROR(__xludf.DUMMYFUNCTION("""COMPUTED_VALUE"""),"Round 11")</f>
        <v>Round 11</v>
      </c>
      <c r="U92" s="177" t="str">
        <f>IFERROR(__xludf.DUMMYFUNCTION("""COMPUTED_VALUE"""),"Full Time")</f>
        <v>Full Time</v>
      </c>
      <c r="V92" s="177" t="str">
        <f>IFERROR(__xludf.DUMMYFUNCTION("""COMPUTED_VALUE"""),"+10:00")</f>
        <v>+10:00</v>
      </c>
      <c r="W92" s="177">
        <f>IFERROR(__xludf.DUMMYFUNCTION("""COMPUTED_VALUE"""),1.7479062E9)</f>
        <v>1747906200</v>
      </c>
      <c r="X92" s="178">
        <f>IFERROR(__xludf.DUMMYFUNCTION("""COMPUTED_VALUE"""),45799.93414351852)</f>
        <v>45799.93414</v>
      </c>
      <c r="Y92" s="177" t="str">
        <f>IFERROR(__xludf.DUMMYFUNCTION("""COMPUTED_VALUE"""),"Kardinia Park")</f>
        <v>Kardinia Park</v>
      </c>
      <c r="Z92" s="177" t="str">
        <f>IFERROR(__xludf.DUMMYFUNCTION("""COMPUTED_VALUE"""),"Geelong")</f>
        <v>Geelong</v>
      </c>
      <c r="AA92" s="177">
        <f>IFERROR(__xludf.DUMMYFUNCTION("""COMPUTED_VALUE"""),7.0)</f>
        <v>7</v>
      </c>
      <c r="AB92" s="177">
        <f>IFERROR(__xludf.DUMMYFUNCTION("""COMPUTED_VALUE"""),2025.0)</f>
        <v>2025</v>
      </c>
      <c r="AC92" s="177" t="str">
        <f t="shared" si="3"/>
        <v>Thursday</v>
      </c>
    </row>
    <row r="93">
      <c r="A93" s="175" t="str">
        <f t="shared" si="1"/>
        <v>112</v>
      </c>
      <c r="B93" s="176">
        <f t="shared" si="2"/>
        <v>2</v>
      </c>
      <c r="C93" s="177">
        <f>IFERROR(__xludf.DUMMYFUNCTION("""COMPUTED_VALUE"""),37181.0)</f>
        <v>37181</v>
      </c>
      <c r="D93" s="177">
        <f>IFERROR(__xludf.DUMMYFUNCTION("""COMPUTED_VALUE"""),10.0)</f>
        <v>10</v>
      </c>
      <c r="E93" s="177">
        <f>IFERROR(__xludf.DUMMYFUNCTION("""COMPUTED_VALUE"""),8.0)</f>
        <v>8</v>
      </c>
      <c r="F93" s="177">
        <f>IFERROR(__xludf.DUMMYFUNCTION("""COMPUTED_VALUE"""),58.0)</f>
        <v>58</v>
      </c>
      <c r="G93" s="177" t="str">
        <f>IFERROR(__xludf.DUMMYFUNCTION("""COMPUTED_VALUE"""),"Richmond")</f>
        <v>Richmond</v>
      </c>
      <c r="H93" s="177">
        <f>IFERROR(__xludf.DUMMYFUNCTION("""COMPUTED_VALUE"""),14.0)</f>
        <v>14</v>
      </c>
      <c r="I93" s="177">
        <f>IFERROR(__xludf.DUMMYFUNCTION("""COMPUTED_VALUE"""),100.0)</f>
        <v>100</v>
      </c>
      <c r="J93" s="178">
        <f>IFERROR(__xludf.DUMMYFUNCTION("""COMPUTED_VALUE"""),45800.819444444445)</f>
        <v>45800.81944</v>
      </c>
      <c r="K93" s="177">
        <f>IFERROR(__xludf.DUMMYFUNCTION("""COMPUTED_VALUE"""),15.0)</f>
        <v>15</v>
      </c>
      <c r="L93" s="177">
        <f>IFERROR(__xludf.DUMMYFUNCTION("""COMPUTED_VALUE"""),11.0)</f>
        <v>11</v>
      </c>
      <c r="M93" s="177">
        <f>IFERROR(__xludf.DUMMYFUNCTION("""COMPUTED_VALUE"""),81.0)</f>
        <v>81</v>
      </c>
      <c r="N93" s="177" t="str">
        <f>IFERROR(__xludf.DUMMYFUNCTION("""COMPUTED_VALUE"""),"Essendon")</f>
        <v>Essendon</v>
      </c>
      <c r="O93" s="177">
        <f>IFERROR(__xludf.DUMMYFUNCTION("""COMPUTED_VALUE"""),5.0)</f>
        <v>5</v>
      </c>
      <c r="P93" s="177">
        <f>IFERROR(__xludf.DUMMYFUNCTION("""COMPUTED_VALUE"""),0.0)</f>
        <v>0</v>
      </c>
      <c r="Q93" s="177">
        <f>IFERROR(__xludf.DUMMYFUNCTION("""COMPUTED_VALUE"""),0.0)</f>
        <v>0</v>
      </c>
      <c r="R93" s="178">
        <f>IFERROR(__xludf.DUMMYFUNCTION("""COMPUTED_VALUE"""),45800.819444444445)</f>
        <v>45800.81944</v>
      </c>
      <c r="S93" s="177">
        <f>IFERROR(__xludf.DUMMYFUNCTION("""COMPUTED_VALUE"""),11.0)</f>
        <v>11</v>
      </c>
      <c r="T93" s="177" t="str">
        <f>IFERROR(__xludf.DUMMYFUNCTION("""COMPUTED_VALUE"""),"Round 11")</f>
        <v>Round 11</v>
      </c>
      <c r="U93" s="177" t="str">
        <f>IFERROR(__xludf.DUMMYFUNCTION("""COMPUTED_VALUE"""),"Full Time")</f>
        <v>Full Time</v>
      </c>
      <c r="V93" s="177" t="str">
        <f>IFERROR(__xludf.DUMMYFUNCTION("""COMPUTED_VALUE"""),"+10:00")</f>
        <v>+10:00</v>
      </c>
      <c r="W93" s="177">
        <f>IFERROR(__xludf.DUMMYFUNCTION("""COMPUTED_VALUE"""),1.7479932E9)</f>
        <v>1747993200</v>
      </c>
      <c r="X93" s="178">
        <f>IFERROR(__xludf.DUMMYFUNCTION("""COMPUTED_VALUE"""),45800.93349537037)</f>
        <v>45800.9335</v>
      </c>
      <c r="Y93" s="177" t="str">
        <f>IFERROR(__xludf.DUMMYFUNCTION("""COMPUTED_VALUE"""),"M.C.G.")</f>
        <v>M.C.G.</v>
      </c>
      <c r="Z93" s="177" t="str">
        <f>IFERROR(__xludf.DUMMYFUNCTION("""COMPUTED_VALUE"""),"Essendon")</f>
        <v>Essendon</v>
      </c>
      <c r="AA93" s="177">
        <f>IFERROR(__xludf.DUMMYFUNCTION("""COMPUTED_VALUE"""),5.0)</f>
        <v>5</v>
      </c>
      <c r="AB93" s="177">
        <f>IFERROR(__xludf.DUMMYFUNCTION("""COMPUTED_VALUE"""),2025.0)</f>
        <v>2025</v>
      </c>
      <c r="AC93" s="177" t="str">
        <f t="shared" si="3"/>
        <v>Friday</v>
      </c>
    </row>
    <row r="94">
      <c r="A94" s="175" t="str">
        <f t="shared" si="1"/>
        <v>113</v>
      </c>
      <c r="B94" s="176">
        <f t="shared" si="2"/>
        <v>3</v>
      </c>
      <c r="C94" s="177">
        <f>IFERROR(__xludf.DUMMYFUNCTION("""COMPUTED_VALUE"""),37182.0)</f>
        <v>37182</v>
      </c>
      <c r="D94" s="177">
        <f>IFERROR(__xludf.DUMMYFUNCTION("""COMPUTED_VALUE"""),8.0)</f>
        <v>8</v>
      </c>
      <c r="E94" s="177">
        <f>IFERROR(__xludf.DUMMYFUNCTION("""COMPUTED_VALUE"""),17.0)</f>
        <v>17</v>
      </c>
      <c r="F94" s="177">
        <f>IFERROR(__xludf.DUMMYFUNCTION("""COMPUTED_VALUE"""),110.0)</f>
        <v>110</v>
      </c>
      <c r="G94" s="177" t="str">
        <f>IFERROR(__xludf.DUMMYFUNCTION("""COMPUTED_VALUE"""),"Greater Western Sydney")</f>
        <v>Greater Western Sydney</v>
      </c>
      <c r="H94" s="177">
        <f>IFERROR(__xludf.DUMMYFUNCTION("""COMPUTED_VALUE"""),9.0)</f>
        <v>9</v>
      </c>
      <c r="I94" s="177">
        <f>IFERROR(__xludf.DUMMYFUNCTION("""COMPUTED_VALUE"""),100.0)</f>
        <v>100</v>
      </c>
      <c r="J94" s="178">
        <f>IFERROR(__xludf.DUMMYFUNCTION("""COMPUTED_VALUE"""),45801.524305555555)</f>
        <v>45801.52431</v>
      </c>
      <c r="K94" s="177">
        <f>IFERROR(__xludf.DUMMYFUNCTION("""COMPUTED_VALUE"""),10.0)</f>
        <v>10</v>
      </c>
      <c r="L94" s="177">
        <f>IFERROR(__xludf.DUMMYFUNCTION("""COMPUTED_VALUE"""),12.0)</f>
        <v>12</v>
      </c>
      <c r="M94" s="177">
        <f>IFERROR(__xludf.DUMMYFUNCTION("""COMPUTED_VALUE"""),82.0)</f>
        <v>82</v>
      </c>
      <c r="N94" s="177" t="str">
        <f>IFERROR(__xludf.DUMMYFUNCTION("""COMPUTED_VALUE"""),"Carlton")</f>
        <v>Carlton</v>
      </c>
      <c r="O94" s="177">
        <f>IFERROR(__xludf.DUMMYFUNCTION("""COMPUTED_VALUE"""),3.0)</f>
        <v>3</v>
      </c>
      <c r="P94" s="177">
        <f>IFERROR(__xludf.DUMMYFUNCTION("""COMPUTED_VALUE"""),0.0)</f>
        <v>0</v>
      </c>
      <c r="Q94" s="177">
        <f>IFERROR(__xludf.DUMMYFUNCTION("""COMPUTED_VALUE"""),0.0)</f>
        <v>0</v>
      </c>
      <c r="R94" s="178">
        <f>IFERROR(__xludf.DUMMYFUNCTION("""COMPUTED_VALUE"""),45801.524305555555)</f>
        <v>45801.52431</v>
      </c>
      <c r="S94" s="177">
        <f>IFERROR(__xludf.DUMMYFUNCTION("""COMPUTED_VALUE"""),11.0)</f>
        <v>11</v>
      </c>
      <c r="T94" s="177" t="str">
        <f>IFERROR(__xludf.DUMMYFUNCTION("""COMPUTED_VALUE"""),"Round 11")</f>
        <v>Round 11</v>
      </c>
      <c r="U94" s="177" t="str">
        <f>IFERROR(__xludf.DUMMYFUNCTION("""COMPUTED_VALUE"""),"Full Time")</f>
        <v>Full Time</v>
      </c>
      <c r="V94" s="177" t="str">
        <f>IFERROR(__xludf.DUMMYFUNCTION("""COMPUTED_VALUE"""),"+10:00")</f>
        <v>+10:00</v>
      </c>
      <c r="W94" s="177">
        <f>IFERROR(__xludf.DUMMYFUNCTION("""COMPUTED_VALUE"""),1.7480541E9)</f>
        <v>1748054100</v>
      </c>
      <c r="X94" s="178">
        <f>IFERROR(__xludf.DUMMYFUNCTION("""COMPUTED_VALUE"""),45801.638506944444)</f>
        <v>45801.63851</v>
      </c>
      <c r="Y94" s="177" t="str">
        <f>IFERROR(__xludf.DUMMYFUNCTION("""COMPUTED_VALUE"""),"Docklands")</f>
        <v>Docklands</v>
      </c>
      <c r="Z94" s="177" t="str">
        <f>IFERROR(__xludf.DUMMYFUNCTION("""COMPUTED_VALUE"""),"Greater Western Sydney")</f>
        <v>Greater Western Sydney</v>
      </c>
      <c r="AA94" s="177">
        <f>IFERROR(__xludf.DUMMYFUNCTION("""COMPUTED_VALUE"""),9.0)</f>
        <v>9</v>
      </c>
      <c r="AB94" s="177">
        <f>IFERROR(__xludf.DUMMYFUNCTION("""COMPUTED_VALUE"""),2025.0)</f>
        <v>2025</v>
      </c>
      <c r="AC94" s="177" t="str">
        <f t="shared" si="3"/>
        <v>Saturday</v>
      </c>
    </row>
    <row r="95">
      <c r="A95" s="175" t="str">
        <f t="shared" si="1"/>
        <v>114</v>
      </c>
      <c r="B95" s="176">
        <f t="shared" si="2"/>
        <v>4</v>
      </c>
      <c r="C95" s="177">
        <f>IFERROR(__xludf.DUMMYFUNCTION("""COMPUTED_VALUE"""),37183.0)</f>
        <v>37183</v>
      </c>
      <c r="D95" s="177">
        <f>IFERROR(__xludf.DUMMYFUNCTION("""COMPUTED_VALUE"""),9.0)</f>
        <v>9</v>
      </c>
      <c r="E95" s="177">
        <f>IFERROR(__xludf.DUMMYFUNCTION("""COMPUTED_VALUE"""),14.0)</f>
        <v>14</v>
      </c>
      <c r="F95" s="177">
        <f>IFERROR(__xludf.DUMMYFUNCTION("""COMPUTED_VALUE"""),93.0)</f>
        <v>93</v>
      </c>
      <c r="G95" s="177" t="str">
        <f>IFERROR(__xludf.DUMMYFUNCTION("""COMPUTED_VALUE"""),"Brisbane Lions")</f>
        <v>Brisbane Lions</v>
      </c>
      <c r="H95" s="177">
        <f>IFERROR(__xludf.DUMMYFUNCTION("""COMPUTED_VALUE"""),2.0)</f>
        <v>2</v>
      </c>
      <c r="I95" s="177">
        <f>IFERROR(__xludf.DUMMYFUNCTION("""COMPUTED_VALUE"""),100.0)</f>
        <v>100</v>
      </c>
      <c r="J95" s="178">
        <f>IFERROR(__xludf.DUMMYFUNCTION("""COMPUTED_VALUE"""),45801.677083333336)</f>
        <v>45801.67708</v>
      </c>
      <c r="K95" s="177">
        <f>IFERROR(__xludf.DUMMYFUNCTION("""COMPUTED_VALUE"""),12.0)</f>
        <v>12</v>
      </c>
      <c r="L95" s="177">
        <f>IFERROR(__xludf.DUMMYFUNCTION("""COMPUTED_VALUE"""),8.0)</f>
        <v>8</v>
      </c>
      <c r="M95" s="177">
        <f>IFERROR(__xludf.DUMMYFUNCTION("""COMPUTED_VALUE"""),60.0)</f>
        <v>60</v>
      </c>
      <c r="N95" s="177" t="str">
        <f>IFERROR(__xludf.DUMMYFUNCTION("""COMPUTED_VALUE"""),"Hawthorn")</f>
        <v>Hawthorn</v>
      </c>
      <c r="O95" s="177">
        <f>IFERROR(__xludf.DUMMYFUNCTION("""COMPUTED_VALUE"""),10.0)</f>
        <v>10</v>
      </c>
      <c r="P95" s="177">
        <f>IFERROR(__xludf.DUMMYFUNCTION("""COMPUTED_VALUE"""),0.0)</f>
        <v>0</v>
      </c>
      <c r="Q95" s="177">
        <f>IFERROR(__xludf.DUMMYFUNCTION("""COMPUTED_VALUE"""),0.0)</f>
        <v>0</v>
      </c>
      <c r="R95" s="178">
        <f>IFERROR(__xludf.DUMMYFUNCTION("""COMPUTED_VALUE"""),45801.677083333336)</f>
        <v>45801.67708</v>
      </c>
      <c r="S95" s="177">
        <f>IFERROR(__xludf.DUMMYFUNCTION("""COMPUTED_VALUE"""),11.0)</f>
        <v>11</v>
      </c>
      <c r="T95" s="177" t="str">
        <f>IFERROR(__xludf.DUMMYFUNCTION("""COMPUTED_VALUE"""),"Round 11")</f>
        <v>Round 11</v>
      </c>
      <c r="U95" s="177" t="str">
        <f>IFERROR(__xludf.DUMMYFUNCTION("""COMPUTED_VALUE"""),"Full Time")</f>
        <v>Full Time</v>
      </c>
      <c r="V95" s="177" t="str">
        <f>IFERROR(__xludf.DUMMYFUNCTION("""COMPUTED_VALUE"""),"+10:00")</f>
        <v>+10:00</v>
      </c>
      <c r="W95" s="177">
        <f>IFERROR(__xludf.DUMMYFUNCTION("""COMPUTED_VALUE"""),1.7480673E9)</f>
        <v>1748067300</v>
      </c>
      <c r="X95" s="178">
        <f>IFERROR(__xludf.DUMMYFUNCTION("""COMPUTED_VALUE"""),45801.784537037034)</f>
        <v>45801.78454</v>
      </c>
      <c r="Y95" s="177" t="str">
        <f>IFERROR(__xludf.DUMMYFUNCTION("""COMPUTED_VALUE"""),"M.C.G.")</f>
        <v>M.C.G.</v>
      </c>
      <c r="Z95" s="177" t="str">
        <f>IFERROR(__xludf.DUMMYFUNCTION("""COMPUTED_VALUE"""),"Brisbane Lions")</f>
        <v>Brisbane Lions</v>
      </c>
      <c r="AA95" s="177">
        <f>IFERROR(__xludf.DUMMYFUNCTION("""COMPUTED_VALUE"""),2.0)</f>
        <v>2</v>
      </c>
      <c r="AB95" s="177">
        <f>IFERROR(__xludf.DUMMYFUNCTION("""COMPUTED_VALUE"""),2025.0)</f>
        <v>2025</v>
      </c>
      <c r="AC95" s="177" t="str">
        <f t="shared" si="3"/>
        <v>Saturday</v>
      </c>
    </row>
    <row r="96">
      <c r="A96" s="175" t="str">
        <f t="shared" si="1"/>
        <v>115</v>
      </c>
      <c r="B96" s="176">
        <f t="shared" si="2"/>
        <v>5</v>
      </c>
      <c r="C96" s="177">
        <f>IFERROR(__xludf.DUMMYFUNCTION("""COMPUTED_VALUE"""),37184.0)</f>
        <v>37184</v>
      </c>
      <c r="D96" s="177">
        <f>IFERROR(__xludf.DUMMYFUNCTION("""COMPUTED_VALUE"""),18.0)</f>
        <v>18</v>
      </c>
      <c r="E96" s="177">
        <f>IFERROR(__xludf.DUMMYFUNCTION("""COMPUTED_VALUE"""),15.0)</f>
        <v>15</v>
      </c>
      <c r="F96" s="177">
        <f>IFERROR(__xludf.DUMMYFUNCTION("""COMPUTED_VALUE"""),108.0)</f>
        <v>108</v>
      </c>
      <c r="G96" s="177" t="str">
        <f>IFERROR(__xludf.DUMMYFUNCTION("""COMPUTED_VALUE"""),"Collingwood")</f>
        <v>Collingwood</v>
      </c>
      <c r="H96" s="177">
        <f>IFERROR(__xludf.DUMMYFUNCTION("""COMPUTED_VALUE"""),4.0)</f>
        <v>4</v>
      </c>
      <c r="I96" s="177">
        <f>IFERROR(__xludf.DUMMYFUNCTION("""COMPUTED_VALUE"""),100.0)</f>
        <v>100</v>
      </c>
      <c r="J96" s="178">
        <f>IFERROR(__xludf.DUMMYFUNCTION("""COMPUTED_VALUE"""),45801.81597222222)</f>
        <v>45801.81597</v>
      </c>
      <c r="K96" s="177">
        <f>IFERROR(__xludf.DUMMYFUNCTION("""COMPUTED_VALUE"""),9.0)</f>
        <v>9</v>
      </c>
      <c r="L96" s="177">
        <f>IFERROR(__xludf.DUMMYFUNCTION("""COMPUTED_VALUE"""),9.0)</f>
        <v>9</v>
      </c>
      <c r="M96" s="177">
        <f>IFERROR(__xludf.DUMMYFUNCTION("""COMPUTED_VALUE"""),63.0)</f>
        <v>63</v>
      </c>
      <c r="N96" s="177" t="str">
        <f>IFERROR(__xludf.DUMMYFUNCTION("""COMPUTED_VALUE"""),"North Melbourne")</f>
        <v>North Melbourne</v>
      </c>
      <c r="O96" s="177">
        <f>IFERROR(__xludf.DUMMYFUNCTION("""COMPUTED_VALUE"""),12.0)</f>
        <v>12</v>
      </c>
      <c r="P96" s="177">
        <f>IFERROR(__xludf.DUMMYFUNCTION("""COMPUTED_VALUE"""),0.0)</f>
        <v>0</v>
      </c>
      <c r="Q96" s="177">
        <f>IFERROR(__xludf.DUMMYFUNCTION("""COMPUTED_VALUE"""),0.0)</f>
        <v>0</v>
      </c>
      <c r="R96" s="178">
        <f>IFERROR(__xludf.DUMMYFUNCTION("""COMPUTED_VALUE"""),45801.81597222222)</f>
        <v>45801.81597</v>
      </c>
      <c r="S96" s="177">
        <f>IFERROR(__xludf.DUMMYFUNCTION("""COMPUTED_VALUE"""),11.0)</f>
        <v>11</v>
      </c>
      <c r="T96" s="177" t="str">
        <f>IFERROR(__xludf.DUMMYFUNCTION("""COMPUTED_VALUE"""),"Round 11")</f>
        <v>Round 11</v>
      </c>
      <c r="U96" s="177" t="str">
        <f>IFERROR(__xludf.DUMMYFUNCTION("""COMPUTED_VALUE"""),"Full Time")</f>
        <v>Full Time</v>
      </c>
      <c r="V96" s="177" t="str">
        <f>IFERROR(__xludf.DUMMYFUNCTION("""COMPUTED_VALUE"""),"+10:00")</f>
        <v>+10:00</v>
      </c>
      <c r="W96" s="177">
        <f>IFERROR(__xludf.DUMMYFUNCTION("""COMPUTED_VALUE"""),1.7480793E9)</f>
        <v>1748079300</v>
      </c>
      <c r="X96" s="178">
        <f>IFERROR(__xludf.DUMMYFUNCTION("""COMPUTED_VALUE"""),45801.9265625)</f>
        <v>45801.92656</v>
      </c>
      <c r="Y96" s="177" t="str">
        <f>IFERROR(__xludf.DUMMYFUNCTION("""COMPUTED_VALUE"""),"Docklands")</f>
        <v>Docklands</v>
      </c>
      <c r="Z96" s="177" t="str">
        <f>IFERROR(__xludf.DUMMYFUNCTION("""COMPUTED_VALUE"""),"Collingwood")</f>
        <v>Collingwood</v>
      </c>
      <c r="AA96" s="177">
        <f>IFERROR(__xludf.DUMMYFUNCTION("""COMPUTED_VALUE"""),4.0)</f>
        <v>4</v>
      </c>
      <c r="AB96" s="177">
        <f>IFERROR(__xludf.DUMMYFUNCTION("""COMPUTED_VALUE"""),2025.0)</f>
        <v>2025</v>
      </c>
      <c r="AC96" s="177" t="str">
        <f t="shared" si="3"/>
        <v>Saturday</v>
      </c>
    </row>
    <row r="97">
      <c r="A97" s="175" t="str">
        <f t="shared" si="1"/>
        <v>116</v>
      </c>
      <c r="B97" s="176">
        <f t="shared" si="2"/>
        <v>6</v>
      </c>
      <c r="C97" s="177">
        <f>IFERROR(__xludf.DUMMYFUNCTION("""COMPUTED_VALUE"""),37185.0)</f>
        <v>37185</v>
      </c>
      <c r="D97" s="177">
        <f>IFERROR(__xludf.DUMMYFUNCTION("""COMPUTED_VALUE"""),9.0)</f>
        <v>9</v>
      </c>
      <c r="E97" s="177">
        <f>IFERROR(__xludf.DUMMYFUNCTION("""COMPUTED_VALUE"""),7.0)</f>
        <v>7</v>
      </c>
      <c r="F97" s="177">
        <f>IFERROR(__xludf.DUMMYFUNCTION("""COMPUTED_VALUE"""),51.0)</f>
        <v>51</v>
      </c>
      <c r="G97" s="177" t="str">
        <f>IFERROR(__xludf.DUMMYFUNCTION("""COMPUTED_VALUE"""),"Port Adelaide")</f>
        <v>Port Adelaide</v>
      </c>
      <c r="H97" s="177">
        <f>IFERROR(__xludf.DUMMYFUNCTION("""COMPUTED_VALUE"""),13.0)</f>
        <v>13</v>
      </c>
      <c r="I97" s="177">
        <f>IFERROR(__xludf.DUMMYFUNCTION("""COMPUTED_VALUE"""),100.0)</f>
        <v>100</v>
      </c>
      <c r="J97" s="178">
        <f>IFERROR(__xludf.DUMMYFUNCTION("""COMPUTED_VALUE"""),45801.84027777778)</f>
        <v>45801.84028</v>
      </c>
      <c r="K97" s="177">
        <f>IFERROR(__xludf.DUMMYFUNCTION("""COMPUTED_VALUE"""),10.0)</f>
        <v>10</v>
      </c>
      <c r="L97" s="177">
        <f>IFERROR(__xludf.DUMMYFUNCTION("""COMPUTED_VALUE"""),15.0)</f>
        <v>15</v>
      </c>
      <c r="M97" s="177">
        <f>IFERROR(__xludf.DUMMYFUNCTION("""COMPUTED_VALUE"""),100.0)</f>
        <v>100</v>
      </c>
      <c r="N97" s="177" t="str">
        <f>IFERROR(__xludf.DUMMYFUNCTION("""COMPUTED_VALUE"""),"Fremantle")</f>
        <v>Fremantle</v>
      </c>
      <c r="O97" s="177">
        <f>IFERROR(__xludf.DUMMYFUNCTION("""COMPUTED_VALUE"""),6.0)</f>
        <v>6</v>
      </c>
      <c r="P97" s="177">
        <f>IFERROR(__xludf.DUMMYFUNCTION("""COMPUTED_VALUE"""),0.0)</f>
        <v>0</v>
      </c>
      <c r="Q97" s="177">
        <f>IFERROR(__xludf.DUMMYFUNCTION("""COMPUTED_VALUE"""),0.0)</f>
        <v>0</v>
      </c>
      <c r="R97" s="178">
        <f>IFERROR(__xludf.DUMMYFUNCTION("""COMPUTED_VALUE"""),45801.756944444445)</f>
        <v>45801.75694</v>
      </c>
      <c r="S97" s="177">
        <f>IFERROR(__xludf.DUMMYFUNCTION("""COMPUTED_VALUE"""),11.0)</f>
        <v>11</v>
      </c>
      <c r="T97" s="177" t="str">
        <f>IFERROR(__xludf.DUMMYFUNCTION("""COMPUTED_VALUE"""),"Round 11")</f>
        <v>Round 11</v>
      </c>
      <c r="U97" s="177" t="str">
        <f>IFERROR(__xludf.DUMMYFUNCTION("""COMPUTED_VALUE"""),"Full Time")</f>
        <v>Full Time</v>
      </c>
      <c r="V97" s="177" t="str">
        <f>IFERROR(__xludf.DUMMYFUNCTION("""COMPUTED_VALUE"""),"+10:00")</f>
        <v>+10:00</v>
      </c>
      <c r="W97" s="177">
        <f>IFERROR(__xludf.DUMMYFUNCTION("""COMPUTED_VALUE"""),1.7480814E9)</f>
        <v>1748081400</v>
      </c>
      <c r="X97" s="178">
        <f>IFERROR(__xludf.DUMMYFUNCTION("""COMPUTED_VALUE"""),45801.952048611114)</f>
        <v>45801.95205</v>
      </c>
      <c r="Y97" s="177" t="str">
        <f>IFERROR(__xludf.DUMMYFUNCTION("""COMPUTED_VALUE"""),"Perth Stadium")</f>
        <v>Perth Stadium</v>
      </c>
      <c r="Z97" s="177" t="str">
        <f>IFERROR(__xludf.DUMMYFUNCTION("""COMPUTED_VALUE"""),"Fremantle")</f>
        <v>Fremantle</v>
      </c>
      <c r="AA97" s="177">
        <f>IFERROR(__xludf.DUMMYFUNCTION("""COMPUTED_VALUE"""),6.0)</f>
        <v>6</v>
      </c>
      <c r="AB97" s="177">
        <f>IFERROR(__xludf.DUMMYFUNCTION("""COMPUTED_VALUE"""),2025.0)</f>
        <v>2025</v>
      </c>
      <c r="AC97" s="177" t="str">
        <f t="shared" si="3"/>
        <v>Saturday</v>
      </c>
    </row>
    <row r="98">
      <c r="A98" s="175" t="str">
        <f t="shared" si="1"/>
        <v>117</v>
      </c>
      <c r="B98" s="176">
        <f t="shared" si="2"/>
        <v>7</v>
      </c>
      <c r="C98" s="177">
        <f>IFERROR(__xludf.DUMMYFUNCTION("""COMPUTED_VALUE"""),37186.0)</f>
        <v>37186</v>
      </c>
      <c r="D98" s="177">
        <f>IFERROR(__xludf.DUMMYFUNCTION("""COMPUTED_VALUE"""),14.0)</f>
        <v>14</v>
      </c>
      <c r="E98" s="177">
        <f>IFERROR(__xludf.DUMMYFUNCTION("""COMPUTED_VALUE"""),8.0)</f>
        <v>8</v>
      </c>
      <c r="F98" s="177">
        <f>IFERROR(__xludf.DUMMYFUNCTION("""COMPUTED_VALUE"""),62.0)</f>
        <v>62</v>
      </c>
      <c r="G98" s="177" t="str">
        <f>IFERROR(__xludf.DUMMYFUNCTION("""COMPUTED_VALUE"""),"West Coast")</f>
        <v>West Coast</v>
      </c>
      <c r="H98" s="177">
        <f>IFERROR(__xludf.DUMMYFUNCTION("""COMPUTED_VALUE"""),17.0)</f>
        <v>17</v>
      </c>
      <c r="I98" s="177">
        <f>IFERROR(__xludf.DUMMYFUNCTION("""COMPUTED_VALUE"""),100.0)</f>
        <v>100</v>
      </c>
      <c r="J98" s="178">
        <f>IFERROR(__xludf.DUMMYFUNCTION("""COMPUTED_VALUE"""),45802.54861111111)</f>
        <v>45802.54861</v>
      </c>
      <c r="K98" s="177">
        <f>IFERROR(__xludf.DUMMYFUNCTION("""COMPUTED_VALUE"""),14.0)</f>
        <v>14</v>
      </c>
      <c r="L98" s="177">
        <f>IFERROR(__xludf.DUMMYFUNCTION("""COMPUTED_VALUE"""),19.0)</f>
        <v>19</v>
      </c>
      <c r="M98" s="177">
        <f>IFERROR(__xludf.DUMMYFUNCTION("""COMPUTED_VALUE"""),128.0)</f>
        <v>128</v>
      </c>
      <c r="N98" s="177" t="str">
        <f>IFERROR(__xludf.DUMMYFUNCTION("""COMPUTED_VALUE"""),"Adelaide")</f>
        <v>Adelaide</v>
      </c>
      <c r="O98" s="177">
        <f>IFERROR(__xludf.DUMMYFUNCTION("""COMPUTED_VALUE"""),1.0)</f>
        <v>1</v>
      </c>
      <c r="P98" s="177">
        <f>IFERROR(__xludf.DUMMYFUNCTION("""COMPUTED_VALUE"""),0.0)</f>
        <v>0</v>
      </c>
      <c r="Q98" s="177">
        <f>IFERROR(__xludf.DUMMYFUNCTION("""COMPUTED_VALUE"""),0.0)</f>
        <v>0</v>
      </c>
      <c r="R98" s="178">
        <f>IFERROR(__xludf.DUMMYFUNCTION("""COMPUTED_VALUE"""),45802.52777777778)</f>
        <v>45802.52778</v>
      </c>
      <c r="S98" s="177">
        <f>IFERROR(__xludf.DUMMYFUNCTION("""COMPUTED_VALUE"""),11.0)</f>
        <v>11</v>
      </c>
      <c r="T98" s="177" t="str">
        <f>IFERROR(__xludf.DUMMYFUNCTION("""COMPUTED_VALUE"""),"Round 11")</f>
        <v>Round 11</v>
      </c>
      <c r="U98" s="177" t="str">
        <f>IFERROR(__xludf.DUMMYFUNCTION("""COMPUTED_VALUE"""),"Full Time")</f>
        <v>Full Time</v>
      </c>
      <c r="V98" s="177" t="str">
        <f>IFERROR(__xludf.DUMMYFUNCTION("""COMPUTED_VALUE"""),"+10:00")</f>
        <v>+10:00</v>
      </c>
      <c r="W98" s="177">
        <f>IFERROR(__xludf.DUMMYFUNCTION("""COMPUTED_VALUE"""),1.7481426E9)</f>
        <v>1748142600</v>
      </c>
      <c r="X98" s="178">
        <f>IFERROR(__xludf.DUMMYFUNCTION("""COMPUTED_VALUE"""),45802.663506944446)</f>
        <v>45802.66351</v>
      </c>
      <c r="Y98" s="177" t="str">
        <f>IFERROR(__xludf.DUMMYFUNCTION("""COMPUTED_VALUE"""),"Adelaide Oval")</f>
        <v>Adelaide Oval</v>
      </c>
      <c r="Z98" s="177" t="str">
        <f>IFERROR(__xludf.DUMMYFUNCTION("""COMPUTED_VALUE"""),"Adelaide")</f>
        <v>Adelaide</v>
      </c>
      <c r="AA98" s="177">
        <f>IFERROR(__xludf.DUMMYFUNCTION("""COMPUTED_VALUE"""),1.0)</f>
        <v>1</v>
      </c>
      <c r="AB98" s="177">
        <f>IFERROR(__xludf.DUMMYFUNCTION("""COMPUTED_VALUE"""),2025.0)</f>
        <v>2025</v>
      </c>
      <c r="AC98" s="177" t="str">
        <f t="shared" si="3"/>
        <v>Sunday</v>
      </c>
    </row>
    <row r="99">
      <c r="A99" s="175" t="str">
        <f t="shared" si="1"/>
        <v>118</v>
      </c>
      <c r="B99" s="176">
        <f t="shared" si="2"/>
        <v>8</v>
      </c>
      <c r="C99" s="177">
        <f>IFERROR(__xludf.DUMMYFUNCTION("""COMPUTED_VALUE"""),37187.0)</f>
        <v>37187</v>
      </c>
      <c r="D99" s="177">
        <f>IFERROR(__xludf.DUMMYFUNCTION("""COMPUTED_VALUE"""),6.0)</f>
        <v>6</v>
      </c>
      <c r="E99" s="177">
        <f>IFERROR(__xludf.DUMMYFUNCTION("""COMPUTED_VALUE"""),12.0)</f>
        <v>12</v>
      </c>
      <c r="F99" s="177">
        <f>IFERROR(__xludf.DUMMYFUNCTION("""COMPUTED_VALUE"""),78.0)</f>
        <v>78</v>
      </c>
      <c r="G99" s="177" t="str">
        <f>IFERROR(__xludf.DUMMYFUNCTION("""COMPUTED_VALUE"""),"Sydney")</f>
        <v>Sydney</v>
      </c>
      <c r="H99" s="177">
        <f>IFERROR(__xludf.DUMMYFUNCTION("""COMPUTED_VALUE"""),16.0)</f>
        <v>16</v>
      </c>
      <c r="I99" s="177">
        <f>IFERROR(__xludf.DUMMYFUNCTION("""COMPUTED_VALUE"""),100.0)</f>
        <v>100</v>
      </c>
      <c r="J99" s="178">
        <f>IFERROR(__xludf.DUMMYFUNCTION("""COMPUTED_VALUE"""),45802.63888888889)</f>
        <v>45802.63889</v>
      </c>
      <c r="K99" s="177">
        <f>IFERROR(__xludf.DUMMYFUNCTION("""COMPUTED_VALUE"""),17.0)</f>
        <v>17</v>
      </c>
      <c r="L99" s="177">
        <f>IFERROR(__xludf.DUMMYFUNCTION("""COMPUTED_VALUE"""),19.0)</f>
        <v>19</v>
      </c>
      <c r="M99" s="177">
        <f>IFERROR(__xludf.DUMMYFUNCTION("""COMPUTED_VALUE"""),131.0)</f>
        <v>131</v>
      </c>
      <c r="N99" s="177" t="str">
        <f>IFERROR(__xludf.DUMMYFUNCTION("""COMPUTED_VALUE"""),"Melbourne")</f>
        <v>Melbourne</v>
      </c>
      <c r="O99" s="177">
        <f>IFERROR(__xludf.DUMMYFUNCTION("""COMPUTED_VALUE"""),11.0)</f>
        <v>11</v>
      </c>
      <c r="P99" s="177">
        <f>IFERROR(__xludf.DUMMYFUNCTION("""COMPUTED_VALUE"""),0.0)</f>
        <v>0</v>
      </c>
      <c r="Q99" s="177">
        <f>IFERROR(__xludf.DUMMYFUNCTION("""COMPUTED_VALUE"""),0.0)</f>
        <v>0</v>
      </c>
      <c r="R99" s="178">
        <f>IFERROR(__xludf.DUMMYFUNCTION("""COMPUTED_VALUE"""),45802.63888888889)</f>
        <v>45802.63889</v>
      </c>
      <c r="S99" s="177">
        <f>IFERROR(__xludf.DUMMYFUNCTION("""COMPUTED_VALUE"""),11.0)</f>
        <v>11</v>
      </c>
      <c r="T99" s="177" t="str">
        <f>IFERROR(__xludf.DUMMYFUNCTION("""COMPUTED_VALUE"""),"Round 11")</f>
        <v>Round 11</v>
      </c>
      <c r="U99" s="177" t="str">
        <f>IFERROR(__xludf.DUMMYFUNCTION("""COMPUTED_VALUE"""),"Full Time")</f>
        <v>Full Time</v>
      </c>
      <c r="V99" s="177" t="str">
        <f>IFERROR(__xludf.DUMMYFUNCTION("""COMPUTED_VALUE"""),"+10:00")</f>
        <v>+10:00</v>
      </c>
      <c r="W99" s="177">
        <f>IFERROR(__xludf.DUMMYFUNCTION("""COMPUTED_VALUE"""),1.7481504E9)</f>
        <v>1748150400</v>
      </c>
      <c r="X99" s="178">
        <f>IFERROR(__xludf.DUMMYFUNCTION("""COMPUTED_VALUE"""),45802.75875)</f>
        <v>45802.75875</v>
      </c>
      <c r="Y99" s="177" t="str">
        <f>IFERROR(__xludf.DUMMYFUNCTION("""COMPUTED_VALUE"""),"M.C.G.")</f>
        <v>M.C.G.</v>
      </c>
      <c r="Z99" s="177" t="str">
        <f>IFERROR(__xludf.DUMMYFUNCTION("""COMPUTED_VALUE"""),"Melbourne")</f>
        <v>Melbourne</v>
      </c>
      <c r="AA99" s="177">
        <f>IFERROR(__xludf.DUMMYFUNCTION("""COMPUTED_VALUE"""),11.0)</f>
        <v>11</v>
      </c>
      <c r="AB99" s="177">
        <f>IFERROR(__xludf.DUMMYFUNCTION("""COMPUTED_VALUE"""),2025.0)</f>
        <v>2025</v>
      </c>
      <c r="AC99" s="177" t="str">
        <f t="shared" si="3"/>
        <v>Sunday</v>
      </c>
    </row>
    <row r="100">
      <c r="A100" s="175" t="str">
        <f t="shared" si="1"/>
        <v>119</v>
      </c>
      <c r="B100" s="176">
        <f t="shared" si="2"/>
        <v>9</v>
      </c>
      <c r="C100" s="177">
        <f>IFERROR(__xludf.DUMMYFUNCTION("""COMPUTED_VALUE"""),37188.0)</f>
        <v>37188</v>
      </c>
      <c r="D100" s="177">
        <f>IFERROR(__xludf.DUMMYFUNCTION("""COMPUTED_VALUE"""),8.0)</f>
        <v>8</v>
      </c>
      <c r="E100" s="177">
        <f>IFERROR(__xludf.DUMMYFUNCTION("""COMPUTED_VALUE"""),12.0)</f>
        <v>12</v>
      </c>
      <c r="F100" s="177">
        <f>IFERROR(__xludf.DUMMYFUNCTION("""COMPUTED_VALUE"""),80.0)</f>
        <v>80</v>
      </c>
      <c r="G100" s="177" t="str">
        <f>IFERROR(__xludf.DUMMYFUNCTION("""COMPUTED_VALUE"""),"Gold Coast")</f>
        <v>Gold Coast</v>
      </c>
      <c r="H100" s="177">
        <f>IFERROR(__xludf.DUMMYFUNCTION("""COMPUTED_VALUE"""),8.0)</f>
        <v>8</v>
      </c>
      <c r="I100" s="177">
        <f>IFERROR(__xludf.DUMMYFUNCTION("""COMPUTED_VALUE"""),100.0)</f>
        <v>100</v>
      </c>
      <c r="J100" s="178">
        <f>IFERROR(__xludf.DUMMYFUNCTION("""COMPUTED_VALUE"""),45802.694444444445)</f>
        <v>45802.69444</v>
      </c>
      <c r="K100" s="177">
        <f>IFERROR(__xludf.DUMMYFUNCTION("""COMPUTED_VALUE"""),13.0)</f>
        <v>13</v>
      </c>
      <c r="L100" s="177">
        <f>IFERROR(__xludf.DUMMYFUNCTION("""COMPUTED_VALUE"""),8.0)</f>
        <v>8</v>
      </c>
      <c r="M100" s="177">
        <f>IFERROR(__xludf.DUMMYFUNCTION("""COMPUTED_VALUE"""),61.0)</f>
        <v>61</v>
      </c>
      <c r="N100" s="177" t="str">
        <f>IFERROR(__xludf.DUMMYFUNCTION("""COMPUTED_VALUE"""),"St Kilda")</f>
        <v>St Kilda</v>
      </c>
      <c r="O100" s="177">
        <f>IFERROR(__xludf.DUMMYFUNCTION("""COMPUTED_VALUE"""),15.0)</f>
        <v>15</v>
      </c>
      <c r="P100" s="177">
        <f>IFERROR(__xludf.DUMMYFUNCTION("""COMPUTED_VALUE"""),0.0)</f>
        <v>0</v>
      </c>
      <c r="Q100" s="177">
        <f>IFERROR(__xludf.DUMMYFUNCTION("""COMPUTED_VALUE"""),0.0)</f>
        <v>0</v>
      </c>
      <c r="R100" s="178">
        <f>IFERROR(__xludf.DUMMYFUNCTION("""COMPUTED_VALUE"""),45802.694444444445)</f>
        <v>45802.69444</v>
      </c>
      <c r="S100" s="177">
        <f>IFERROR(__xludf.DUMMYFUNCTION("""COMPUTED_VALUE"""),11.0)</f>
        <v>11</v>
      </c>
      <c r="T100" s="177" t="str">
        <f>IFERROR(__xludf.DUMMYFUNCTION("""COMPUTED_VALUE"""),"Round 11")</f>
        <v>Round 11</v>
      </c>
      <c r="U100" s="177" t="str">
        <f>IFERROR(__xludf.DUMMYFUNCTION("""COMPUTED_VALUE"""),"Full Time")</f>
        <v>Full Time</v>
      </c>
      <c r="V100" s="177" t="str">
        <f>IFERROR(__xludf.DUMMYFUNCTION("""COMPUTED_VALUE"""),"+10:00")</f>
        <v>+10:00</v>
      </c>
      <c r="W100" s="177">
        <f>IFERROR(__xludf.DUMMYFUNCTION("""COMPUTED_VALUE"""),1.7481552E9)</f>
        <v>1748155200</v>
      </c>
      <c r="X100" s="178">
        <f>IFERROR(__xludf.DUMMYFUNCTION("""COMPUTED_VALUE"""),45802.80204861111)</f>
        <v>45802.80205</v>
      </c>
      <c r="Y100" s="177" t="str">
        <f>IFERROR(__xludf.DUMMYFUNCTION("""COMPUTED_VALUE"""),"Docklands")</f>
        <v>Docklands</v>
      </c>
      <c r="Z100" s="177" t="str">
        <f>IFERROR(__xludf.DUMMYFUNCTION("""COMPUTED_VALUE"""),"Gold Coast")</f>
        <v>Gold Coast</v>
      </c>
      <c r="AA100" s="177">
        <f>IFERROR(__xludf.DUMMYFUNCTION("""COMPUTED_VALUE"""),8.0)</f>
        <v>8</v>
      </c>
      <c r="AB100" s="177">
        <f>IFERROR(__xludf.DUMMYFUNCTION("""COMPUTED_VALUE"""),2025.0)</f>
        <v>2025</v>
      </c>
      <c r="AC100" s="177" t="str">
        <f t="shared" si="3"/>
        <v>Sunday</v>
      </c>
    </row>
    <row r="101">
      <c r="A101" s="175" t="str">
        <f t="shared" si="1"/>
        <v>121</v>
      </c>
      <c r="B101" s="176">
        <f t="shared" si="2"/>
        <v>1</v>
      </c>
      <c r="C101" s="177">
        <f>IFERROR(__xludf.DUMMYFUNCTION("""COMPUTED_VALUE"""),37189.0)</f>
        <v>37189</v>
      </c>
      <c r="D101" s="177">
        <f>IFERROR(__xludf.DUMMYFUNCTION("""COMPUTED_VALUE"""),6.0)</f>
        <v>6</v>
      </c>
      <c r="E101" s="177">
        <f>IFERROR(__xludf.DUMMYFUNCTION("""COMPUTED_VALUE"""),11.0)</f>
        <v>11</v>
      </c>
      <c r="F101" s="177">
        <f>IFERROR(__xludf.DUMMYFUNCTION("""COMPUTED_VALUE"""),72.0)</f>
        <v>72</v>
      </c>
      <c r="G101" s="177" t="str">
        <f>IFERROR(__xludf.DUMMYFUNCTION("""COMPUTED_VALUE"""),"Essendon")</f>
        <v>Essendon</v>
      </c>
      <c r="H101" s="177">
        <f>IFERROR(__xludf.DUMMYFUNCTION("""COMPUTED_VALUE"""),5.0)</f>
        <v>5</v>
      </c>
      <c r="I101" s="177">
        <f>IFERROR(__xludf.DUMMYFUNCTION("""COMPUTED_VALUE"""),100.0)</f>
        <v>100</v>
      </c>
      <c r="J101" s="178">
        <f>IFERROR(__xludf.DUMMYFUNCTION("""COMPUTED_VALUE"""),45806.8125)</f>
        <v>45806.8125</v>
      </c>
      <c r="K101" s="177">
        <f>IFERROR(__xludf.DUMMYFUNCTION("""COMPUTED_VALUE"""),12.0)</f>
        <v>12</v>
      </c>
      <c r="L101" s="177">
        <f>IFERROR(__xludf.DUMMYFUNCTION("""COMPUTED_VALUE"""),13.0)</f>
        <v>13</v>
      </c>
      <c r="M101" s="177">
        <f>IFERROR(__xludf.DUMMYFUNCTION("""COMPUTED_VALUE"""),90.0)</f>
        <v>90</v>
      </c>
      <c r="N101" s="177" t="str">
        <f>IFERROR(__xludf.DUMMYFUNCTION("""COMPUTED_VALUE"""),"Brisbane Lions")</f>
        <v>Brisbane Lions</v>
      </c>
      <c r="O101" s="177">
        <f>IFERROR(__xludf.DUMMYFUNCTION("""COMPUTED_VALUE"""),2.0)</f>
        <v>2</v>
      </c>
      <c r="P101" s="177">
        <f>IFERROR(__xludf.DUMMYFUNCTION("""COMPUTED_VALUE"""),0.0)</f>
        <v>0</v>
      </c>
      <c r="Q101" s="177">
        <f>IFERROR(__xludf.DUMMYFUNCTION("""COMPUTED_VALUE"""),0.0)</f>
        <v>0</v>
      </c>
      <c r="R101" s="178">
        <f>IFERROR(__xludf.DUMMYFUNCTION("""COMPUTED_VALUE"""),45806.8125)</f>
        <v>45806.8125</v>
      </c>
      <c r="S101" s="177">
        <f>IFERROR(__xludf.DUMMYFUNCTION("""COMPUTED_VALUE"""),12.0)</f>
        <v>12</v>
      </c>
      <c r="T101" s="177" t="str">
        <f>IFERROR(__xludf.DUMMYFUNCTION("""COMPUTED_VALUE"""),"Round 12")</f>
        <v>Round 12</v>
      </c>
      <c r="U101" s="177" t="str">
        <f>IFERROR(__xludf.DUMMYFUNCTION("""COMPUTED_VALUE"""),"Full Time")</f>
        <v>Full Time</v>
      </c>
      <c r="V101" s="177" t="str">
        <f>IFERROR(__xludf.DUMMYFUNCTION("""COMPUTED_VALUE"""),"+10:00")</f>
        <v>+10:00</v>
      </c>
      <c r="W101" s="177">
        <f>IFERROR(__xludf.DUMMYFUNCTION("""COMPUTED_VALUE"""),1.748511E9)</f>
        <v>1748511000</v>
      </c>
      <c r="X101" s="178">
        <f>IFERROR(__xludf.DUMMYFUNCTION("""COMPUTED_VALUE"""),45806.922372685185)</f>
        <v>45806.92237</v>
      </c>
      <c r="Y101" s="177" t="str">
        <f>IFERROR(__xludf.DUMMYFUNCTION("""COMPUTED_VALUE"""),"Gabba")</f>
        <v>Gabba</v>
      </c>
      <c r="Z101" s="177" t="str">
        <f>IFERROR(__xludf.DUMMYFUNCTION("""COMPUTED_VALUE"""),"Brisbane Lions")</f>
        <v>Brisbane Lions</v>
      </c>
      <c r="AA101" s="177">
        <f>IFERROR(__xludf.DUMMYFUNCTION("""COMPUTED_VALUE"""),2.0)</f>
        <v>2</v>
      </c>
      <c r="AB101" s="177">
        <f>IFERROR(__xludf.DUMMYFUNCTION("""COMPUTED_VALUE"""),2025.0)</f>
        <v>2025</v>
      </c>
      <c r="AC101" s="177" t="str">
        <f t="shared" si="3"/>
        <v>Thursday</v>
      </c>
    </row>
    <row r="102">
      <c r="A102" s="175" t="str">
        <f t="shared" si="1"/>
        <v>122</v>
      </c>
      <c r="B102" s="176">
        <f t="shared" si="2"/>
        <v>2</v>
      </c>
      <c r="C102" s="177">
        <f>IFERROR(__xludf.DUMMYFUNCTION("""COMPUTED_VALUE"""),37190.0)</f>
        <v>37190</v>
      </c>
      <c r="D102" s="177">
        <f>IFERROR(__xludf.DUMMYFUNCTION("""COMPUTED_VALUE"""),8.0)</f>
        <v>8</v>
      </c>
      <c r="E102" s="177">
        <f>IFERROR(__xludf.DUMMYFUNCTION("""COMPUTED_VALUE"""),8.0)</f>
        <v>8</v>
      </c>
      <c r="F102" s="177">
        <f>IFERROR(__xludf.DUMMYFUNCTION("""COMPUTED_VALUE"""),56.0)</f>
        <v>56</v>
      </c>
      <c r="G102" s="177" t="str">
        <f>IFERROR(__xludf.DUMMYFUNCTION("""COMPUTED_VALUE"""),"Hawthorn")</f>
        <v>Hawthorn</v>
      </c>
      <c r="H102" s="177">
        <f>IFERROR(__xludf.DUMMYFUNCTION("""COMPUTED_VALUE"""),10.0)</f>
        <v>10</v>
      </c>
      <c r="I102" s="177">
        <f>IFERROR(__xludf.DUMMYFUNCTION("""COMPUTED_VALUE"""),100.0)</f>
        <v>100</v>
      </c>
      <c r="J102" s="178">
        <f>IFERROR(__xludf.DUMMYFUNCTION("""COMPUTED_VALUE"""),45807.819444444445)</f>
        <v>45807.81944</v>
      </c>
      <c r="K102" s="177">
        <f>IFERROR(__xludf.DUMMYFUNCTION("""COMPUTED_VALUE"""),11.0)</f>
        <v>11</v>
      </c>
      <c r="L102" s="177">
        <f>IFERROR(__xludf.DUMMYFUNCTION("""COMPUTED_VALUE"""),16.0)</f>
        <v>16</v>
      </c>
      <c r="M102" s="177">
        <f>IFERROR(__xludf.DUMMYFUNCTION("""COMPUTED_VALUE"""),107.0)</f>
        <v>107</v>
      </c>
      <c r="N102" s="177" t="str">
        <f>IFERROR(__xludf.DUMMYFUNCTION("""COMPUTED_VALUE"""),"Collingwood")</f>
        <v>Collingwood</v>
      </c>
      <c r="O102" s="177">
        <f>IFERROR(__xludf.DUMMYFUNCTION("""COMPUTED_VALUE"""),4.0)</f>
        <v>4</v>
      </c>
      <c r="P102" s="177">
        <f>IFERROR(__xludf.DUMMYFUNCTION("""COMPUTED_VALUE"""),0.0)</f>
        <v>0</v>
      </c>
      <c r="Q102" s="177">
        <f>IFERROR(__xludf.DUMMYFUNCTION("""COMPUTED_VALUE"""),0.0)</f>
        <v>0</v>
      </c>
      <c r="R102" s="178">
        <f>IFERROR(__xludf.DUMMYFUNCTION("""COMPUTED_VALUE"""),45807.819444444445)</f>
        <v>45807.81944</v>
      </c>
      <c r="S102" s="177">
        <f>IFERROR(__xludf.DUMMYFUNCTION("""COMPUTED_VALUE"""),12.0)</f>
        <v>12</v>
      </c>
      <c r="T102" s="177" t="str">
        <f>IFERROR(__xludf.DUMMYFUNCTION("""COMPUTED_VALUE"""),"Round 12")</f>
        <v>Round 12</v>
      </c>
      <c r="U102" s="177" t="str">
        <f>IFERROR(__xludf.DUMMYFUNCTION("""COMPUTED_VALUE"""),"Full Time")</f>
        <v>Full Time</v>
      </c>
      <c r="V102" s="177" t="str">
        <f>IFERROR(__xludf.DUMMYFUNCTION("""COMPUTED_VALUE"""),"+10:00")</f>
        <v>+10:00</v>
      </c>
      <c r="W102" s="177">
        <f>IFERROR(__xludf.DUMMYFUNCTION("""COMPUTED_VALUE"""),1.748598E9)</f>
        <v>1748598000</v>
      </c>
      <c r="X102" s="178">
        <f>IFERROR(__xludf.DUMMYFUNCTION("""COMPUTED_VALUE"""),45807.928715277776)</f>
        <v>45807.92872</v>
      </c>
      <c r="Y102" s="177" t="str">
        <f>IFERROR(__xludf.DUMMYFUNCTION("""COMPUTED_VALUE"""),"M.C.G.")</f>
        <v>M.C.G.</v>
      </c>
      <c r="Z102" s="177" t="str">
        <f>IFERROR(__xludf.DUMMYFUNCTION("""COMPUTED_VALUE"""),"Collingwood")</f>
        <v>Collingwood</v>
      </c>
      <c r="AA102" s="177">
        <f>IFERROR(__xludf.DUMMYFUNCTION("""COMPUTED_VALUE"""),4.0)</f>
        <v>4</v>
      </c>
      <c r="AB102" s="177">
        <f>IFERROR(__xludf.DUMMYFUNCTION("""COMPUTED_VALUE"""),2025.0)</f>
        <v>2025</v>
      </c>
      <c r="AC102" s="177" t="str">
        <f t="shared" si="3"/>
        <v>Friday</v>
      </c>
    </row>
    <row r="103">
      <c r="A103" s="175" t="str">
        <f t="shared" si="1"/>
        <v>123</v>
      </c>
      <c r="B103" s="176">
        <f t="shared" si="2"/>
        <v>3</v>
      </c>
      <c r="C103" s="177">
        <f>IFERROR(__xludf.DUMMYFUNCTION("""COMPUTED_VALUE"""),37191.0)</f>
        <v>37191</v>
      </c>
      <c r="D103" s="177">
        <f>IFERROR(__xludf.DUMMYFUNCTION("""COMPUTED_VALUE"""),9.0)</f>
        <v>9</v>
      </c>
      <c r="E103" s="177">
        <f>IFERROR(__xludf.DUMMYFUNCTION("""COMPUTED_VALUE"""),11.0)</f>
        <v>11</v>
      </c>
      <c r="F103" s="177">
        <f>IFERROR(__xludf.DUMMYFUNCTION("""COMPUTED_VALUE"""),75.0)</f>
        <v>75</v>
      </c>
      <c r="G103" s="177" t="str">
        <f>IFERROR(__xludf.DUMMYFUNCTION("""COMPUTED_VALUE"""),"Fremantle")</f>
        <v>Fremantle</v>
      </c>
      <c r="H103" s="177">
        <f>IFERROR(__xludf.DUMMYFUNCTION("""COMPUTED_VALUE"""),6.0)</f>
        <v>6</v>
      </c>
      <c r="I103" s="177">
        <f>IFERROR(__xludf.DUMMYFUNCTION("""COMPUTED_VALUE"""),100.0)</f>
        <v>100</v>
      </c>
      <c r="J103" s="178">
        <f>IFERROR(__xludf.DUMMYFUNCTION("""COMPUTED_VALUE"""),45808.555555555555)</f>
        <v>45808.55556</v>
      </c>
      <c r="K103" s="177">
        <f>IFERROR(__xludf.DUMMYFUNCTION("""COMPUTED_VALUE"""),10.0)</f>
        <v>10</v>
      </c>
      <c r="L103" s="177">
        <f>IFERROR(__xludf.DUMMYFUNCTION("""COMPUTED_VALUE"""),9.0)</f>
        <v>9</v>
      </c>
      <c r="M103" s="177">
        <f>IFERROR(__xludf.DUMMYFUNCTION("""COMPUTED_VALUE"""),64.0)</f>
        <v>64</v>
      </c>
      <c r="N103" s="177" t="str">
        <f>IFERROR(__xludf.DUMMYFUNCTION("""COMPUTED_VALUE"""),"Gold Coast")</f>
        <v>Gold Coast</v>
      </c>
      <c r="O103" s="177">
        <f>IFERROR(__xludf.DUMMYFUNCTION("""COMPUTED_VALUE"""),8.0)</f>
        <v>8</v>
      </c>
      <c r="P103" s="177">
        <f>IFERROR(__xludf.DUMMYFUNCTION("""COMPUTED_VALUE"""),0.0)</f>
        <v>0</v>
      </c>
      <c r="Q103" s="177">
        <f>IFERROR(__xludf.DUMMYFUNCTION("""COMPUTED_VALUE"""),0.0)</f>
        <v>0</v>
      </c>
      <c r="R103" s="178">
        <f>IFERROR(__xludf.DUMMYFUNCTION("""COMPUTED_VALUE"""),45808.555555555555)</f>
        <v>45808.55556</v>
      </c>
      <c r="S103" s="177">
        <f>IFERROR(__xludf.DUMMYFUNCTION("""COMPUTED_VALUE"""),12.0)</f>
        <v>12</v>
      </c>
      <c r="T103" s="177" t="str">
        <f>IFERROR(__xludf.DUMMYFUNCTION("""COMPUTED_VALUE"""),"Round 12")</f>
        <v>Round 12</v>
      </c>
      <c r="U103" s="177" t="str">
        <f>IFERROR(__xludf.DUMMYFUNCTION("""COMPUTED_VALUE"""),"Full Time")</f>
        <v>Full Time</v>
      </c>
      <c r="V103" s="177" t="str">
        <f>IFERROR(__xludf.DUMMYFUNCTION("""COMPUTED_VALUE"""),"+10:00")</f>
        <v>+10:00</v>
      </c>
      <c r="W103" s="177">
        <f>IFERROR(__xludf.DUMMYFUNCTION("""COMPUTED_VALUE"""),1.7486616E9)</f>
        <v>1748661600</v>
      </c>
      <c r="X103" s="178">
        <f>IFERROR(__xludf.DUMMYFUNCTION("""COMPUTED_VALUE"""),45808.66849537037)</f>
        <v>45808.6685</v>
      </c>
      <c r="Y103" s="177" t="str">
        <f>IFERROR(__xludf.DUMMYFUNCTION("""COMPUTED_VALUE"""),"Carrara")</f>
        <v>Carrara</v>
      </c>
      <c r="Z103" s="177" t="str">
        <f>IFERROR(__xludf.DUMMYFUNCTION("""COMPUTED_VALUE"""),"Fremantle")</f>
        <v>Fremantle</v>
      </c>
      <c r="AA103" s="177">
        <f>IFERROR(__xludf.DUMMYFUNCTION("""COMPUTED_VALUE"""),6.0)</f>
        <v>6</v>
      </c>
      <c r="AB103" s="177">
        <f>IFERROR(__xludf.DUMMYFUNCTION("""COMPUTED_VALUE"""),2025.0)</f>
        <v>2025</v>
      </c>
      <c r="AC103" s="177" t="str">
        <f t="shared" si="3"/>
        <v>Saturday</v>
      </c>
    </row>
    <row r="104">
      <c r="A104" s="175" t="str">
        <f t="shared" si="1"/>
        <v>124</v>
      </c>
      <c r="B104" s="176">
        <f t="shared" si="2"/>
        <v>4</v>
      </c>
      <c r="C104" s="177">
        <f>IFERROR(__xludf.DUMMYFUNCTION("""COMPUTED_VALUE"""),37192.0)</f>
        <v>37192</v>
      </c>
      <c r="D104" s="177">
        <f>IFERROR(__xludf.DUMMYFUNCTION("""COMPUTED_VALUE"""),17.0)</f>
        <v>17</v>
      </c>
      <c r="E104" s="177">
        <f>IFERROR(__xludf.DUMMYFUNCTION("""COMPUTED_VALUE"""),10.0)</f>
        <v>10</v>
      </c>
      <c r="F104" s="177">
        <f>IFERROR(__xludf.DUMMYFUNCTION("""COMPUTED_VALUE"""),77.0)</f>
        <v>77</v>
      </c>
      <c r="G104" s="177" t="str">
        <f>IFERROR(__xludf.DUMMYFUNCTION("""COMPUTED_VALUE"""),"Richmond")</f>
        <v>Richmond</v>
      </c>
      <c r="H104" s="177">
        <f>IFERROR(__xludf.DUMMYFUNCTION("""COMPUTED_VALUE"""),14.0)</f>
        <v>14</v>
      </c>
      <c r="I104" s="177">
        <f>IFERROR(__xludf.DUMMYFUNCTION("""COMPUTED_VALUE"""),100.0)</f>
        <v>100</v>
      </c>
      <c r="J104" s="178">
        <f>IFERROR(__xludf.DUMMYFUNCTION("""COMPUTED_VALUE"""),45808.677083333336)</f>
        <v>45808.67708</v>
      </c>
      <c r="K104" s="177">
        <f>IFERROR(__xludf.DUMMYFUNCTION("""COMPUTED_VALUE"""),8.0)</f>
        <v>8</v>
      </c>
      <c r="L104" s="177">
        <f>IFERROR(__xludf.DUMMYFUNCTION("""COMPUTED_VALUE"""),12.0)</f>
        <v>12</v>
      </c>
      <c r="M104" s="177">
        <f>IFERROR(__xludf.DUMMYFUNCTION("""COMPUTED_VALUE"""),80.0)</f>
        <v>80</v>
      </c>
      <c r="N104" s="177" t="str">
        <f>IFERROR(__xludf.DUMMYFUNCTION("""COMPUTED_VALUE"""),"Greater Western Sydney")</f>
        <v>Greater Western Sydney</v>
      </c>
      <c r="O104" s="177">
        <f>IFERROR(__xludf.DUMMYFUNCTION("""COMPUTED_VALUE"""),9.0)</f>
        <v>9</v>
      </c>
      <c r="P104" s="177">
        <f>IFERROR(__xludf.DUMMYFUNCTION("""COMPUTED_VALUE"""),0.0)</f>
        <v>0</v>
      </c>
      <c r="Q104" s="177">
        <f>IFERROR(__xludf.DUMMYFUNCTION("""COMPUTED_VALUE"""),0.0)</f>
        <v>0</v>
      </c>
      <c r="R104" s="178">
        <f>IFERROR(__xludf.DUMMYFUNCTION("""COMPUTED_VALUE"""),45808.677083333336)</f>
        <v>45808.67708</v>
      </c>
      <c r="S104" s="177">
        <f>IFERROR(__xludf.DUMMYFUNCTION("""COMPUTED_VALUE"""),12.0)</f>
        <v>12</v>
      </c>
      <c r="T104" s="177" t="str">
        <f>IFERROR(__xludf.DUMMYFUNCTION("""COMPUTED_VALUE"""),"Round 12")</f>
        <v>Round 12</v>
      </c>
      <c r="U104" s="177" t="str">
        <f>IFERROR(__xludf.DUMMYFUNCTION("""COMPUTED_VALUE"""),"Full Time")</f>
        <v>Full Time</v>
      </c>
      <c r="V104" s="177" t="str">
        <f>IFERROR(__xludf.DUMMYFUNCTION("""COMPUTED_VALUE"""),"+10:00")</f>
        <v>+10:00</v>
      </c>
      <c r="W104" s="177">
        <f>IFERROR(__xludf.DUMMYFUNCTION("""COMPUTED_VALUE"""),1.7486721E9)</f>
        <v>1748672100</v>
      </c>
      <c r="X104" s="178">
        <f>IFERROR(__xludf.DUMMYFUNCTION("""COMPUTED_VALUE"""),45808.789351851854)</f>
        <v>45808.78935</v>
      </c>
      <c r="Y104" s="177" t="str">
        <f>IFERROR(__xludf.DUMMYFUNCTION("""COMPUTED_VALUE"""),"Sydney Showground")</f>
        <v>Sydney Showground</v>
      </c>
      <c r="Z104" s="177" t="str">
        <f>IFERROR(__xludf.DUMMYFUNCTION("""COMPUTED_VALUE"""),"Greater Western Sydney")</f>
        <v>Greater Western Sydney</v>
      </c>
      <c r="AA104" s="177">
        <f>IFERROR(__xludf.DUMMYFUNCTION("""COMPUTED_VALUE"""),9.0)</f>
        <v>9</v>
      </c>
      <c r="AB104" s="177">
        <f>IFERROR(__xludf.DUMMYFUNCTION("""COMPUTED_VALUE"""),2025.0)</f>
        <v>2025</v>
      </c>
      <c r="AC104" s="177" t="str">
        <f t="shared" si="3"/>
        <v>Saturday</v>
      </c>
    </row>
    <row r="105">
      <c r="A105" s="175" t="str">
        <f t="shared" si="1"/>
        <v>125</v>
      </c>
      <c r="B105" s="176">
        <f t="shared" si="2"/>
        <v>5</v>
      </c>
      <c r="C105" s="177">
        <f>IFERROR(__xludf.DUMMYFUNCTION("""COMPUTED_VALUE"""),37193.0)</f>
        <v>37193</v>
      </c>
      <c r="D105" s="177">
        <f>IFERROR(__xludf.DUMMYFUNCTION("""COMPUTED_VALUE"""),5.0)</f>
        <v>5</v>
      </c>
      <c r="E105" s="177">
        <f>IFERROR(__xludf.DUMMYFUNCTION("""COMPUTED_VALUE"""),21.0)</f>
        <v>21</v>
      </c>
      <c r="F105" s="177">
        <f>IFERROR(__xludf.DUMMYFUNCTION("""COMPUTED_VALUE"""),131.0)</f>
        <v>131</v>
      </c>
      <c r="G105" s="177" t="str">
        <f>IFERROR(__xludf.DUMMYFUNCTION("""COMPUTED_VALUE"""),"Adelaide")</f>
        <v>Adelaide</v>
      </c>
      <c r="H105" s="177">
        <f>IFERROR(__xludf.DUMMYFUNCTION("""COMPUTED_VALUE"""),1.0)</f>
        <v>1</v>
      </c>
      <c r="I105" s="177">
        <f>IFERROR(__xludf.DUMMYFUNCTION("""COMPUTED_VALUE"""),100.0)</f>
        <v>100</v>
      </c>
      <c r="J105" s="178">
        <f>IFERROR(__xludf.DUMMYFUNCTION("""COMPUTED_VALUE"""),45808.81597222222)</f>
        <v>45808.81597</v>
      </c>
      <c r="K105" s="177">
        <f>IFERROR(__xludf.DUMMYFUNCTION("""COMPUTED_VALUE"""),11.0)</f>
        <v>11</v>
      </c>
      <c r="L105" s="177">
        <f>IFERROR(__xludf.DUMMYFUNCTION("""COMPUTED_VALUE"""),5.0)</f>
        <v>5</v>
      </c>
      <c r="M105" s="177">
        <f>IFERROR(__xludf.DUMMYFUNCTION("""COMPUTED_VALUE"""),41.0)</f>
        <v>41</v>
      </c>
      <c r="N105" s="177" t="str">
        <f>IFERROR(__xludf.DUMMYFUNCTION("""COMPUTED_VALUE"""),"Sydney")</f>
        <v>Sydney</v>
      </c>
      <c r="O105" s="177">
        <f>IFERROR(__xludf.DUMMYFUNCTION("""COMPUTED_VALUE"""),16.0)</f>
        <v>16</v>
      </c>
      <c r="P105" s="177">
        <f>IFERROR(__xludf.DUMMYFUNCTION("""COMPUTED_VALUE"""),0.0)</f>
        <v>0</v>
      </c>
      <c r="Q105" s="177">
        <f>IFERROR(__xludf.DUMMYFUNCTION("""COMPUTED_VALUE"""),0.0)</f>
        <v>0</v>
      </c>
      <c r="R105" s="178">
        <f>IFERROR(__xludf.DUMMYFUNCTION("""COMPUTED_VALUE"""),45808.81597222222)</f>
        <v>45808.81597</v>
      </c>
      <c r="S105" s="177">
        <f>IFERROR(__xludf.DUMMYFUNCTION("""COMPUTED_VALUE"""),12.0)</f>
        <v>12</v>
      </c>
      <c r="T105" s="177" t="str">
        <f>IFERROR(__xludf.DUMMYFUNCTION("""COMPUTED_VALUE"""),"Round 12")</f>
        <v>Round 12</v>
      </c>
      <c r="U105" s="177" t="str">
        <f>IFERROR(__xludf.DUMMYFUNCTION("""COMPUTED_VALUE"""),"Full Time")</f>
        <v>Full Time</v>
      </c>
      <c r="V105" s="177" t="str">
        <f>IFERROR(__xludf.DUMMYFUNCTION("""COMPUTED_VALUE"""),"+10:00")</f>
        <v>+10:00</v>
      </c>
      <c r="W105" s="177">
        <f>IFERROR(__xludf.DUMMYFUNCTION("""COMPUTED_VALUE"""),1.7486841E9)</f>
        <v>1748684100</v>
      </c>
      <c r="X105" s="178">
        <f>IFERROR(__xludf.DUMMYFUNCTION("""COMPUTED_VALUE"""),45808.932222222225)</f>
        <v>45808.93222</v>
      </c>
      <c r="Y105" s="177" t="str">
        <f>IFERROR(__xludf.DUMMYFUNCTION("""COMPUTED_VALUE"""),"S.C.G.")</f>
        <v>S.C.G.</v>
      </c>
      <c r="Z105" s="177" t="str">
        <f>IFERROR(__xludf.DUMMYFUNCTION("""COMPUTED_VALUE"""),"Adelaide")</f>
        <v>Adelaide</v>
      </c>
      <c r="AA105" s="177">
        <f>IFERROR(__xludf.DUMMYFUNCTION("""COMPUTED_VALUE"""),1.0)</f>
        <v>1</v>
      </c>
      <c r="AB105" s="177">
        <f>IFERROR(__xludf.DUMMYFUNCTION("""COMPUTED_VALUE"""),2025.0)</f>
        <v>2025</v>
      </c>
      <c r="AC105" s="177" t="str">
        <f t="shared" si="3"/>
        <v>Saturday</v>
      </c>
    </row>
    <row r="106">
      <c r="A106" s="175" t="str">
        <f t="shared" si="1"/>
        <v>126</v>
      </c>
      <c r="B106" s="176">
        <f t="shared" si="2"/>
        <v>6</v>
      </c>
      <c r="C106" s="177">
        <f>IFERROR(__xludf.DUMMYFUNCTION("""COMPUTED_VALUE"""),37194.0)</f>
        <v>37194</v>
      </c>
      <c r="D106" s="177">
        <f>IFERROR(__xludf.DUMMYFUNCTION("""COMPUTED_VALUE"""),7.0)</f>
        <v>7</v>
      </c>
      <c r="E106" s="177">
        <f>IFERROR(__xludf.DUMMYFUNCTION("""COMPUTED_VALUE"""),14.0)</f>
        <v>14</v>
      </c>
      <c r="F106" s="177">
        <f>IFERROR(__xludf.DUMMYFUNCTION("""COMPUTED_VALUE"""),91.0)</f>
        <v>91</v>
      </c>
      <c r="G106" s="177" t="str">
        <f>IFERROR(__xludf.DUMMYFUNCTION("""COMPUTED_VALUE"""),"St Kilda")</f>
        <v>St Kilda</v>
      </c>
      <c r="H106" s="177">
        <f>IFERROR(__xludf.DUMMYFUNCTION("""COMPUTED_VALUE"""),15.0)</f>
        <v>15</v>
      </c>
      <c r="I106" s="177">
        <f>IFERROR(__xludf.DUMMYFUNCTION("""COMPUTED_VALUE"""),100.0)</f>
        <v>100</v>
      </c>
      <c r="J106" s="178">
        <f>IFERROR(__xludf.DUMMYFUNCTION("""COMPUTED_VALUE"""),45809.63888888889)</f>
        <v>45809.63889</v>
      </c>
      <c r="K106" s="177">
        <f>IFERROR(__xludf.DUMMYFUNCTION("""COMPUTED_VALUE"""),21.0)</f>
        <v>21</v>
      </c>
      <c r="L106" s="177">
        <f>IFERROR(__xludf.DUMMYFUNCTION("""COMPUTED_VALUE"""),7.0)</f>
        <v>7</v>
      </c>
      <c r="M106" s="177">
        <f>IFERROR(__xludf.DUMMYFUNCTION("""COMPUTED_VALUE"""),63.0)</f>
        <v>63</v>
      </c>
      <c r="N106" s="177" t="str">
        <f>IFERROR(__xludf.DUMMYFUNCTION("""COMPUTED_VALUE"""),"Melbourne")</f>
        <v>Melbourne</v>
      </c>
      <c r="O106" s="177">
        <f>IFERROR(__xludf.DUMMYFUNCTION("""COMPUTED_VALUE"""),11.0)</f>
        <v>11</v>
      </c>
      <c r="P106" s="177">
        <f>IFERROR(__xludf.DUMMYFUNCTION("""COMPUTED_VALUE"""),0.0)</f>
        <v>0</v>
      </c>
      <c r="Q106" s="177">
        <f>IFERROR(__xludf.DUMMYFUNCTION("""COMPUTED_VALUE"""),0.0)</f>
        <v>0</v>
      </c>
      <c r="R106" s="178">
        <f>IFERROR(__xludf.DUMMYFUNCTION("""COMPUTED_VALUE"""),45809.618055555555)</f>
        <v>45809.61806</v>
      </c>
      <c r="S106" s="177">
        <f>IFERROR(__xludf.DUMMYFUNCTION("""COMPUTED_VALUE"""),12.0)</f>
        <v>12</v>
      </c>
      <c r="T106" s="177" t="str">
        <f>IFERROR(__xludf.DUMMYFUNCTION("""COMPUTED_VALUE"""),"Round 12")</f>
        <v>Round 12</v>
      </c>
      <c r="U106" s="177" t="str">
        <f>IFERROR(__xludf.DUMMYFUNCTION("""COMPUTED_VALUE"""),"Full Time")</f>
        <v>Full Time</v>
      </c>
      <c r="V106" s="177" t="str">
        <f>IFERROR(__xludf.DUMMYFUNCTION("""COMPUTED_VALUE"""),"+10:00")</f>
        <v>+10:00</v>
      </c>
      <c r="W106" s="177">
        <f>IFERROR(__xludf.DUMMYFUNCTION("""COMPUTED_VALUE"""),1.7487552E9)</f>
        <v>1748755200</v>
      </c>
      <c r="X106" s="178">
        <f>IFERROR(__xludf.DUMMYFUNCTION("""COMPUTED_VALUE"""),45809.745833333334)</f>
        <v>45809.74583</v>
      </c>
      <c r="Y106" s="177" t="str">
        <f>IFERROR(__xludf.DUMMYFUNCTION("""COMPUTED_VALUE"""),"Traeger Park")</f>
        <v>Traeger Park</v>
      </c>
      <c r="Z106" s="177" t="str">
        <f>IFERROR(__xludf.DUMMYFUNCTION("""COMPUTED_VALUE"""),"St Kilda")</f>
        <v>St Kilda</v>
      </c>
      <c r="AA106" s="177">
        <f>IFERROR(__xludf.DUMMYFUNCTION("""COMPUTED_VALUE"""),15.0)</f>
        <v>15</v>
      </c>
      <c r="AB106" s="177">
        <f>IFERROR(__xludf.DUMMYFUNCTION("""COMPUTED_VALUE"""),2025.0)</f>
        <v>2025</v>
      </c>
      <c r="AC106" s="177" t="str">
        <f t="shared" si="3"/>
        <v>Sunday</v>
      </c>
    </row>
    <row r="107">
      <c r="A107" s="175" t="str">
        <f t="shared" si="1"/>
        <v>127</v>
      </c>
      <c r="B107" s="176">
        <f t="shared" si="2"/>
        <v>7</v>
      </c>
      <c r="C107" s="177">
        <f>IFERROR(__xludf.DUMMYFUNCTION("""COMPUTED_VALUE"""),37195.0)</f>
        <v>37195</v>
      </c>
      <c r="D107" s="177">
        <f>IFERROR(__xludf.DUMMYFUNCTION("""COMPUTED_VALUE"""),14.0)</f>
        <v>14</v>
      </c>
      <c r="E107" s="177">
        <f>IFERROR(__xludf.DUMMYFUNCTION("""COMPUTED_VALUE"""),17.0)</f>
        <v>17</v>
      </c>
      <c r="F107" s="177">
        <f>IFERROR(__xludf.DUMMYFUNCTION("""COMPUTED_VALUE"""),116.0)</f>
        <v>116</v>
      </c>
      <c r="G107" s="177" t="str">
        <f>IFERROR(__xludf.DUMMYFUNCTION("""COMPUTED_VALUE"""),"Geelong")</f>
        <v>Geelong</v>
      </c>
      <c r="H107" s="177">
        <f>IFERROR(__xludf.DUMMYFUNCTION("""COMPUTED_VALUE"""),7.0)</f>
        <v>7</v>
      </c>
      <c r="I107" s="177">
        <f>IFERROR(__xludf.DUMMYFUNCTION("""COMPUTED_VALUE"""),100.0)</f>
        <v>100</v>
      </c>
      <c r="J107" s="178">
        <f>IFERROR(__xludf.DUMMYFUNCTION("""COMPUTED_VALUE"""),45809.805555555555)</f>
        <v>45809.80556</v>
      </c>
      <c r="K107" s="177">
        <f>IFERROR(__xludf.DUMMYFUNCTION("""COMPUTED_VALUE"""),7.0)</f>
        <v>7</v>
      </c>
      <c r="L107" s="177">
        <f>IFERROR(__xludf.DUMMYFUNCTION("""COMPUTED_VALUE"""),11.0)</f>
        <v>11</v>
      </c>
      <c r="M107" s="177">
        <f>IFERROR(__xludf.DUMMYFUNCTION("""COMPUTED_VALUE"""),73.0)</f>
        <v>73</v>
      </c>
      <c r="N107" s="177" t="str">
        <f>IFERROR(__xludf.DUMMYFUNCTION("""COMPUTED_VALUE"""),"West Coast")</f>
        <v>West Coast</v>
      </c>
      <c r="O107" s="177">
        <f>IFERROR(__xludf.DUMMYFUNCTION("""COMPUTED_VALUE"""),17.0)</f>
        <v>17</v>
      </c>
      <c r="P107" s="177">
        <f>IFERROR(__xludf.DUMMYFUNCTION("""COMPUTED_VALUE"""),0.0)</f>
        <v>0</v>
      </c>
      <c r="Q107" s="177">
        <f>IFERROR(__xludf.DUMMYFUNCTION("""COMPUTED_VALUE"""),0.0)</f>
        <v>0</v>
      </c>
      <c r="R107" s="178">
        <f>IFERROR(__xludf.DUMMYFUNCTION("""COMPUTED_VALUE"""),45809.72222222222)</f>
        <v>45809.72222</v>
      </c>
      <c r="S107" s="177">
        <f>IFERROR(__xludf.DUMMYFUNCTION("""COMPUTED_VALUE"""),12.0)</f>
        <v>12</v>
      </c>
      <c r="T107" s="177" t="str">
        <f>IFERROR(__xludf.DUMMYFUNCTION("""COMPUTED_VALUE"""),"Round 12")</f>
        <v>Round 12</v>
      </c>
      <c r="U107" s="177" t="str">
        <f>IFERROR(__xludf.DUMMYFUNCTION("""COMPUTED_VALUE"""),"Full Time")</f>
        <v>Full Time</v>
      </c>
      <c r="V107" s="177" t="str">
        <f>IFERROR(__xludf.DUMMYFUNCTION("""COMPUTED_VALUE"""),"+10:00")</f>
        <v>+10:00</v>
      </c>
      <c r="W107" s="177">
        <f>IFERROR(__xludf.DUMMYFUNCTION("""COMPUTED_VALUE"""),1.7487696E9)</f>
        <v>1748769600</v>
      </c>
      <c r="X107" s="178">
        <f>IFERROR(__xludf.DUMMYFUNCTION("""COMPUTED_VALUE"""),45809.91642361111)</f>
        <v>45809.91642</v>
      </c>
      <c r="Y107" s="177" t="str">
        <f>IFERROR(__xludf.DUMMYFUNCTION("""COMPUTED_VALUE"""),"Perth Stadium")</f>
        <v>Perth Stadium</v>
      </c>
      <c r="Z107" s="177" t="str">
        <f>IFERROR(__xludf.DUMMYFUNCTION("""COMPUTED_VALUE"""),"Geelong")</f>
        <v>Geelong</v>
      </c>
      <c r="AA107" s="177">
        <f>IFERROR(__xludf.DUMMYFUNCTION("""COMPUTED_VALUE"""),7.0)</f>
        <v>7</v>
      </c>
      <c r="AB107" s="177">
        <f>IFERROR(__xludf.DUMMYFUNCTION("""COMPUTED_VALUE"""),2025.0)</f>
        <v>2025</v>
      </c>
      <c r="AC107" s="177" t="str">
        <f t="shared" si="3"/>
        <v>Sunday</v>
      </c>
    </row>
    <row r="108">
      <c r="A108" s="175" t="str">
        <f t="shared" si="1"/>
        <v>131</v>
      </c>
      <c r="B108" s="176">
        <f t="shared" si="2"/>
        <v>1</v>
      </c>
      <c r="C108" s="177">
        <f>IFERROR(__xludf.DUMMYFUNCTION("""COMPUTED_VALUE"""),37196.0)</f>
        <v>37196</v>
      </c>
      <c r="D108" s="177">
        <f>IFERROR(__xludf.DUMMYFUNCTION("""COMPUTED_VALUE"""),9.0)</f>
        <v>9</v>
      </c>
      <c r="E108" s="177">
        <f>IFERROR(__xludf.DUMMYFUNCTION("""COMPUTED_VALUE"""),12.0)</f>
        <v>12</v>
      </c>
      <c r="F108" s="177">
        <f>IFERROR(__xludf.DUMMYFUNCTION("""COMPUTED_VALUE"""),81.0)</f>
        <v>81</v>
      </c>
      <c r="G108" s="177" t="str">
        <f>IFERROR(__xludf.DUMMYFUNCTION("""COMPUTED_VALUE"""),"Hawthorn")</f>
        <v>Hawthorn</v>
      </c>
      <c r="H108" s="177">
        <f>IFERROR(__xludf.DUMMYFUNCTION("""COMPUTED_VALUE"""),10.0)</f>
        <v>10</v>
      </c>
      <c r="I108" s="177">
        <f>IFERROR(__xludf.DUMMYFUNCTION("""COMPUTED_VALUE"""),100.0)</f>
        <v>100</v>
      </c>
      <c r="J108" s="178">
        <f>IFERROR(__xludf.DUMMYFUNCTION("""COMPUTED_VALUE"""),45813.8125)</f>
        <v>45813.8125</v>
      </c>
      <c r="K108" s="177">
        <f>IFERROR(__xludf.DUMMYFUNCTION("""COMPUTED_VALUE"""),11.0)</f>
        <v>11</v>
      </c>
      <c r="L108" s="177">
        <f>IFERROR(__xludf.DUMMYFUNCTION("""COMPUTED_VALUE"""),8.0)</f>
        <v>8</v>
      </c>
      <c r="M108" s="177">
        <f>IFERROR(__xludf.DUMMYFUNCTION("""COMPUTED_VALUE"""),59.0)</f>
        <v>59</v>
      </c>
      <c r="N108" s="177" t="str">
        <f>IFERROR(__xludf.DUMMYFUNCTION("""COMPUTED_VALUE"""),"Western Bulldogs")</f>
        <v>Western Bulldogs</v>
      </c>
      <c r="O108" s="177">
        <f>IFERROR(__xludf.DUMMYFUNCTION("""COMPUTED_VALUE"""),18.0)</f>
        <v>18</v>
      </c>
      <c r="P108" s="177">
        <f>IFERROR(__xludf.DUMMYFUNCTION("""COMPUTED_VALUE"""),0.0)</f>
        <v>0</v>
      </c>
      <c r="Q108" s="177">
        <f>IFERROR(__xludf.DUMMYFUNCTION("""COMPUTED_VALUE"""),0.0)</f>
        <v>0</v>
      </c>
      <c r="R108" s="178">
        <f>IFERROR(__xludf.DUMMYFUNCTION("""COMPUTED_VALUE"""),45813.8125)</f>
        <v>45813.8125</v>
      </c>
      <c r="S108" s="177">
        <f>IFERROR(__xludf.DUMMYFUNCTION("""COMPUTED_VALUE"""),13.0)</f>
        <v>13</v>
      </c>
      <c r="T108" s="177" t="str">
        <f>IFERROR(__xludf.DUMMYFUNCTION("""COMPUTED_VALUE"""),"Round 13")</f>
        <v>Round 13</v>
      </c>
      <c r="U108" s="177" t="str">
        <f>IFERROR(__xludf.DUMMYFUNCTION("""COMPUTED_VALUE"""),"Full Time")</f>
        <v>Full Time</v>
      </c>
      <c r="V108" s="177" t="str">
        <f>IFERROR(__xludf.DUMMYFUNCTION("""COMPUTED_VALUE"""),"+10:00")</f>
        <v>+10:00</v>
      </c>
      <c r="W108" s="177">
        <f>IFERROR(__xludf.DUMMYFUNCTION("""COMPUTED_VALUE"""),1.7491158E9)</f>
        <v>1749115800</v>
      </c>
      <c r="X108" s="178">
        <f>IFERROR(__xludf.DUMMYFUNCTION("""COMPUTED_VALUE"""),45813.923680555556)</f>
        <v>45813.92368</v>
      </c>
      <c r="Y108" s="177" t="str">
        <f>IFERROR(__xludf.DUMMYFUNCTION("""COMPUTED_VALUE"""),"Docklands")</f>
        <v>Docklands</v>
      </c>
      <c r="Z108" s="177" t="str">
        <f>IFERROR(__xludf.DUMMYFUNCTION("""COMPUTED_VALUE"""),"Hawthorn")</f>
        <v>Hawthorn</v>
      </c>
      <c r="AA108" s="177">
        <f>IFERROR(__xludf.DUMMYFUNCTION("""COMPUTED_VALUE"""),10.0)</f>
        <v>10</v>
      </c>
      <c r="AB108" s="177">
        <f>IFERROR(__xludf.DUMMYFUNCTION("""COMPUTED_VALUE"""),2025.0)</f>
        <v>2025</v>
      </c>
      <c r="AC108" s="177" t="str">
        <f t="shared" si="3"/>
        <v>Thursday</v>
      </c>
    </row>
    <row r="109">
      <c r="A109" s="175" t="str">
        <f t="shared" si="1"/>
        <v>132</v>
      </c>
      <c r="B109" s="176">
        <f t="shared" si="2"/>
        <v>2</v>
      </c>
      <c r="C109" s="177">
        <f>IFERROR(__xludf.DUMMYFUNCTION("""COMPUTED_VALUE"""),37197.0)</f>
        <v>37197</v>
      </c>
      <c r="D109" s="177">
        <f>IFERROR(__xludf.DUMMYFUNCTION("""COMPUTED_VALUE"""),15.0)</f>
        <v>15</v>
      </c>
      <c r="E109" s="177">
        <f>IFERROR(__xludf.DUMMYFUNCTION("""COMPUTED_VALUE"""),8.0)</f>
        <v>8</v>
      </c>
      <c r="F109" s="177">
        <f>IFERROR(__xludf.DUMMYFUNCTION("""COMPUTED_VALUE"""),63.0)</f>
        <v>63</v>
      </c>
      <c r="G109" s="177" t="str">
        <f>IFERROR(__xludf.DUMMYFUNCTION("""COMPUTED_VALUE"""),"Brisbane Lions")</f>
        <v>Brisbane Lions</v>
      </c>
      <c r="H109" s="177">
        <f>IFERROR(__xludf.DUMMYFUNCTION("""COMPUTED_VALUE"""),2.0)</f>
        <v>2</v>
      </c>
      <c r="I109" s="177">
        <f>IFERROR(__xludf.DUMMYFUNCTION("""COMPUTED_VALUE"""),100.0)</f>
        <v>100</v>
      </c>
      <c r="J109" s="178">
        <f>IFERROR(__xludf.DUMMYFUNCTION("""COMPUTED_VALUE"""),45814.819444444445)</f>
        <v>45814.81944</v>
      </c>
      <c r="K109" s="177">
        <f>IFERROR(__xludf.DUMMYFUNCTION("""COMPUTED_VALUE"""),8.0)</f>
        <v>8</v>
      </c>
      <c r="L109" s="177">
        <f>IFERROR(__xludf.DUMMYFUNCTION("""COMPUTED_VALUE"""),10.0)</f>
        <v>10</v>
      </c>
      <c r="M109" s="177">
        <f>IFERROR(__xludf.DUMMYFUNCTION("""COMPUTED_VALUE"""),68.0)</f>
        <v>68</v>
      </c>
      <c r="N109" s="177" t="str">
        <f>IFERROR(__xludf.DUMMYFUNCTION("""COMPUTED_VALUE"""),"Adelaide")</f>
        <v>Adelaide</v>
      </c>
      <c r="O109" s="177">
        <f>IFERROR(__xludf.DUMMYFUNCTION("""COMPUTED_VALUE"""),1.0)</f>
        <v>1</v>
      </c>
      <c r="P109" s="177">
        <f>IFERROR(__xludf.DUMMYFUNCTION("""COMPUTED_VALUE"""),0.0)</f>
        <v>0</v>
      </c>
      <c r="Q109" s="177">
        <f>IFERROR(__xludf.DUMMYFUNCTION("""COMPUTED_VALUE"""),0.0)</f>
        <v>0</v>
      </c>
      <c r="R109" s="178">
        <f>IFERROR(__xludf.DUMMYFUNCTION("""COMPUTED_VALUE"""),45814.79861111111)</f>
        <v>45814.79861</v>
      </c>
      <c r="S109" s="177">
        <f>IFERROR(__xludf.DUMMYFUNCTION("""COMPUTED_VALUE"""),13.0)</f>
        <v>13</v>
      </c>
      <c r="T109" s="177" t="str">
        <f>IFERROR(__xludf.DUMMYFUNCTION("""COMPUTED_VALUE"""),"Round 13")</f>
        <v>Round 13</v>
      </c>
      <c r="U109" s="177" t="str">
        <f>IFERROR(__xludf.DUMMYFUNCTION("""COMPUTED_VALUE"""),"Full Time")</f>
        <v>Full Time</v>
      </c>
      <c r="V109" s="177" t="str">
        <f>IFERROR(__xludf.DUMMYFUNCTION("""COMPUTED_VALUE"""),"+10:00")</f>
        <v>+10:00</v>
      </c>
      <c r="W109" s="177">
        <f>IFERROR(__xludf.DUMMYFUNCTION("""COMPUTED_VALUE"""),1.7492028E9)</f>
        <v>1749202800</v>
      </c>
      <c r="X109" s="178">
        <f>IFERROR(__xludf.DUMMYFUNCTION("""COMPUTED_VALUE"""),45814.932337962964)</f>
        <v>45814.93234</v>
      </c>
      <c r="Y109" s="177" t="str">
        <f>IFERROR(__xludf.DUMMYFUNCTION("""COMPUTED_VALUE"""),"Adelaide Oval")</f>
        <v>Adelaide Oval</v>
      </c>
      <c r="Z109" s="177" t="str">
        <f>IFERROR(__xludf.DUMMYFUNCTION("""COMPUTED_VALUE"""),"Adelaide")</f>
        <v>Adelaide</v>
      </c>
      <c r="AA109" s="177">
        <f>IFERROR(__xludf.DUMMYFUNCTION("""COMPUTED_VALUE"""),1.0)</f>
        <v>1</v>
      </c>
      <c r="AB109" s="177">
        <f>IFERROR(__xludf.DUMMYFUNCTION("""COMPUTED_VALUE"""),2025.0)</f>
        <v>2025</v>
      </c>
      <c r="AC109" s="177" t="str">
        <f t="shared" si="3"/>
        <v>Friday</v>
      </c>
    </row>
    <row r="110">
      <c r="A110" s="175" t="str">
        <f t="shared" si="1"/>
        <v>133</v>
      </c>
      <c r="B110" s="176">
        <f t="shared" si="2"/>
        <v>3</v>
      </c>
      <c r="C110" s="177">
        <f>IFERROR(__xludf.DUMMYFUNCTION("""COMPUTED_VALUE"""),37198.0)</f>
        <v>37198</v>
      </c>
      <c r="D110" s="177">
        <f>IFERROR(__xludf.DUMMYFUNCTION("""COMPUTED_VALUE"""),14.0)</f>
        <v>14</v>
      </c>
      <c r="E110" s="177">
        <f>IFERROR(__xludf.DUMMYFUNCTION("""COMPUTED_VALUE"""),11.0)</f>
        <v>11</v>
      </c>
      <c r="F110" s="177">
        <f>IFERROR(__xludf.DUMMYFUNCTION("""COMPUTED_VALUE"""),80.0)</f>
        <v>80</v>
      </c>
      <c r="G110" s="177" t="str">
        <f>IFERROR(__xludf.DUMMYFUNCTION("""COMPUTED_VALUE"""),"Sydney")</f>
        <v>Sydney</v>
      </c>
      <c r="H110" s="177">
        <f>IFERROR(__xludf.DUMMYFUNCTION("""COMPUTED_VALUE"""),16.0)</f>
        <v>16</v>
      </c>
      <c r="I110" s="177">
        <f>IFERROR(__xludf.DUMMYFUNCTION("""COMPUTED_VALUE"""),100.0)</f>
        <v>100</v>
      </c>
      <c r="J110" s="178">
        <f>IFERROR(__xludf.DUMMYFUNCTION("""COMPUTED_VALUE"""),45815.555555555555)</f>
        <v>45815.55556</v>
      </c>
      <c r="K110" s="177">
        <f>IFERROR(__xludf.DUMMYFUNCTION("""COMPUTED_VALUE"""),12.0)</f>
        <v>12</v>
      </c>
      <c r="L110" s="177">
        <f>IFERROR(__xludf.DUMMYFUNCTION("""COMPUTED_VALUE"""),4.0)</f>
        <v>4</v>
      </c>
      <c r="M110" s="177">
        <f>IFERROR(__xludf.DUMMYFUNCTION("""COMPUTED_VALUE"""),36.0)</f>
        <v>36</v>
      </c>
      <c r="N110" s="177" t="str">
        <f>IFERROR(__xludf.DUMMYFUNCTION("""COMPUTED_VALUE"""),"Richmond")</f>
        <v>Richmond</v>
      </c>
      <c r="O110" s="177">
        <f>IFERROR(__xludf.DUMMYFUNCTION("""COMPUTED_VALUE"""),14.0)</f>
        <v>14</v>
      </c>
      <c r="P110" s="177">
        <f>IFERROR(__xludf.DUMMYFUNCTION("""COMPUTED_VALUE"""),0.0)</f>
        <v>0</v>
      </c>
      <c r="Q110" s="177">
        <f>IFERROR(__xludf.DUMMYFUNCTION("""COMPUTED_VALUE"""),0.0)</f>
        <v>0</v>
      </c>
      <c r="R110" s="178">
        <f>IFERROR(__xludf.DUMMYFUNCTION("""COMPUTED_VALUE"""),45815.555555555555)</f>
        <v>45815.55556</v>
      </c>
      <c r="S110" s="177">
        <f>IFERROR(__xludf.DUMMYFUNCTION("""COMPUTED_VALUE"""),13.0)</f>
        <v>13</v>
      </c>
      <c r="T110" s="177" t="str">
        <f>IFERROR(__xludf.DUMMYFUNCTION("""COMPUTED_VALUE"""),"Round 13")</f>
        <v>Round 13</v>
      </c>
      <c r="U110" s="177" t="str">
        <f>IFERROR(__xludf.DUMMYFUNCTION("""COMPUTED_VALUE"""),"Full Time")</f>
        <v>Full Time</v>
      </c>
      <c r="V110" s="177" t="str">
        <f>IFERROR(__xludf.DUMMYFUNCTION("""COMPUTED_VALUE"""),"+10:00")</f>
        <v>+10:00</v>
      </c>
      <c r="W110" s="177">
        <f>IFERROR(__xludf.DUMMYFUNCTION("""COMPUTED_VALUE"""),1.7492664E9)</f>
        <v>1749266400</v>
      </c>
      <c r="X110" s="178">
        <f>IFERROR(__xludf.DUMMYFUNCTION("""COMPUTED_VALUE"""),45815.66332175926)</f>
        <v>45815.66332</v>
      </c>
      <c r="Y110" s="177" t="str">
        <f>IFERROR(__xludf.DUMMYFUNCTION("""COMPUTED_VALUE"""),"M.C.G.")</f>
        <v>M.C.G.</v>
      </c>
      <c r="Z110" s="177" t="str">
        <f>IFERROR(__xludf.DUMMYFUNCTION("""COMPUTED_VALUE"""),"Sydney")</f>
        <v>Sydney</v>
      </c>
      <c r="AA110" s="177">
        <f>IFERROR(__xludf.DUMMYFUNCTION("""COMPUTED_VALUE"""),16.0)</f>
        <v>16</v>
      </c>
      <c r="AB110" s="177">
        <f>IFERROR(__xludf.DUMMYFUNCTION("""COMPUTED_VALUE"""),2025.0)</f>
        <v>2025</v>
      </c>
      <c r="AC110" s="177" t="str">
        <f t="shared" si="3"/>
        <v>Saturday</v>
      </c>
    </row>
    <row r="111">
      <c r="A111" s="175" t="str">
        <f t="shared" si="1"/>
        <v>134</v>
      </c>
      <c r="B111" s="176">
        <f t="shared" si="2"/>
        <v>4</v>
      </c>
      <c r="C111" s="177">
        <f>IFERROR(__xludf.DUMMYFUNCTION("""COMPUTED_VALUE"""),37199.0)</f>
        <v>37199</v>
      </c>
      <c r="D111" s="177">
        <f>IFERROR(__xludf.DUMMYFUNCTION("""COMPUTED_VALUE"""),7.0)</f>
        <v>7</v>
      </c>
      <c r="E111" s="177">
        <f>IFERROR(__xludf.DUMMYFUNCTION("""COMPUTED_VALUE"""),5.0)</f>
        <v>5</v>
      </c>
      <c r="F111" s="177">
        <f>IFERROR(__xludf.DUMMYFUNCTION("""COMPUTED_VALUE"""),37.0)</f>
        <v>37</v>
      </c>
      <c r="G111" s="177" t="str">
        <f>IFERROR(__xludf.DUMMYFUNCTION("""COMPUTED_VALUE"""),"Gold Coast")</f>
        <v>Gold Coast</v>
      </c>
      <c r="H111" s="177">
        <f>IFERROR(__xludf.DUMMYFUNCTION("""COMPUTED_VALUE"""),8.0)</f>
        <v>8</v>
      </c>
      <c r="I111" s="177">
        <f>IFERROR(__xludf.DUMMYFUNCTION("""COMPUTED_VALUE"""),100.0)</f>
        <v>100</v>
      </c>
      <c r="J111" s="178">
        <f>IFERROR(__xludf.DUMMYFUNCTION("""COMPUTED_VALUE"""),45815.677083333336)</f>
        <v>45815.67708</v>
      </c>
      <c r="K111" s="177">
        <f>IFERROR(__xludf.DUMMYFUNCTION("""COMPUTED_VALUE"""),7.0)</f>
        <v>7</v>
      </c>
      <c r="L111" s="177">
        <f>IFERROR(__xludf.DUMMYFUNCTION("""COMPUTED_VALUE"""),9.0)</f>
        <v>9</v>
      </c>
      <c r="M111" s="177">
        <f>IFERROR(__xludf.DUMMYFUNCTION("""COMPUTED_VALUE"""),61.0)</f>
        <v>61</v>
      </c>
      <c r="N111" s="177" t="str">
        <f>IFERROR(__xludf.DUMMYFUNCTION("""COMPUTED_VALUE"""),"Geelong")</f>
        <v>Geelong</v>
      </c>
      <c r="O111" s="177">
        <f>IFERROR(__xludf.DUMMYFUNCTION("""COMPUTED_VALUE"""),7.0)</f>
        <v>7</v>
      </c>
      <c r="P111" s="177">
        <f>IFERROR(__xludf.DUMMYFUNCTION("""COMPUTED_VALUE"""),0.0)</f>
        <v>0</v>
      </c>
      <c r="Q111" s="177">
        <f>IFERROR(__xludf.DUMMYFUNCTION("""COMPUTED_VALUE"""),0.0)</f>
        <v>0</v>
      </c>
      <c r="R111" s="178">
        <f>IFERROR(__xludf.DUMMYFUNCTION("""COMPUTED_VALUE"""),45815.677083333336)</f>
        <v>45815.67708</v>
      </c>
      <c r="S111" s="177">
        <f>IFERROR(__xludf.DUMMYFUNCTION("""COMPUTED_VALUE"""),13.0)</f>
        <v>13</v>
      </c>
      <c r="T111" s="177" t="str">
        <f>IFERROR(__xludf.DUMMYFUNCTION("""COMPUTED_VALUE"""),"Round 13")</f>
        <v>Round 13</v>
      </c>
      <c r="U111" s="177" t="str">
        <f>IFERROR(__xludf.DUMMYFUNCTION("""COMPUTED_VALUE"""),"Full Time")</f>
        <v>Full Time</v>
      </c>
      <c r="V111" s="177" t="str">
        <f>IFERROR(__xludf.DUMMYFUNCTION("""COMPUTED_VALUE"""),"+10:00")</f>
        <v>+10:00</v>
      </c>
      <c r="W111" s="177">
        <f>IFERROR(__xludf.DUMMYFUNCTION("""COMPUTED_VALUE"""),1.7492769E9)</f>
        <v>1749276900</v>
      </c>
      <c r="X111" s="178">
        <f>IFERROR(__xludf.DUMMYFUNCTION("""COMPUTED_VALUE"""),45815.791354166664)</f>
        <v>45815.79135</v>
      </c>
      <c r="Y111" s="177" t="str">
        <f>IFERROR(__xludf.DUMMYFUNCTION("""COMPUTED_VALUE"""),"Kardinia Park")</f>
        <v>Kardinia Park</v>
      </c>
      <c r="Z111" s="177" t="str">
        <f>IFERROR(__xludf.DUMMYFUNCTION("""COMPUTED_VALUE"""),"Geelong")</f>
        <v>Geelong</v>
      </c>
      <c r="AA111" s="177">
        <f>IFERROR(__xludf.DUMMYFUNCTION("""COMPUTED_VALUE"""),7.0)</f>
        <v>7</v>
      </c>
      <c r="AB111" s="177">
        <f>IFERROR(__xludf.DUMMYFUNCTION("""COMPUTED_VALUE"""),2025.0)</f>
        <v>2025</v>
      </c>
      <c r="AC111" s="177" t="str">
        <f t="shared" si="3"/>
        <v>Saturday</v>
      </c>
    </row>
    <row r="112">
      <c r="A112" s="175" t="str">
        <f t="shared" si="1"/>
        <v>135</v>
      </c>
      <c r="B112" s="176">
        <f t="shared" si="2"/>
        <v>5</v>
      </c>
      <c r="C112" s="177">
        <f>IFERROR(__xludf.DUMMYFUNCTION("""COMPUTED_VALUE"""),37200.0)</f>
        <v>37200</v>
      </c>
      <c r="D112" s="177">
        <f>IFERROR(__xludf.DUMMYFUNCTION("""COMPUTED_VALUE"""),12.0)</f>
        <v>12</v>
      </c>
      <c r="E112" s="177">
        <f>IFERROR(__xludf.DUMMYFUNCTION("""COMPUTED_VALUE"""),9.0)</f>
        <v>9</v>
      </c>
      <c r="F112" s="177">
        <f>IFERROR(__xludf.DUMMYFUNCTION("""COMPUTED_VALUE"""),66.0)</f>
        <v>66</v>
      </c>
      <c r="G112" s="177" t="str">
        <f>IFERROR(__xludf.DUMMYFUNCTION("""COMPUTED_VALUE"""),"Port Adelaide")</f>
        <v>Port Adelaide</v>
      </c>
      <c r="H112" s="177">
        <f>IFERROR(__xludf.DUMMYFUNCTION("""COMPUTED_VALUE"""),13.0)</f>
        <v>13</v>
      </c>
      <c r="I112" s="177">
        <f>IFERROR(__xludf.DUMMYFUNCTION("""COMPUTED_VALUE"""),100.0)</f>
        <v>100</v>
      </c>
      <c r="J112" s="178">
        <f>IFERROR(__xludf.DUMMYFUNCTION("""COMPUTED_VALUE"""),45815.81597222222)</f>
        <v>45815.81597</v>
      </c>
      <c r="K112" s="177">
        <f>IFERROR(__xludf.DUMMYFUNCTION("""COMPUTED_VALUE"""),8.0)</f>
        <v>8</v>
      </c>
      <c r="L112" s="177">
        <f>IFERROR(__xludf.DUMMYFUNCTION("""COMPUTED_VALUE"""),7.0)</f>
        <v>7</v>
      </c>
      <c r="M112" s="177">
        <f>IFERROR(__xludf.DUMMYFUNCTION("""COMPUTED_VALUE"""),50.0)</f>
        <v>50</v>
      </c>
      <c r="N112" s="177" t="str">
        <f>IFERROR(__xludf.DUMMYFUNCTION("""COMPUTED_VALUE"""),"Greater Western Sydney")</f>
        <v>Greater Western Sydney</v>
      </c>
      <c r="O112" s="177">
        <f>IFERROR(__xludf.DUMMYFUNCTION("""COMPUTED_VALUE"""),9.0)</f>
        <v>9</v>
      </c>
      <c r="P112" s="177">
        <f>IFERROR(__xludf.DUMMYFUNCTION("""COMPUTED_VALUE"""),0.0)</f>
        <v>0</v>
      </c>
      <c r="Q112" s="177">
        <f>IFERROR(__xludf.DUMMYFUNCTION("""COMPUTED_VALUE"""),0.0)</f>
        <v>0</v>
      </c>
      <c r="R112" s="178">
        <f>IFERROR(__xludf.DUMMYFUNCTION("""COMPUTED_VALUE"""),45815.81597222222)</f>
        <v>45815.81597</v>
      </c>
      <c r="S112" s="177">
        <f>IFERROR(__xludf.DUMMYFUNCTION("""COMPUTED_VALUE"""),13.0)</f>
        <v>13</v>
      </c>
      <c r="T112" s="177" t="str">
        <f>IFERROR(__xludf.DUMMYFUNCTION("""COMPUTED_VALUE"""),"Round 13")</f>
        <v>Round 13</v>
      </c>
      <c r="U112" s="177" t="str">
        <f>IFERROR(__xludf.DUMMYFUNCTION("""COMPUTED_VALUE"""),"Full Time")</f>
        <v>Full Time</v>
      </c>
      <c r="V112" s="177" t="str">
        <f>IFERROR(__xludf.DUMMYFUNCTION("""COMPUTED_VALUE"""),"+10:00")</f>
        <v>+10:00</v>
      </c>
      <c r="W112" s="177">
        <f>IFERROR(__xludf.DUMMYFUNCTION("""COMPUTED_VALUE"""),1.7492889E9)</f>
        <v>1749288900</v>
      </c>
      <c r="X112" s="178">
        <f>IFERROR(__xludf.DUMMYFUNCTION("""COMPUTED_VALUE"""),45815.927881944444)</f>
        <v>45815.92788</v>
      </c>
      <c r="Y112" s="177" t="str">
        <f>IFERROR(__xludf.DUMMYFUNCTION("""COMPUTED_VALUE"""),"Manuka Oval")</f>
        <v>Manuka Oval</v>
      </c>
      <c r="Z112" s="177" t="str">
        <f>IFERROR(__xludf.DUMMYFUNCTION("""COMPUTED_VALUE"""),"Port Adelaide")</f>
        <v>Port Adelaide</v>
      </c>
      <c r="AA112" s="177">
        <f>IFERROR(__xludf.DUMMYFUNCTION("""COMPUTED_VALUE"""),13.0)</f>
        <v>13</v>
      </c>
      <c r="AB112" s="177">
        <f>IFERROR(__xludf.DUMMYFUNCTION("""COMPUTED_VALUE"""),2025.0)</f>
        <v>2025</v>
      </c>
      <c r="AC112" s="177" t="str">
        <f t="shared" si="3"/>
        <v>Saturday</v>
      </c>
    </row>
    <row r="113">
      <c r="A113" s="175" t="str">
        <f t="shared" si="1"/>
        <v>136</v>
      </c>
      <c r="B113" s="176">
        <f t="shared" si="2"/>
        <v>6</v>
      </c>
      <c r="C113" s="177">
        <f>IFERROR(__xludf.DUMMYFUNCTION("""COMPUTED_VALUE"""),37201.0)</f>
        <v>37201</v>
      </c>
      <c r="D113" s="177">
        <f>IFERROR(__xludf.DUMMYFUNCTION("""COMPUTED_VALUE"""),16.0)</f>
        <v>16</v>
      </c>
      <c r="E113" s="177">
        <f>IFERROR(__xludf.DUMMYFUNCTION("""COMPUTED_VALUE"""),6.0)</f>
        <v>6</v>
      </c>
      <c r="F113" s="177">
        <f>IFERROR(__xludf.DUMMYFUNCTION("""COMPUTED_VALUE"""),52.0)</f>
        <v>52</v>
      </c>
      <c r="G113" s="177" t="str">
        <f>IFERROR(__xludf.DUMMYFUNCTION("""COMPUTED_VALUE"""),"West Coast")</f>
        <v>West Coast</v>
      </c>
      <c r="H113" s="177">
        <f>IFERROR(__xludf.DUMMYFUNCTION("""COMPUTED_VALUE"""),17.0)</f>
        <v>17</v>
      </c>
      <c r="I113" s="177">
        <f>IFERROR(__xludf.DUMMYFUNCTION("""COMPUTED_VALUE"""),100.0)</f>
        <v>100</v>
      </c>
      <c r="J113" s="178">
        <f>IFERROR(__xludf.DUMMYFUNCTION("""COMPUTED_VALUE"""),45816.63888888889)</f>
        <v>45816.63889</v>
      </c>
      <c r="K113" s="177">
        <f>IFERROR(__xludf.DUMMYFUNCTION("""COMPUTED_VALUE"""),8.0)</f>
        <v>8</v>
      </c>
      <c r="L113" s="177">
        <f>IFERROR(__xludf.DUMMYFUNCTION("""COMPUTED_VALUE"""),9.0)</f>
        <v>9</v>
      </c>
      <c r="M113" s="177">
        <f>IFERROR(__xludf.DUMMYFUNCTION("""COMPUTED_VALUE"""),62.0)</f>
        <v>62</v>
      </c>
      <c r="N113" s="177" t="str">
        <f>IFERROR(__xludf.DUMMYFUNCTION("""COMPUTED_VALUE"""),"North Melbourne")</f>
        <v>North Melbourne</v>
      </c>
      <c r="O113" s="177">
        <f>IFERROR(__xludf.DUMMYFUNCTION("""COMPUTED_VALUE"""),12.0)</f>
        <v>12</v>
      </c>
      <c r="P113" s="177">
        <f>IFERROR(__xludf.DUMMYFUNCTION("""COMPUTED_VALUE"""),0.0)</f>
        <v>0</v>
      </c>
      <c r="Q113" s="177">
        <f>IFERROR(__xludf.DUMMYFUNCTION("""COMPUTED_VALUE"""),0.0)</f>
        <v>0</v>
      </c>
      <c r="R113" s="178">
        <f>IFERROR(__xludf.DUMMYFUNCTION("""COMPUTED_VALUE"""),45816.555555555555)</f>
        <v>45816.55556</v>
      </c>
      <c r="S113" s="177">
        <f>IFERROR(__xludf.DUMMYFUNCTION("""COMPUTED_VALUE"""),13.0)</f>
        <v>13</v>
      </c>
      <c r="T113" s="177" t="str">
        <f>IFERROR(__xludf.DUMMYFUNCTION("""COMPUTED_VALUE"""),"Round 13")</f>
        <v>Round 13</v>
      </c>
      <c r="U113" s="177" t="str">
        <f>IFERROR(__xludf.DUMMYFUNCTION("""COMPUTED_VALUE"""),"Full Time")</f>
        <v>Full Time</v>
      </c>
      <c r="V113" s="177" t="str">
        <f>IFERROR(__xludf.DUMMYFUNCTION("""COMPUTED_VALUE"""),"+10:00")</f>
        <v>+10:00</v>
      </c>
      <c r="W113" s="177">
        <f>IFERROR(__xludf.DUMMYFUNCTION("""COMPUTED_VALUE"""),1.74936E9)</f>
        <v>1749360000</v>
      </c>
      <c r="X113" s="178">
        <f>IFERROR(__xludf.DUMMYFUNCTION("""COMPUTED_VALUE"""),45816.74762731481)</f>
        <v>45816.74763</v>
      </c>
      <c r="Y113" s="177" t="str">
        <f>IFERROR(__xludf.DUMMYFUNCTION("""COMPUTED_VALUE"""),"Hands Oval")</f>
        <v>Hands Oval</v>
      </c>
      <c r="Z113" s="177" t="str">
        <f>IFERROR(__xludf.DUMMYFUNCTION("""COMPUTED_VALUE"""),"North Melbourne")</f>
        <v>North Melbourne</v>
      </c>
      <c r="AA113" s="177">
        <f>IFERROR(__xludf.DUMMYFUNCTION("""COMPUTED_VALUE"""),12.0)</f>
        <v>12</v>
      </c>
      <c r="AB113" s="177">
        <f>IFERROR(__xludf.DUMMYFUNCTION("""COMPUTED_VALUE"""),2025.0)</f>
        <v>2025</v>
      </c>
      <c r="AC113" s="177" t="str">
        <f t="shared" si="3"/>
        <v>Sunday</v>
      </c>
    </row>
    <row r="114">
      <c r="A114" s="175" t="str">
        <f t="shared" si="1"/>
        <v>137</v>
      </c>
      <c r="B114" s="176">
        <f t="shared" si="2"/>
        <v>7</v>
      </c>
      <c r="C114" s="177">
        <f>IFERROR(__xludf.DUMMYFUNCTION("""COMPUTED_VALUE"""),37202.0)</f>
        <v>37202</v>
      </c>
      <c r="D114" s="177">
        <f>IFERROR(__xludf.DUMMYFUNCTION("""COMPUTED_VALUE"""),4.0)</f>
        <v>4</v>
      </c>
      <c r="E114" s="177">
        <f>IFERROR(__xludf.DUMMYFUNCTION("""COMPUTED_VALUE"""),11.0)</f>
        <v>11</v>
      </c>
      <c r="F114" s="177">
        <f>IFERROR(__xludf.DUMMYFUNCTION("""COMPUTED_VALUE"""),70.0)</f>
        <v>70</v>
      </c>
      <c r="G114" s="177" t="str">
        <f>IFERROR(__xludf.DUMMYFUNCTION("""COMPUTED_VALUE"""),"Essendon")</f>
        <v>Essendon</v>
      </c>
      <c r="H114" s="177">
        <f>IFERROR(__xludf.DUMMYFUNCTION("""COMPUTED_VALUE"""),5.0)</f>
        <v>5</v>
      </c>
      <c r="I114" s="177">
        <f>IFERROR(__xludf.DUMMYFUNCTION("""COMPUTED_VALUE"""),100.0)</f>
        <v>100</v>
      </c>
      <c r="J114" s="178">
        <f>IFERROR(__xludf.DUMMYFUNCTION("""COMPUTED_VALUE"""),45816.805555555555)</f>
        <v>45816.80556</v>
      </c>
      <c r="K114" s="177">
        <f>IFERROR(__xludf.DUMMYFUNCTION("""COMPUTED_VALUE"""),12.0)</f>
        <v>12</v>
      </c>
      <c r="L114" s="177">
        <f>IFERROR(__xludf.DUMMYFUNCTION("""COMPUTED_VALUE"""),11.0)</f>
        <v>11</v>
      </c>
      <c r="M114" s="177">
        <f>IFERROR(__xludf.DUMMYFUNCTION("""COMPUTED_VALUE"""),78.0)</f>
        <v>78</v>
      </c>
      <c r="N114" s="177" t="str">
        <f>IFERROR(__xludf.DUMMYFUNCTION("""COMPUTED_VALUE"""),"Carlton")</f>
        <v>Carlton</v>
      </c>
      <c r="O114" s="177">
        <f>IFERROR(__xludf.DUMMYFUNCTION("""COMPUTED_VALUE"""),3.0)</f>
        <v>3</v>
      </c>
      <c r="P114" s="177">
        <f>IFERROR(__xludf.DUMMYFUNCTION("""COMPUTED_VALUE"""),0.0)</f>
        <v>0</v>
      </c>
      <c r="Q114" s="177">
        <f>IFERROR(__xludf.DUMMYFUNCTION("""COMPUTED_VALUE"""),0.0)</f>
        <v>0</v>
      </c>
      <c r="R114" s="178">
        <f>IFERROR(__xludf.DUMMYFUNCTION("""COMPUTED_VALUE"""),45816.805555555555)</f>
        <v>45816.80556</v>
      </c>
      <c r="S114" s="177">
        <f>IFERROR(__xludf.DUMMYFUNCTION("""COMPUTED_VALUE"""),13.0)</f>
        <v>13</v>
      </c>
      <c r="T114" s="177" t="str">
        <f>IFERROR(__xludf.DUMMYFUNCTION("""COMPUTED_VALUE"""),"Round 13")</f>
        <v>Round 13</v>
      </c>
      <c r="U114" s="177" t="str">
        <f>IFERROR(__xludf.DUMMYFUNCTION("""COMPUTED_VALUE"""),"Full Time")</f>
        <v>Full Time</v>
      </c>
      <c r="V114" s="177" t="str">
        <f>IFERROR(__xludf.DUMMYFUNCTION("""COMPUTED_VALUE"""),"+10:00")</f>
        <v>+10:00</v>
      </c>
      <c r="W114" s="177">
        <f>IFERROR(__xludf.DUMMYFUNCTION("""COMPUTED_VALUE"""),1.7493744E9)</f>
        <v>1749374400</v>
      </c>
      <c r="X114" s="178">
        <f>IFERROR(__xludf.DUMMYFUNCTION("""COMPUTED_VALUE"""),45816.91818287037)</f>
        <v>45816.91818</v>
      </c>
      <c r="Y114" s="177" t="str">
        <f>IFERROR(__xludf.DUMMYFUNCTION("""COMPUTED_VALUE"""),"M.C.G.")</f>
        <v>M.C.G.</v>
      </c>
      <c r="Z114" s="177" t="str">
        <f>IFERROR(__xludf.DUMMYFUNCTION("""COMPUTED_VALUE"""),"Carlton")</f>
        <v>Carlton</v>
      </c>
      <c r="AA114" s="177">
        <f>IFERROR(__xludf.DUMMYFUNCTION("""COMPUTED_VALUE"""),3.0)</f>
        <v>3</v>
      </c>
      <c r="AB114" s="177">
        <f>IFERROR(__xludf.DUMMYFUNCTION("""COMPUTED_VALUE"""),2025.0)</f>
        <v>2025</v>
      </c>
      <c r="AC114" s="177" t="str">
        <f t="shared" si="3"/>
        <v>Sunday</v>
      </c>
    </row>
    <row r="115">
      <c r="A115" s="175" t="str">
        <f t="shared" si="1"/>
        <v>138</v>
      </c>
      <c r="B115" s="176">
        <f t="shared" si="2"/>
        <v>8</v>
      </c>
      <c r="C115" s="177">
        <f>IFERROR(__xludf.DUMMYFUNCTION("""COMPUTED_VALUE"""),37203.0)</f>
        <v>37203</v>
      </c>
      <c r="D115" s="177">
        <f>IFERROR(__xludf.DUMMYFUNCTION("""COMPUTED_VALUE"""),6.0)</f>
        <v>6</v>
      </c>
      <c r="E115" s="177">
        <f>IFERROR(__xludf.DUMMYFUNCTION("""COMPUTED_VALUE"""),11.0)</f>
        <v>11</v>
      </c>
      <c r="F115" s="177">
        <f>IFERROR(__xludf.DUMMYFUNCTION("""COMPUTED_VALUE"""),72.0)</f>
        <v>72</v>
      </c>
      <c r="G115" s="177" t="str">
        <f>IFERROR(__xludf.DUMMYFUNCTION("""COMPUTED_VALUE"""),"Collingwood")</f>
        <v>Collingwood</v>
      </c>
      <c r="H115" s="177">
        <f>IFERROR(__xludf.DUMMYFUNCTION("""COMPUTED_VALUE"""),4.0)</f>
        <v>4</v>
      </c>
      <c r="I115" s="177">
        <f>IFERROR(__xludf.DUMMYFUNCTION("""COMPUTED_VALUE"""),100.0)</f>
        <v>100</v>
      </c>
      <c r="J115" s="178">
        <f>IFERROR(__xludf.DUMMYFUNCTION("""COMPUTED_VALUE"""),45817.63888888889)</f>
        <v>45817.63889</v>
      </c>
      <c r="K115" s="177">
        <f>IFERROR(__xludf.DUMMYFUNCTION("""COMPUTED_VALUE"""),11.0)</f>
        <v>11</v>
      </c>
      <c r="L115" s="177">
        <f>IFERROR(__xludf.DUMMYFUNCTION("""COMPUTED_VALUE"""),10.0)</f>
        <v>10</v>
      </c>
      <c r="M115" s="177">
        <f>IFERROR(__xludf.DUMMYFUNCTION("""COMPUTED_VALUE"""),71.0)</f>
        <v>71</v>
      </c>
      <c r="N115" s="177" t="str">
        <f>IFERROR(__xludf.DUMMYFUNCTION("""COMPUTED_VALUE"""),"Melbourne")</f>
        <v>Melbourne</v>
      </c>
      <c r="O115" s="177">
        <f>IFERROR(__xludf.DUMMYFUNCTION("""COMPUTED_VALUE"""),11.0)</f>
        <v>11</v>
      </c>
      <c r="P115" s="177">
        <f>IFERROR(__xludf.DUMMYFUNCTION("""COMPUTED_VALUE"""),0.0)</f>
        <v>0</v>
      </c>
      <c r="Q115" s="177">
        <f>IFERROR(__xludf.DUMMYFUNCTION("""COMPUTED_VALUE"""),0.0)</f>
        <v>0</v>
      </c>
      <c r="R115" s="178">
        <f>IFERROR(__xludf.DUMMYFUNCTION("""COMPUTED_VALUE"""),45817.63888888889)</f>
        <v>45817.63889</v>
      </c>
      <c r="S115" s="177">
        <f>IFERROR(__xludf.DUMMYFUNCTION("""COMPUTED_VALUE"""),13.0)</f>
        <v>13</v>
      </c>
      <c r="T115" s="177" t="str">
        <f>IFERROR(__xludf.DUMMYFUNCTION("""COMPUTED_VALUE"""),"Round 13")</f>
        <v>Round 13</v>
      </c>
      <c r="U115" s="177" t="str">
        <f>IFERROR(__xludf.DUMMYFUNCTION("""COMPUTED_VALUE"""),"Full Time")</f>
        <v>Full Time</v>
      </c>
      <c r="V115" s="177" t="str">
        <f>IFERROR(__xludf.DUMMYFUNCTION("""COMPUTED_VALUE"""),"+10:00")</f>
        <v>+10:00</v>
      </c>
      <c r="W115" s="177">
        <f>IFERROR(__xludf.DUMMYFUNCTION("""COMPUTED_VALUE"""),1.7494464E9)</f>
        <v>1749446400</v>
      </c>
      <c r="X115" s="178">
        <f>IFERROR(__xludf.DUMMYFUNCTION("""COMPUTED_VALUE"""),45817.749710648146)</f>
        <v>45817.74971</v>
      </c>
      <c r="Y115" s="177" t="str">
        <f>IFERROR(__xludf.DUMMYFUNCTION("""COMPUTED_VALUE"""),"M.C.G.")</f>
        <v>M.C.G.</v>
      </c>
      <c r="Z115" s="177" t="str">
        <f>IFERROR(__xludf.DUMMYFUNCTION("""COMPUTED_VALUE"""),"Collingwood")</f>
        <v>Collingwood</v>
      </c>
      <c r="AA115" s="177">
        <f>IFERROR(__xludf.DUMMYFUNCTION("""COMPUTED_VALUE"""),4.0)</f>
        <v>4</v>
      </c>
      <c r="AB115" s="177">
        <f>IFERROR(__xludf.DUMMYFUNCTION("""COMPUTED_VALUE"""),2025.0)</f>
        <v>2025</v>
      </c>
      <c r="AC115" s="177" t="str">
        <f t="shared" si="3"/>
        <v>Monday</v>
      </c>
    </row>
    <row r="116">
      <c r="A116" s="175" t="str">
        <f t="shared" si="1"/>
        <v>141</v>
      </c>
      <c r="B116" s="176">
        <f t="shared" si="2"/>
        <v>1</v>
      </c>
      <c r="C116" s="177">
        <f>IFERROR(__xludf.DUMMYFUNCTION("""COMPUTED_VALUE"""),37204.0)</f>
        <v>37204</v>
      </c>
      <c r="D116" s="177">
        <f>IFERROR(__xludf.DUMMYFUNCTION("""COMPUTED_VALUE"""),12.0)</f>
        <v>12</v>
      </c>
      <c r="E116" s="177">
        <f>IFERROR(__xludf.DUMMYFUNCTION("""COMPUTED_VALUE"""),20.0)</f>
        <v>20</v>
      </c>
      <c r="F116" s="177">
        <f>IFERROR(__xludf.DUMMYFUNCTION("""COMPUTED_VALUE"""),132.0)</f>
        <v>132</v>
      </c>
      <c r="G116" s="177" t="str">
        <f>IFERROR(__xludf.DUMMYFUNCTION("""COMPUTED_VALUE"""),"Western Bulldogs")</f>
        <v>Western Bulldogs</v>
      </c>
      <c r="H116" s="177">
        <f>IFERROR(__xludf.DUMMYFUNCTION("""COMPUTED_VALUE"""),18.0)</f>
        <v>18</v>
      </c>
      <c r="I116" s="177">
        <f>IFERROR(__xludf.DUMMYFUNCTION("""COMPUTED_VALUE"""),100.0)</f>
        <v>100</v>
      </c>
      <c r="J116" s="178">
        <f>IFERROR(__xludf.DUMMYFUNCTION("""COMPUTED_VALUE"""),45820.8125)</f>
        <v>45820.8125</v>
      </c>
      <c r="K116" s="177">
        <f>IFERROR(__xludf.DUMMYFUNCTION("""COMPUTED_VALUE"""),12.0)</f>
        <v>12</v>
      </c>
      <c r="L116" s="177">
        <f>IFERROR(__xludf.DUMMYFUNCTION("""COMPUTED_VALUE"""),8.0)</f>
        <v>8</v>
      </c>
      <c r="M116" s="177">
        <f>IFERROR(__xludf.DUMMYFUNCTION("""COMPUTED_VALUE"""),60.0)</f>
        <v>60</v>
      </c>
      <c r="N116" s="177" t="str">
        <f>IFERROR(__xludf.DUMMYFUNCTION("""COMPUTED_VALUE"""),"St Kilda")</f>
        <v>St Kilda</v>
      </c>
      <c r="O116" s="177">
        <f>IFERROR(__xludf.DUMMYFUNCTION("""COMPUTED_VALUE"""),15.0)</f>
        <v>15</v>
      </c>
      <c r="P116" s="177">
        <f>IFERROR(__xludf.DUMMYFUNCTION("""COMPUTED_VALUE"""),0.0)</f>
        <v>0</v>
      </c>
      <c r="Q116" s="177">
        <f>IFERROR(__xludf.DUMMYFUNCTION("""COMPUTED_VALUE"""),0.0)</f>
        <v>0</v>
      </c>
      <c r="R116" s="178">
        <f>IFERROR(__xludf.DUMMYFUNCTION("""COMPUTED_VALUE"""),45820.8125)</f>
        <v>45820.8125</v>
      </c>
      <c r="S116" s="177">
        <f>IFERROR(__xludf.DUMMYFUNCTION("""COMPUTED_VALUE"""),14.0)</f>
        <v>14</v>
      </c>
      <c r="T116" s="177" t="str">
        <f>IFERROR(__xludf.DUMMYFUNCTION("""COMPUTED_VALUE"""),"Round 14")</f>
        <v>Round 14</v>
      </c>
      <c r="U116" s="177" t="str">
        <f>IFERROR(__xludf.DUMMYFUNCTION("""COMPUTED_VALUE"""),"Full Time")</f>
        <v>Full Time</v>
      </c>
      <c r="V116" s="177" t="str">
        <f>IFERROR(__xludf.DUMMYFUNCTION("""COMPUTED_VALUE"""),"+10:00")</f>
        <v>+10:00</v>
      </c>
      <c r="W116" s="177">
        <f>IFERROR(__xludf.DUMMYFUNCTION("""COMPUTED_VALUE"""),1.7497206E9)</f>
        <v>1749720600</v>
      </c>
      <c r="X116" s="178">
        <f>IFERROR(__xludf.DUMMYFUNCTION("""COMPUTED_VALUE"""),45820.92787037037)</f>
        <v>45820.92787</v>
      </c>
      <c r="Y116" s="177" t="str">
        <f>IFERROR(__xludf.DUMMYFUNCTION("""COMPUTED_VALUE"""),"Docklands")</f>
        <v>Docklands</v>
      </c>
      <c r="Z116" s="177" t="str">
        <f>IFERROR(__xludf.DUMMYFUNCTION("""COMPUTED_VALUE"""),"Western Bulldogs")</f>
        <v>Western Bulldogs</v>
      </c>
      <c r="AA116" s="177">
        <f>IFERROR(__xludf.DUMMYFUNCTION("""COMPUTED_VALUE"""),18.0)</f>
        <v>18</v>
      </c>
      <c r="AB116" s="177">
        <f>IFERROR(__xludf.DUMMYFUNCTION("""COMPUTED_VALUE"""),2025.0)</f>
        <v>2025</v>
      </c>
      <c r="AC116" s="177" t="str">
        <f t="shared" si="3"/>
        <v>Thursday</v>
      </c>
    </row>
    <row r="117">
      <c r="A117" s="175" t="str">
        <f t="shared" si="1"/>
        <v>142</v>
      </c>
      <c r="B117" s="176">
        <f t="shared" si="2"/>
        <v>2</v>
      </c>
      <c r="C117" s="177">
        <f>IFERROR(__xludf.DUMMYFUNCTION("""COMPUTED_VALUE"""),37205.0)</f>
        <v>37205</v>
      </c>
      <c r="D117" s="177">
        <f>IFERROR(__xludf.DUMMYFUNCTION("""COMPUTED_VALUE"""),14.0)</f>
        <v>14</v>
      </c>
      <c r="E117" s="177">
        <f>IFERROR(__xludf.DUMMYFUNCTION("""COMPUTED_VALUE"""),5.0)</f>
        <v>5</v>
      </c>
      <c r="F117" s="177">
        <f>IFERROR(__xludf.DUMMYFUNCTION("""COMPUTED_VALUE"""),44.0)</f>
        <v>44</v>
      </c>
      <c r="G117" s="177" t="str">
        <f>IFERROR(__xludf.DUMMYFUNCTION("""COMPUTED_VALUE"""),"Adelaide")</f>
        <v>Adelaide</v>
      </c>
      <c r="H117" s="177">
        <f>IFERROR(__xludf.DUMMYFUNCTION("""COMPUTED_VALUE"""),1.0)</f>
        <v>1</v>
      </c>
      <c r="I117" s="177">
        <f>IFERROR(__xludf.DUMMYFUNCTION("""COMPUTED_VALUE"""),100.0)</f>
        <v>100</v>
      </c>
      <c r="J117" s="178">
        <f>IFERROR(__xludf.DUMMYFUNCTION("""COMPUTED_VALUE"""),45821.819444444445)</f>
        <v>45821.81944</v>
      </c>
      <c r="K117" s="177">
        <f>IFERROR(__xludf.DUMMYFUNCTION("""COMPUTED_VALUE"""),11.0)</f>
        <v>11</v>
      </c>
      <c r="L117" s="177">
        <f>IFERROR(__xludf.DUMMYFUNCTION("""COMPUTED_VALUE"""),6.0)</f>
        <v>6</v>
      </c>
      <c r="M117" s="177">
        <f>IFERROR(__xludf.DUMMYFUNCTION("""COMPUTED_VALUE"""),47.0)</f>
        <v>47</v>
      </c>
      <c r="N117" s="177" t="str">
        <f>IFERROR(__xludf.DUMMYFUNCTION("""COMPUTED_VALUE"""),"Hawthorn")</f>
        <v>Hawthorn</v>
      </c>
      <c r="O117" s="177">
        <f>IFERROR(__xludf.DUMMYFUNCTION("""COMPUTED_VALUE"""),10.0)</f>
        <v>10</v>
      </c>
      <c r="P117" s="177">
        <f>IFERROR(__xludf.DUMMYFUNCTION("""COMPUTED_VALUE"""),0.0)</f>
        <v>0</v>
      </c>
      <c r="Q117" s="177">
        <f>IFERROR(__xludf.DUMMYFUNCTION("""COMPUTED_VALUE"""),0.0)</f>
        <v>0</v>
      </c>
      <c r="R117" s="178">
        <f>IFERROR(__xludf.DUMMYFUNCTION("""COMPUTED_VALUE"""),45821.819444444445)</f>
        <v>45821.81944</v>
      </c>
      <c r="S117" s="177">
        <f>IFERROR(__xludf.DUMMYFUNCTION("""COMPUTED_VALUE"""),14.0)</f>
        <v>14</v>
      </c>
      <c r="T117" s="177" t="str">
        <f>IFERROR(__xludf.DUMMYFUNCTION("""COMPUTED_VALUE"""),"Round 14")</f>
        <v>Round 14</v>
      </c>
      <c r="U117" s="177" t="str">
        <f>IFERROR(__xludf.DUMMYFUNCTION("""COMPUTED_VALUE"""),"Full Time")</f>
        <v>Full Time</v>
      </c>
      <c r="V117" s="177" t="str">
        <f>IFERROR(__xludf.DUMMYFUNCTION("""COMPUTED_VALUE"""),"+10:00")</f>
        <v>+10:00</v>
      </c>
      <c r="W117" s="177">
        <f>IFERROR(__xludf.DUMMYFUNCTION("""COMPUTED_VALUE"""),1.7498076E9)</f>
        <v>1749807600</v>
      </c>
      <c r="X117" s="178">
        <f>IFERROR(__xludf.DUMMYFUNCTION("""COMPUTED_VALUE"""),45821.928391203706)</f>
        <v>45821.92839</v>
      </c>
      <c r="Y117" s="177" t="str">
        <f>IFERROR(__xludf.DUMMYFUNCTION("""COMPUTED_VALUE"""),"York Park")</f>
        <v>York Park</v>
      </c>
      <c r="Z117" s="177" t="str">
        <f>IFERROR(__xludf.DUMMYFUNCTION("""COMPUTED_VALUE"""),"Hawthorn")</f>
        <v>Hawthorn</v>
      </c>
      <c r="AA117" s="177">
        <f>IFERROR(__xludf.DUMMYFUNCTION("""COMPUTED_VALUE"""),10.0)</f>
        <v>10</v>
      </c>
      <c r="AB117" s="177">
        <f>IFERROR(__xludf.DUMMYFUNCTION("""COMPUTED_VALUE"""),2025.0)</f>
        <v>2025</v>
      </c>
      <c r="AC117" s="177" t="str">
        <f t="shared" si="3"/>
        <v>Friday</v>
      </c>
    </row>
    <row r="118">
      <c r="A118" s="175" t="str">
        <f t="shared" si="1"/>
        <v>143</v>
      </c>
      <c r="B118" s="176">
        <f t="shared" si="2"/>
        <v>3</v>
      </c>
      <c r="C118" s="177">
        <f>IFERROR(__xludf.DUMMYFUNCTION("""COMPUTED_VALUE"""),37206.0)</f>
        <v>37206</v>
      </c>
      <c r="D118" s="177">
        <f>IFERROR(__xludf.DUMMYFUNCTION("""COMPUTED_VALUE"""),5.0)</f>
        <v>5</v>
      </c>
      <c r="E118" s="177">
        <f>IFERROR(__xludf.DUMMYFUNCTION("""COMPUTED_VALUE"""),17.0)</f>
        <v>17</v>
      </c>
      <c r="F118" s="177">
        <f>IFERROR(__xludf.DUMMYFUNCTION("""COMPUTED_VALUE"""),107.0)</f>
        <v>107</v>
      </c>
      <c r="G118" s="177" t="str">
        <f>IFERROR(__xludf.DUMMYFUNCTION("""COMPUTED_VALUE"""),"Greater Western Sydney")</f>
        <v>Greater Western Sydney</v>
      </c>
      <c r="H118" s="177">
        <f>IFERROR(__xludf.DUMMYFUNCTION("""COMPUTED_VALUE"""),9.0)</f>
        <v>9</v>
      </c>
      <c r="I118" s="177">
        <f>IFERROR(__xludf.DUMMYFUNCTION("""COMPUTED_VALUE"""),100.0)</f>
        <v>100</v>
      </c>
      <c r="J118" s="178">
        <f>IFERROR(__xludf.DUMMYFUNCTION("""COMPUTED_VALUE"""),45822.555555555555)</f>
        <v>45822.55556</v>
      </c>
      <c r="K118" s="177">
        <f>IFERROR(__xludf.DUMMYFUNCTION("""COMPUTED_VALUE"""),18.0)</f>
        <v>18</v>
      </c>
      <c r="L118" s="177">
        <f>IFERROR(__xludf.DUMMYFUNCTION("""COMPUTED_VALUE"""),13.0)</f>
        <v>13</v>
      </c>
      <c r="M118" s="177">
        <f>IFERROR(__xludf.DUMMYFUNCTION("""COMPUTED_VALUE"""),96.0)</f>
        <v>96</v>
      </c>
      <c r="N118" s="177" t="str">
        <f>IFERROR(__xludf.DUMMYFUNCTION("""COMPUTED_VALUE"""),"Brisbane Lions")</f>
        <v>Brisbane Lions</v>
      </c>
      <c r="O118" s="177">
        <f>IFERROR(__xludf.DUMMYFUNCTION("""COMPUTED_VALUE"""),2.0)</f>
        <v>2</v>
      </c>
      <c r="P118" s="177">
        <f>IFERROR(__xludf.DUMMYFUNCTION("""COMPUTED_VALUE"""),0.0)</f>
        <v>0</v>
      </c>
      <c r="Q118" s="177">
        <f>IFERROR(__xludf.DUMMYFUNCTION("""COMPUTED_VALUE"""),0.0)</f>
        <v>0</v>
      </c>
      <c r="R118" s="178">
        <f>IFERROR(__xludf.DUMMYFUNCTION("""COMPUTED_VALUE"""),45822.555555555555)</f>
        <v>45822.55556</v>
      </c>
      <c r="S118" s="177">
        <f>IFERROR(__xludf.DUMMYFUNCTION("""COMPUTED_VALUE"""),14.0)</f>
        <v>14</v>
      </c>
      <c r="T118" s="177" t="str">
        <f>IFERROR(__xludf.DUMMYFUNCTION("""COMPUTED_VALUE"""),"Round 14")</f>
        <v>Round 14</v>
      </c>
      <c r="U118" s="177" t="str">
        <f>IFERROR(__xludf.DUMMYFUNCTION("""COMPUTED_VALUE"""),"Full Time")</f>
        <v>Full Time</v>
      </c>
      <c r="V118" s="177" t="str">
        <f>IFERROR(__xludf.DUMMYFUNCTION("""COMPUTED_VALUE"""),"+10:00")</f>
        <v>+10:00</v>
      </c>
      <c r="W118" s="177">
        <f>IFERROR(__xludf.DUMMYFUNCTION("""COMPUTED_VALUE"""),1.7498712E9)</f>
        <v>1749871200</v>
      </c>
      <c r="X118" s="178">
        <f>IFERROR(__xludf.DUMMYFUNCTION("""COMPUTED_VALUE"""),45822.67854166667)</f>
        <v>45822.67854</v>
      </c>
      <c r="Y118" s="177" t="str">
        <f>IFERROR(__xludf.DUMMYFUNCTION("""COMPUTED_VALUE"""),"Gabba")</f>
        <v>Gabba</v>
      </c>
      <c r="Z118" s="177" t="str">
        <f>IFERROR(__xludf.DUMMYFUNCTION("""COMPUTED_VALUE"""),"Greater Western Sydney")</f>
        <v>Greater Western Sydney</v>
      </c>
      <c r="AA118" s="177">
        <f>IFERROR(__xludf.DUMMYFUNCTION("""COMPUTED_VALUE"""),9.0)</f>
        <v>9</v>
      </c>
      <c r="AB118" s="177">
        <f>IFERROR(__xludf.DUMMYFUNCTION("""COMPUTED_VALUE"""),2025.0)</f>
        <v>2025</v>
      </c>
      <c r="AC118" s="177" t="str">
        <f t="shared" si="3"/>
        <v>Saturday</v>
      </c>
    </row>
    <row r="119">
      <c r="A119" s="175" t="str">
        <f t="shared" si="1"/>
        <v>144</v>
      </c>
      <c r="B119" s="176">
        <f t="shared" si="2"/>
        <v>4</v>
      </c>
      <c r="C119" s="177">
        <f>IFERROR(__xludf.DUMMYFUNCTION("""COMPUTED_VALUE"""),37207.0)</f>
        <v>37207</v>
      </c>
      <c r="D119" s="177">
        <f>IFERROR(__xludf.DUMMYFUNCTION("""COMPUTED_VALUE"""),13.0)</f>
        <v>13</v>
      </c>
      <c r="E119" s="177">
        <f>IFERROR(__xludf.DUMMYFUNCTION("""COMPUTED_VALUE"""),23.0)</f>
        <v>23</v>
      </c>
      <c r="F119" s="177">
        <f>IFERROR(__xludf.DUMMYFUNCTION("""COMPUTED_VALUE"""),151.0)</f>
        <v>151</v>
      </c>
      <c r="G119" s="177" t="str">
        <f>IFERROR(__xludf.DUMMYFUNCTION("""COMPUTED_VALUE"""),"Geelong")</f>
        <v>Geelong</v>
      </c>
      <c r="H119" s="177">
        <f>IFERROR(__xludf.DUMMYFUNCTION("""COMPUTED_VALUE"""),7.0)</f>
        <v>7</v>
      </c>
      <c r="I119" s="177">
        <f>IFERROR(__xludf.DUMMYFUNCTION("""COMPUTED_VALUE"""),100.0)</f>
        <v>100</v>
      </c>
      <c r="J119" s="178">
        <f>IFERROR(__xludf.DUMMYFUNCTION("""COMPUTED_VALUE"""),45822.677083333336)</f>
        <v>45822.67708</v>
      </c>
      <c r="K119" s="177">
        <f>IFERROR(__xludf.DUMMYFUNCTION("""COMPUTED_VALUE"""),8.0)</f>
        <v>8</v>
      </c>
      <c r="L119" s="177">
        <f>IFERROR(__xludf.DUMMYFUNCTION("""COMPUTED_VALUE"""),8.0)</f>
        <v>8</v>
      </c>
      <c r="M119" s="177">
        <f>IFERROR(__xludf.DUMMYFUNCTION("""COMPUTED_VALUE"""),56.0)</f>
        <v>56</v>
      </c>
      <c r="N119" s="177" t="str">
        <f>IFERROR(__xludf.DUMMYFUNCTION("""COMPUTED_VALUE"""),"Essendon")</f>
        <v>Essendon</v>
      </c>
      <c r="O119" s="177">
        <f>IFERROR(__xludf.DUMMYFUNCTION("""COMPUTED_VALUE"""),5.0)</f>
        <v>5</v>
      </c>
      <c r="P119" s="177">
        <f>IFERROR(__xludf.DUMMYFUNCTION("""COMPUTED_VALUE"""),0.0)</f>
        <v>0</v>
      </c>
      <c r="Q119" s="177">
        <f>IFERROR(__xludf.DUMMYFUNCTION("""COMPUTED_VALUE"""),0.0)</f>
        <v>0</v>
      </c>
      <c r="R119" s="178">
        <f>IFERROR(__xludf.DUMMYFUNCTION("""COMPUTED_VALUE"""),45822.677083333336)</f>
        <v>45822.67708</v>
      </c>
      <c r="S119" s="177">
        <f>IFERROR(__xludf.DUMMYFUNCTION("""COMPUTED_VALUE"""),14.0)</f>
        <v>14</v>
      </c>
      <c r="T119" s="177" t="str">
        <f>IFERROR(__xludf.DUMMYFUNCTION("""COMPUTED_VALUE"""),"Round 14")</f>
        <v>Round 14</v>
      </c>
      <c r="U119" s="177" t="str">
        <f>IFERROR(__xludf.DUMMYFUNCTION("""COMPUTED_VALUE"""),"Full Time")</f>
        <v>Full Time</v>
      </c>
      <c r="V119" s="177" t="str">
        <f>IFERROR(__xludf.DUMMYFUNCTION("""COMPUTED_VALUE"""),"+10:00")</f>
        <v>+10:00</v>
      </c>
      <c r="W119" s="177">
        <f>IFERROR(__xludf.DUMMYFUNCTION("""COMPUTED_VALUE"""),1.7498817E9)</f>
        <v>1749881700</v>
      </c>
      <c r="X119" s="178">
        <f>IFERROR(__xludf.DUMMYFUNCTION("""COMPUTED_VALUE"""),45822.78986111111)</f>
        <v>45822.78986</v>
      </c>
      <c r="Y119" s="177" t="str">
        <f>IFERROR(__xludf.DUMMYFUNCTION("""COMPUTED_VALUE"""),"M.C.G.")</f>
        <v>M.C.G.</v>
      </c>
      <c r="Z119" s="177" t="str">
        <f>IFERROR(__xludf.DUMMYFUNCTION("""COMPUTED_VALUE"""),"Geelong")</f>
        <v>Geelong</v>
      </c>
      <c r="AA119" s="177">
        <f>IFERROR(__xludf.DUMMYFUNCTION("""COMPUTED_VALUE"""),7.0)</f>
        <v>7</v>
      </c>
      <c r="AB119" s="177">
        <f>IFERROR(__xludf.DUMMYFUNCTION("""COMPUTED_VALUE"""),2025.0)</f>
        <v>2025</v>
      </c>
      <c r="AC119" s="177" t="str">
        <f t="shared" si="3"/>
        <v>Saturday</v>
      </c>
    </row>
    <row r="120">
      <c r="A120" s="175" t="str">
        <f t="shared" si="1"/>
        <v>145</v>
      </c>
      <c r="B120" s="176">
        <f t="shared" si="2"/>
        <v>5</v>
      </c>
      <c r="C120" s="177">
        <f>IFERROR(__xludf.DUMMYFUNCTION("""COMPUTED_VALUE"""),37208.0)</f>
        <v>37208</v>
      </c>
      <c r="D120" s="177">
        <f>IFERROR(__xludf.DUMMYFUNCTION("""COMPUTED_VALUE"""),13.0)</f>
        <v>13</v>
      </c>
      <c r="E120" s="177">
        <f>IFERROR(__xludf.DUMMYFUNCTION("""COMPUTED_VALUE"""),10.0)</f>
        <v>10</v>
      </c>
      <c r="F120" s="177">
        <f>IFERROR(__xludf.DUMMYFUNCTION("""COMPUTED_VALUE"""),73.0)</f>
        <v>73</v>
      </c>
      <c r="G120" s="177" t="str">
        <f>IFERROR(__xludf.DUMMYFUNCTION("""COMPUTED_VALUE"""),"Fremantle")</f>
        <v>Fremantle</v>
      </c>
      <c r="H120" s="177">
        <f>IFERROR(__xludf.DUMMYFUNCTION("""COMPUTED_VALUE"""),6.0)</f>
        <v>6</v>
      </c>
      <c r="I120" s="177">
        <f>IFERROR(__xludf.DUMMYFUNCTION("""COMPUTED_VALUE"""),100.0)</f>
        <v>100</v>
      </c>
      <c r="J120" s="178">
        <f>IFERROR(__xludf.DUMMYFUNCTION("""COMPUTED_VALUE"""),45822.81597222222)</f>
        <v>45822.81597</v>
      </c>
      <c r="K120" s="177">
        <f>IFERROR(__xludf.DUMMYFUNCTION("""COMPUTED_VALUE"""),7.0)</f>
        <v>7</v>
      </c>
      <c r="L120" s="177">
        <f>IFERROR(__xludf.DUMMYFUNCTION("""COMPUTED_VALUE"""),10.0)</f>
        <v>10</v>
      </c>
      <c r="M120" s="177">
        <f>IFERROR(__xludf.DUMMYFUNCTION("""COMPUTED_VALUE"""),67.0)</f>
        <v>67</v>
      </c>
      <c r="N120" s="177" t="str">
        <f>IFERROR(__xludf.DUMMYFUNCTION("""COMPUTED_VALUE"""),"North Melbourne")</f>
        <v>North Melbourne</v>
      </c>
      <c r="O120" s="177">
        <f>IFERROR(__xludf.DUMMYFUNCTION("""COMPUTED_VALUE"""),12.0)</f>
        <v>12</v>
      </c>
      <c r="P120" s="177">
        <f>IFERROR(__xludf.DUMMYFUNCTION("""COMPUTED_VALUE"""),0.0)</f>
        <v>0</v>
      </c>
      <c r="Q120" s="177">
        <f>IFERROR(__xludf.DUMMYFUNCTION("""COMPUTED_VALUE"""),0.0)</f>
        <v>0</v>
      </c>
      <c r="R120" s="178">
        <f>IFERROR(__xludf.DUMMYFUNCTION("""COMPUTED_VALUE"""),45822.73263888889)</f>
        <v>45822.73264</v>
      </c>
      <c r="S120" s="177">
        <f>IFERROR(__xludf.DUMMYFUNCTION("""COMPUTED_VALUE"""),14.0)</f>
        <v>14</v>
      </c>
      <c r="T120" s="177" t="str">
        <f>IFERROR(__xludf.DUMMYFUNCTION("""COMPUTED_VALUE"""),"Round 14")</f>
        <v>Round 14</v>
      </c>
      <c r="U120" s="177" t="str">
        <f>IFERROR(__xludf.DUMMYFUNCTION("""COMPUTED_VALUE"""),"Full Time")</f>
        <v>Full Time</v>
      </c>
      <c r="V120" s="177" t="str">
        <f>IFERROR(__xludf.DUMMYFUNCTION("""COMPUTED_VALUE"""),"+10:00")</f>
        <v>+10:00</v>
      </c>
      <c r="W120" s="177">
        <f>IFERROR(__xludf.DUMMYFUNCTION("""COMPUTED_VALUE"""),1.7498937E9)</f>
        <v>1749893700</v>
      </c>
      <c r="X120" s="178">
        <f>IFERROR(__xludf.DUMMYFUNCTION("""COMPUTED_VALUE"""),45822.92710648148)</f>
        <v>45822.92711</v>
      </c>
      <c r="Y120" s="177" t="str">
        <f>IFERROR(__xludf.DUMMYFUNCTION("""COMPUTED_VALUE"""),"Perth Stadium")</f>
        <v>Perth Stadium</v>
      </c>
      <c r="Z120" s="177" t="str">
        <f>IFERROR(__xludf.DUMMYFUNCTION("""COMPUTED_VALUE"""),"Fremantle")</f>
        <v>Fremantle</v>
      </c>
      <c r="AA120" s="177">
        <f>IFERROR(__xludf.DUMMYFUNCTION("""COMPUTED_VALUE"""),6.0)</f>
        <v>6</v>
      </c>
      <c r="AB120" s="177">
        <f>IFERROR(__xludf.DUMMYFUNCTION("""COMPUTED_VALUE"""),2025.0)</f>
        <v>2025</v>
      </c>
      <c r="AC120" s="177" t="str">
        <f t="shared" si="3"/>
        <v>Saturday</v>
      </c>
    </row>
    <row r="121">
      <c r="A121" s="175" t="str">
        <f t="shared" si="1"/>
        <v>146</v>
      </c>
      <c r="B121" s="176">
        <f t="shared" si="2"/>
        <v>6</v>
      </c>
      <c r="C121" s="177">
        <f>IFERROR(__xludf.DUMMYFUNCTION("""COMPUTED_VALUE"""),37209.0)</f>
        <v>37209</v>
      </c>
      <c r="D121" s="177">
        <f>IFERROR(__xludf.DUMMYFUNCTION("""COMPUTED_VALUE"""),14.0)</f>
        <v>14</v>
      </c>
      <c r="E121" s="177">
        <f>IFERROR(__xludf.DUMMYFUNCTION("""COMPUTED_VALUE"""),9.0)</f>
        <v>9</v>
      </c>
      <c r="F121" s="177">
        <f>IFERROR(__xludf.DUMMYFUNCTION("""COMPUTED_VALUE"""),68.0)</f>
        <v>68</v>
      </c>
      <c r="G121" s="177" t="str">
        <f>IFERROR(__xludf.DUMMYFUNCTION("""COMPUTED_VALUE"""),"Melbourne")</f>
        <v>Melbourne</v>
      </c>
      <c r="H121" s="177">
        <f>IFERROR(__xludf.DUMMYFUNCTION("""COMPUTED_VALUE"""),11.0)</f>
        <v>11</v>
      </c>
      <c r="I121" s="177">
        <f>IFERROR(__xludf.DUMMYFUNCTION("""COMPUTED_VALUE"""),100.0)</f>
        <v>100</v>
      </c>
      <c r="J121" s="178">
        <f>IFERROR(__xludf.DUMMYFUNCTION("""COMPUTED_VALUE"""),45823.63888888889)</f>
        <v>45823.63889</v>
      </c>
      <c r="K121" s="177">
        <f>IFERROR(__xludf.DUMMYFUNCTION("""COMPUTED_VALUE"""),9.0)</f>
        <v>9</v>
      </c>
      <c r="L121" s="177">
        <f>IFERROR(__xludf.DUMMYFUNCTION("""COMPUTED_VALUE"""),14.0)</f>
        <v>14</v>
      </c>
      <c r="M121" s="177">
        <f>IFERROR(__xludf.DUMMYFUNCTION("""COMPUTED_VALUE"""),93.0)</f>
        <v>93</v>
      </c>
      <c r="N121" s="177" t="str">
        <f>IFERROR(__xludf.DUMMYFUNCTION("""COMPUTED_VALUE"""),"Port Adelaide")</f>
        <v>Port Adelaide</v>
      </c>
      <c r="O121" s="177">
        <f>IFERROR(__xludf.DUMMYFUNCTION("""COMPUTED_VALUE"""),13.0)</f>
        <v>13</v>
      </c>
      <c r="P121" s="177">
        <f>IFERROR(__xludf.DUMMYFUNCTION("""COMPUTED_VALUE"""),0.0)</f>
        <v>0</v>
      </c>
      <c r="Q121" s="177">
        <f>IFERROR(__xludf.DUMMYFUNCTION("""COMPUTED_VALUE"""),0.0)</f>
        <v>0</v>
      </c>
      <c r="R121" s="178">
        <f>IFERROR(__xludf.DUMMYFUNCTION("""COMPUTED_VALUE"""),45823.618055555555)</f>
        <v>45823.61806</v>
      </c>
      <c r="S121" s="177">
        <f>IFERROR(__xludf.DUMMYFUNCTION("""COMPUTED_VALUE"""),14.0)</f>
        <v>14</v>
      </c>
      <c r="T121" s="177" t="str">
        <f>IFERROR(__xludf.DUMMYFUNCTION("""COMPUTED_VALUE"""),"Round 14")</f>
        <v>Round 14</v>
      </c>
      <c r="U121" s="177" t="str">
        <f>IFERROR(__xludf.DUMMYFUNCTION("""COMPUTED_VALUE"""),"Full Time")</f>
        <v>Full Time</v>
      </c>
      <c r="V121" s="177" t="str">
        <f>IFERROR(__xludf.DUMMYFUNCTION("""COMPUTED_VALUE"""),"+10:00")</f>
        <v>+10:00</v>
      </c>
      <c r="W121" s="177">
        <f>IFERROR(__xludf.DUMMYFUNCTION("""COMPUTED_VALUE"""),1.7499648E9)</f>
        <v>1749964800</v>
      </c>
      <c r="X121" s="178">
        <f>IFERROR(__xludf.DUMMYFUNCTION("""COMPUTED_VALUE"""),45823.74805555555)</f>
        <v>45823.74806</v>
      </c>
      <c r="Y121" s="177" t="str">
        <f>IFERROR(__xludf.DUMMYFUNCTION("""COMPUTED_VALUE"""),"Adelaide Oval")</f>
        <v>Adelaide Oval</v>
      </c>
      <c r="Z121" s="177" t="str">
        <f>IFERROR(__xludf.DUMMYFUNCTION("""COMPUTED_VALUE"""),"Port Adelaide")</f>
        <v>Port Adelaide</v>
      </c>
      <c r="AA121" s="177">
        <f>IFERROR(__xludf.DUMMYFUNCTION("""COMPUTED_VALUE"""),13.0)</f>
        <v>13</v>
      </c>
      <c r="AB121" s="177">
        <f>IFERROR(__xludf.DUMMYFUNCTION("""COMPUTED_VALUE"""),2025.0)</f>
        <v>2025</v>
      </c>
      <c r="AC121" s="177" t="str">
        <f t="shared" si="3"/>
        <v>Sunday</v>
      </c>
    </row>
    <row r="122">
      <c r="A122" s="175" t="str">
        <f t="shared" si="1"/>
        <v>147</v>
      </c>
      <c r="B122" s="176">
        <f t="shared" si="2"/>
        <v>7</v>
      </c>
      <c r="C122" s="177">
        <f>IFERROR(__xludf.DUMMYFUNCTION("""COMPUTED_VALUE"""),37210.0)</f>
        <v>37210</v>
      </c>
      <c r="D122" s="177">
        <f>IFERROR(__xludf.DUMMYFUNCTION("""COMPUTED_VALUE"""),14.0)</f>
        <v>14</v>
      </c>
      <c r="E122" s="177">
        <f>IFERROR(__xludf.DUMMYFUNCTION("""COMPUTED_VALUE"""),12.0)</f>
        <v>12</v>
      </c>
      <c r="F122" s="177">
        <f>IFERROR(__xludf.DUMMYFUNCTION("""COMPUTED_VALUE"""),86.0)</f>
        <v>86</v>
      </c>
      <c r="G122" s="177" t="str">
        <f>IFERROR(__xludf.DUMMYFUNCTION("""COMPUTED_VALUE"""),"Carlton")</f>
        <v>Carlton</v>
      </c>
      <c r="H122" s="177">
        <f>IFERROR(__xludf.DUMMYFUNCTION("""COMPUTED_VALUE"""),3.0)</f>
        <v>3</v>
      </c>
      <c r="I122" s="177">
        <f>IFERROR(__xludf.DUMMYFUNCTION("""COMPUTED_VALUE"""),100.0)</f>
        <v>100</v>
      </c>
      <c r="J122" s="178">
        <f>IFERROR(__xludf.DUMMYFUNCTION("""COMPUTED_VALUE"""),45823.756944444445)</f>
        <v>45823.75694</v>
      </c>
      <c r="K122" s="177">
        <f>IFERROR(__xludf.DUMMYFUNCTION("""COMPUTED_VALUE"""),10.0)</f>
        <v>10</v>
      </c>
      <c r="L122" s="177">
        <f>IFERROR(__xludf.DUMMYFUNCTION("""COMPUTED_VALUE"""),7.0)</f>
        <v>7</v>
      </c>
      <c r="M122" s="177">
        <f>IFERROR(__xludf.DUMMYFUNCTION("""COMPUTED_VALUE"""),52.0)</f>
        <v>52</v>
      </c>
      <c r="N122" s="177" t="str">
        <f>IFERROR(__xludf.DUMMYFUNCTION("""COMPUTED_VALUE"""),"West Coast")</f>
        <v>West Coast</v>
      </c>
      <c r="O122" s="177">
        <f>IFERROR(__xludf.DUMMYFUNCTION("""COMPUTED_VALUE"""),17.0)</f>
        <v>17</v>
      </c>
      <c r="P122" s="177">
        <f>IFERROR(__xludf.DUMMYFUNCTION("""COMPUTED_VALUE"""),0.0)</f>
        <v>0</v>
      </c>
      <c r="Q122" s="177">
        <f>IFERROR(__xludf.DUMMYFUNCTION("""COMPUTED_VALUE"""),0.0)</f>
        <v>0</v>
      </c>
      <c r="R122" s="178">
        <f>IFERROR(__xludf.DUMMYFUNCTION("""COMPUTED_VALUE"""),45823.67361111111)</f>
        <v>45823.67361</v>
      </c>
      <c r="S122" s="177">
        <f>IFERROR(__xludf.DUMMYFUNCTION("""COMPUTED_VALUE"""),14.0)</f>
        <v>14</v>
      </c>
      <c r="T122" s="177" t="str">
        <f>IFERROR(__xludf.DUMMYFUNCTION("""COMPUTED_VALUE"""),"Round 14")</f>
        <v>Round 14</v>
      </c>
      <c r="U122" s="177" t="str">
        <f>IFERROR(__xludf.DUMMYFUNCTION("""COMPUTED_VALUE"""),"Full Time")</f>
        <v>Full Time</v>
      </c>
      <c r="V122" s="177" t="str">
        <f>IFERROR(__xludf.DUMMYFUNCTION("""COMPUTED_VALUE"""),"+10:00")</f>
        <v>+10:00</v>
      </c>
      <c r="W122" s="177">
        <f>IFERROR(__xludf.DUMMYFUNCTION("""COMPUTED_VALUE"""),1.749975E9)</f>
        <v>1749975000</v>
      </c>
      <c r="X122" s="178">
        <f>IFERROR(__xludf.DUMMYFUNCTION("""COMPUTED_VALUE"""),45823.86523148148)</f>
        <v>45823.86523</v>
      </c>
      <c r="Y122" s="177" t="str">
        <f>IFERROR(__xludf.DUMMYFUNCTION("""COMPUTED_VALUE"""),"Perth Stadium")</f>
        <v>Perth Stadium</v>
      </c>
      <c r="Z122" s="177" t="str">
        <f>IFERROR(__xludf.DUMMYFUNCTION("""COMPUTED_VALUE"""),"Carlton")</f>
        <v>Carlton</v>
      </c>
      <c r="AA122" s="177">
        <f>IFERROR(__xludf.DUMMYFUNCTION("""COMPUTED_VALUE"""),3.0)</f>
        <v>3</v>
      </c>
      <c r="AB122" s="177">
        <f>IFERROR(__xludf.DUMMYFUNCTION("""COMPUTED_VALUE"""),2025.0)</f>
        <v>2025</v>
      </c>
      <c r="AC122" s="177" t="str">
        <f t="shared" si="3"/>
        <v>Sunday</v>
      </c>
    </row>
    <row r="123">
      <c r="A123" s="175" t="str">
        <f t="shared" si="1"/>
        <v>151</v>
      </c>
      <c r="B123" s="176">
        <f t="shared" si="2"/>
        <v>1</v>
      </c>
      <c r="C123" s="177">
        <f>IFERROR(__xludf.DUMMYFUNCTION("""COMPUTED_VALUE"""),37211.0)</f>
        <v>37211</v>
      </c>
      <c r="D123" s="177">
        <f>IFERROR(__xludf.DUMMYFUNCTION("""COMPUTED_VALUE"""),9.0)</f>
        <v>9</v>
      </c>
      <c r="E123" s="177">
        <f>IFERROR(__xludf.DUMMYFUNCTION("""COMPUTED_VALUE"""),9.0)</f>
        <v>9</v>
      </c>
      <c r="F123" s="177">
        <f>IFERROR(__xludf.DUMMYFUNCTION("""COMPUTED_VALUE"""),63.0)</f>
        <v>63</v>
      </c>
      <c r="G123" s="177" t="str">
        <f>IFERROR(__xludf.DUMMYFUNCTION("""COMPUTED_VALUE"""),"Essendon")</f>
        <v>Essendon</v>
      </c>
      <c r="H123" s="177">
        <f>IFERROR(__xludf.DUMMYFUNCTION("""COMPUTED_VALUE"""),5.0)</f>
        <v>5</v>
      </c>
      <c r="I123" s="177">
        <f>IFERROR(__xludf.DUMMYFUNCTION("""COMPUTED_VALUE"""),100.0)</f>
        <v>100</v>
      </c>
      <c r="J123" s="178">
        <f>IFERROR(__xludf.DUMMYFUNCTION("""COMPUTED_VALUE"""),45827.84027777778)</f>
        <v>45827.84028</v>
      </c>
      <c r="K123" s="177">
        <f>IFERROR(__xludf.DUMMYFUNCTION("""COMPUTED_VALUE"""),8.0)</f>
        <v>8</v>
      </c>
      <c r="L123" s="177">
        <f>IFERROR(__xludf.DUMMYFUNCTION("""COMPUTED_VALUE"""),16.0)</f>
        <v>16</v>
      </c>
      <c r="M123" s="177">
        <f>IFERROR(__xludf.DUMMYFUNCTION("""COMPUTED_VALUE"""),104.0)</f>
        <v>104</v>
      </c>
      <c r="N123" s="177" t="str">
        <f>IFERROR(__xludf.DUMMYFUNCTION("""COMPUTED_VALUE"""),"Fremantle")</f>
        <v>Fremantle</v>
      </c>
      <c r="O123" s="177">
        <f>IFERROR(__xludf.DUMMYFUNCTION("""COMPUTED_VALUE"""),6.0)</f>
        <v>6</v>
      </c>
      <c r="P123" s="177">
        <f>IFERROR(__xludf.DUMMYFUNCTION("""COMPUTED_VALUE"""),0.0)</f>
        <v>0</v>
      </c>
      <c r="Q123" s="177">
        <f>IFERROR(__xludf.DUMMYFUNCTION("""COMPUTED_VALUE"""),0.0)</f>
        <v>0</v>
      </c>
      <c r="R123" s="178">
        <f>IFERROR(__xludf.DUMMYFUNCTION("""COMPUTED_VALUE"""),45827.756944444445)</f>
        <v>45827.75694</v>
      </c>
      <c r="S123" s="177">
        <f>IFERROR(__xludf.DUMMYFUNCTION("""COMPUTED_VALUE"""),15.0)</f>
        <v>15</v>
      </c>
      <c r="T123" s="177" t="str">
        <f>IFERROR(__xludf.DUMMYFUNCTION("""COMPUTED_VALUE"""),"Round 15")</f>
        <v>Round 15</v>
      </c>
      <c r="U123" s="177" t="str">
        <f>IFERROR(__xludf.DUMMYFUNCTION("""COMPUTED_VALUE"""),"Full Time")</f>
        <v>Full Time</v>
      </c>
      <c r="V123" s="177" t="str">
        <f>IFERROR(__xludf.DUMMYFUNCTION("""COMPUTED_VALUE"""),"+10:00")</f>
        <v>+10:00</v>
      </c>
      <c r="W123" s="177">
        <f>IFERROR(__xludf.DUMMYFUNCTION("""COMPUTED_VALUE"""),1.7503278E9)</f>
        <v>1750327800</v>
      </c>
      <c r="X123" s="178">
        <f>IFERROR(__xludf.DUMMYFUNCTION("""COMPUTED_VALUE"""),45827.95071759259)</f>
        <v>45827.95072</v>
      </c>
      <c r="Y123" s="177" t="str">
        <f>IFERROR(__xludf.DUMMYFUNCTION("""COMPUTED_VALUE"""),"Perth Stadium")</f>
        <v>Perth Stadium</v>
      </c>
      <c r="Z123" s="177" t="str">
        <f>IFERROR(__xludf.DUMMYFUNCTION("""COMPUTED_VALUE"""),"Fremantle")</f>
        <v>Fremantle</v>
      </c>
      <c r="AA123" s="177">
        <f>IFERROR(__xludf.DUMMYFUNCTION("""COMPUTED_VALUE"""),6.0)</f>
        <v>6</v>
      </c>
      <c r="AB123" s="177">
        <f>IFERROR(__xludf.DUMMYFUNCTION("""COMPUTED_VALUE"""),2025.0)</f>
        <v>2025</v>
      </c>
      <c r="AC123" s="177" t="str">
        <f t="shared" si="3"/>
        <v>Thursday</v>
      </c>
    </row>
    <row r="124">
      <c r="A124" s="175" t="str">
        <f t="shared" si="1"/>
        <v>152</v>
      </c>
      <c r="B124" s="176">
        <f t="shared" si="2"/>
        <v>2</v>
      </c>
      <c r="C124" s="177">
        <f>IFERROR(__xludf.DUMMYFUNCTION("""COMPUTED_VALUE"""),37212.0)</f>
        <v>37212</v>
      </c>
      <c r="D124" s="177">
        <f>IFERROR(__xludf.DUMMYFUNCTION("""COMPUTED_VALUE"""),8.0)</f>
        <v>8</v>
      </c>
      <c r="E124" s="177">
        <f>IFERROR(__xludf.DUMMYFUNCTION("""COMPUTED_VALUE"""),14.0)</f>
        <v>14</v>
      </c>
      <c r="F124" s="177">
        <f>IFERROR(__xludf.DUMMYFUNCTION("""COMPUTED_VALUE"""),92.0)</f>
        <v>92</v>
      </c>
      <c r="G124" s="177" t="str">
        <f>IFERROR(__xludf.DUMMYFUNCTION("""COMPUTED_VALUE"""),"Brisbane Lions")</f>
        <v>Brisbane Lions</v>
      </c>
      <c r="H124" s="177">
        <f>IFERROR(__xludf.DUMMYFUNCTION("""COMPUTED_VALUE"""),2.0)</f>
        <v>2</v>
      </c>
      <c r="I124" s="177">
        <f>IFERROR(__xludf.DUMMYFUNCTION("""COMPUTED_VALUE"""),100.0)</f>
        <v>100</v>
      </c>
      <c r="J124" s="178">
        <f>IFERROR(__xludf.DUMMYFUNCTION("""COMPUTED_VALUE"""),45828.819444444445)</f>
        <v>45828.81944</v>
      </c>
      <c r="K124" s="177">
        <f>IFERROR(__xludf.DUMMYFUNCTION("""COMPUTED_VALUE"""),15.0)</f>
        <v>15</v>
      </c>
      <c r="L124" s="177">
        <f>IFERROR(__xludf.DUMMYFUNCTION("""COMPUTED_VALUE"""),6.0)</f>
        <v>6</v>
      </c>
      <c r="M124" s="177">
        <f>IFERROR(__xludf.DUMMYFUNCTION("""COMPUTED_VALUE"""),51.0)</f>
        <v>51</v>
      </c>
      <c r="N124" s="177" t="str">
        <f>IFERROR(__xludf.DUMMYFUNCTION("""COMPUTED_VALUE"""),"Geelong")</f>
        <v>Geelong</v>
      </c>
      <c r="O124" s="177">
        <f>IFERROR(__xludf.DUMMYFUNCTION("""COMPUTED_VALUE"""),7.0)</f>
        <v>7</v>
      </c>
      <c r="P124" s="177">
        <f>IFERROR(__xludf.DUMMYFUNCTION("""COMPUTED_VALUE"""),0.0)</f>
        <v>0</v>
      </c>
      <c r="Q124" s="177">
        <f>IFERROR(__xludf.DUMMYFUNCTION("""COMPUTED_VALUE"""),0.0)</f>
        <v>0</v>
      </c>
      <c r="R124" s="178">
        <f>IFERROR(__xludf.DUMMYFUNCTION("""COMPUTED_VALUE"""),45828.819444444445)</f>
        <v>45828.81944</v>
      </c>
      <c r="S124" s="177">
        <f>IFERROR(__xludf.DUMMYFUNCTION("""COMPUTED_VALUE"""),15.0)</f>
        <v>15</v>
      </c>
      <c r="T124" s="177" t="str">
        <f>IFERROR(__xludf.DUMMYFUNCTION("""COMPUTED_VALUE"""),"Round 15")</f>
        <v>Round 15</v>
      </c>
      <c r="U124" s="177" t="str">
        <f>IFERROR(__xludf.DUMMYFUNCTION("""COMPUTED_VALUE"""),"Full Time")</f>
        <v>Full Time</v>
      </c>
      <c r="V124" s="177" t="str">
        <f>IFERROR(__xludf.DUMMYFUNCTION("""COMPUTED_VALUE"""),"+10:00")</f>
        <v>+10:00</v>
      </c>
      <c r="W124" s="177">
        <f>IFERROR(__xludf.DUMMYFUNCTION("""COMPUTED_VALUE"""),1.7504124E9)</f>
        <v>1750412400</v>
      </c>
      <c r="X124" s="178">
        <f>IFERROR(__xludf.DUMMYFUNCTION("""COMPUTED_VALUE"""),45828.92980324074)</f>
        <v>45828.9298</v>
      </c>
      <c r="Y124" s="177" t="str">
        <f>IFERROR(__xludf.DUMMYFUNCTION("""COMPUTED_VALUE"""),"Kardinia Park")</f>
        <v>Kardinia Park</v>
      </c>
      <c r="Z124" s="177" t="str">
        <f>IFERROR(__xludf.DUMMYFUNCTION("""COMPUTED_VALUE"""),"Brisbane Lions")</f>
        <v>Brisbane Lions</v>
      </c>
      <c r="AA124" s="177">
        <f>IFERROR(__xludf.DUMMYFUNCTION("""COMPUTED_VALUE"""),2.0)</f>
        <v>2</v>
      </c>
      <c r="AB124" s="177">
        <f>IFERROR(__xludf.DUMMYFUNCTION("""COMPUTED_VALUE"""),2025.0)</f>
        <v>2025</v>
      </c>
      <c r="AC124" s="177" t="str">
        <f t="shared" si="3"/>
        <v>Friday</v>
      </c>
    </row>
    <row r="125">
      <c r="A125" s="175" t="str">
        <f t="shared" si="1"/>
        <v>153</v>
      </c>
      <c r="B125" s="176">
        <f t="shared" si="2"/>
        <v>3</v>
      </c>
      <c r="C125" s="177">
        <f>IFERROR(__xludf.DUMMYFUNCTION("""COMPUTED_VALUE"""),37213.0)</f>
        <v>37213</v>
      </c>
      <c r="D125" s="177">
        <f>IFERROR(__xludf.DUMMYFUNCTION("""COMPUTED_VALUE"""),6.0)</f>
        <v>6</v>
      </c>
      <c r="E125" s="177">
        <f>IFERROR(__xludf.DUMMYFUNCTION("""COMPUTED_VALUE"""),13.0)</f>
        <v>13</v>
      </c>
      <c r="F125" s="177">
        <f>IFERROR(__xludf.DUMMYFUNCTION("""COMPUTED_VALUE"""),84.0)</f>
        <v>84</v>
      </c>
      <c r="G125" s="177" t="str">
        <f>IFERROR(__xludf.DUMMYFUNCTION("""COMPUTED_VALUE"""),"North Melbourne")</f>
        <v>North Melbourne</v>
      </c>
      <c r="H125" s="177">
        <f>IFERROR(__xludf.DUMMYFUNCTION("""COMPUTED_VALUE"""),12.0)</f>
        <v>12</v>
      </c>
      <c r="I125" s="177">
        <f>IFERROR(__xludf.DUMMYFUNCTION("""COMPUTED_VALUE"""),100.0)</f>
        <v>100</v>
      </c>
      <c r="J125" s="178">
        <f>IFERROR(__xludf.DUMMYFUNCTION("""COMPUTED_VALUE"""),45829.555555555555)</f>
        <v>45829.55556</v>
      </c>
      <c r="K125" s="177">
        <f>IFERROR(__xludf.DUMMYFUNCTION("""COMPUTED_VALUE"""),13.0)</f>
        <v>13</v>
      </c>
      <c r="L125" s="177">
        <f>IFERROR(__xludf.DUMMYFUNCTION("""COMPUTED_VALUE"""),10.0)</f>
        <v>10</v>
      </c>
      <c r="M125" s="177">
        <f>IFERROR(__xludf.DUMMYFUNCTION("""COMPUTED_VALUE"""),73.0)</f>
        <v>73</v>
      </c>
      <c r="N125" s="177" t="str">
        <f>IFERROR(__xludf.DUMMYFUNCTION("""COMPUTED_VALUE"""),"Carlton")</f>
        <v>Carlton</v>
      </c>
      <c r="O125" s="177">
        <f>IFERROR(__xludf.DUMMYFUNCTION("""COMPUTED_VALUE"""),3.0)</f>
        <v>3</v>
      </c>
      <c r="P125" s="177">
        <f>IFERROR(__xludf.DUMMYFUNCTION("""COMPUTED_VALUE"""),0.0)</f>
        <v>0</v>
      </c>
      <c r="Q125" s="177">
        <f>IFERROR(__xludf.DUMMYFUNCTION("""COMPUTED_VALUE"""),0.0)</f>
        <v>0</v>
      </c>
      <c r="R125" s="178">
        <f>IFERROR(__xludf.DUMMYFUNCTION("""COMPUTED_VALUE"""),45829.555555555555)</f>
        <v>45829.55556</v>
      </c>
      <c r="S125" s="177">
        <f>IFERROR(__xludf.DUMMYFUNCTION("""COMPUTED_VALUE"""),15.0)</f>
        <v>15</v>
      </c>
      <c r="T125" s="177" t="str">
        <f>IFERROR(__xludf.DUMMYFUNCTION("""COMPUTED_VALUE"""),"Round 15")</f>
        <v>Round 15</v>
      </c>
      <c r="U125" s="177" t="str">
        <f>IFERROR(__xludf.DUMMYFUNCTION("""COMPUTED_VALUE"""),"Full Time")</f>
        <v>Full Time</v>
      </c>
      <c r="V125" s="177" t="str">
        <f>IFERROR(__xludf.DUMMYFUNCTION("""COMPUTED_VALUE"""),"+10:00")</f>
        <v>+10:00</v>
      </c>
      <c r="W125" s="177">
        <f>IFERROR(__xludf.DUMMYFUNCTION("""COMPUTED_VALUE"""),1.750476E9)</f>
        <v>1750476000</v>
      </c>
      <c r="X125" s="178">
        <f>IFERROR(__xludf.DUMMYFUNCTION("""COMPUTED_VALUE"""),45829.66706018519)</f>
        <v>45829.66706</v>
      </c>
      <c r="Y125" s="177" t="str">
        <f>IFERROR(__xludf.DUMMYFUNCTION("""COMPUTED_VALUE"""),"M.C.G.")</f>
        <v>M.C.G.</v>
      </c>
      <c r="Z125" s="177" t="str">
        <f>IFERROR(__xludf.DUMMYFUNCTION("""COMPUTED_VALUE"""),"North Melbourne")</f>
        <v>North Melbourne</v>
      </c>
      <c r="AA125" s="177">
        <f>IFERROR(__xludf.DUMMYFUNCTION("""COMPUTED_VALUE"""),12.0)</f>
        <v>12</v>
      </c>
      <c r="AB125" s="177">
        <f>IFERROR(__xludf.DUMMYFUNCTION("""COMPUTED_VALUE"""),2025.0)</f>
        <v>2025</v>
      </c>
      <c r="AC125" s="177" t="str">
        <f t="shared" si="3"/>
        <v>Saturday</v>
      </c>
    </row>
    <row r="126">
      <c r="A126" s="175" t="str">
        <f t="shared" si="1"/>
        <v>154</v>
      </c>
      <c r="B126" s="176">
        <f t="shared" si="2"/>
        <v>4</v>
      </c>
      <c r="C126" s="177">
        <f>IFERROR(__xludf.DUMMYFUNCTION("""COMPUTED_VALUE"""),37214.0)</f>
        <v>37214</v>
      </c>
      <c r="D126" s="177">
        <f>IFERROR(__xludf.DUMMYFUNCTION("""COMPUTED_VALUE"""),17.0)</f>
        <v>17</v>
      </c>
      <c r="E126" s="177">
        <f>IFERROR(__xludf.DUMMYFUNCTION("""COMPUTED_VALUE"""),9.0)</f>
        <v>9</v>
      </c>
      <c r="F126" s="177">
        <f>IFERROR(__xludf.DUMMYFUNCTION("""COMPUTED_VALUE"""),71.0)</f>
        <v>71</v>
      </c>
      <c r="G126" s="177" t="str">
        <f>IFERROR(__xludf.DUMMYFUNCTION("""COMPUTED_VALUE"""),"Sydney")</f>
        <v>Sydney</v>
      </c>
      <c r="H126" s="177">
        <f>IFERROR(__xludf.DUMMYFUNCTION("""COMPUTED_VALUE"""),16.0)</f>
        <v>16</v>
      </c>
      <c r="I126" s="177">
        <f>IFERROR(__xludf.DUMMYFUNCTION("""COMPUTED_VALUE"""),100.0)</f>
        <v>100</v>
      </c>
      <c r="J126" s="178">
        <f>IFERROR(__xludf.DUMMYFUNCTION("""COMPUTED_VALUE"""),45829.677083333336)</f>
        <v>45829.67708</v>
      </c>
      <c r="K126" s="177">
        <f>IFERROR(__xludf.DUMMYFUNCTION("""COMPUTED_VALUE"""),10.0)</f>
        <v>10</v>
      </c>
      <c r="L126" s="177">
        <f>IFERROR(__xludf.DUMMYFUNCTION("""COMPUTED_VALUE"""),7.0)</f>
        <v>7</v>
      </c>
      <c r="M126" s="177">
        <f>IFERROR(__xludf.DUMMYFUNCTION("""COMPUTED_VALUE"""),52.0)</f>
        <v>52</v>
      </c>
      <c r="N126" s="177" t="str">
        <f>IFERROR(__xludf.DUMMYFUNCTION("""COMPUTED_VALUE"""),"Port Adelaide")</f>
        <v>Port Adelaide</v>
      </c>
      <c r="O126" s="177">
        <f>IFERROR(__xludf.DUMMYFUNCTION("""COMPUTED_VALUE"""),13.0)</f>
        <v>13</v>
      </c>
      <c r="P126" s="177">
        <f>IFERROR(__xludf.DUMMYFUNCTION("""COMPUTED_VALUE"""),0.0)</f>
        <v>0</v>
      </c>
      <c r="Q126" s="177">
        <f>IFERROR(__xludf.DUMMYFUNCTION("""COMPUTED_VALUE"""),0.0)</f>
        <v>0</v>
      </c>
      <c r="R126" s="178">
        <f>IFERROR(__xludf.DUMMYFUNCTION("""COMPUTED_VALUE"""),45829.65625)</f>
        <v>45829.65625</v>
      </c>
      <c r="S126" s="177">
        <f>IFERROR(__xludf.DUMMYFUNCTION("""COMPUTED_VALUE"""),15.0)</f>
        <v>15</v>
      </c>
      <c r="T126" s="177" t="str">
        <f>IFERROR(__xludf.DUMMYFUNCTION("""COMPUTED_VALUE"""),"Round 15")</f>
        <v>Round 15</v>
      </c>
      <c r="U126" s="177" t="str">
        <f>IFERROR(__xludf.DUMMYFUNCTION("""COMPUTED_VALUE"""),"Full Time")</f>
        <v>Full Time</v>
      </c>
      <c r="V126" s="177" t="str">
        <f>IFERROR(__xludf.DUMMYFUNCTION("""COMPUTED_VALUE"""),"+10:00")</f>
        <v>+10:00</v>
      </c>
      <c r="W126" s="177">
        <f>IFERROR(__xludf.DUMMYFUNCTION("""COMPUTED_VALUE"""),1.7504865E9)</f>
        <v>1750486500</v>
      </c>
      <c r="X126" s="178">
        <f>IFERROR(__xludf.DUMMYFUNCTION("""COMPUTED_VALUE"""),45829.78236111111)</f>
        <v>45829.78236</v>
      </c>
      <c r="Y126" s="177" t="str">
        <f>IFERROR(__xludf.DUMMYFUNCTION("""COMPUTED_VALUE"""),"Adelaide Oval")</f>
        <v>Adelaide Oval</v>
      </c>
      <c r="Z126" s="177" t="str">
        <f>IFERROR(__xludf.DUMMYFUNCTION("""COMPUTED_VALUE"""),"Sydney")</f>
        <v>Sydney</v>
      </c>
      <c r="AA126" s="177">
        <f>IFERROR(__xludf.DUMMYFUNCTION("""COMPUTED_VALUE"""),16.0)</f>
        <v>16</v>
      </c>
      <c r="AB126" s="177">
        <f>IFERROR(__xludf.DUMMYFUNCTION("""COMPUTED_VALUE"""),2025.0)</f>
        <v>2025</v>
      </c>
      <c r="AC126" s="177" t="str">
        <f t="shared" si="3"/>
        <v>Saturday</v>
      </c>
    </row>
    <row r="127">
      <c r="A127" s="175" t="str">
        <f t="shared" si="1"/>
        <v>155</v>
      </c>
      <c r="B127" s="176">
        <f t="shared" si="2"/>
        <v>5</v>
      </c>
      <c r="C127" s="177">
        <f>IFERROR(__xludf.DUMMYFUNCTION("""COMPUTED_VALUE"""),37215.0)</f>
        <v>37215</v>
      </c>
      <c r="D127" s="177">
        <f>IFERROR(__xludf.DUMMYFUNCTION("""COMPUTED_VALUE"""),8.0)</f>
        <v>8</v>
      </c>
      <c r="E127" s="177">
        <f>IFERROR(__xludf.DUMMYFUNCTION("""COMPUTED_VALUE"""),11.0)</f>
        <v>11</v>
      </c>
      <c r="F127" s="177">
        <f>IFERROR(__xludf.DUMMYFUNCTION("""COMPUTED_VALUE"""),74.0)</f>
        <v>74</v>
      </c>
      <c r="G127" s="177" t="str">
        <f>IFERROR(__xludf.DUMMYFUNCTION("""COMPUTED_VALUE"""),"St Kilda")</f>
        <v>St Kilda</v>
      </c>
      <c r="H127" s="177">
        <f>IFERROR(__xludf.DUMMYFUNCTION("""COMPUTED_VALUE"""),15.0)</f>
        <v>15</v>
      </c>
      <c r="I127" s="177">
        <f>IFERROR(__xludf.DUMMYFUNCTION("""COMPUTED_VALUE"""),100.0)</f>
        <v>100</v>
      </c>
      <c r="J127" s="178">
        <f>IFERROR(__xludf.DUMMYFUNCTION("""COMPUTED_VALUE"""),45829.81597222222)</f>
        <v>45829.81597</v>
      </c>
      <c r="K127" s="177">
        <f>IFERROR(__xludf.DUMMYFUNCTION("""COMPUTED_VALUE"""),12.0)</f>
        <v>12</v>
      </c>
      <c r="L127" s="177">
        <f>IFERROR(__xludf.DUMMYFUNCTION("""COMPUTED_VALUE"""),16.0)</f>
        <v>16</v>
      </c>
      <c r="M127" s="177">
        <f>IFERROR(__xludf.DUMMYFUNCTION("""COMPUTED_VALUE"""),108.0)</f>
        <v>108</v>
      </c>
      <c r="N127" s="177" t="str">
        <f>IFERROR(__xludf.DUMMYFUNCTION("""COMPUTED_VALUE"""),"Collingwood")</f>
        <v>Collingwood</v>
      </c>
      <c r="O127" s="177">
        <f>IFERROR(__xludf.DUMMYFUNCTION("""COMPUTED_VALUE"""),4.0)</f>
        <v>4</v>
      </c>
      <c r="P127" s="177">
        <f>IFERROR(__xludf.DUMMYFUNCTION("""COMPUTED_VALUE"""),0.0)</f>
        <v>0</v>
      </c>
      <c r="Q127" s="177">
        <f>IFERROR(__xludf.DUMMYFUNCTION("""COMPUTED_VALUE"""),0.0)</f>
        <v>0</v>
      </c>
      <c r="R127" s="178">
        <f>IFERROR(__xludf.DUMMYFUNCTION("""COMPUTED_VALUE"""),45829.81597222222)</f>
        <v>45829.81597</v>
      </c>
      <c r="S127" s="177">
        <f>IFERROR(__xludf.DUMMYFUNCTION("""COMPUTED_VALUE"""),15.0)</f>
        <v>15</v>
      </c>
      <c r="T127" s="177" t="str">
        <f>IFERROR(__xludf.DUMMYFUNCTION("""COMPUTED_VALUE"""),"Round 15")</f>
        <v>Round 15</v>
      </c>
      <c r="U127" s="177" t="str">
        <f>IFERROR(__xludf.DUMMYFUNCTION("""COMPUTED_VALUE"""),"Full Time")</f>
        <v>Full Time</v>
      </c>
      <c r="V127" s="177" t="str">
        <f>IFERROR(__xludf.DUMMYFUNCTION("""COMPUTED_VALUE"""),"+10:00")</f>
        <v>+10:00</v>
      </c>
      <c r="W127" s="177">
        <f>IFERROR(__xludf.DUMMYFUNCTION("""COMPUTED_VALUE"""),1.7504985E9)</f>
        <v>1750498500</v>
      </c>
      <c r="X127" s="178">
        <f>IFERROR(__xludf.DUMMYFUNCTION("""COMPUTED_VALUE"""),45829.92737268518)</f>
        <v>45829.92737</v>
      </c>
      <c r="Y127" s="177" t="str">
        <f>IFERROR(__xludf.DUMMYFUNCTION("""COMPUTED_VALUE"""),"Docklands")</f>
        <v>Docklands</v>
      </c>
      <c r="Z127" s="177" t="str">
        <f>IFERROR(__xludf.DUMMYFUNCTION("""COMPUTED_VALUE"""),"Collingwood")</f>
        <v>Collingwood</v>
      </c>
      <c r="AA127" s="177">
        <f>IFERROR(__xludf.DUMMYFUNCTION("""COMPUTED_VALUE"""),4.0)</f>
        <v>4</v>
      </c>
      <c r="AB127" s="177">
        <f>IFERROR(__xludf.DUMMYFUNCTION("""COMPUTED_VALUE"""),2025.0)</f>
        <v>2025</v>
      </c>
      <c r="AC127" s="177" t="str">
        <f t="shared" si="3"/>
        <v>Saturday</v>
      </c>
    </row>
    <row r="128">
      <c r="A128" s="175" t="str">
        <f t="shared" si="1"/>
        <v>156</v>
      </c>
      <c r="B128" s="176">
        <f t="shared" si="2"/>
        <v>6</v>
      </c>
      <c r="C128" s="177">
        <f>IFERROR(__xludf.DUMMYFUNCTION("""COMPUTED_VALUE"""),37216.0)</f>
        <v>37216</v>
      </c>
      <c r="D128" s="177">
        <f>IFERROR(__xludf.DUMMYFUNCTION("""COMPUTED_VALUE"""),15.0)</f>
        <v>15</v>
      </c>
      <c r="E128" s="177">
        <f>IFERROR(__xludf.DUMMYFUNCTION("""COMPUTED_VALUE"""),14.0)</f>
        <v>14</v>
      </c>
      <c r="F128" s="177">
        <f>IFERROR(__xludf.DUMMYFUNCTION("""COMPUTED_VALUE"""),99.0)</f>
        <v>99</v>
      </c>
      <c r="G128" s="177" t="str">
        <f>IFERROR(__xludf.DUMMYFUNCTION("""COMPUTED_VALUE"""),"Gold Coast")</f>
        <v>Gold Coast</v>
      </c>
      <c r="H128" s="177">
        <f>IFERROR(__xludf.DUMMYFUNCTION("""COMPUTED_VALUE"""),8.0)</f>
        <v>8</v>
      </c>
      <c r="I128" s="177">
        <f>IFERROR(__xludf.DUMMYFUNCTION("""COMPUTED_VALUE"""),100.0)</f>
        <v>100</v>
      </c>
      <c r="J128" s="178">
        <f>IFERROR(__xludf.DUMMYFUNCTION("""COMPUTED_VALUE"""),45830.54861111111)</f>
        <v>45830.54861</v>
      </c>
      <c r="K128" s="177">
        <f>IFERROR(__xludf.DUMMYFUNCTION("""COMPUTED_VALUE"""),10.0)</f>
        <v>10</v>
      </c>
      <c r="L128" s="177">
        <f>IFERROR(__xludf.DUMMYFUNCTION("""COMPUTED_VALUE"""),16.0)</f>
        <v>16</v>
      </c>
      <c r="M128" s="177">
        <f>IFERROR(__xludf.DUMMYFUNCTION("""COMPUTED_VALUE"""),106.0)</f>
        <v>106</v>
      </c>
      <c r="N128" s="177" t="str">
        <f>IFERROR(__xludf.DUMMYFUNCTION("""COMPUTED_VALUE"""),"Greater Western Sydney")</f>
        <v>Greater Western Sydney</v>
      </c>
      <c r="O128" s="177">
        <f>IFERROR(__xludf.DUMMYFUNCTION("""COMPUTED_VALUE"""),9.0)</f>
        <v>9</v>
      </c>
      <c r="P128" s="177">
        <f>IFERROR(__xludf.DUMMYFUNCTION("""COMPUTED_VALUE"""),0.0)</f>
        <v>0</v>
      </c>
      <c r="Q128" s="177">
        <f>IFERROR(__xludf.DUMMYFUNCTION("""COMPUTED_VALUE"""),0.0)</f>
        <v>0</v>
      </c>
      <c r="R128" s="178">
        <f>IFERROR(__xludf.DUMMYFUNCTION("""COMPUTED_VALUE"""),45830.54861111111)</f>
        <v>45830.54861</v>
      </c>
      <c r="S128" s="177">
        <f>IFERROR(__xludf.DUMMYFUNCTION("""COMPUTED_VALUE"""),15.0)</f>
        <v>15</v>
      </c>
      <c r="T128" s="177" t="str">
        <f>IFERROR(__xludf.DUMMYFUNCTION("""COMPUTED_VALUE"""),"Round 15")</f>
        <v>Round 15</v>
      </c>
      <c r="U128" s="177" t="str">
        <f>IFERROR(__xludf.DUMMYFUNCTION("""COMPUTED_VALUE"""),"Full Time")</f>
        <v>Full Time</v>
      </c>
      <c r="V128" s="177" t="str">
        <f>IFERROR(__xludf.DUMMYFUNCTION("""COMPUTED_VALUE"""),"+10:00")</f>
        <v>+10:00</v>
      </c>
      <c r="W128" s="177">
        <f>IFERROR(__xludf.DUMMYFUNCTION("""COMPUTED_VALUE"""),1.7505618E9)</f>
        <v>1750561800</v>
      </c>
      <c r="X128" s="178">
        <f>IFERROR(__xludf.DUMMYFUNCTION("""COMPUTED_VALUE"""),45830.6674537037)</f>
        <v>45830.66745</v>
      </c>
      <c r="Y128" s="177" t="str">
        <f>IFERROR(__xludf.DUMMYFUNCTION("""COMPUTED_VALUE"""),"Sydney Showground")</f>
        <v>Sydney Showground</v>
      </c>
      <c r="Z128" s="177" t="str">
        <f>IFERROR(__xludf.DUMMYFUNCTION("""COMPUTED_VALUE"""),"Greater Western Sydney")</f>
        <v>Greater Western Sydney</v>
      </c>
      <c r="AA128" s="177">
        <f>IFERROR(__xludf.DUMMYFUNCTION("""COMPUTED_VALUE"""),9.0)</f>
        <v>9</v>
      </c>
      <c r="AB128" s="177">
        <f>IFERROR(__xludf.DUMMYFUNCTION("""COMPUTED_VALUE"""),2025.0)</f>
        <v>2025</v>
      </c>
      <c r="AC128" s="177" t="str">
        <f t="shared" si="3"/>
        <v>Sunday</v>
      </c>
    </row>
    <row r="129">
      <c r="A129" s="175" t="str">
        <f t="shared" si="1"/>
        <v>157</v>
      </c>
      <c r="B129" s="176">
        <f t="shared" si="2"/>
        <v>7</v>
      </c>
      <c r="C129" s="177">
        <f>IFERROR(__xludf.DUMMYFUNCTION("""COMPUTED_VALUE"""),37217.0)</f>
        <v>37217</v>
      </c>
      <c r="D129" s="177">
        <f>IFERROR(__xludf.DUMMYFUNCTION("""COMPUTED_VALUE"""),8.0)</f>
        <v>8</v>
      </c>
      <c r="E129" s="177">
        <f>IFERROR(__xludf.DUMMYFUNCTION("""COMPUTED_VALUE"""),8.0)</f>
        <v>8</v>
      </c>
      <c r="F129" s="177">
        <f>IFERROR(__xludf.DUMMYFUNCTION("""COMPUTED_VALUE"""),56.0)</f>
        <v>56</v>
      </c>
      <c r="G129" s="177" t="str">
        <f>IFERROR(__xludf.DUMMYFUNCTION("""COMPUTED_VALUE"""),"Richmond")</f>
        <v>Richmond</v>
      </c>
      <c r="H129" s="177">
        <f>IFERROR(__xludf.DUMMYFUNCTION("""COMPUTED_VALUE"""),14.0)</f>
        <v>14</v>
      </c>
      <c r="I129" s="177">
        <f>IFERROR(__xludf.DUMMYFUNCTION("""COMPUTED_VALUE"""),100.0)</f>
        <v>100</v>
      </c>
      <c r="J129" s="178">
        <f>IFERROR(__xludf.DUMMYFUNCTION("""COMPUTED_VALUE"""),45830.63888888889)</f>
        <v>45830.63889</v>
      </c>
      <c r="K129" s="177">
        <f>IFERROR(__xludf.DUMMYFUNCTION("""COMPUTED_VALUE"""),9.0)</f>
        <v>9</v>
      </c>
      <c r="L129" s="177">
        <f>IFERROR(__xludf.DUMMYFUNCTION("""COMPUTED_VALUE"""),21.0)</f>
        <v>21</v>
      </c>
      <c r="M129" s="177">
        <f>IFERROR(__xludf.DUMMYFUNCTION("""COMPUTED_VALUE"""),135.0)</f>
        <v>135</v>
      </c>
      <c r="N129" s="177" t="str">
        <f>IFERROR(__xludf.DUMMYFUNCTION("""COMPUTED_VALUE"""),"Western Bulldogs")</f>
        <v>Western Bulldogs</v>
      </c>
      <c r="O129" s="177">
        <f>IFERROR(__xludf.DUMMYFUNCTION("""COMPUTED_VALUE"""),18.0)</f>
        <v>18</v>
      </c>
      <c r="P129" s="177">
        <f>IFERROR(__xludf.DUMMYFUNCTION("""COMPUTED_VALUE"""),0.0)</f>
        <v>0</v>
      </c>
      <c r="Q129" s="177">
        <f>IFERROR(__xludf.DUMMYFUNCTION("""COMPUTED_VALUE"""),0.0)</f>
        <v>0</v>
      </c>
      <c r="R129" s="178">
        <f>IFERROR(__xludf.DUMMYFUNCTION("""COMPUTED_VALUE"""),45830.63888888889)</f>
        <v>45830.63889</v>
      </c>
      <c r="S129" s="177">
        <f>IFERROR(__xludf.DUMMYFUNCTION("""COMPUTED_VALUE"""),15.0)</f>
        <v>15</v>
      </c>
      <c r="T129" s="177" t="str">
        <f>IFERROR(__xludf.DUMMYFUNCTION("""COMPUTED_VALUE"""),"Round 15")</f>
        <v>Round 15</v>
      </c>
      <c r="U129" s="177" t="str">
        <f>IFERROR(__xludf.DUMMYFUNCTION("""COMPUTED_VALUE"""),"Full Time")</f>
        <v>Full Time</v>
      </c>
      <c r="V129" s="177" t="str">
        <f>IFERROR(__xludf.DUMMYFUNCTION("""COMPUTED_VALUE"""),"+10:00")</f>
        <v>+10:00</v>
      </c>
      <c r="W129" s="177">
        <f>IFERROR(__xludf.DUMMYFUNCTION("""COMPUTED_VALUE"""),1.7505696E9)</f>
        <v>1750569600</v>
      </c>
      <c r="X129" s="178">
        <f>IFERROR(__xludf.DUMMYFUNCTION("""COMPUTED_VALUE"""),45830.74696759259)</f>
        <v>45830.74697</v>
      </c>
      <c r="Y129" s="177" t="str">
        <f>IFERROR(__xludf.DUMMYFUNCTION("""COMPUTED_VALUE"""),"Docklands")</f>
        <v>Docklands</v>
      </c>
      <c r="Z129" s="177" t="str">
        <f>IFERROR(__xludf.DUMMYFUNCTION("""COMPUTED_VALUE"""),"Western Bulldogs")</f>
        <v>Western Bulldogs</v>
      </c>
      <c r="AA129" s="177">
        <f>IFERROR(__xludf.DUMMYFUNCTION("""COMPUTED_VALUE"""),18.0)</f>
        <v>18</v>
      </c>
      <c r="AB129" s="177">
        <f>IFERROR(__xludf.DUMMYFUNCTION("""COMPUTED_VALUE"""),2025.0)</f>
        <v>2025</v>
      </c>
      <c r="AC129" s="177" t="str">
        <f t="shared" si="3"/>
        <v>Sunday</v>
      </c>
    </row>
    <row r="130">
      <c r="A130" s="175" t="str">
        <f t="shared" si="1"/>
        <v>161</v>
      </c>
      <c r="B130" s="176">
        <f t="shared" si="2"/>
        <v>1</v>
      </c>
      <c r="C130" s="177">
        <f>IFERROR(__xludf.DUMMYFUNCTION("""COMPUTED_VALUE"""),37223.0)</f>
        <v>37223</v>
      </c>
      <c r="D130" s="177">
        <f>IFERROR(__xludf.DUMMYFUNCTION("""COMPUTED_VALUE"""),12.0)</f>
        <v>12</v>
      </c>
      <c r="E130" s="177">
        <f>IFERROR(__xludf.DUMMYFUNCTION("""COMPUTED_VALUE"""),8.0)</f>
        <v>8</v>
      </c>
      <c r="F130" s="177">
        <f>IFERROR(__xludf.DUMMYFUNCTION("""COMPUTED_VALUE"""),60.0)</f>
        <v>60</v>
      </c>
      <c r="G130" s="177" t="str">
        <f>IFERROR(__xludf.DUMMYFUNCTION("""COMPUTED_VALUE"""),"Carlton")</f>
        <v>Carlton</v>
      </c>
      <c r="H130" s="177">
        <f>IFERROR(__xludf.DUMMYFUNCTION("""COMPUTED_VALUE"""),3.0)</f>
        <v>3</v>
      </c>
      <c r="I130" s="177">
        <f>IFERROR(__xludf.DUMMYFUNCTION("""COMPUTED_VALUE"""),100.0)</f>
        <v>100</v>
      </c>
      <c r="J130" s="178">
        <f>IFERROR(__xludf.DUMMYFUNCTION("""COMPUTED_VALUE"""),45834.8125)</f>
        <v>45834.8125</v>
      </c>
      <c r="K130" s="177">
        <f>IFERROR(__xludf.DUMMYFUNCTION("""COMPUTED_VALUE"""),14.0)</f>
        <v>14</v>
      </c>
      <c r="L130" s="177">
        <f>IFERROR(__xludf.DUMMYFUNCTION("""COMPUTED_VALUE"""),16.0)</f>
        <v>16</v>
      </c>
      <c r="M130" s="177">
        <f>IFERROR(__xludf.DUMMYFUNCTION("""COMPUTED_VALUE"""),110.0)</f>
        <v>110</v>
      </c>
      <c r="N130" s="177" t="str">
        <f>IFERROR(__xludf.DUMMYFUNCTION("""COMPUTED_VALUE"""),"Port Adelaide")</f>
        <v>Port Adelaide</v>
      </c>
      <c r="O130" s="177">
        <f>IFERROR(__xludf.DUMMYFUNCTION("""COMPUTED_VALUE"""),13.0)</f>
        <v>13</v>
      </c>
      <c r="P130" s="177">
        <f>IFERROR(__xludf.DUMMYFUNCTION("""COMPUTED_VALUE"""),0.0)</f>
        <v>0</v>
      </c>
      <c r="Q130" s="177">
        <f>IFERROR(__xludf.DUMMYFUNCTION("""COMPUTED_VALUE"""),0.0)</f>
        <v>0</v>
      </c>
      <c r="R130" s="178">
        <f>IFERROR(__xludf.DUMMYFUNCTION("""COMPUTED_VALUE"""),45834.791666666664)</f>
        <v>45834.79167</v>
      </c>
      <c r="S130" s="177">
        <f>IFERROR(__xludf.DUMMYFUNCTION("""COMPUTED_VALUE"""),16.0)</f>
        <v>16</v>
      </c>
      <c r="T130" s="177" t="str">
        <f>IFERROR(__xludf.DUMMYFUNCTION("""COMPUTED_VALUE"""),"Round 16")</f>
        <v>Round 16</v>
      </c>
      <c r="U130" s="177" t="str">
        <f>IFERROR(__xludf.DUMMYFUNCTION("""COMPUTED_VALUE"""),"Full Time")</f>
        <v>Full Time</v>
      </c>
      <c r="V130" s="177" t="str">
        <f>IFERROR(__xludf.DUMMYFUNCTION("""COMPUTED_VALUE"""),"+10:00")</f>
        <v>+10:00</v>
      </c>
      <c r="W130" s="177">
        <f>IFERROR(__xludf.DUMMYFUNCTION("""COMPUTED_VALUE"""),1.7509302E9)</f>
        <v>1750930200</v>
      </c>
      <c r="X130" s="178">
        <f>IFERROR(__xludf.DUMMYFUNCTION("""COMPUTED_VALUE"""),45834.92611111111)</f>
        <v>45834.92611</v>
      </c>
      <c r="Y130" s="177" t="str">
        <f>IFERROR(__xludf.DUMMYFUNCTION("""COMPUTED_VALUE"""),"Adelaide Oval")</f>
        <v>Adelaide Oval</v>
      </c>
      <c r="Z130" s="177" t="str">
        <f>IFERROR(__xludf.DUMMYFUNCTION("""COMPUTED_VALUE"""),"Port Adelaide")</f>
        <v>Port Adelaide</v>
      </c>
      <c r="AA130" s="177">
        <f>IFERROR(__xludf.DUMMYFUNCTION("""COMPUTED_VALUE"""),13.0)</f>
        <v>13</v>
      </c>
      <c r="AB130" s="177">
        <f>IFERROR(__xludf.DUMMYFUNCTION("""COMPUTED_VALUE"""),2025.0)</f>
        <v>2025</v>
      </c>
      <c r="AC130" s="177" t="str">
        <f t="shared" si="3"/>
        <v>Thursday</v>
      </c>
    </row>
    <row r="131">
      <c r="A131" s="175" t="str">
        <f t="shared" si="1"/>
        <v>162</v>
      </c>
      <c r="B131" s="176">
        <f t="shared" si="2"/>
        <v>2</v>
      </c>
      <c r="C131" s="177">
        <f>IFERROR(__xludf.DUMMYFUNCTION("""COMPUTED_VALUE"""),37221.0)</f>
        <v>37221</v>
      </c>
      <c r="D131" s="177">
        <f>IFERROR(__xludf.DUMMYFUNCTION("""COMPUTED_VALUE"""),9.0)</f>
        <v>9</v>
      </c>
      <c r="E131" s="177">
        <f>IFERROR(__xludf.DUMMYFUNCTION("""COMPUTED_VALUE"""),16.0)</f>
        <v>16</v>
      </c>
      <c r="F131" s="177">
        <f>IFERROR(__xludf.DUMMYFUNCTION("""COMPUTED_VALUE"""),105.0)</f>
        <v>105</v>
      </c>
      <c r="G131" s="177" t="str">
        <f>IFERROR(__xludf.DUMMYFUNCTION("""COMPUTED_VALUE"""),"Western Bulldogs")</f>
        <v>Western Bulldogs</v>
      </c>
      <c r="H131" s="177">
        <f>IFERROR(__xludf.DUMMYFUNCTION("""COMPUTED_VALUE"""),18.0)</f>
        <v>18</v>
      </c>
      <c r="I131" s="177">
        <f>IFERROR(__xludf.DUMMYFUNCTION("""COMPUTED_VALUE"""),100.0)</f>
        <v>100</v>
      </c>
      <c r="J131" s="178">
        <f>IFERROR(__xludf.DUMMYFUNCTION("""COMPUTED_VALUE"""),45835.819444444445)</f>
        <v>45835.81944</v>
      </c>
      <c r="K131" s="177">
        <f>IFERROR(__xludf.DUMMYFUNCTION("""COMPUTED_VALUE"""),12.0)</f>
        <v>12</v>
      </c>
      <c r="L131" s="177">
        <f>IFERROR(__xludf.DUMMYFUNCTION("""COMPUTED_VALUE"""),14.0)</f>
        <v>14</v>
      </c>
      <c r="M131" s="177">
        <f>IFERROR(__xludf.DUMMYFUNCTION("""COMPUTED_VALUE"""),96.0)</f>
        <v>96</v>
      </c>
      <c r="N131" s="177" t="str">
        <f>IFERROR(__xludf.DUMMYFUNCTION("""COMPUTED_VALUE"""),"Sydney")</f>
        <v>Sydney</v>
      </c>
      <c r="O131" s="177">
        <f>IFERROR(__xludf.DUMMYFUNCTION("""COMPUTED_VALUE"""),16.0)</f>
        <v>16</v>
      </c>
      <c r="P131" s="177">
        <f>IFERROR(__xludf.DUMMYFUNCTION("""COMPUTED_VALUE"""),0.0)</f>
        <v>0</v>
      </c>
      <c r="Q131" s="177">
        <f>IFERROR(__xludf.DUMMYFUNCTION("""COMPUTED_VALUE"""),0.0)</f>
        <v>0</v>
      </c>
      <c r="R131" s="178">
        <f>IFERROR(__xludf.DUMMYFUNCTION("""COMPUTED_VALUE"""),45835.819444444445)</f>
        <v>45835.81944</v>
      </c>
      <c r="S131" s="177">
        <f>IFERROR(__xludf.DUMMYFUNCTION("""COMPUTED_VALUE"""),16.0)</f>
        <v>16</v>
      </c>
      <c r="T131" s="177" t="str">
        <f>IFERROR(__xludf.DUMMYFUNCTION("""COMPUTED_VALUE"""),"Round 16")</f>
        <v>Round 16</v>
      </c>
      <c r="U131" s="177" t="str">
        <f>IFERROR(__xludf.DUMMYFUNCTION("""COMPUTED_VALUE"""),"Full Time")</f>
        <v>Full Time</v>
      </c>
      <c r="V131" s="177" t="str">
        <f>IFERROR(__xludf.DUMMYFUNCTION("""COMPUTED_VALUE"""),"+10:00")</f>
        <v>+10:00</v>
      </c>
      <c r="W131" s="177">
        <f>IFERROR(__xludf.DUMMYFUNCTION("""COMPUTED_VALUE"""),1.7510172E9)</f>
        <v>1751017200</v>
      </c>
      <c r="X131" s="178">
        <f>IFERROR(__xludf.DUMMYFUNCTION("""COMPUTED_VALUE"""),45835.931805555556)</f>
        <v>45835.93181</v>
      </c>
      <c r="Y131" s="177" t="str">
        <f>IFERROR(__xludf.DUMMYFUNCTION("""COMPUTED_VALUE"""),"S.C.G.")</f>
        <v>S.C.G.</v>
      </c>
      <c r="Z131" s="177" t="str">
        <f>IFERROR(__xludf.DUMMYFUNCTION("""COMPUTED_VALUE"""),"Western Bulldogs")</f>
        <v>Western Bulldogs</v>
      </c>
      <c r="AA131" s="177">
        <f>IFERROR(__xludf.DUMMYFUNCTION("""COMPUTED_VALUE"""),18.0)</f>
        <v>18</v>
      </c>
      <c r="AB131" s="177">
        <f>IFERROR(__xludf.DUMMYFUNCTION("""COMPUTED_VALUE"""),2025.0)</f>
        <v>2025</v>
      </c>
      <c r="AC131" s="177" t="str">
        <f t="shared" si="3"/>
        <v>Friday</v>
      </c>
    </row>
    <row r="132">
      <c r="A132" s="175" t="str">
        <f t="shared" si="1"/>
        <v>163</v>
      </c>
      <c r="B132" s="176">
        <f t="shared" si="2"/>
        <v>3</v>
      </c>
      <c r="C132" s="177">
        <f>IFERROR(__xludf.DUMMYFUNCTION("""COMPUTED_VALUE"""),37220.0)</f>
        <v>37220</v>
      </c>
      <c r="D132" s="177">
        <f>IFERROR(__xludf.DUMMYFUNCTION("""COMPUTED_VALUE"""),13.0)</f>
        <v>13</v>
      </c>
      <c r="E132" s="177">
        <f>IFERROR(__xludf.DUMMYFUNCTION("""COMPUTED_VALUE"""),12.0)</f>
        <v>12</v>
      </c>
      <c r="F132" s="177">
        <f>IFERROR(__xludf.DUMMYFUNCTION("""COMPUTED_VALUE"""),85.0)</f>
        <v>85</v>
      </c>
      <c r="G132" s="177" t="str">
        <f>IFERROR(__xludf.DUMMYFUNCTION("""COMPUTED_VALUE"""),"Melbourne")</f>
        <v>Melbourne</v>
      </c>
      <c r="H132" s="177">
        <f>IFERROR(__xludf.DUMMYFUNCTION("""COMPUTED_VALUE"""),11.0)</f>
        <v>11</v>
      </c>
      <c r="I132" s="177">
        <f>IFERROR(__xludf.DUMMYFUNCTION("""COMPUTED_VALUE"""),100.0)</f>
        <v>100</v>
      </c>
      <c r="J132" s="178">
        <f>IFERROR(__xludf.DUMMYFUNCTION("""COMPUTED_VALUE"""),45836.555555555555)</f>
        <v>45836.55556</v>
      </c>
      <c r="K132" s="177">
        <f>IFERROR(__xludf.DUMMYFUNCTION("""COMPUTED_VALUE"""),14.0)</f>
        <v>14</v>
      </c>
      <c r="L132" s="177">
        <f>IFERROR(__xludf.DUMMYFUNCTION("""COMPUTED_VALUE"""),15.0)</f>
        <v>15</v>
      </c>
      <c r="M132" s="177">
        <f>IFERROR(__xludf.DUMMYFUNCTION("""COMPUTED_VALUE"""),104.0)</f>
        <v>104</v>
      </c>
      <c r="N132" s="177" t="str">
        <f>IFERROR(__xludf.DUMMYFUNCTION("""COMPUTED_VALUE"""),"Gold Coast")</f>
        <v>Gold Coast</v>
      </c>
      <c r="O132" s="177">
        <f>IFERROR(__xludf.DUMMYFUNCTION("""COMPUTED_VALUE"""),8.0)</f>
        <v>8</v>
      </c>
      <c r="P132" s="177">
        <f>IFERROR(__xludf.DUMMYFUNCTION("""COMPUTED_VALUE"""),0.0)</f>
        <v>0</v>
      </c>
      <c r="Q132" s="177">
        <f>IFERROR(__xludf.DUMMYFUNCTION("""COMPUTED_VALUE"""),0.0)</f>
        <v>0</v>
      </c>
      <c r="R132" s="178">
        <f>IFERROR(__xludf.DUMMYFUNCTION("""COMPUTED_VALUE"""),45836.555555555555)</f>
        <v>45836.55556</v>
      </c>
      <c r="S132" s="177">
        <f>IFERROR(__xludf.DUMMYFUNCTION("""COMPUTED_VALUE"""),16.0)</f>
        <v>16</v>
      </c>
      <c r="T132" s="177" t="str">
        <f>IFERROR(__xludf.DUMMYFUNCTION("""COMPUTED_VALUE"""),"Round 16")</f>
        <v>Round 16</v>
      </c>
      <c r="U132" s="177" t="str">
        <f>IFERROR(__xludf.DUMMYFUNCTION("""COMPUTED_VALUE"""),"Full Time")</f>
        <v>Full Time</v>
      </c>
      <c r="V132" s="177" t="str">
        <f>IFERROR(__xludf.DUMMYFUNCTION("""COMPUTED_VALUE"""),"+10:00")</f>
        <v>+10:00</v>
      </c>
      <c r="W132" s="177">
        <f>IFERROR(__xludf.DUMMYFUNCTION("""COMPUTED_VALUE"""),1.7510808E9)</f>
        <v>1751080800</v>
      </c>
      <c r="X132" s="178">
        <f>IFERROR(__xludf.DUMMYFUNCTION("""COMPUTED_VALUE"""),45836.66899305556)</f>
        <v>45836.66899</v>
      </c>
      <c r="Y132" s="177" t="str">
        <f>IFERROR(__xludf.DUMMYFUNCTION("""COMPUTED_VALUE"""),"Carrara")</f>
        <v>Carrara</v>
      </c>
      <c r="Z132" s="177" t="str">
        <f>IFERROR(__xludf.DUMMYFUNCTION("""COMPUTED_VALUE"""),"Gold Coast")</f>
        <v>Gold Coast</v>
      </c>
      <c r="AA132" s="177">
        <f>IFERROR(__xludf.DUMMYFUNCTION("""COMPUTED_VALUE"""),8.0)</f>
        <v>8</v>
      </c>
      <c r="AB132" s="177">
        <f>IFERROR(__xludf.DUMMYFUNCTION("""COMPUTED_VALUE"""),2025.0)</f>
        <v>2025</v>
      </c>
      <c r="AC132" s="177" t="str">
        <f t="shared" si="3"/>
        <v>Saturday</v>
      </c>
    </row>
    <row r="133">
      <c r="A133" s="175" t="str">
        <f t="shared" si="1"/>
        <v>164</v>
      </c>
      <c r="B133" s="176">
        <f t="shared" si="2"/>
        <v>4</v>
      </c>
      <c r="C133" s="177">
        <f>IFERROR(__xludf.DUMMYFUNCTION("""COMPUTED_VALUE"""),37222.0)</f>
        <v>37222</v>
      </c>
      <c r="D133" s="177">
        <f>IFERROR(__xludf.DUMMYFUNCTION("""COMPUTED_VALUE"""),11.0)</f>
        <v>11</v>
      </c>
      <c r="E133" s="177">
        <f>IFERROR(__xludf.DUMMYFUNCTION("""COMPUTED_VALUE"""),9.0)</f>
        <v>9</v>
      </c>
      <c r="F133" s="177">
        <f>IFERROR(__xludf.DUMMYFUNCTION("""COMPUTED_VALUE"""),65.0)</f>
        <v>65</v>
      </c>
      <c r="G133" s="177" t="str">
        <f>IFERROR(__xludf.DUMMYFUNCTION("""COMPUTED_VALUE"""),"North Melbourne")</f>
        <v>North Melbourne</v>
      </c>
      <c r="H133" s="177">
        <f>IFERROR(__xludf.DUMMYFUNCTION("""COMPUTED_VALUE"""),12.0)</f>
        <v>12</v>
      </c>
      <c r="I133" s="177">
        <f>IFERROR(__xludf.DUMMYFUNCTION("""COMPUTED_VALUE"""),100.0)</f>
        <v>100</v>
      </c>
      <c r="J133" s="178">
        <f>IFERROR(__xludf.DUMMYFUNCTION("""COMPUTED_VALUE"""),45836.677083333336)</f>
        <v>45836.67708</v>
      </c>
      <c r="K133" s="177">
        <f>IFERROR(__xludf.DUMMYFUNCTION("""COMPUTED_VALUE"""),12.0)</f>
        <v>12</v>
      </c>
      <c r="L133" s="177">
        <f>IFERROR(__xludf.DUMMYFUNCTION("""COMPUTED_VALUE"""),23.0)</f>
        <v>23</v>
      </c>
      <c r="M133" s="177">
        <f>IFERROR(__xludf.DUMMYFUNCTION("""COMPUTED_VALUE"""),150.0)</f>
        <v>150</v>
      </c>
      <c r="N133" s="177" t="str">
        <f>IFERROR(__xludf.DUMMYFUNCTION("""COMPUTED_VALUE"""),"Hawthorn")</f>
        <v>Hawthorn</v>
      </c>
      <c r="O133" s="177">
        <f>IFERROR(__xludf.DUMMYFUNCTION("""COMPUTED_VALUE"""),10.0)</f>
        <v>10</v>
      </c>
      <c r="P133" s="177">
        <f>IFERROR(__xludf.DUMMYFUNCTION("""COMPUTED_VALUE"""),0.0)</f>
        <v>0</v>
      </c>
      <c r="Q133" s="177">
        <f>IFERROR(__xludf.DUMMYFUNCTION("""COMPUTED_VALUE"""),0.0)</f>
        <v>0</v>
      </c>
      <c r="R133" s="178">
        <f>IFERROR(__xludf.DUMMYFUNCTION("""COMPUTED_VALUE"""),45836.677083333336)</f>
        <v>45836.67708</v>
      </c>
      <c r="S133" s="177">
        <f>IFERROR(__xludf.DUMMYFUNCTION("""COMPUTED_VALUE"""),16.0)</f>
        <v>16</v>
      </c>
      <c r="T133" s="177" t="str">
        <f>IFERROR(__xludf.DUMMYFUNCTION("""COMPUTED_VALUE"""),"Round 16")</f>
        <v>Round 16</v>
      </c>
      <c r="U133" s="177" t="str">
        <f>IFERROR(__xludf.DUMMYFUNCTION("""COMPUTED_VALUE"""),"Full Time")</f>
        <v>Full Time</v>
      </c>
      <c r="V133" s="177" t="str">
        <f>IFERROR(__xludf.DUMMYFUNCTION("""COMPUTED_VALUE"""),"+10:00")</f>
        <v>+10:00</v>
      </c>
      <c r="W133" s="177">
        <f>IFERROR(__xludf.DUMMYFUNCTION("""COMPUTED_VALUE"""),1.7510913E9)</f>
        <v>1751091300</v>
      </c>
      <c r="X133" s="178">
        <f>IFERROR(__xludf.DUMMYFUNCTION("""COMPUTED_VALUE"""),45836.79164351852)</f>
        <v>45836.79164</v>
      </c>
      <c r="Y133" s="177" t="str">
        <f>IFERROR(__xludf.DUMMYFUNCTION("""COMPUTED_VALUE"""),"York Park")</f>
        <v>York Park</v>
      </c>
      <c r="Z133" s="177" t="str">
        <f>IFERROR(__xludf.DUMMYFUNCTION("""COMPUTED_VALUE"""),"Hawthorn")</f>
        <v>Hawthorn</v>
      </c>
      <c r="AA133" s="177">
        <f>IFERROR(__xludf.DUMMYFUNCTION("""COMPUTED_VALUE"""),10.0)</f>
        <v>10</v>
      </c>
      <c r="AB133" s="177">
        <f>IFERROR(__xludf.DUMMYFUNCTION("""COMPUTED_VALUE"""),2025.0)</f>
        <v>2025</v>
      </c>
      <c r="AC133" s="177" t="str">
        <f t="shared" si="3"/>
        <v>Saturday</v>
      </c>
    </row>
    <row r="134">
      <c r="A134" s="175" t="str">
        <f t="shared" si="1"/>
        <v>165</v>
      </c>
      <c r="B134" s="176">
        <f t="shared" si="2"/>
        <v>5</v>
      </c>
      <c r="C134" s="177">
        <f>IFERROR(__xludf.DUMMYFUNCTION("""COMPUTED_VALUE"""),37218.0)</f>
        <v>37218</v>
      </c>
      <c r="D134" s="177">
        <f>IFERROR(__xludf.DUMMYFUNCTION("""COMPUTED_VALUE"""),11.0)</f>
        <v>11</v>
      </c>
      <c r="E134" s="177">
        <f>IFERROR(__xludf.DUMMYFUNCTION("""COMPUTED_VALUE"""),8.0)</f>
        <v>8</v>
      </c>
      <c r="F134" s="177">
        <f>IFERROR(__xludf.DUMMYFUNCTION("""COMPUTED_VALUE"""),59.0)</f>
        <v>59</v>
      </c>
      <c r="G134" s="177" t="str">
        <f>IFERROR(__xludf.DUMMYFUNCTION("""COMPUTED_VALUE"""),"West Coast")</f>
        <v>West Coast</v>
      </c>
      <c r="H134" s="177">
        <f>IFERROR(__xludf.DUMMYFUNCTION("""COMPUTED_VALUE"""),17.0)</f>
        <v>17</v>
      </c>
      <c r="I134" s="177">
        <f>IFERROR(__xludf.DUMMYFUNCTION("""COMPUTED_VALUE"""),100.0)</f>
        <v>100</v>
      </c>
      <c r="J134" s="178">
        <f>IFERROR(__xludf.DUMMYFUNCTION("""COMPUTED_VALUE"""),45836.81597222222)</f>
        <v>45836.81597</v>
      </c>
      <c r="K134" s="177">
        <f>IFERROR(__xludf.DUMMYFUNCTION("""COMPUTED_VALUE"""),10.0)</f>
        <v>10</v>
      </c>
      <c r="L134" s="177">
        <f>IFERROR(__xludf.DUMMYFUNCTION("""COMPUTED_VALUE"""),13.0)</f>
        <v>13</v>
      </c>
      <c r="M134" s="177">
        <f>IFERROR(__xludf.DUMMYFUNCTION("""COMPUTED_VALUE"""),88.0)</f>
        <v>88</v>
      </c>
      <c r="N134" s="177" t="str">
        <f>IFERROR(__xludf.DUMMYFUNCTION("""COMPUTED_VALUE"""),"Collingwood")</f>
        <v>Collingwood</v>
      </c>
      <c r="O134" s="177">
        <f>IFERROR(__xludf.DUMMYFUNCTION("""COMPUTED_VALUE"""),4.0)</f>
        <v>4</v>
      </c>
      <c r="P134" s="177">
        <f>IFERROR(__xludf.DUMMYFUNCTION("""COMPUTED_VALUE"""),0.0)</f>
        <v>0</v>
      </c>
      <c r="Q134" s="177">
        <f>IFERROR(__xludf.DUMMYFUNCTION("""COMPUTED_VALUE"""),0.0)</f>
        <v>0</v>
      </c>
      <c r="R134" s="178">
        <f>IFERROR(__xludf.DUMMYFUNCTION("""COMPUTED_VALUE"""),45836.81597222222)</f>
        <v>45836.81597</v>
      </c>
      <c r="S134" s="177">
        <f>IFERROR(__xludf.DUMMYFUNCTION("""COMPUTED_VALUE"""),16.0)</f>
        <v>16</v>
      </c>
      <c r="T134" s="177" t="str">
        <f>IFERROR(__xludf.DUMMYFUNCTION("""COMPUTED_VALUE"""),"Round 16")</f>
        <v>Round 16</v>
      </c>
      <c r="U134" s="177" t="str">
        <f>IFERROR(__xludf.DUMMYFUNCTION("""COMPUTED_VALUE"""),"Full Time")</f>
        <v>Full Time</v>
      </c>
      <c r="V134" s="177" t="str">
        <f>IFERROR(__xludf.DUMMYFUNCTION("""COMPUTED_VALUE"""),"+10:00")</f>
        <v>+10:00</v>
      </c>
      <c r="W134" s="177">
        <f>IFERROR(__xludf.DUMMYFUNCTION("""COMPUTED_VALUE"""),1.7511033E9)</f>
        <v>1751103300</v>
      </c>
      <c r="X134" s="178">
        <f>IFERROR(__xludf.DUMMYFUNCTION("""COMPUTED_VALUE"""),45836.923425925925)</f>
        <v>45836.92343</v>
      </c>
      <c r="Y134" s="177" t="str">
        <f>IFERROR(__xludf.DUMMYFUNCTION("""COMPUTED_VALUE"""),"Docklands")</f>
        <v>Docklands</v>
      </c>
      <c r="Z134" s="177" t="str">
        <f>IFERROR(__xludf.DUMMYFUNCTION("""COMPUTED_VALUE"""),"Collingwood")</f>
        <v>Collingwood</v>
      </c>
      <c r="AA134" s="177">
        <f>IFERROR(__xludf.DUMMYFUNCTION("""COMPUTED_VALUE"""),4.0)</f>
        <v>4</v>
      </c>
      <c r="AB134" s="177">
        <f>IFERROR(__xludf.DUMMYFUNCTION("""COMPUTED_VALUE"""),2025.0)</f>
        <v>2025</v>
      </c>
      <c r="AC134" s="177" t="str">
        <f t="shared" si="3"/>
        <v>Saturday</v>
      </c>
    </row>
    <row r="135">
      <c r="A135" s="175" t="str">
        <f t="shared" si="1"/>
        <v>166</v>
      </c>
      <c r="B135" s="176">
        <f t="shared" si="2"/>
        <v>6</v>
      </c>
      <c r="C135" s="177">
        <f>IFERROR(__xludf.DUMMYFUNCTION("""COMPUTED_VALUE"""),37219.0)</f>
        <v>37219</v>
      </c>
      <c r="D135" s="177">
        <f>IFERROR(__xludf.DUMMYFUNCTION("""COMPUTED_VALUE"""),14.0)</f>
        <v>14</v>
      </c>
      <c r="E135" s="177">
        <f>IFERROR(__xludf.DUMMYFUNCTION("""COMPUTED_VALUE"""),18.0)</f>
        <v>18</v>
      </c>
      <c r="F135" s="177">
        <f>IFERROR(__xludf.DUMMYFUNCTION("""COMPUTED_VALUE"""),122.0)</f>
        <v>122</v>
      </c>
      <c r="G135" s="177" t="str">
        <f>IFERROR(__xludf.DUMMYFUNCTION("""COMPUTED_VALUE"""),"Adelaide")</f>
        <v>Adelaide</v>
      </c>
      <c r="H135" s="177">
        <f>IFERROR(__xludf.DUMMYFUNCTION("""COMPUTED_VALUE"""),1.0)</f>
        <v>1</v>
      </c>
      <c r="I135" s="177">
        <f>IFERROR(__xludf.DUMMYFUNCTION("""COMPUTED_VALUE"""),100.0)</f>
        <v>100</v>
      </c>
      <c r="J135" s="178">
        <f>IFERROR(__xludf.DUMMYFUNCTION("""COMPUTED_VALUE"""),45837.635416666664)</f>
        <v>45837.63542</v>
      </c>
      <c r="K135" s="177">
        <f>IFERROR(__xludf.DUMMYFUNCTION("""COMPUTED_VALUE"""),6.0)</f>
        <v>6</v>
      </c>
      <c r="L135" s="177">
        <f>IFERROR(__xludf.DUMMYFUNCTION("""COMPUTED_VALUE"""),8.0)</f>
        <v>8</v>
      </c>
      <c r="M135" s="177">
        <f>IFERROR(__xludf.DUMMYFUNCTION("""COMPUTED_VALUE"""),54.0)</f>
        <v>54</v>
      </c>
      <c r="N135" s="177" t="str">
        <f>IFERROR(__xludf.DUMMYFUNCTION("""COMPUTED_VALUE"""),"Richmond")</f>
        <v>Richmond</v>
      </c>
      <c r="O135" s="177">
        <f>IFERROR(__xludf.DUMMYFUNCTION("""COMPUTED_VALUE"""),14.0)</f>
        <v>14</v>
      </c>
      <c r="P135" s="177">
        <f>IFERROR(__xludf.DUMMYFUNCTION("""COMPUTED_VALUE"""),0.0)</f>
        <v>0</v>
      </c>
      <c r="Q135" s="177">
        <f>IFERROR(__xludf.DUMMYFUNCTION("""COMPUTED_VALUE"""),0.0)</f>
        <v>0</v>
      </c>
      <c r="R135" s="178">
        <f>IFERROR(__xludf.DUMMYFUNCTION("""COMPUTED_VALUE"""),45837.635416666664)</f>
        <v>45837.63542</v>
      </c>
      <c r="S135" s="177">
        <f>IFERROR(__xludf.DUMMYFUNCTION("""COMPUTED_VALUE"""),16.0)</f>
        <v>16</v>
      </c>
      <c r="T135" s="177" t="str">
        <f>IFERROR(__xludf.DUMMYFUNCTION("""COMPUTED_VALUE"""),"Round 16")</f>
        <v>Round 16</v>
      </c>
      <c r="U135" s="177" t="str">
        <f>IFERROR(__xludf.DUMMYFUNCTION("""COMPUTED_VALUE"""),"Full Time")</f>
        <v>Full Time</v>
      </c>
      <c r="V135" s="177" t="str">
        <f>IFERROR(__xludf.DUMMYFUNCTION("""COMPUTED_VALUE"""),"+10:00")</f>
        <v>+10:00</v>
      </c>
      <c r="W135" s="177">
        <f>IFERROR(__xludf.DUMMYFUNCTION("""COMPUTED_VALUE"""),1.7511741E9)</f>
        <v>1751174100</v>
      </c>
      <c r="X135" s="178">
        <f>IFERROR(__xludf.DUMMYFUNCTION("""COMPUTED_VALUE"""),45837.74765046296)</f>
        <v>45837.74765</v>
      </c>
      <c r="Y135" s="177" t="str">
        <f>IFERROR(__xludf.DUMMYFUNCTION("""COMPUTED_VALUE"""),"M.C.G.")</f>
        <v>M.C.G.</v>
      </c>
      <c r="Z135" s="177" t="str">
        <f>IFERROR(__xludf.DUMMYFUNCTION("""COMPUTED_VALUE"""),"Adelaide")</f>
        <v>Adelaide</v>
      </c>
      <c r="AA135" s="177">
        <f>IFERROR(__xludf.DUMMYFUNCTION("""COMPUTED_VALUE"""),1.0)</f>
        <v>1</v>
      </c>
      <c r="AB135" s="177">
        <f>IFERROR(__xludf.DUMMYFUNCTION("""COMPUTED_VALUE"""),2025.0)</f>
        <v>2025</v>
      </c>
      <c r="AC135" s="177" t="str">
        <f t="shared" si="3"/>
        <v>Sunday</v>
      </c>
    </row>
    <row r="136">
      <c r="A136" s="175" t="str">
        <f t="shared" si="1"/>
        <v>167</v>
      </c>
      <c r="B136" s="176">
        <f t="shared" si="2"/>
        <v>7</v>
      </c>
      <c r="C136" s="177">
        <f>IFERROR(__xludf.DUMMYFUNCTION("""COMPUTED_VALUE"""),37224.0)</f>
        <v>37224</v>
      </c>
      <c r="D136" s="177">
        <f>IFERROR(__xludf.DUMMYFUNCTION("""COMPUTED_VALUE"""),15.0)</f>
        <v>15</v>
      </c>
      <c r="E136" s="177">
        <f>IFERROR(__xludf.DUMMYFUNCTION("""COMPUTED_VALUE"""),9.0)</f>
        <v>9</v>
      </c>
      <c r="F136" s="177">
        <f>IFERROR(__xludf.DUMMYFUNCTION("""COMPUTED_VALUE"""),69.0)</f>
        <v>69</v>
      </c>
      <c r="G136" s="177" t="str">
        <f>IFERROR(__xludf.DUMMYFUNCTION("""COMPUTED_VALUE"""),"St Kilda")</f>
        <v>St Kilda</v>
      </c>
      <c r="H136" s="177">
        <f>IFERROR(__xludf.DUMMYFUNCTION("""COMPUTED_VALUE"""),15.0)</f>
        <v>15</v>
      </c>
      <c r="I136" s="177">
        <f>IFERROR(__xludf.DUMMYFUNCTION("""COMPUTED_VALUE"""),100.0)</f>
        <v>100</v>
      </c>
      <c r="J136" s="178">
        <f>IFERROR(__xludf.DUMMYFUNCTION("""COMPUTED_VALUE"""),45837.71527777778)</f>
        <v>45837.71528</v>
      </c>
      <c r="K136" s="177">
        <f>IFERROR(__xludf.DUMMYFUNCTION("""COMPUTED_VALUE"""),15.0)</f>
        <v>15</v>
      </c>
      <c r="L136" s="177">
        <f>IFERROR(__xludf.DUMMYFUNCTION("""COMPUTED_VALUE"""),11.0)</f>
        <v>11</v>
      </c>
      <c r="M136" s="177">
        <f>IFERROR(__xludf.DUMMYFUNCTION("""COMPUTED_VALUE"""),81.0)</f>
        <v>81</v>
      </c>
      <c r="N136" s="177" t="str">
        <f>IFERROR(__xludf.DUMMYFUNCTION("""COMPUTED_VALUE"""),"Fremantle")</f>
        <v>Fremantle</v>
      </c>
      <c r="O136" s="177">
        <f>IFERROR(__xludf.DUMMYFUNCTION("""COMPUTED_VALUE"""),6.0)</f>
        <v>6</v>
      </c>
      <c r="P136" s="177">
        <f>IFERROR(__xludf.DUMMYFUNCTION("""COMPUTED_VALUE"""),0.0)</f>
        <v>0</v>
      </c>
      <c r="Q136" s="177">
        <f>IFERROR(__xludf.DUMMYFUNCTION("""COMPUTED_VALUE"""),0.0)</f>
        <v>0</v>
      </c>
      <c r="R136" s="178">
        <f>IFERROR(__xludf.DUMMYFUNCTION("""COMPUTED_VALUE"""),45837.631944444445)</f>
        <v>45837.63194</v>
      </c>
      <c r="S136" s="177">
        <f>IFERROR(__xludf.DUMMYFUNCTION("""COMPUTED_VALUE"""),16.0)</f>
        <v>16</v>
      </c>
      <c r="T136" s="177" t="str">
        <f>IFERROR(__xludf.DUMMYFUNCTION("""COMPUTED_VALUE"""),"Round 16")</f>
        <v>Round 16</v>
      </c>
      <c r="U136" s="177" t="str">
        <f>IFERROR(__xludf.DUMMYFUNCTION("""COMPUTED_VALUE"""),"Full Time")</f>
        <v>Full Time</v>
      </c>
      <c r="V136" s="177" t="str">
        <f>IFERROR(__xludf.DUMMYFUNCTION("""COMPUTED_VALUE"""),"+10:00")</f>
        <v>+10:00</v>
      </c>
      <c r="W136" s="177">
        <f>IFERROR(__xludf.DUMMYFUNCTION("""COMPUTED_VALUE"""),1.751181E9)</f>
        <v>1751181000</v>
      </c>
      <c r="X136" s="178">
        <f>IFERROR(__xludf.DUMMYFUNCTION("""COMPUTED_VALUE"""),45837.82667824074)</f>
        <v>45837.82668</v>
      </c>
      <c r="Y136" s="177" t="str">
        <f>IFERROR(__xludf.DUMMYFUNCTION("""COMPUTED_VALUE"""),"Perth Stadium")</f>
        <v>Perth Stadium</v>
      </c>
      <c r="Z136" s="177" t="str">
        <f>IFERROR(__xludf.DUMMYFUNCTION("""COMPUTED_VALUE"""),"Fremantle")</f>
        <v>Fremantle</v>
      </c>
      <c r="AA136" s="177">
        <f>IFERROR(__xludf.DUMMYFUNCTION("""COMPUTED_VALUE"""),6.0)</f>
        <v>6</v>
      </c>
      <c r="AB136" s="177">
        <f>IFERROR(__xludf.DUMMYFUNCTION("""COMPUTED_VALUE"""),2025.0)</f>
        <v>2025</v>
      </c>
      <c r="AC136" s="177" t="str">
        <f t="shared" si="3"/>
        <v>Sunday</v>
      </c>
    </row>
    <row r="137">
      <c r="A137" s="175" t="str">
        <f t="shared" si="1"/>
        <v>171</v>
      </c>
      <c r="B137" s="176">
        <f t="shared" si="2"/>
        <v>1</v>
      </c>
      <c r="C137" s="177">
        <f>IFERROR(__xludf.DUMMYFUNCTION("""COMPUTED_VALUE"""),37227.0)</f>
        <v>37227</v>
      </c>
      <c r="D137" s="177">
        <f>IFERROR(__xludf.DUMMYFUNCTION("""COMPUTED_VALUE"""),14.0)</f>
        <v>14</v>
      </c>
      <c r="E137" s="177">
        <f>IFERROR(__xludf.DUMMYFUNCTION("""COMPUTED_VALUE"""),20.0)</f>
        <v>20</v>
      </c>
      <c r="F137" s="177">
        <f>IFERROR(__xludf.DUMMYFUNCTION("""COMPUTED_VALUE"""),134.0)</f>
        <v>134</v>
      </c>
      <c r="G137" s="177" t="str">
        <f>IFERROR(__xludf.DUMMYFUNCTION("""COMPUTED_VALUE"""),"Western Bulldogs")</f>
        <v>Western Bulldogs</v>
      </c>
      <c r="H137" s="177">
        <f>IFERROR(__xludf.DUMMYFUNCTION("""COMPUTED_VALUE"""),18.0)</f>
        <v>18</v>
      </c>
      <c r="I137" s="177">
        <f>IFERROR(__xludf.DUMMYFUNCTION("""COMPUTED_VALUE"""),100.0)</f>
        <v>100</v>
      </c>
      <c r="J137" s="178">
        <f>IFERROR(__xludf.DUMMYFUNCTION("""COMPUTED_VALUE"""),45841.8125)</f>
        <v>45841.8125</v>
      </c>
      <c r="K137" s="177">
        <f>IFERROR(__xludf.DUMMYFUNCTION("""COMPUTED_VALUE"""),7.0)</f>
        <v>7</v>
      </c>
      <c r="L137" s="177">
        <f>IFERROR(__xludf.DUMMYFUNCTION("""COMPUTED_VALUE"""),13.0)</f>
        <v>13</v>
      </c>
      <c r="M137" s="177">
        <f>IFERROR(__xludf.DUMMYFUNCTION("""COMPUTED_VALUE"""),85.0)</f>
        <v>85</v>
      </c>
      <c r="N137" s="177" t="str">
        <f>IFERROR(__xludf.DUMMYFUNCTION("""COMPUTED_VALUE"""),"North Melbourne")</f>
        <v>North Melbourne</v>
      </c>
      <c r="O137" s="177">
        <f>IFERROR(__xludf.DUMMYFUNCTION("""COMPUTED_VALUE"""),12.0)</f>
        <v>12</v>
      </c>
      <c r="P137" s="177">
        <f>IFERROR(__xludf.DUMMYFUNCTION("""COMPUTED_VALUE"""),0.0)</f>
        <v>0</v>
      </c>
      <c r="Q137" s="177">
        <f>IFERROR(__xludf.DUMMYFUNCTION("""COMPUTED_VALUE"""),0.0)</f>
        <v>0</v>
      </c>
      <c r="R137" s="178">
        <f>IFERROR(__xludf.DUMMYFUNCTION("""COMPUTED_VALUE"""),45841.8125)</f>
        <v>45841.8125</v>
      </c>
      <c r="S137" s="177">
        <f>IFERROR(__xludf.DUMMYFUNCTION("""COMPUTED_VALUE"""),17.0)</f>
        <v>17</v>
      </c>
      <c r="T137" s="177" t="str">
        <f>IFERROR(__xludf.DUMMYFUNCTION("""COMPUTED_VALUE"""),"Round 17")</f>
        <v>Round 17</v>
      </c>
      <c r="U137" s="177" t="str">
        <f>IFERROR(__xludf.DUMMYFUNCTION("""COMPUTED_VALUE"""),"Full Time")</f>
        <v>Full Time</v>
      </c>
      <c r="V137" s="177" t="str">
        <f>IFERROR(__xludf.DUMMYFUNCTION("""COMPUTED_VALUE"""),"+10:00")</f>
        <v>+10:00</v>
      </c>
      <c r="W137" s="177">
        <f>IFERROR(__xludf.DUMMYFUNCTION("""COMPUTED_VALUE"""),1.751535E9)</f>
        <v>1751535000</v>
      </c>
      <c r="X137" s="178">
        <f>IFERROR(__xludf.DUMMYFUNCTION("""COMPUTED_VALUE"""),45841.92864583333)</f>
        <v>45841.92865</v>
      </c>
      <c r="Y137" s="177" t="str">
        <f>IFERROR(__xludf.DUMMYFUNCTION("""COMPUTED_VALUE"""),"Docklands")</f>
        <v>Docklands</v>
      </c>
      <c r="Z137" s="177" t="str">
        <f>IFERROR(__xludf.DUMMYFUNCTION("""COMPUTED_VALUE"""),"Western Bulldogs")</f>
        <v>Western Bulldogs</v>
      </c>
      <c r="AA137" s="177">
        <f>IFERROR(__xludf.DUMMYFUNCTION("""COMPUTED_VALUE"""),18.0)</f>
        <v>18</v>
      </c>
      <c r="AB137" s="177">
        <f>IFERROR(__xludf.DUMMYFUNCTION("""COMPUTED_VALUE"""),2025.0)</f>
        <v>2025</v>
      </c>
      <c r="AC137" s="177" t="str">
        <f t="shared" si="3"/>
        <v>Thursday</v>
      </c>
    </row>
    <row r="138">
      <c r="A138" s="175" t="str">
        <f t="shared" si="1"/>
        <v>172</v>
      </c>
      <c r="B138" s="176">
        <f t="shared" si="2"/>
        <v>2</v>
      </c>
      <c r="C138" s="177">
        <f>IFERROR(__xludf.DUMMYFUNCTION("""COMPUTED_VALUE"""),37229.0)</f>
        <v>37229</v>
      </c>
      <c r="D138" s="177">
        <f>IFERROR(__xludf.DUMMYFUNCTION("""COMPUTED_VALUE"""),13.0)</f>
        <v>13</v>
      </c>
      <c r="E138" s="177">
        <f>IFERROR(__xludf.DUMMYFUNCTION("""COMPUTED_VALUE"""),17.0)</f>
        <v>17</v>
      </c>
      <c r="F138" s="177">
        <f>IFERROR(__xludf.DUMMYFUNCTION("""COMPUTED_VALUE"""),115.0)</f>
        <v>115</v>
      </c>
      <c r="G138" s="177" t="str">
        <f>IFERROR(__xludf.DUMMYFUNCTION("""COMPUTED_VALUE"""),"Collingwood")</f>
        <v>Collingwood</v>
      </c>
      <c r="H138" s="177">
        <f>IFERROR(__xludf.DUMMYFUNCTION("""COMPUTED_VALUE"""),4.0)</f>
        <v>4</v>
      </c>
      <c r="I138" s="177">
        <f>IFERROR(__xludf.DUMMYFUNCTION("""COMPUTED_VALUE"""),100.0)</f>
        <v>100</v>
      </c>
      <c r="J138" s="178">
        <f>IFERROR(__xludf.DUMMYFUNCTION("""COMPUTED_VALUE"""),45842.805555555555)</f>
        <v>45842.80556</v>
      </c>
      <c r="K138" s="177">
        <f>IFERROR(__xludf.DUMMYFUNCTION("""COMPUTED_VALUE"""),11.0)</f>
        <v>11</v>
      </c>
      <c r="L138" s="177">
        <f>IFERROR(__xludf.DUMMYFUNCTION("""COMPUTED_VALUE"""),8.0)</f>
        <v>8</v>
      </c>
      <c r="M138" s="177">
        <f>IFERROR(__xludf.DUMMYFUNCTION("""COMPUTED_VALUE"""),59.0)</f>
        <v>59</v>
      </c>
      <c r="N138" s="177" t="str">
        <f>IFERROR(__xludf.DUMMYFUNCTION("""COMPUTED_VALUE"""),"Carlton")</f>
        <v>Carlton</v>
      </c>
      <c r="O138" s="177">
        <f>IFERROR(__xludf.DUMMYFUNCTION("""COMPUTED_VALUE"""),3.0)</f>
        <v>3</v>
      </c>
      <c r="P138" s="177">
        <f>IFERROR(__xludf.DUMMYFUNCTION("""COMPUTED_VALUE"""),0.0)</f>
        <v>0</v>
      </c>
      <c r="Q138" s="177">
        <f>IFERROR(__xludf.DUMMYFUNCTION("""COMPUTED_VALUE"""),0.0)</f>
        <v>0</v>
      </c>
      <c r="R138" s="178">
        <f>IFERROR(__xludf.DUMMYFUNCTION("""COMPUTED_VALUE"""),45842.805555555555)</f>
        <v>45842.80556</v>
      </c>
      <c r="S138" s="177">
        <f>IFERROR(__xludf.DUMMYFUNCTION("""COMPUTED_VALUE"""),17.0)</f>
        <v>17</v>
      </c>
      <c r="T138" s="177" t="str">
        <f>IFERROR(__xludf.DUMMYFUNCTION("""COMPUTED_VALUE"""),"Round 17")</f>
        <v>Round 17</v>
      </c>
      <c r="U138" s="177" t="str">
        <f>IFERROR(__xludf.DUMMYFUNCTION("""COMPUTED_VALUE"""),"Full Time")</f>
        <v>Full Time</v>
      </c>
      <c r="V138" s="177" t="str">
        <f>IFERROR(__xludf.DUMMYFUNCTION("""COMPUTED_VALUE"""),"+10:00")</f>
        <v>+10:00</v>
      </c>
      <c r="W138" s="177">
        <f>IFERROR(__xludf.DUMMYFUNCTION("""COMPUTED_VALUE"""),1.7516208E9)</f>
        <v>1751620800</v>
      </c>
      <c r="X138" s="178">
        <f>IFERROR(__xludf.DUMMYFUNCTION("""COMPUTED_VALUE"""),45842.91515046296)</f>
        <v>45842.91515</v>
      </c>
      <c r="Y138" s="177" t="str">
        <f>IFERROR(__xludf.DUMMYFUNCTION("""COMPUTED_VALUE"""),"M.C.G.")</f>
        <v>M.C.G.</v>
      </c>
      <c r="Z138" s="177" t="str">
        <f>IFERROR(__xludf.DUMMYFUNCTION("""COMPUTED_VALUE"""),"Collingwood")</f>
        <v>Collingwood</v>
      </c>
      <c r="AA138" s="177">
        <f>IFERROR(__xludf.DUMMYFUNCTION("""COMPUTED_VALUE"""),4.0)</f>
        <v>4</v>
      </c>
      <c r="AB138" s="177">
        <f>IFERROR(__xludf.DUMMYFUNCTION("""COMPUTED_VALUE"""),2025.0)</f>
        <v>2025</v>
      </c>
      <c r="AC138" s="177" t="str">
        <f t="shared" si="3"/>
        <v>Friday</v>
      </c>
    </row>
    <row r="139">
      <c r="A139" s="175" t="str">
        <f t="shared" si="1"/>
        <v>173</v>
      </c>
      <c r="B139" s="176">
        <f t="shared" si="2"/>
        <v>3</v>
      </c>
      <c r="C139" s="177">
        <f>IFERROR(__xludf.DUMMYFUNCTION("""COMPUTED_VALUE"""),37233.0)</f>
        <v>37233</v>
      </c>
      <c r="D139" s="177">
        <f>IFERROR(__xludf.DUMMYFUNCTION("""COMPUTED_VALUE"""),15.0)</f>
        <v>15</v>
      </c>
      <c r="E139" s="177">
        <f>IFERROR(__xludf.DUMMYFUNCTION("""COMPUTED_VALUE"""),16.0)</f>
        <v>16</v>
      </c>
      <c r="F139" s="177">
        <f>IFERROR(__xludf.DUMMYFUNCTION("""COMPUTED_VALUE"""),111.0)</f>
        <v>111</v>
      </c>
      <c r="G139" s="177" t="str">
        <f>IFERROR(__xludf.DUMMYFUNCTION("""COMPUTED_VALUE"""),"Greater Western Sydney")</f>
        <v>Greater Western Sydney</v>
      </c>
      <c r="H139" s="177">
        <f>IFERROR(__xludf.DUMMYFUNCTION("""COMPUTED_VALUE"""),9.0)</f>
        <v>9</v>
      </c>
      <c r="I139" s="177">
        <f>IFERROR(__xludf.DUMMYFUNCTION("""COMPUTED_VALUE"""),100.0)</f>
        <v>100</v>
      </c>
      <c r="J139" s="178">
        <f>IFERROR(__xludf.DUMMYFUNCTION("""COMPUTED_VALUE"""),45842.84722222222)</f>
        <v>45842.84722</v>
      </c>
      <c r="K139" s="177">
        <f>IFERROR(__xludf.DUMMYFUNCTION("""COMPUTED_VALUE"""),4.0)</f>
        <v>4</v>
      </c>
      <c r="L139" s="177">
        <f>IFERROR(__xludf.DUMMYFUNCTION("""COMPUTED_VALUE"""),8.0)</f>
        <v>8</v>
      </c>
      <c r="M139" s="177">
        <f>IFERROR(__xludf.DUMMYFUNCTION("""COMPUTED_VALUE"""),52.0)</f>
        <v>52</v>
      </c>
      <c r="N139" s="177" t="str">
        <f>IFERROR(__xludf.DUMMYFUNCTION("""COMPUTED_VALUE"""),"West Coast")</f>
        <v>West Coast</v>
      </c>
      <c r="O139" s="177">
        <f>IFERROR(__xludf.DUMMYFUNCTION("""COMPUTED_VALUE"""),17.0)</f>
        <v>17</v>
      </c>
      <c r="P139" s="177">
        <f>IFERROR(__xludf.DUMMYFUNCTION("""COMPUTED_VALUE"""),0.0)</f>
        <v>0</v>
      </c>
      <c r="Q139" s="177">
        <f>IFERROR(__xludf.DUMMYFUNCTION("""COMPUTED_VALUE"""),0.0)</f>
        <v>0</v>
      </c>
      <c r="R139" s="178">
        <f>IFERROR(__xludf.DUMMYFUNCTION("""COMPUTED_VALUE"""),45842.76388888889)</f>
        <v>45842.76389</v>
      </c>
      <c r="S139" s="177">
        <f>IFERROR(__xludf.DUMMYFUNCTION("""COMPUTED_VALUE"""),17.0)</f>
        <v>17</v>
      </c>
      <c r="T139" s="177" t="str">
        <f>IFERROR(__xludf.DUMMYFUNCTION("""COMPUTED_VALUE"""),"Round 17")</f>
        <v>Round 17</v>
      </c>
      <c r="U139" s="177" t="str">
        <f>IFERROR(__xludf.DUMMYFUNCTION("""COMPUTED_VALUE"""),"Full Time")</f>
        <v>Full Time</v>
      </c>
      <c r="V139" s="177" t="str">
        <f>IFERROR(__xludf.DUMMYFUNCTION("""COMPUTED_VALUE"""),"+10:00")</f>
        <v>+10:00</v>
      </c>
      <c r="W139" s="177">
        <f>IFERROR(__xludf.DUMMYFUNCTION("""COMPUTED_VALUE"""),1.7516244E9)</f>
        <v>1751624400</v>
      </c>
      <c r="X139" s="178">
        <f>IFERROR(__xludf.DUMMYFUNCTION("""COMPUTED_VALUE"""),45842.95920138889)</f>
        <v>45842.9592</v>
      </c>
      <c r="Y139" s="177" t="str">
        <f>IFERROR(__xludf.DUMMYFUNCTION("""COMPUTED_VALUE"""),"Perth Stadium")</f>
        <v>Perth Stadium</v>
      </c>
      <c r="Z139" s="177" t="str">
        <f>IFERROR(__xludf.DUMMYFUNCTION("""COMPUTED_VALUE"""),"Greater Western Sydney")</f>
        <v>Greater Western Sydney</v>
      </c>
      <c r="AA139" s="177">
        <f>IFERROR(__xludf.DUMMYFUNCTION("""COMPUTED_VALUE"""),9.0)</f>
        <v>9</v>
      </c>
      <c r="AB139" s="177">
        <f>IFERROR(__xludf.DUMMYFUNCTION("""COMPUTED_VALUE"""),2025.0)</f>
        <v>2025</v>
      </c>
      <c r="AC139" s="177" t="str">
        <f t="shared" si="3"/>
        <v>Friday</v>
      </c>
    </row>
    <row r="140">
      <c r="A140" s="175" t="str">
        <f t="shared" si="1"/>
        <v>174</v>
      </c>
      <c r="B140" s="176">
        <f t="shared" si="2"/>
        <v>4</v>
      </c>
      <c r="C140" s="177">
        <f>IFERROR(__xludf.DUMMYFUNCTION("""COMPUTED_VALUE"""),37228.0)</f>
        <v>37228</v>
      </c>
      <c r="D140" s="177">
        <f>IFERROR(__xludf.DUMMYFUNCTION("""COMPUTED_VALUE"""),7.0)</f>
        <v>7</v>
      </c>
      <c r="E140" s="177">
        <f>IFERROR(__xludf.DUMMYFUNCTION("""COMPUTED_VALUE"""),18.0)</f>
        <v>18</v>
      </c>
      <c r="F140" s="177">
        <f>IFERROR(__xludf.DUMMYFUNCTION("""COMPUTED_VALUE"""),115.0)</f>
        <v>115</v>
      </c>
      <c r="G140" s="177" t="str">
        <f>IFERROR(__xludf.DUMMYFUNCTION("""COMPUTED_VALUE"""),"Gold Coast")</f>
        <v>Gold Coast</v>
      </c>
      <c r="H140" s="177">
        <f>IFERROR(__xludf.DUMMYFUNCTION("""COMPUTED_VALUE"""),8.0)</f>
        <v>8</v>
      </c>
      <c r="I140" s="177">
        <f>IFERROR(__xludf.DUMMYFUNCTION("""COMPUTED_VALUE"""),100.0)</f>
        <v>100</v>
      </c>
      <c r="J140" s="178">
        <f>IFERROR(__xludf.DUMMYFUNCTION("""COMPUTED_VALUE"""),45843.524305555555)</f>
        <v>45843.52431</v>
      </c>
      <c r="K140" s="177">
        <f>IFERROR(__xludf.DUMMYFUNCTION("""COMPUTED_VALUE"""),8.0)</f>
        <v>8</v>
      </c>
      <c r="L140" s="177">
        <f>IFERROR(__xludf.DUMMYFUNCTION("""COMPUTED_VALUE"""),11.0)</f>
        <v>11</v>
      </c>
      <c r="M140" s="177">
        <f>IFERROR(__xludf.DUMMYFUNCTION("""COMPUTED_VALUE"""),74.0)</f>
        <v>74</v>
      </c>
      <c r="N140" s="177" t="str">
        <f>IFERROR(__xludf.DUMMYFUNCTION("""COMPUTED_VALUE"""),"Essendon")</f>
        <v>Essendon</v>
      </c>
      <c r="O140" s="177">
        <f>IFERROR(__xludf.DUMMYFUNCTION("""COMPUTED_VALUE"""),5.0)</f>
        <v>5</v>
      </c>
      <c r="P140" s="177">
        <f>IFERROR(__xludf.DUMMYFUNCTION("""COMPUTED_VALUE"""),0.0)</f>
        <v>0</v>
      </c>
      <c r="Q140" s="177">
        <f>IFERROR(__xludf.DUMMYFUNCTION("""COMPUTED_VALUE"""),0.0)</f>
        <v>0</v>
      </c>
      <c r="R140" s="178">
        <f>IFERROR(__xludf.DUMMYFUNCTION("""COMPUTED_VALUE"""),45843.524305555555)</f>
        <v>45843.52431</v>
      </c>
      <c r="S140" s="177">
        <f>IFERROR(__xludf.DUMMYFUNCTION("""COMPUTED_VALUE"""),17.0)</f>
        <v>17</v>
      </c>
      <c r="T140" s="177" t="str">
        <f>IFERROR(__xludf.DUMMYFUNCTION("""COMPUTED_VALUE"""),"Round 17")</f>
        <v>Round 17</v>
      </c>
      <c r="U140" s="177" t="str">
        <f>IFERROR(__xludf.DUMMYFUNCTION("""COMPUTED_VALUE"""),"Full Time")</f>
        <v>Full Time</v>
      </c>
      <c r="V140" s="177" t="str">
        <f>IFERROR(__xludf.DUMMYFUNCTION("""COMPUTED_VALUE"""),"+10:00")</f>
        <v>+10:00</v>
      </c>
      <c r="W140" s="177">
        <f>IFERROR(__xludf.DUMMYFUNCTION("""COMPUTED_VALUE"""),1.7516829E9)</f>
        <v>1751682900</v>
      </c>
      <c r="X140" s="178">
        <f>IFERROR(__xludf.DUMMYFUNCTION("""COMPUTED_VALUE"""),45843.63721064815)</f>
        <v>45843.63721</v>
      </c>
      <c r="Y140" s="177" t="str">
        <f>IFERROR(__xludf.DUMMYFUNCTION("""COMPUTED_VALUE"""),"Docklands")</f>
        <v>Docklands</v>
      </c>
      <c r="Z140" s="177" t="str">
        <f>IFERROR(__xludf.DUMMYFUNCTION("""COMPUTED_VALUE"""),"Gold Coast")</f>
        <v>Gold Coast</v>
      </c>
      <c r="AA140" s="177">
        <f>IFERROR(__xludf.DUMMYFUNCTION("""COMPUTED_VALUE"""),8.0)</f>
        <v>8</v>
      </c>
      <c r="AB140" s="177">
        <f>IFERROR(__xludf.DUMMYFUNCTION("""COMPUTED_VALUE"""),2025.0)</f>
        <v>2025</v>
      </c>
      <c r="AC140" s="177" t="str">
        <f t="shared" si="3"/>
        <v>Saturday</v>
      </c>
    </row>
    <row r="141">
      <c r="A141" s="175" t="str">
        <f t="shared" si="1"/>
        <v>175</v>
      </c>
      <c r="B141" s="176">
        <f t="shared" si="2"/>
        <v>5</v>
      </c>
      <c r="C141" s="177">
        <f>IFERROR(__xludf.DUMMYFUNCTION("""COMPUTED_VALUE"""),37225.0)</f>
        <v>37225</v>
      </c>
      <c r="D141" s="177">
        <f>IFERROR(__xludf.DUMMYFUNCTION("""COMPUTED_VALUE"""),10.0)</f>
        <v>10</v>
      </c>
      <c r="E141" s="177">
        <f>IFERROR(__xludf.DUMMYFUNCTION("""COMPUTED_VALUE"""),7.0)</f>
        <v>7</v>
      </c>
      <c r="F141" s="177">
        <f>IFERROR(__xludf.DUMMYFUNCTION("""COMPUTED_VALUE"""),52.0)</f>
        <v>52</v>
      </c>
      <c r="G141" s="177" t="str">
        <f>IFERROR(__xludf.DUMMYFUNCTION("""COMPUTED_VALUE"""),"Richmond")</f>
        <v>Richmond</v>
      </c>
      <c r="H141" s="177">
        <f>IFERROR(__xludf.DUMMYFUNCTION("""COMPUTED_VALUE"""),14.0)</f>
        <v>14</v>
      </c>
      <c r="I141" s="177">
        <f>IFERROR(__xludf.DUMMYFUNCTION("""COMPUTED_VALUE"""),100.0)</f>
        <v>100</v>
      </c>
      <c r="J141" s="178">
        <f>IFERROR(__xludf.DUMMYFUNCTION("""COMPUTED_VALUE"""),45843.677083333336)</f>
        <v>45843.67708</v>
      </c>
      <c r="K141" s="177">
        <f>IFERROR(__xludf.DUMMYFUNCTION("""COMPUTED_VALUE"""),16.0)</f>
        <v>16</v>
      </c>
      <c r="L141" s="177">
        <f>IFERROR(__xludf.DUMMYFUNCTION("""COMPUTED_VALUE"""),18.0)</f>
        <v>18</v>
      </c>
      <c r="M141" s="177">
        <f>IFERROR(__xludf.DUMMYFUNCTION("""COMPUTED_VALUE"""),124.0)</f>
        <v>124</v>
      </c>
      <c r="N141" s="177" t="str">
        <f>IFERROR(__xludf.DUMMYFUNCTION("""COMPUTED_VALUE"""),"Geelong")</f>
        <v>Geelong</v>
      </c>
      <c r="O141" s="177">
        <f>IFERROR(__xludf.DUMMYFUNCTION("""COMPUTED_VALUE"""),7.0)</f>
        <v>7</v>
      </c>
      <c r="P141" s="177">
        <f>IFERROR(__xludf.DUMMYFUNCTION("""COMPUTED_VALUE"""),0.0)</f>
        <v>0</v>
      </c>
      <c r="Q141" s="177">
        <f>IFERROR(__xludf.DUMMYFUNCTION("""COMPUTED_VALUE"""),0.0)</f>
        <v>0</v>
      </c>
      <c r="R141" s="178">
        <f>IFERROR(__xludf.DUMMYFUNCTION("""COMPUTED_VALUE"""),45843.677083333336)</f>
        <v>45843.67708</v>
      </c>
      <c r="S141" s="177">
        <f>IFERROR(__xludf.DUMMYFUNCTION("""COMPUTED_VALUE"""),17.0)</f>
        <v>17</v>
      </c>
      <c r="T141" s="177" t="str">
        <f>IFERROR(__xludf.DUMMYFUNCTION("""COMPUTED_VALUE"""),"Round 17")</f>
        <v>Round 17</v>
      </c>
      <c r="U141" s="177" t="str">
        <f>IFERROR(__xludf.DUMMYFUNCTION("""COMPUTED_VALUE"""),"Full Time")</f>
        <v>Full Time</v>
      </c>
      <c r="V141" s="177" t="str">
        <f>IFERROR(__xludf.DUMMYFUNCTION("""COMPUTED_VALUE"""),"+10:00")</f>
        <v>+10:00</v>
      </c>
      <c r="W141" s="177">
        <f>IFERROR(__xludf.DUMMYFUNCTION("""COMPUTED_VALUE"""),1.7516961E9)</f>
        <v>1751696100</v>
      </c>
      <c r="X141" s="178">
        <f>IFERROR(__xludf.DUMMYFUNCTION("""COMPUTED_VALUE"""),45843.788564814815)</f>
        <v>45843.78856</v>
      </c>
      <c r="Y141" s="177" t="str">
        <f>IFERROR(__xludf.DUMMYFUNCTION("""COMPUTED_VALUE"""),"Kardinia Park")</f>
        <v>Kardinia Park</v>
      </c>
      <c r="Z141" s="177" t="str">
        <f>IFERROR(__xludf.DUMMYFUNCTION("""COMPUTED_VALUE"""),"Geelong")</f>
        <v>Geelong</v>
      </c>
      <c r="AA141" s="177">
        <f>IFERROR(__xludf.DUMMYFUNCTION("""COMPUTED_VALUE"""),7.0)</f>
        <v>7</v>
      </c>
      <c r="AB141" s="177">
        <f>IFERROR(__xludf.DUMMYFUNCTION("""COMPUTED_VALUE"""),2025.0)</f>
        <v>2025</v>
      </c>
      <c r="AC141" s="177" t="str">
        <f t="shared" si="3"/>
        <v>Saturday</v>
      </c>
    </row>
    <row r="142">
      <c r="A142" s="175" t="str">
        <f t="shared" si="1"/>
        <v>176</v>
      </c>
      <c r="B142" s="176">
        <f t="shared" si="2"/>
        <v>6</v>
      </c>
      <c r="C142" s="177">
        <f>IFERROR(__xludf.DUMMYFUNCTION("""COMPUTED_VALUE"""),37231.0)</f>
        <v>37231</v>
      </c>
      <c r="D142" s="177">
        <f>IFERROR(__xludf.DUMMYFUNCTION("""COMPUTED_VALUE"""),8.0)</f>
        <v>8</v>
      </c>
      <c r="E142" s="177">
        <f>IFERROR(__xludf.DUMMYFUNCTION("""COMPUTED_VALUE"""),14.0)</f>
        <v>14</v>
      </c>
      <c r="F142" s="177">
        <f>IFERROR(__xludf.DUMMYFUNCTION("""COMPUTED_VALUE"""),92.0)</f>
        <v>92</v>
      </c>
      <c r="G142" s="177" t="str">
        <f>IFERROR(__xludf.DUMMYFUNCTION("""COMPUTED_VALUE"""),"Port Adelaide")</f>
        <v>Port Adelaide</v>
      </c>
      <c r="H142" s="177">
        <f>IFERROR(__xludf.DUMMYFUNCTION("""COMPUTED_VALUE"""),13.0)</f>
        <v>13</v>
      </c>
      <c r="I142" s="177">
        <f>IFERROR(__xludf.DUMMYFUNCTION("""COMPUTED_VALUE"""),100.0)</f>
        <v>100</v>
      </c>
      <c r="J142" s="178">
        <f>IFERROR(__xludf.DUMMYFUNCTION("""COMPUTED_VALUE"""),45843.81597222222)</f>
        <v>45843.81597</v>
      </c>
      <c r="K142" s="177">
        <f>IFERROR(__xludf.DUMMYFUNCTION("""COMPUTED_VALUE"""),12.0)</f>
        <v>12</v>
      </c>
      <c r="L142" s="177">
        <f>IFERROR(__xludf.DUMMYFUNCTION("""COMPUTED_VALUE"""),18.0)</f>
        <v>18</v>
      </c>
      <c r="M142" s="177">
        <f>IFERROR(__xludf.DUMMYFUNCTION("""COMPUTED_VALUE"""),120.0)</f>
        <v>120</v>
      </c>
      <c r="N142" s="177" t="str">
        <f>IFERROR(__xludf.DUMMYFUNCTION("""COMPUTED_VALUE"""),"Brisbane Lions")</f>
        <v>Brisbane Lions</v>
      </c>
      <c r="O142" s="177">
        <f>IFERROR(__xludf.DUMMYFUNCTION("""COMPUTED_VALUE"""),2.0)</f>
        <v>2</v>
      </c>
      <c r="P142" s="177">
        <f>IFERROR(__xludf.DUMMYFUNCTION("""COMPUTED_VALUE"""),0.0)</f>
        <v>0</v>
      </c>
      <c r="Q142" s="177">
        <f>IFERROR(__xludf.DUMMYFUNCTION("""COMPUTED_VALUE"""),0.0)</f>
        <v>0</v>
      </c>
      <c r="R142" s="178">
        <f>IFERROR(__xludf.DUMMYFUNCTION("""COMPUTED_VALUE"""),45843.81597222222)</f>
        <v>45843.81597</v>
      </c>
      <c r="S142" s="177">
        <f>IFERROR(__xludf.DUMMYFUNCTION("""COMPUTED_VALUE"""),17.0)</f>
        <v>17</v>
      </c>
      <c r="T142" s="177" t="str">
        <f>IFERROR(__xludf.DUMMYFUNCTION("""COMPUTED_VALUE"""),"Round 17")</f>
        <v>Round 17</v>
      </c>
      <c r="U142" s="177" t="str">
        <f>IFERROR(__xludf.DUMMYFUNCTION("""COMPUTED_VALUE"""),"Full Time")</f>
        <v>Full Time</v>
      </c>
      <c r="V142" s="177" t="str">
        <f>IFERROR(__xludf.DUMMYFUNCTION("""COMPUTED_VALUE"""),"+10:00")</f>
        <v>+10:00</v>
      </c>
      <c r="W142" s="177">
        <f>IFERROR(__xludf.DUMMYFUNCTION("""COMPUTED_VALUE"""),1.7517081E9)</f>
        <v>1751708100</v>
      </c>
      <c r="X142" s="178">
        <f>IFERROR(__xludf.DUMMYFUNCTION("""COMPUTED_VALUE"""),45843.92870370371)</f>
        <v>45843.9287</v>
      </c>
      <c r="Y142" s="177" t="str">
        <f>IFERROR(__xludf.DUMMYFUNCTION("""COMPUTED_VALUE"""),"Gabba")</f>
        <v>Gabba</v>
      </c>
      <c r="Z142" s="177" t="str">
        <f>IFERROR(__xludf.DUMMYFUNCTION("""COMPUTED_VALUE"""),"Brisbane Lions")</f>
        <v>Brisbane Lions</v>
      </c>
      <c r="AA142" s="177">
        <f>IFERROR(__xludf.DUMMYFUNCTION("""COMPUTED_VALUE"""),2.0)</f>
        <v>2</v>
      </c>
      <c r="AB142" s="177">
        <f>IFERROR(__xludf.DUMMYFUNCTION("""COMPUTED_VALUE"""),2025.0)</f>
        <v>2025</v>
      </c>
      <c r="AC142" s="177" t="str">
        <f t="shared" si="3"/>
        <v>Saturday</v>
      </c>
    </row>
    <row r="143">
      <c r="A143" s="175" t="str">
        <f t="shared" si="1"/>
        <v>177</v>
      </c>
      <c r="B143" s="176">
        <f t="shared" si="2"/>
        <v>7</v>
      </c>
      <c r="C143" s="177">
        <f>IFERROR(__xludf.DUMMYFUNCTION("""COMPUTED_VALUE"""),37226.0)</f>
        <v>37226</v>
      </c>
      <c r="D143" s="177">
        <f>IFERROR(__xludf.DUMMYFUNCTION("""COMPUTED_VALUE"""),10.0)</f>
        <v>10</v>
      </c>
      <c r="E143" s="177">
        <f>IFERROR(__xludf.DUMMYFUNCTION("""COMPUTED_VALUE"""),14.0)</f>
        <v>14</v>
      </c>
      <c r="F143" s="177">
        <f>IFERROR(__xludf.DUMMYFUNCTION("""COMPUTED_VALUE"""),94.0)</f>
        <v>94</v>
      </c>
      <c r="G143" s="177" t="str">
        <f>IFERROR(__xludf.DUMMYFUNCTION("""COMPUTED_VALUE"""),"Hawthorn")</f>
        <v>Hawthorn</v>
      </c>
      <c r="H143" s="177">
        <f>IFERROR(__xludf.DUMMYFUNCTION("""COMPUTED_VALUE"""),10.0)</f>
        <v>10</v>
      </c>
      <c r="I143" s="177">
        <f>IFERROR(__xludf.DUMMYFUNCTION("""COMPUTED_VALUE"""),100.0)</f>
        <v>100</v>
      </c>
      <c r="J143" s="178">
        <f>IFERROR(__xludf.DUMMYFUNCTION("""COMPUTED_VALUE"""),45843.819444444445)</f>
        <v>45843.81944</v>
      </c>
      <c r="K143" s="177">
        <f>IFERROR(__xludf.DUMMYFUNCTION("""COMPUTED_VALUE"""),14.0)</f>
        <v>14</v>
      </c>
      <c r="L143" s="177">
        <f>IFERROR(__xludf.DUMMYFUNCTION("""COMPUTED_VALUE"""),10.0)</f>
        <v>10</v>
      </c>
      <c r="M143" s="177">
        <f>IFERROR(__xludf.DUMMYFUNCTION("""COMPUTED_VALUE"""),74.0)</f>
        <v>74</v>
      </c>
      <c r="N143" s="177" t="str">
        <f>IFERROR(__xludf.DUMMYFUNCTION("""COMPUTED_VALUE"""),"St Kilda")</f>
        <v>St Kilda</v>
      </c>
      <c r="O143" s="177">
        <f>IFERROR(__xludf.DUMMYFUNCTION("""COMPUTED_VALUE"""),15.0)</f>
        <v>15</v>
      </c>
      <c r="P143" s="177">
        <f>IFERROR(__xludf.DUMMYFUNCTION("""COMPUTED_VALUE"""),0.0)</f>
        <v>0</v>
      </c>
      <c r="Q143" s="177">
        <f>IFERROR(__xludf.DUMMYFUNCTION("""COMPUTED_VALUE"""),0.0)</f>
        <v>0</v>
      </c>
      <c r="R143" s="178">
        <f>IFERROR(__xludf.DUMMYFUNCTION("""COMPUTED_VALUE"""),45843.819444444445)</f>
        <v>45843.81944</v>
      </c>
      <c r="S143" s="177">
        <f>IFERROR(__xludf.DUMMYFUNCTION("""COMPUTED_VALUE"""),17.0)</f>
        <v>17</v>
      </c>
      <c r="T143" s="177" t="str">
        <f>IFERROR(__xludf.DUMMYFUNCTION("""COMPUTED_VALUE"""),"Round 17")</f>
        <v>Round 17</v>
      </c>
      <c r="U143" s="177" t="str">
        <f>IFERROR(__xludf.DUMMYFUNCTION("""COMPUTED_VALUE"""),"Full Time")</f>
        <v>Full Time</v>
      </c>
      <c r="V143" s="177" t="str">
        <f>IFERROR(__xludf.DUMMYFUNCTION("""COMPUTED_VALUE"""),"+10:00")</f>
        <v>+10:00</v>
      </c>
      <c r="W143" s="177">
        <f>IFERROR(__xludf.DUMMYFUNCTION("""COMPUTED_VALUE"""),1.7517084E9)</f>
        <v>1751708400</v>
      </c>
      <c r="X143" s="178">
        <f>IFERROR(__xludf.DUMMYFUNCTION("""COMPUTED_VALUE"""),45843.930300925924)</f>
        <v>45843.9303</v>
      </c>
      <c r="Y143" s="177" t="str">
        <f>IFERROR(__xludf.DUMMYFUNCTION("""COMPUTED_VALUE"""),"Docklands")</f>
        <v>Docklands</v>
      </c>
      <c r="Z143" s="177" t="str">
        <f>IFERROR(__xludf.DUMMYFUNCTION("""COMPUTED_VALUE"""),"Hawthorn")</f>
        <v>Hawthorn</v>
      </c>
      <c r="AA143" s="177">
        <f>IFERROR(__xludf.DUMMYFUNCTION("""COMPUTED_VALUE"""),10.0)</f>
        <v>10</v>
      </c>
      <c r="AB143" s="177">
        <f>IFERROR(__xludf.DUMMYFUNCTION("""COMPUTED_VALUE"""),2025.0)</f>
        <v>2025</v>
      </c>
      <c r="AC143" s="177" t="str">
        <f t="shared" si="3"/>
        <v>Saturday</v>
      </c>
    </row>
    <row r="144">
      <c r="A144" s="175" t="str">
        <f t="shared" si="1"/>
        <v>178</v>
      </c>
      <c r="B144" s="176">
        <f t="shared" si="2"/>
        <v>8</v>
      </c>
      <c r="C144" s="177">
        <f>IFERROR(__xludf.DUMMYFUNCTION("""COMPUTED_VALUE"""),37230.0)</f>
        <v>37230</v>
      </c>
      <c r="D144" s="177">
        <f>IFERROR(__xludf.DUMMYFUNCTION("""COMPUTED_VALUE"""),11.0)</f>
        <v>11</v>
      </c>
      <c r="E144" s="177">
        <f>IFERROR(__xludf.DUMMYFUNCTION("""COMPUTED_VALUE"""),12.0)</f>
        <v>12</v>
      </c>
      <c r="F144" s="177">
        <f>IFERROR(__xludf.DUMMYFUNCTION("""COMPUTED_VALUE"""),83.0)</f>
        <v>83</v>
      </c>
      <c r="G144" s="177" t="str">
        <f>IFERROR(__xludf.DUMMYFUNCTION("""COMPUTED_VALUE"""),"Fremantle")</f>
        <v>Fremantle</v>
      </c>
      <c r="H144" s="177">
        <f>IFERROR(__xludf.DUMMYFUNCTION("""COMPUTED_VALUE"""),6.0)</f>
        <v>6</v>
      </c>
      <c r="I144" s="177">
        <f>IFERROR(__xludf.DUMMYFUNCTION("""COMPUTED_VALUE"""),100.0)</f>
        <v>100</v>
      </c>
      <c r="J144" s="178">
        <f>IFERROR(__xludf.DUMMYFUNCTION("""COMPUTED_VALUE"""),45844.54861111111)</f>
        <v>45844.54861</v>
      </c>
      <c r="K144" s="177">
        <f>IFERROR(__xludf.DUMMYFUNCTION("""COMPUTED_VALUE"""),10.0)</f>
        <v>10</v>
      </c>
      <c r="L144" s="177">
        <f>IFERROR(__xludf.DUMMYFUNCTION("""COMPUTED_VALUE"""),14.0)</f>
        <v>14</v>
      </c>
      <c r="M144" s="177">
        <f>IFERROR(__xludf.DUMMYFUNCTION("""COMPUTED_VALUE"""),94.0)</f>
        <v>94</v>
      </c>
      <c r="N144" s="177" t="str">
        <f>IFERROR(__xludf.DUMMYFUNCTION("""COMPUTED_VALUE"""),"Sydney")</f>
        <v>Sydney</v>
      </c>
      <c r="O144" s="177">
        <f>IFERROR(__xludf.DUMMYFUNCTION("""COMPUTED_VALUE"""),16.0)</f>
        <v>16</v>
      </c>
      <c r="P144" s="177">
        <f>IFERROR(__xludf.DUMMYFUNCTION("""COMPUTED_VALUE"""),0.0)</f>
        <v>0</v>
      </c>
      <c r="Q144" s="177">
        <f>IFERROR(__xludf.DUMMYFUNCTION("""COMPUTED_VALUE"""),0.0)</f>
        <v>0</v>
      </c>
      <c r="R144" s="178">
        <f>IFERROR(__xludf.DUMMYFUNCTION("""COMPUTED_VALUE"""),45844.54861111111)</f>
        <v>45844.54861</v>
      </c>
      <c r="S144" s="177">
        <f>IFERROR(__xludf.DUMMYFUNCTION("""COMPUTED_VALUE"""),17.0)</f>
        <v>17</v>
      </c>
      <c r="T144" s="177" t="str">
        <f>IFERROR(__xludf.DUMMYFUNCTION("""COMPUTED_VALUE"""),"Round 17")</f>
        <v>Round 17</v>
      </c>
      <c r="U144" s="177" t="str">
        <f>IFERROR(__xludf.DUMMYFUNCTION("""COMPUTED_VALUE"""),"Full Time")</f>
        <v>Full Time</v>
      </c>
      <c r="V144" s="177" t="str">
        <f>IFERROR(__xludf.DUMMYFUNCTION("""COMPUTED_VALUE"""),"+10:00")</f>
        <v>+10:00</v>
      </c>
      <c r="W144" s="177">
        <f>IFERROR(__xludf.DUMMYFUNCTION("""COMPUTED_VALUE"""),1.7517714E9)</f>
        <v>1751771400</v>
      </c>
      <c r="X144" s="178">
        <f>IFERROR(__xludf.DUMMYFUNCTION("""COMPUTED_VALUE"""),45844.66027777778)</f>
        <v>45844.66028</v>
      </c>
      <c r="Y144" s="177" t="str">
        <f>IFERROR(__xludf.DUMMYFUNCTION("""COMPUTED_VALUE"""),"S.C.G.")</f>
        <v>S.C.G.</v>
      </c>
      <c r="Z144" s="177" t="str">
        <f>IFERROR(__xludf.DUMMYFUNCTION("""COMPUTED_VALUE"""),"Sydney")</f>
        <v>Sydney</v>
      </c>
      <c r="AA144" s="177">
        <f>IFERROR(__xludf.DUMMYFUNCTION("""COMPUTED_VALUE"""),16.0)</f>
        <v>16</v>
      </c>
      <c r="AB144" s="177">
        <f>IFERROR(__xludf.DUMMYFUNCTION("""COMPUTED_VALUE"""),2025.0)</f>
        <v>2025</v>
      </c>
      <c r="AC144" s="177" t="str">
        <f t="shared" si="3"/>
        <v>Sunday</v>
      </c>
    </row>
    <row r="145">
      <c r="A145" s="175" t="str">
        <f t="shared" si="1"/>
        <v>179</v>
      </c>
      <c r="B145" s="176">
        <f t="shared" si="2"/>
        <v>9</v>
      </c>
      <c r="C145" s="177">
        <f>IFERROR(__xludf.DUMMYFUNCTION("""COMPUTED_VALUE"""),37232.0)</f>
        <v>37232</v>
      </c>
      <c r="D145" s="177">
        <f>IFERROR(__xludf.DUMMYFUNCTION("""COMPUTED_VALUE"""),11.0)</f>
        <v>11</v>
      </c>
      <c r="E145" s="177">
        <f>IFERROR(__xludf.DUMMYFUNCTION("""COMPUTED_VALUE"""),11.0)</f>
        <v>11</v>
      </c>
      <c r="F145" s="177">
        <f>IFERROR(__xludf.DUMMYFUNCTION("""COMPUTED_VALUE"""),77.0)</f>
        <v>77</v>
      </c>
      <c r="G145" s="177" t="str">
        <f>IFERROR(__xludf.DUMMYFUNCTION("""COMPUTED_VALUE"""),"Melbourne")</f>
        <v>Melbourne</v>
      </c>
      <c r="H145" s="177">
        <f>IFERROR(__xludf.DUMMYFUNCTION("""COMPUTED_VALUE"""),11.0)</f>
        <v>11</v>
      </c>
      <c r="I145" s="177">
        <f>IFERROR(__xludf.DUMMYFUNCTION("""COMPUTED_VALUE"""),100.0)</f>
        <v>100</v>
      </c>
      <c r="J145" s="178">
        <f>IFERROR(__xludf.DUMMYFUNCTION("""COMPUTED_VALUE"""),45844.635416666664)</f>
        <v>45844.63542</v>
      </c>
      <c r="K145" s="177">
        <f>IFERROR(__xludf.DUMMYFUNCTION("""COMPUTED_VALUE"""),12.0)</f>
        <v>12</v>
      </c>
      <c r="L145" s="177">
        <f>IFERROR(__xludf.DUMMYFUNCTION("""COMPUTED_VALUE"""),13.0)</f>
        <v>13</v>
      </c>
      <c r="M145" s="177">
        <f>IFERROR(__xludf.DUMMYFUNCTION("""COMPUTED_VALUE"""),90.0)</f>
        <v>90</v>
      </c>
      <c r="N145" s="177" t="str">
        <f>IFERROR(__xludf.DUMMYFUNCTION("""COMPUTED_VALUE"""),"Adelaide")</f>
        <v>Adelaide</v>
      </c>
      <c r="O145" s="177">
        <f>IFERROR(__xludf.DUMMYFUNCTION("""COMPUTED_VALUE"""),1.0)</f>
        <v>1</v>
      </c>
      <c r="P145" s="177">
        <f>IFERROR(__xludf.DUMMYFUNCTION("""COMPUTED_VALUE"""),0.0)</f>
        <v>0</v>
      </c>
      <c r="Q145" s="177">
        <f>IFERROR(__xludf.DUMMYFUNCTION("""COMPUTED_VALUE"""),0.0)</f>
        <v>0</v>
      </c>
      <c r="R145" s="178">
        <f>IFERROR(__xludf.DUMMYFUNCTION("""COMPUTED_VALUE"""),45844.614583333336)</f>
        <v>45844.61458</v>
      </c>
      <c r="S145" s="177">
        <f>IFERROR(__xludf.DUMMYFUNCTION("""COMPUTED_VALUE"""),17.0)</f>
        <v>17</v>
      </c>
      <c r="T145" s="177" t="str">
        <f>IFERROR(__xludf.DUMMYFUNCTION("""COMPUTED_VALUE"""),"Round 17")</f>
        <v>Round 17</v>
      </c>
      <c r="U145" s="177" t="str">
        <f>IFERROR(__xludf.DUMMYFUNCTION("""COMPUTED_VALUE"""),"Full Time")</f>
        <v>Full Time</v>
      </c>
      <c r="V145" s="177" t="str">
        <f>IFERROR(__xludf.DUMMYFUNCTION("""COMPUTED_VALUE"""),"+10:00")</f>
        <v>+10:00</v>
      </c>
      <c r="W145" s="177">
        <f>IFERROR(__xludf.DUMMYFUNCTION("""COMPUTED_VALUE"""),1.7517789E9)</f>
        <v>1751778900</v>
      </c>
      <c r="X145" s="178">
        <f>IFERROR(__xludf.DUMMYFUNCTION("""COMPUTED_VALUE"""),45844.74774305556)</f>
        <v>45844.74774</v>
      </c>
      <c r="Y145" s="177" t="str">
        <f>IFERROR(__xludf.DUMMYFUNCTION("""COMPUTED_VALUE"""),"Adelaide Oval")</f>
        <v>Adelaide Oval</v>
      </c>
      <c r="Z145" s="177" t="str">
        <f>IFERROR(__xludf.DUMMYFUNCTION("""COMPUTED_VALUE"""),"Adelaide")</f>
        <v>Adelaide</v>
      </c>
      <c r="AA145" s="177">
        <f>IFERROR(__xludf.DUMMYFUNCTION("""COMPUTED_VALUE"""),1.0)</f>
        <v>1</v>
      </c>
      <c r="AB145" s="177">
        <f>IFERROR(__xludf.DUMMYFUNCTION("""COMPUTED_VALUE"""),2025.0)</f>
        <v>2025</v>
      </c>
      <c r="AC145" s="177" t="str">
        <f t="shared" si="3"/>
        <v>Sunday</v>
      </c>
    </row>
    <row r="146">
      <c r="A146" s="175" t="str">
        <f t="shared" si="1"/>
        <v>181</v>
      </c>
      <c r="B146" s="176">
        <f t="shared" si="2"/>
        <v>1</v>
      </c>
      <c r="C146" s="177">
        <f>IFERROR(__xludf.DUMMYFUNCTION("""COMPUTED_VALUE"""),37237.0)</f>
        <v>37237</v>
      </c>
      <c r="D146" s="177">
        <f>IFERROR(__xludf.DUMMYFUNCTION("""COMPUTED_VALUE"""),13.0)</f>
        <v>13</v>
      </c>
      <c r="E146" s="177">
        <f>IFERROR(__xludf.DUMMYFUNCTION("""COMPUTED_VALUE"""),15.0)</f>
        <v>15</v>
      </c>
      <c r="F146" s="177">
        <f>IFERROR(__xludf.DUMMYFUNCTION("""COMPUTED_VALUE"""),103.0)</f>
        <v>103</v>
      </c>
      <c r="G146" s="177" t="str">
        <f>IFERROR(__xludf.DUMMYFUNCTION("""COMPUTED_VALUE"""),"Brisbane Lions")</f>
        <v>Brisbane Lions</v>
      </c>
      <c r="H146" s="177">
        <f>IFERROR(__xludf.DUMMYFUNCTION("""COMPUTED_VALUE"""),2.0)</f>
        <v>2</v>
      </c>
      <c r="I146" s="177">
        <f>IFERROR(__xludf.DUMMYFUNCTION("""COMPUTED_VALUE"""),100.0)</f>
        <v>100</v>
      </c>
      <c r="J146" s="178">
        <f>IFERROR(__xludf.DUMMYFUNCTION("""COMPUTED_VALUE"""),45848.8125)</f>
        <v>45848.8125</v>
      </c>
      <c r="K146" s="177">
        <f>IFERROR(__xludf.DUMMYFUNCTION("""COMPUTED_VALUE"""),12.0)</f>
        <v>12</v>
      </c>
      <c r="L146" s="177">
        <f>IFERROR(__xludf.DUMMYFUNCTION("""COMPUTED_VALUE"""),9.0)</f>
        <v>9</v>
      </c>
      <c r="M146" s="177">
        <f>IFERROR(__xludf.DUMMYFUNCTION("""COMPUTED_VALUE"""),66.0)</f>
        <v>66</v>
      </c>
      <c r="N146" s="177" t="str">
        <f>IFERROR(__xludf.DUMMYFUNCTION("""COMPUTED_VALUE"""),"Carlton")</f>
        <v>Carlton</v>
      </c>
      <c r="O146" s="177">
        <f>IFERROR(__xludf.DUMMYFUNCTION("""COMPUTED_VALUE"""),3.0)</f>
        <v>3</v>
      </c>
      <c r="P146" s="177">
        <f>IFERROR(__xludf.DUMMYFUNCTION("""COMPUTED_VALUE"""),0.0)</f>
        <v>0</v>
      </c>
      <c r="Q146" s="177">
        <f>IFERROR(__xludf.DUMMYFUNCTION("""COMPUTED_VALUE"""),0.0)</f>
        <v>0</v>
      </c>
      <c r="R146" s="178">
        <f>IFERROR(__xludf.DUMMYFUNCTION("""COMPUTED_VALUE"""),45848.8125)</f>
        <v>45848.8125</v>
      </c>
      <c r="S146" s="177">
        <f>IFERROR(__xludf.DUMMYFUNCTION("""COMPUTED_VALUE"""),18.0)</f>
        <v>18</v>
      </c>
      <c r="T146" s="177" t="str">
        <f>IFERROR(__xludf.DUMMYFUNCTION("""COMPUTED_VALUE"""),"Round 18")</f>
        <v>Round 18</v>
      </c>
      <c r="U146" s="177" t="str">
        <f>IFERROR(__xludf.DUMMYFUNCTION("""COMPUTED_VALUE"""),"Full Time")</f>
        <v>Full Time</v>
      </c>
      <c r="V146" s="177" t="str">
        <f>IFERROR(__xludf.DUMMYFUNCTION("""COMPUTED_VALUE"""),"+10:00")</f>
        <v>+10:00</v>
      </c>
      <c r="W146" s="177">
        <f>IFERROR(__xludf.DUMMYFUNCTION("""COMPUTED_VALUE"""),1.7521398E9)</f>
        <v>1752139800</v>
      </c>
      <c r="X146" s="178">
        <f>IFERROR(__xludf.DUMMYFUNCTION("""COMPUTED_VALUE"""),45848.924409722225)</f>
        <v>45848.92441</v>
      </c>
      <c r="Y146" s="177" t="str">
        <f>IFERROR(__xludf.DUMMYFUNCTION("""COMPUTED_VALUE"""),"Docklands")</f>
        <v>Docklands</v>
      </c>
      <c r="Z146" s="177" t="str">
        <f>IFERROR(__xludf.DUMMYFUNCTION("""COMPUTED_VALUE"""),"Brisbane Lions")</f>
        <v>Brisbane Lions</v>
      </c>
      <c r="AA146" s="177">
        <f>IFERROR(__xludf.DUMMYFUNCTION("""COMPUTED_VALUE"""),2.0)</f>
        <v>2</v>
      </c>
      <c r="AB146" s="177">
        <f>IFERROR(__xludf.DUMMYFUNCTION("""COMPUTED_VALUE"""),2025.0)</f>
        <v>2025</v>
      </c>
      <c r="AC146" s="177" t="str">
        <f t="shared" si="3"/>
        <v>Thursday</v>
      </c>
    </row>
    <row r="147">
      <c r="A147" s="175" t="str">
        <f t="shared" si="1"/>
        <v>182</v>
      </c>
      <c r="B147" s="176">
        <f t="shared" si="2"/>
        <v>2</v>
      </c>
      <c r="C147" s="177">
        <f>IFERROR(__xludf.DUMMYFUNCTION("""COMPUTED_VALUE"""),37240.0)</f>
        <v>37240</v>
      </c>
      <c r="D147" s="177">
        <f>IFERROR(__xludf.DUMMYFUNCTION("""COMPUTED_VALUE"""),15.0)</f>
        <v>15</v>
      </c>
      <c r="E147" s="177">
        <f>IFERROR(__xludf.DUMMYFUNCTION("""COMPUTED_VALUE"""),8.0)</f>
        <v>8</v>
      </c>
      <c r="F147" s="177">
        <f>IFERROR(__xludf.DUMMYFUNCTION("""COMPUTED_VALUE"""),63.0)</f>
        <v>63</v>
      </c>
      <c r="G147" s="177" t="str">
        <f>IFERROR(__xludf.DUMMYFUNCTION("""COMPUTED_VALUE"""),"Collingwood")</f>
        <v>Collingwood</v>
      </c>
      <c r="H147" s="177">
        <f>IFERROR(__xludf.DUMMYFUNCTION("""COMPUTED_VALUE"""),4.0)</f>
        <v>4</v>
      </c>
      <c r="I147" s="177">
        <f>IFERROR(__xludf.DUMMYFUNCTION("""COMPUTED_VALUE"""),100.0)</f>
        <v>100</v>
      </c>
      <c r="J147" s="178">
        <f>IFERROR(__xludf.DUMMYFUNCTION("""COMPUTED_VALUE"""),45849.819444444445)</f>
        <v>45849.81944</v>
      </c>
      <c r="K147" s="177">
        <f>IFERROR(__xludf.DUMMYFUNCTION("""COMPUTED_VALUE"""),9.0)</f>
        <v>9</v>
      </c>
      <c r="L147" s="177">
        <f>IFERROR(__xludf.DUMMYFUNCTION("""COMPUTED_VALUE"""),10.0)</f>
        <v>10</v>
      </c>
      <c r="M147" s="177">
        <f>IFERROR(__xludf.DUMMYFUNCTION("""COMPUTED_VALUE"""),69.0)</f>
        <v>69</v>
      </c>
      <c r="N147" s="177" t="str">
        <f>IFERROR(__xludf.DUMMYFUNCTION("""COMPUTED_VALUE"""),"Gold Coast")</f>
        <v>Gold Coast</v>
      </c>
      <c r="O147" s="177">
        <f>IFERROR(__xludf.DUMMYFUNCTION("""COMPUTED_VALUE"""),8.0)</f>
        <v>8</v>
      </c>
      <c r="P147" s="177">
        <f>IFERROR(__xludf.DUMMYFUNCTION("""COMPUTED_VALUE"""),0.0)</f>
        <v>0</v>
      </c>
      <c r="Q147" s="177">
        <f>IFERROR(__xludf.DUMMYFUNCTION("""COMPUTED_VALUE"""),0.0)</f>
        <v>0</v>
      </c>
      <c r="R147" s="178">
        <f>IFERROR(__xludf.DUMMYFUNCTION("""COMPUTED_VALUE"""),45849.819444444445)</f>
        <v>45849.81944</v>
      </c>
      <c r="S147" s="177">
        <f>IFERROR(__xludf.DUMMYFUNCTION("""COMPUTED_VALUE"""),18.0)</f>
        <v>18</v>
      </c>
      <c r="T147" s="177" t="str">
        <f>IFERROR(__xludf.DUMMYFUNCTION("""COMPUTED_VALUE"""),"Round 18")</f>
        <v>Round 18</v>
      </c>
      <c r="U147" s="177" t="str">
        <f>IFERROR(__xludf.DUMMYFUNCTION("""COMPUTED_VALUE"""),"Full Time")</f>
        <v>Full Time</v>
      </c>
      <c r="V147" s="177" t="str">
        <f>IFERROR(__xludf.DUMMYFUNCTION("""COMPUTED_VALUE"""),"+10:00")</f>
        <v>+10:00</v>
      </c>
      <c r="W147" s="177">
        <f>IFERROR(__xludf.DUMMYFUNCTION("""COMPUTED_VALUE"""),1.7522268E9)</f>
        <v>1752226800</v>
      </c>
      <c r="X147" s="178">
        <f>IFERROR(__xludf.DUMMYFUNCTION("""COMPUTED_VALUE"""),45849.930300925924)</f>
        <v>45849.9303</v>
      </c>
      <c r="Y147" s="177" t="str">
        <f>IFERROR(__xludf.DUMMYFUNCTION("""COMPUTED_VALUE"""),"Carrara")</f>
        <v>Carrara</v>
      </c>
      <c r="Z147" s="177" t="str">
        <f>IFERROR(__xludf.DUMMYFUNCTION("""COMPUTED_VALUE"""),"Gold Coast")</f>
        <v>Gold Coast</v>
      </c>
      <c r="AA147" s="177">
        <f>IFERROR(__xludf.DUMMYFUNCTION("""COMPUTED_VALUE"""),8.0)</f>
        <v>8</v>
      </c>
      <c r="AB147" s="177">
        <f>IFERROR(__xludf.DUMMYFUNCTION("""COMPUTED_VALUE"""),2025.0)</f>
        <v>2025</v>
      </c>
      <c r="AC147" s="177" t="str">
        <f t="shared" si="3"/>
        <v>Friday</v>
      </c>
    </row>
    <row r="148">
      <c r="A148" s="175" t="str">
        <f t="shared" si="1"/>
        <v>183</v>
      </c>
      <c r="B148" s="176">
        <f t="shared" si="2"/>
        <v>3</v>
      </c>
      <c r="C148" s="177">
        <f>IFERROR(__xludf.DUMMYFUNCTION("""COMPUTED_VALUE"""),37235.0)</f>
        <v>37235</v>
      </c>
      <c r="D148" s="177">
        <f>IFERROR(__xludf.DUMMYFUNCTION("""COMPUTED_VALUE"""),13.0)</f>
        <v>13</v>
      </c>
      <c r="E148" s="177">
        <f>IFERROR(__xludf.DUMMYFUNCTION("""COMPUTED_VALUE"""),16.0)</f>
        <v>16</v>
      </c>
      <c r="F148" s="177">
        <f>IFERROR(__xludf.DUMMYFUNCTION("""COMPUTED_VALUE"""),109.0)</f>
        <v>109</v>
      </c>
      <c r="G148" s="177" t="str">
        <f>IFERROR(__xludf.DUMMYFUNCTION("""COMPUTED_VALUE"""),"Adelaide")</f>
        <v>Adelaide</v>
      </c>
      <c r="H148" s="177">
        <f>IFERROR(__xludf.DUMMYFUNCTION("""COMPUTED_VALUE"""),1.0)</f>
        <v>1</v>
      </c>
      <c r="I148" s="177">
        <f>IFERROR(__xludf.DUMMYFUNCTION("""COMPUTED_VALUE"""),100.0)</f>
        <v>100</v>
      </c>
      <c r="J148" s="178">
        <f>IFERROR(__xludf.DUMMYFUNCTION("""COMPUTED_VALUE"""),45850.555555555555)</f>
        <v>45850.55556</v>
      </c>
      <c r="K148" s="177">
        <f>IFERROR(__xludf.DUMMYFUNCTION("""COMPUTED_VALUE"""),8.0)</f>
        <v>8</v>
      </c>
      <c r="L148" s="177">
        <f>IFERROR(__xludf.DUMMYFUNCTION("""COMPUTED_VALUE"""),15.0)</f>
        <v>15</v>
      </c>
      <c r="M148" s="177">
        <f>IFERROR(__xludf.DUMMYFUNCTION("""COMPUTED_VALUE"""),98.0)</f>
        <v>98</v>
      </c>
      <c r="N148" s="177" t="str">
        <f>IFERROR(__xludf.DUMMYFUNCTION("""COMPUTED_VALUE"""),"Western Bulldogs")</f>
        <v>Western Bulldogs</v>
      </c>
      <c r="O148" s="177">
        <f>IFERROR(__xludf.DUMMYFUNCTION("""COMPUTED_VALUE"""),18.0)</f>
        <v>18</v>
      </c>
      <c r="P148" s="177">
        <f>IFERROR(__xludf.DUMMYFUNCTION("""COMPUTED_VALUE"""),0.0)</f>
        <v>0</v>
      </c>
      <c r="Q148" s="177">
        <f>IFERROR(__xludf.DUMMYFUNCTION("""COMPUTED_VALUE"""),0.0)</f>
        <v>0</v>
      </c>
      <c r="R148" s="178">
        <f>IFERROR(__xludf.DUMMYFUNCTION("""COMPUTED_VALUE"""),45850.555555555555)</f>
        <v>45850.55556</v>
      </c>
      <c r="S148" s="177">
        <f>IFERROR(__xludf.DUMMYFUNCTION("""COMPUTED_VALUE"""),18.0)</f>
        <v>18</v>
      </c>
      <c r="T148" s="177" t="str">
        <f>IFERROR(__xludf.DUMMYFUNCTION("""COMPUTED_VALUE"""),"Round 18")</f>
        <v>Round 18</v>
      </c>
      <c r="U148" s="177" t="str">
        <f>IFERROR(__xludf.DUMMYFUNCTION("""COMPUTED_VALUE"""),"Full Time")</f>
        <v>Full Time</v>
      </c>
      <c r="V148" s="177" t="str">
        <f>IFERROR(__xludf.DUMMYFUNCTION("""COMPUTED_VALUE"""),"+10:00")</f>
        <v>+10:00</v>
      </c>
      <c r="W148" s="177">
        <f>IFERROR(__xludf.DUMMYFUNCTION("""COMPUTED_VALUE"""),1.7522904E9)</f>
        <v>1752290400</v>
      </c>
      <c r="X148" s="178">
        <f>IFERROR(__xludf.DUMMYFUNCTION("""COMPUTED_VALUE"""),45850.66847222222)</f>
        <v>45850.66847</v>
      </c>
      <c r="Y148" s="177" t="str">
        <f>IFERROR(__xludf.DUMMYFUNCTION("""COMPUTED_VALUE"""),"Docklands")</f>
        <v>Docklands</v>
      </c>
      <c r="Z148" s="177" t="str">
        <f>IFERROR(__xludf.DUMMYFUNCTION("""COMPUTED_VALUE"""),"Adelaide")</f>
        <v>Adelaide</v>
      </c>
      <c r="AA148" s="177">
        <f>IFERROR(__xludf.DUMMYFUNCTION("""COMPUTED_VALUE"""),1.0)</f>
        <v>1</v>
      </c>
      <c r="AB148" s="177">
        <f>IFERROR(__xludf.DUMMYFUNCTION("""COMPUTED_VALUE"""),2025.0)</f>
        <v>2025</v>
      </c>
      <c r="AC148" s="177" t="str">
        <f t="shared" si="3"/>
        <v>Saturday</v>
      </c>
    </row>
    <row r="149">
      <c r="A149" s="175" t="str">
        <f t="shared" si="1"/>
        <v>184</v>
      </c>
      <c r="B149" s="176">
        <f t="shared" si="2"/>
        <v>4</v>
      </c>
      <c r="C149" s="177">
        <f>IFERROR(__xludf.DUMMYFUNCTION("""COMPUTED_VALUE"""),37234.0)</f>
        <v>37234</v>
      </c>
      <c r="D149" s="177">
        <f>IFERROR(__xludf.DUMMYFUNCTION("""COMPUTED_VALUE"""),7.0)</f>
        <v>7</v>
      </c>
      <c r="E149" s="177">
        <f>IFERROR(__xludf.DUMMYFUNCTION("""COMPUTED_VALUE"""),13.0)</f>
        <v>13</v>
      </c>
      <c r="F149" s="177">
        <f>IFERROR(__xludf.DUMMYFUNCTION("""COMPUTED_VALUE"""),85.0)</f>
        <v>85</v>
      </c>
      <c r="G149" s="177" t="str">
        <f>IFERROR(__xludf.DUMMYFUNCTION("""COMPUTED_VALUE"""),"Geelong")</f>
        <v>Geelong</v>
      </c>
      <c r="H149" s="177">
        <f>IFERROR(__xludf.DUMMYFUNCTION("""COMPUTED_VALUE"""),7.0)</f>
        <v>7</v>
      </c>
      <c r="I149" s="177">
        <f>IFERROR(__xludf.DUMMYFUNCTION("""COMPUTED_VALUE"""),100.0)</f>
        <v>100</v>
      </c>
      <c r="J149" s="178">
        <f>IFERROR(__xludf.DUMMYFUNCTION("""COMPUTED_VALUE"""),45850.677083333336)</f>
        <v>45850.67708</v>
      </c>
      <c r="K149" s="177">
        <f>IFERROR(__xludf.DUMMYFUNCTION("""COMPUTED_VALUE"""),9.0)</f>
        <v>9</v>
      </c>
      <c r="L149" s="177">
        <f>IFERROR(__xludf.DUMMYFUNCTION("""COMPUTED_VALUE"""),17.0)</f>
        <v>17</v>
      </c>
      <c r="M149" s="177">
        <f>IFERROR(__xludf.DUMMYFUNCTION("""COMPUTED_VALUE"""),111.0)</f>
        <v>111</v>
      </c>
      <c r="N149" s="177" t="str">
        <f>IFERROR(__xludf.DUMMYFUNCTION("""COMPUTED_VALUE"""),"Greater Western Sydney")</f>
        <v>Greater Western Sydney</v>
      </c>
      <c r="O149" s="177">
        <f>IFERROR(__xludf.DUMMYFUNCTION("""COMPUTED_VALUE"""),9.0)</f>
        <v>9</v>
      </c>
      <c r="P149" s="177">
        <f>IFERROR(__xludf.DUMMYFUNCTION("""COMPUTED_VALUE"""),0.0)</f>
        <v>0</v>
      </c>
      <c r="Q149" s="177">
        <f>IFERROR(__xludf.DUMMYFUNCTION("""COMPUTED_VALUE"""),0.0)</f>
        <v>0</v>
      </c>
      <c r="R149" s="178">
        <f>IFERROR(__xludf.DUMMYFUNCTION("""COMPUTED_VALUE"""),45850.677083333336)</f>
        <v>45850.67708</v>
      </c>
      <c r="S149" s="177">
        <f>IFERROR(__xludf.DUMMYFUNCTION("""COMPUTED_VALUE"""),18.0)</f>
        <v>18</v>
      </c>
      <c r="T149" s="177" t="str">
        <f>IFERROR(__xludf.DUMMYFUNCTION("""COMPUTED_VALUE"""),"Round 18")</f>
        <v>Round 18</v>
      </c>
      <c r="U149" s="177" t="str">
        <f>IFERROR(__xludf.DUMMYFUNCTION("""COMPUTED_VALUE"""),"Full Time")</f>
        <v>Full Time</v>
      </c>
      <c r="V149" s="177" t="str">
        <f>IFERROR(__xludf.DUMMYFUNCTION("""COMPUTED_VALUE"""),"+10:00")</f>
        <v>+10:00</v>
      </c>
      <c r="W149" s="177">
        <f>IFERROR(__xludf.DUMMYFUNCTION("""COMPUTED_VALUE"""),1.7523009E9)</f>
        <v>1752300900</v>
      </c>
      <c r="X149" s="178">
        <f>IFERROR(__xludf.DUMMYFUNCTION("""COMPUTED_VALUE"""),45850.7893287037)</f>
        <v>45850.78933</v>
      </c>
      <c r="Y149" s="177" t="str">
        <f>IFERROR(__xludf.DUMMYFUNCTION("""COMPUTED_VALUE"""),"Sydney Showground")</f>
        <v>Sydney Showground</v>
      </c>
      <c r="Z149" s="177" t="str">
        <f>IFERROR(__xludf.DUMMYFUNCTION("""COMPUTED_VALUE"""),"Greater Western Sydney")</f>
        <v>Greater Western Sydney</v>
      </c>
      <c r="AA149" s="177">
        <f>IFERROR(__xludf.DUMMYFUNCTION("""COMPUTED_VALUE"""),9.0)</f>
        <v>9</v>
      </c>
      <c r="AB149" s="177">
        <f>IFERROR(__xludf.DUMMYFUNCTION("""COMPUTED_VALUE"""),2025.0)</f>
        <v>2025</v>
      </c>
      <c r="AC149" s="177" t="str">
        <f t="shared" si="3"/>
        <v>Saturday</v>
      </c>
    </row>
    <row r="150">
      <c r="A150" s="175" t="str">
        <f t="shared" si="1"/>
        <v>185</v>
      </c>
      <c r="B150" s="176">
        <f t="shared" si="2"/>
        <v>5</v>
      </c>
      <c r="C150" s="177">
        <f>IFERROR(__xludf.DUMMYFUNCTION("""COMPUTED_VALUE"""),37239.0)</f>
        <v>37239</v>
      </c>
      <c r="D150" s="177">
        <f>IFERROR(__xludf.DUMMYFUNCTION("""COMPUTED_VALUE"""),13.0)</f>
        <v>13</v>
      </c>
      <c r="E150" s="177">
        <f>IFERROR(__xludf.DUMMYFUNCTION("""COMPUTED_VALUE"""),4.0)</f>
        <v>4</v>
      </c>
      <c r="F150" s="177">
        <f>IFERROR(__xludf.DUMMYFUNCTION("""COMPUTED_VALUE"""),37.0)</f>
        <v>37</v>
      </c>
      <c r="G150" s="177" t="str">
        <f>IFERROR(__xludf.DUMMYFUNCTION("""COMPUTED_VALUE"""),"Essendon")</f>
        <v>Essendon</v>
      </c>
      <c r="H150" s="177">
        <f>IFERROR(__xludf.DUMMYFUNCTION("""COMPUTED_VALUE"""),5.0)</f>
        <v>5</v>
      </c>
      <c r="I150" s="177">
        <f>IFERROR(__xludf.DUMMYFUNCTION("""COMPUTED_VALUE"""),100.0)</f>
        <v>100</v>
      </c>
      <c r="J150" s="178">
        <f>IFERROR(__xludf.DUMMYFUNCTION("""COMPUTED_VALUE"""),45850.81597222222)</f>
        <v>45850.81597</v>
      </c>
      <c r="K150" s="177">
        <f>IFERROR(__xludf.DUMMYFUNCTION("""COMPUTED_VALUE"""),10.0)</f>
        <v>10</v>
      </c>
      <c r="L150" s="177">
        <f>IFERROR(__xludf.DUMMYFUNCTION("""COMPUTED_VALUE"""),6.0)</f>
        <v>6</v>
      </c>
      <c r="M150" s="177">
        <f>IFERROR(__xludf.DUMMYFUNCTION("""COMPUTED_VALUE"""),46.0)</f>
        <v>46</v>
      </c>
      <c r="N150" s="177" t="str">
        <f>IFERROR(__xludf.DUMMYFUNCTION("""COMPUTED_VALUE"""),"Richmond")</f>
        <v>Richmond</v>
      </c>
      <c r="O150" s="177">
        <f>IFERROR(__xludf.DUMMYFUNCTION("""COMPUTED_VALUE"""),14.0)</f>
        <v>14</v>
      </c>
      <c r="P150" s="177">
        <f>IFERROR(__xludf.DUMMYFUNCTION("""COMPUTED_VALUE"""),0.0)</f>
        <v>0</v>
      </c>
      <c r="Q150" s="177">
        <f>IFERROR(__xludf.DUMMYFUNCTION("""COMPUTED_VALUE"""),0.0)</f>
        <v>0</v>
      </c>
      <c r="R150" s="178">
        <f>IFERROR(__xludf.DUMMYFUNCTION("""COMPUTED_VALUE"""),45850.81597222222)</f>
        <v>45850.81597</v>
      </c>
      <c r="S150" s="177">
        <f>IFERROR(__xludf.DUMMYFUNCTION("""COMPUTED_VALUE"""),18.0)</f>
        <v>18</v>
      </c>
      <c r="T150" s="177" t="str">
        <f>IFERROR(__xludf.DUMMYFUNCTION("""COMPUTED_VALUE"""),"Round 18")</f>
        <v>Round 18</v>
      </c>
      <c r="U150" s="177" t="str">
        <f>IFERROR(__xludf.DUMMYFUNCTION("""COMPUTED_VALUE"""),"Full Time")</f>
        <v>Full Time</v>
      </c>
      <c r="V150" s="177" t="str">
        <f>IFERROR(__xludf.DUMMYFUNCTION("""COMPUTED_VALUE"""),"+10:00")</f>
        <v>+10:00</v>
      </c>
      <c r="W150" s="177">
        <f>IFERROR(__xludf.DUMMYFUNCTION("""COMPUTED_VALUE"""),1.7523129E9)</f>
        <v>1752312900</v>
      </c>
      <c r="X150" s="178">
        <f>IFERROR(__xludf.DUMMYFUNCTION("""COMPUTED_VALUE"""),45850.918969907405)</f>
        <v>45850.91897</v>
      </c>
      <c r="Y150" s="177" t="str">
        <f>IFERROR(__xludf.DUMMYFUNCTION("""COMPUTED_VALUE"""),"M.C.G.")</f>
        <v>M.C.G.</v>
      </c>
      <c r="Z150" s="177" t="str">
        <f>IFERROR(__xludf.DUMMYFUNCTION("""COMPUTED_VALUE"""),"Richmond")</f>
        <v>Richmond</v>
      </c>
      <c r="AA150" s="177">
        <f>IFERROR(__xludf.DUMMYFUNCTION("""COMPUTED_VALUE"""),14.0)</f>
        <v>14</v>
      </c>
      <c r="AB150" s="177">
        <f>IFERROR(__xludf.DUMMYFUNCTION("""COMPUTED_VALUE"""),2025.0)</f>
        <v>2025</v>
      </c>
      <c r="AC150" s="177" t="str">
        <f t="shared" si="3"/>
        <v>Saturday</v>
      </c>
    </row>
    <row r="151">
      <c r="A151" s="175" t="str">
        <f t="shared" si="1"/>
        <v>186</v>
      </c>
      <c r="B151" s="176">
        <f t="shared" si="2"/>
        <v>6</v>
      </c>
      <c r="C151" s="177">
        <f>IFERROR(__xludf.DUMMYFUNCTION("""COMPUTED_VALUE"""),37242.0)</f>
        <v>37242</v>
      </c>
      <c r="D151" s="177">
        <f>IFERROR(__xludf.DUMMYFUNCTION("""COMPUTED_VALUE"""),10.0)</f>
        <v>10</v>
      </c>
      <c r="E151" s="177">
        <f>IFERROR(__xludf.DUMMYFUNCTION("""COMPUTED_VALUE"""),9.0)</f>
        <v>9</v>
      </c>
      <c r="F151" s="177">
        <f>IFERROR(__xludf.DUMMYFUNCTION("""COMPUTED_VALUE"""),64.0)</f>
        <v>64</v>
      </c>
      <c r="G151" s="177" t="str">
        <f>IFERROR(__xludf.DUMMYFUNCTION("""COMPUTED_VALUE"""),"Hawthorn")</f>
        <v>Hawthorn</v>
      </c>
      <c r="H151" s="177">
        <f>IFERROR(__xludf.DUMMYFUNCTION("""COMPUTED_VALUE"""),10.0)</f>
        <v>10</v>
      </c>
      <c r="I151" s="177">
        <f>IFERROR(__xludf.DUMMYFUNCTION("""COMPUTED_VALUE"""),100.0)</f>
        <v>100</v>
      </c>
      <c r="J151" s="178">
        <f>IFERROR(__xludf.DUMMYFUNCTION("""COMPUTED_VALUE"""),45850.84027777778)</f>
        <v>45850.84028</v>
      </c>
      <c r="K151" s="177">
        <f>IFERROR(__xludf.DUMMYFUNCTION("""COMPUTED_VALUE"""),5.0)</f>
        <v>5</v>
      </c>
      <c r="L151" s="177">
        <f>IFERROR(__xludf.DUMMYFUNCTION("""COMPUTED_VALUE"""),12.0)</f>
        <v>12</v>
      </c>
      <c r="M151" s="177">
        <f>IFERROR(__xludf.DUMMYFUNCTION("""COMPUTED_VALUE"""),77.0)</f>
        <v>77</v>
      </c>
      <c r="N151" s="177" t="str">
        <f>IFERROR(__xludf.DUMMYFUNCTION("""COMPUTED_VALUE"""),"Fremantle")</f>
        <v>Fremantle</v>
      </c>
      <c r="O151" s="177">
        <f>IFERROR(__xludf.DUMMYFUNCTION("""COMPUTED_VALUE"""),6.0)</f>
        <v>6</v>
      </c>
      <c r="P151" s="177">
        <f>IFERROR(__xludf.DUMMYFUNCTION("""COMPUTED_VALUE"""),0.0)</f>
        <v>0</v>
      </c>
      <c r="Q151" s="177">
        <f>IFERROR(__xludf.DUMMYFUNCTION("""COMPUTED_VALUE"""),0.0)</f>
        <v>0</v>
      </c>
      <c r="R151" s="178">
        <f>IFERROR(__xludf.DUMMYFUNCTION("""COMPUTED_VALUE"""),45850.756944444445)</f>
        <v>45850.75694</v>
      </c>
      <c r="S151" s="177">
        <f>IFERROR(__xludf.DUMMYFUNCTION("""COMPUTED_VALUE"""),18.0)</f>
        <v>18</v>
      </c>
      <c r="T151" s="177" t="str">
        <f>IFERROR(__xludf.DUMMYFUNCTION("""COMPUTED_VALUE"""),"Round 18")</f>
        <v>Round 18</v>
      </c>
      <c r="U151" s="177" t="str">
        <f>IFERROR(__xludf.DUMMYFUNCTION("""COMPUTED_VALUE"""),"Full Time")</f>
        <v>Full Time</v>
      </c>
      <c r="V151" s="177" t="str">
        <f>IFERROR(__xludf.DUMMYFUNCTION("""COMPUTED_VALUE"""),"+10:00")</f>
        <v>+10:00</v>
      </c>
      <c r="W151" s="177">
        <f>IFERROR(__xludf.DUMMYFUNCTION("""COMPUTED_VALUE"""),1.752315E9)</f>
        <v>1752315000</v>
      </c>
      <c r="X151" s="178">
        <f>IFERROR(__xludf.DUMMYFUNCTION("""COMPUTED_VALUE"""),45850.95340277778)</f>
        <v>45850.9534</v>
      </c>
      <c r="Y151" s="177" t="str">
        <f>IFERROR(__xludf.DUMMYFUNCTION("""COMPUTED_VALUE"""),"Perth Stadium")</f>
        <v>Perth Stadium</v>
      </c>
      <c r="Z151" s="177" t="str">
        <f>IFERROR(__xludf.DUMMYFUNCTION("""COMPUTED_VALUE"""),"Fremantle")</f>
        <v>Fremantle</v>
      </c>
      <c r="AA151" s="177">
        <f>IFERROR(__xludf.DUMMYFUNCTION("""COMPUTED_VALUE"""),6.0)</f>
        <v>6</v>
      </c>
      <c r="AB151" s="177">
        <f>IFERROR(__xludf.DUMMYFUNCTION("""COMPUTED_VALUE"""),2025.0)</f>
        <v>2025</v>
      </c>
      <c r="AC151" s="177" t="str">
        <f t="shared" si="3"/>
        <v>Saturday</v>
      </c>
    </row>
    <row r="152">
      <c r="A152" s="175" t="str">
        <f t="shared" si="1"/>
        <v>187</v>
      </c>
      <c r="B152" s="176">
        <f t="shared" si="2"/>
        <v>7</v>
      </c>
      <c r="C152" s="177">
        <f>IFERROR(__xludf.DUMMYFUNCTION("""COMPUTED_VALUE"""),37238.0)</f>
        <v>37238</v>
      </c>
      <c r="D152" s="177">
        <f>IFERROR(__xludf.DUMMYFUNCTION("""COMPUTED_VALUE"""),11.0)</f>
        <v>11</v>
      </c>
      <c r="E152" s="177">
        <f>IFERROR(__xludf.DUMMYFUNCTION("""COMPUTED_VALUE"""),12.0)</f>
        <v>12</v>
      </c>
      <c r="F152" s="177">
        <f>IFERROR(__xludf.DUMMYFUNCTION("""COMPUTED_VALUE"""),83.0)</f>
        <v>83</v>
      </c>
      <c r="G152" s="177" t="str">
        <f>IFERROR(__xludf.DUMMYFUNCTION("""COMPUTED_VALUE"""),"North Melbourne")</f>
        <v>North Melbourne</v>
      </c>
      <c r="H152" s="177">
        <f>IFERROR(__xludf.DUMMYFUNCTION("""COMPUTED_VALUE"""),12.0)</f>
        <v>12</v>
      </c>
      <c r="I152" s="177">
        <f>IFERROR(__xludf.DUMMYFUNCTION("""COMPUTED_VALUE"""),100.0)</f>
        <v>100</v>
      </c>
      <c r="J152" s="178">
        <f>IFERROR(__xludf.DUMMYFUNCTION("""COMPUTED_VALUE"""),45851.54861111111)</f>
        <v>45851.54861</v>
      </c>
      <c r="K152" s="177">
        <f>IFERROR(__xludf.DUMMYFUNCTION("""COMPUTED_VALUE"""),11.0)</f>
        <v>11</v>
      </c>
      <c r="L152" s="177">
        <f>IFERROR(__xludf.DUMMYFUNCTION("""COMPUTED_VALUE"""),18.0)</f>
        <v>18</v>
      </c>
      <c r="M152" s="177">
        <f>IFERROR(__xludf.DUMMYFUNCTION("""COMPUTED_VALUE"""),119.0)</f>
        <v>119</v>
      </c>
      <c r="N152" s="177" t="str">
        <f>IFERROR(__xludf.DUMMYFUNCTION("""COMPUTED_VALUE"""),"Melbourne")</f>
        <v>Melbourne</v>
      </c>
      <c r="O152" s="177">
        <f>IFERROR(__xludf.DUMMYFUNCTION("""COMPUTED_VALUE"""),11.0)</f>
        <v>11</v>
      </c>
      <c r="P152" s="177">
        <f>IFERROR(__xludf.DUMMYFUNCTION("""COMPUTED_VALUE"""),0.0)</f>
        <v>0</v>
      </c>
      <c r="Q152" s="177">
        <f>IFERROR(__xludf.DUMMYFUNCTION("""COMPUTED_VALUE"""),0.0)</f>
        <v>0</v>
      </c>
      <c r="R152" s="178">
        <f>IFERROR(__xludf.DUMMYFUNCTION("""COMPUTED_VALUE"""),45851.54861111111)</f>
        <v>45851.54861</v>
      </c>
      <c r="S152" s="177">
        <f>IFERROR(__xludf.DUMMYFUNCTION("""COMPUTED_VALUE"""),18.0)</f>
        <v>18</v>
      </c>
      <c r="T152" s="177" t="str">
        <f>IFERROR(__xludf.DUMMYFUNCTION("""COMPUTED_VALUE"""),"Round 18")</f>
        <v>Round 18</v>
      </c>
      <c r="U152" s="177" t="str">
        <f>IFERROR(__xludf.DUMMYFUNCTION("""COMPUTED_VALUE"""),"Full Time")</f>
        <v>Full Time</v>
      </c>
      <c r="V152" s="177" t="str">
        <f>IFERROR(__xludf.DUMMYFUNCTION("""COMPUTED_VALUE"""),"+10:00")</f>
        <v>+10:00</v>
      </c>
      <c r="W152" s="177">
        <f>IFERROR(__xludf.DUMMYFUNCTION("""COMPUTED_VALUE"""),1.7523762E9)</f>
        <v>1752376200</v>
      </c>
      <c r="X152" s="178">
        <f>IFERROR(__xludf.DUMMYFUNCTION("""COMPUTED_VALUE"""),45851.66642361111)</f>
        <v>45851.66642</v>
      </c>
      <c r="Y152" s="177" t="str">
        <f>IFERROR(__xludf.DUMMYFUNCTION("""COMPUTED_VALUE"""),"M.C.G.")</f>
        <v>M.C.G.</v>
      </c>
      <c r="Z152" s="177" t="str">
        <f>IFERROR(__xludf.DUMMYFUNCTION("""COMPUTED_VALUE"""),"Melbourne")</f>
        <v>Melbourne</v>
      </c>
      <c r="AA152" s="177">
        <f>IFERROR(__xludf.DUMMYFUNCTION("""COMPUTED_VALUE"""),11.0)</f>
        <v>11</v>
      </c>
      <c r="AB152" s="177">
        <f>IFERROR(__xludf.DUMMYFUNCTION("""COMPUTED_VALUE"""),2025.0)</f>
        <v>2025</v>
      </c>
      <c r="AC152" s="177" t="str">
        <f t="shared" si="3"/>
        <v>Sunday</v>
      </c>
    </row>
    <row r="153">
      <c r="A153" s="175" t="str">
        <f t="shared" si="1"/>
        <v>188</v>
      </c>
      <c r="B153" s="176">
        <f t="shared" si="2"/>
        <v>8</v>
      </c>
      <c r="C153" s="177">
        <f>IFERROR(__xludf.DUMMYFUNCTION("""COMPUTED_VALUE"""),37236.0)</f>
        <v>37236</v>
      </c>
      <c r="D153" s="177">
        <f>IFERROR(__xludf.DUMMYFUNCTION("""COMPUTED_VALUE"""),8.0)</f>
        <v>8</v>
      </c>
      <c r="E153" s="177">
        <f>IFERROR(__xludf.DUMMYFUNCTION("""COMPUTED_VALUE"""),14.0)</f>
        <v>14</v>
      </c>
      <c r="F153" s="177">
        <f>IFERROR(__xludf.DUMMYFUNCTION("""COMPUTED_VALUE"""),92.0)</f>
        <v>92</v>
      </c>
      <c r="G153" s="177" t="str">
        <f>IFERROR(__xludf.DUMMYFUNCTION("""COMPUTED_VALUE"""),"Sydney")</f>
        <v>Sydney</v>
      </c>
      <c r="H153" s="177">
        <f>IFERROR(__xludf.DUMMYFUNCTION("""COMPUTED_VALUE"""),16.0)</f>
        <v>16</v>
      </c>
      <c r="I153" s="177">
        <f>IFERROR(__xludf.DUMMYFUNCTION("""COMPUTED_VALUE"""),100.0)</f>
        <v>100</v>
      </c>
      <c r="J153" s="178">
        <f>IFERROR(__xludf.DUMMYFUNCTION("""COMPUTED_VALUE"""),45851.635416666664)</f>
        <v>45851.63542</v>
      </c>
      <c r="K153" s="177">
        <f>IFERROR(__xludf.DUMMYFUNCTION("""COMPUTED_VALUE"""),9.0)</f>
        <v>9</v>
      </c>
      <c r="L153" s="177">
        <f>IFERROR(__xludf.DUMMYFUNCTION("""COMPUTED_VALUE"""),13.0)</f>
        <v>13</v>
      </c>
      <c r="M153" s="177">
        <f>IFERROR(__xludf.DUMMYFUNCTION("""COMPUTED_VALUE"""),87.0)</f>
        <v>87</v>
      </c>
      <c r="N153" s="177" t="str">
        <f>IFERROR(__xludf.DUMMYFUNCTION("""COMPUTED_VALUE"""),"St Kilda")</f>
        <v>St Kilda</v>
      </c>
      <c r="O153" s="177">
        <f>IFERROR(__xludf.DUMMYFUNCTION("""COMPUTED_VALUE"""),15.0)</f>
        <v>15</v>
      </c>
      <c r="P153" s="177">
        <f>IFERROR(__xludf.DUMMYFUNCTION("""COMPUTED_VALUE"""),0.0)</f>
        <v>0</v>
      </c>
      <c r="Q153" s="177">
        <f>IFERROR(__xludf.DUMMYFUNCTION("""COMPUTED_VALUE"""),0.0)</f>
        <v>0</v>
      </c>
      <c r="R153" s="178">
        <f>IFERROR(__xludf.DUMMYFUNCTION("""COMPUTED_VALUE"""),45851.635416666664)</f>
        <v>45851.63542</v>
      </c>
      <c r="S153" s="177">
        <f>IFERROR(__xludf.DUMMYFUNCTION("""COMPUTED_VALUE"""),18.0)</f>
        <v>18</v>
      </c>
      <c r="T153" s="177" t="str">
        <f>IFERROR(__xludf.DUMMYFUNCTION("""COMPUTED_VALUE"""),"Round 18")</f>
        <v>Round 18</v>
      </c>
      <c r="U153" s="177" t="str">
        <f>IFERROR(__xludf.DUMMYFUNCTION("""COMPUTED_VALUE"""),"Full Time")</f>
        <v>Full Time</v>
      </c>
      <c r="V153" s="177" t="str">
        <f>IFERROR(__xludf.DUMMYFUNCTION("""COMPUTED_VALUE"""),"+10:00")</f>
        <v>+10:00</v>
      </c>
      <c r="W153" s="177">
        <f>IFERROR(__xludf.DUMMYFUNCTION("""COMPUTED_VALUE"""),1.7523837E9)</f>
        <v>1752383700</v>
      </c>
      <c r="X153" s="178">
        <f>IFERROR(__xludf.DUMMYFUNCTION("""COMPUTED_VALUE"""),45851.750185185185)</f>
        <v>45851.75019</v>
      </c>
      <c r="Y153" s="177" t="str">
        <f>IFERROR(__xludf.DUMMYFUNCTION("""COMPUTED_VALUE"""),"Docklands")</f>
        <v>Docklands</v>
      </c>
      <c r="Z153" s="177" t="str">
        <f>IFERROR(__xludf.DUMMYFUNCTION("""COMPUTED_VALUE"""),"Sydney")</f>
        <v>Sydney</v>
      </c>
      <c r="AA153" s="177">
        <f>IFERROR(__xludf.DUMMYFUNCTION("""COMPUTED_VALUE"""),16.0)</f>
        <v>16</v>
      </c>
      <c r="AB153" s="177">
        <f>IFERROR(__xludf.DUMMYFUNCTION("""COMPUTED_VALUE"""),2025.0)</f>
        <v>2025</v>
      </c>
      <c r="AC153" s="177" t="str">
        <f t="shared" si="3"/>
        <v>Sunday</v>
      </c>
    </row>
    <row r="154">
      <c r="A154" s="175" t="str">
        <f t="shared" si="1"/>
        <v>189</v>
      </c>
      <c r="B154" s="176">
        <f t="shared" si="2"/>
        <v>9</v>
      </c>
      <c r="C154" s="177">
        <f>IFERROR(__xludf.DUMMYFUNCTION("""COMPUTED_VALUE"""),37241.0)</f>
        <v>37241</v>
      </c>
      <c r="D154" s="177">
        <f>IFERROR(__xludf.DUMMYFUNCTION("""COMPUTED_VALUE"""),7.0)</f>
        <v>7</v>
      </c>
      <c r="E154" s="177">
        <f>IFERROR(__xludf.DUMMYFUNCTION("""COMPUTED_VALUE"""),9.0)</f>
        <v>9</v>
      </c>
      <c r="F154" s="177">
        <f>IFERROR(__xludf.DUMMYFUNCTION("""COMPUTED_VALUE"""),61.0)</f>
        <v>61</v>
      </c>
      <c r="G154" s="177" t="str">
        <f>IFERROR(__xludf.DUMMYFUNCTION("""COMPUTED_VALUE"""),"West Coast")</f>
        <v>West Coast</v>
      </c>
      <c r="H154" s="177">
        <f>IFERROR(__xludf.DUMMYFUNCTION("""COMPUTED_VALUE"""),17.0)</f>
        <v>17</v>
      </c>
      <c r="I154" s="177">
        <f>IFERROR(__xludf.DUMMYFUNCTION("""COMPUTED_VALUE"""),100.0)</f>
        <v>100</v>
      </c>
      <c r="J154" s="178">
        <f>IFERROR(__xludf.DUMMYFUNCTION("""COMPUTED_VALUE"""),45851.694444444445)</f>
        <v>45851.69444</v>
      </c>
      <c r="K154" s="177">
        <f>IFERROR(__xludf.DUMMYFUNCTION("""COMPUTED_VALUE"""),15.0)</f>
        <v>15</v>
      </c>
      <c r="L154" s="177">
        <f>IFERROR(__xludf.DUMMYFUNCTION("""COMPUTED_VALUE"""),12.0)</f>
        <v>12</v>
      </c>
      <c r="M154" s="177">
        <f>IFERROR(__xludf.DUMMYFUNCTION("""COMPUTED_VALUE"""),87.0)</f>
        <v>87</v>
      </c>
      <c r="N154" s="177" t="str">
        <f>IFERROR(__xludf.DUMMYFUNCTION("""COMPUTED_VALUE"""),"Port Adelaide")</f>
        <v>Port Adelaide</v>
      </c>
      <c r="O154" s="177">
        <f>IFERROR(__xludf.DUMMYFUNCTION("""COMPUTED_VALUE"""),13.0)</f>
        <v>13</v>
      </c>
      <c r="P154" s="177">
        <f>IFERROR(__xludf.DUMMYFUNCTION("""COMPUTED_VALUE"""),0.0)</f>
        <v>0</v>
      </c>
      <c r="Q154" s="177">
        <f>IFERROR(__xludf.DUMMYFUNCTION("""COMPUTED_VALUE"""),0.0)</f>
        <v>0</v>
      </c>
      <c r="R154" s="178">
        <f>IFERROR(__xludf.DUMMYFUNCTION("""COMPUTED_VALUE"""),45851.67361111111)</f>
        <v>45851.67361</v>
      </c>
      <c r="S154" s="177">
        <f>IFERROR(__xludf.DUMMYFUNCTION("""COMPUTED_VALUE"""),18.0)</f>
        <v>18</v>
      </c>
      <c r="T154" s="177" t="str">
        <f>IFERROR(__xludf.DUMMYFUNCTION("""COMPUTED_VALUE"""),"Round 18")</f>
        <v>Round 18</v>
      </c>
      <c r="U154" s="177" t="str">
        <f>IFERROR(__xludf.DUMMYFUNCTION("""COMPUTED_VALUE"""),"Full Time")</f>
        <v>Full Time</v>
      </c>
      <c r="V154" s="177" t="str">
        <f>IFERROR(__xludf.DUMMYFUNCTION("""COMPUTED_VALUE"""),"+10:00")</f>
        <v>+10:00</v>
      </c>
      <c r="W154" s="177">
        <f>IFERROR(__xludf.DUMMYFUNCTION("""COMPUTED_VALUE"""),1.7523888E9)</f>
        <v>1752388800</v>
      </c>
      <c r="X154" s="178">
        <f>IFERROR(__xludf.DUMMYFUNCTION("""COMPUTED_VALUE"""),45851.805868055555)</f>
        <v>45851.80587</v>
      </c>
      <c r="Y154" s="177" t="str">
        <f>IFERROR(__xludf.DUMMYFUNCTION("""COMPUTED_VALUE"""),"Adelaide Oval")</f>
        <v>Adelaide Oval</v>
      </c>
      <c r="Z154" s="177" t="str">
        <f>IFERROR(__xludf.DUMMYFUNCTION("""COMPUTED_VALUE"""),"Port Adelaide")</f>
        <v>Port Adelaide</v>
      </c>
      <c r="AA154" s="177">
        <f>IFERROR(__xludf.DUMMYFUNCTION("""COMPUTED_VALUE"""),13.0)</f>
        <v>13</v>
      </c>
      <c r="AB154" s="177">
        <f>IFERROR(__xludf.DUMMYFUNCTION("""COMPUTED_VALUE"""),2025.0)</f>
        <v>2025</v>
      </c>
      <c r="AC154" s="177" t="str">
        <f t="shared" si="3"/>
        <v>Sunday</v>
      </c>
    </row>
    <row r="155">
      <c r="A155" s="175" t="str">
        <f t="shared" si="1"/>
        <v>191</v>
      </c>
      <c r="B155" s="176">
        <f t="shared" si="2"/>
        <v>1</v>
      </c>
      <c r="C155" s="177">
        <f>IFERROR(__xludf.DUMMYFUNCTION("""COMPUTED_VALUE"""),37244.0)</f>
        <v>37244</v>
      </c>
      <c r="D155" s="177">
        <f>IFERROR(__xludf.DUMMYFUNCTION("""COMPUTED_VALUE"""),8.0)</f>
        <v>8</v>
      </c>
      <c r="E155" s="177">
        <f>IFERROR(__xludf.DUMMYFUNCTION("""COMPUTED_VALUE"""),16.0)</f>
        <v>16</v>
      </c>
      <c r="F155" s="177">
        <f>IFERROR(__xludf.DUMMYFUNCTION("""COMPUTED_VALUE"""),104.0)</f>
        <v>104</v>
      </c>
      <c r="G155" s="177" t="str">
        <f>IFERROR(__xludf.DUMMYFUNCTION("""COMPUTED_VALUE"""),"Greater Western Sydney")</f>
        <v>Greater Western Sydney</v>
      </c>
      <c r="H155" s="177">
        <f>IFERROR(__xludf.DUMMYFUNCTION("""COMPUTED_VALUE"""),9.0)</f>
        <v>9</v>
      </c>
      <c r="I155" s="177">
        <f>IFERROR(__xludf.DUMMYFUNCTION("""COMPUTED_VALUE"""),100.0)</f>
        <v>100</v>
      </c>
      <c r="J155" s="178">
        <f>IFERROR(__xludf.DUMMYFUNCTION("""COMPUTED_VALUE"""),45855.8125)</f>
        <v>45855.8125</v>
      </c>
      <c r="K155" s="177">
        <f>IFERROR(__xludf.DUMMYFUNCTION("""COMPUTED_VALUE"""),14.0)</f>
        <v>14</v>
      </c>
      <c r="L155" s="177">
        <f>IFERROR(__xludf.DUMMYFUNCTION("""COMPUTED_VALUE"""),7.0)</f>
        <v>7</v>
      </c>
      <c r="M155" s="177">
        <f>IFERROR(__xludf.DUMMYFUNCTION("""COMPUTED_VALUE"""),56.0)</f>
        <v>56</v>
      </c>
      <c r="N155" s="177" t="str">
        <f>IFERROR(__xludf.DUMMYFUNCTION("""COMPUTED_VALUE"""),"Essendon")</f>
        <v>Essendon</v>
      </c>
      <c r="O155" s="177">
        <f>IFERROR(__xludf.DUMMYFUNCTION("""COMPUTED_VALUE"""),5.0)</f>
        <v>5</v>
      </c>
      <c r="P155" s="177">
        <f>IFERROR(__xludf.DUMMYFUNCTION("""COMPUTED_VALUE"""),0.0)</f>
        <v>0</v>
      </c>
      <c r="Q155" s="177">
        <f>IFERROR(__xludf.DUMMYFUNCTION("""COMPUTED_VALUE"""),0.0)</f>
        <v>0</v>
      </c>
      <c r="R155" s="178">
        <f>IFERROR(__xludf.DUMMYFUNCTION("""COMPUTED_VALUE"""),45855.8125)</f>
        <v>45855.8125</v>
      </c>
      <c r="S155" s="177">
        <f>IFERROR(__xludf.DUMMYFUNCTION("""COMPUTED_VALUE"""),19.0)</f>
        <v>19</v>
      </c>
      <c r="T155" s="177" t="str">
        <f>IFERROR(__xludf.DUMMYFUNCTION("""COMPUTED_VALUE"""),"Round 19")</f>
        <v>Round 19</v>
      </c>
      <c r="U155" s="177" t="str">
        <f>IFERROR(__xludf.DUMMYFUNCTION("""COMPUTED_VALUE"""),"Full Time")</f>
        <v>Full Time</v>
      </c>
      <c r="V155" s="177" t="str">
        <f>IFERROR(__xludf.DUMMYFUNCTION("""COMPUTED_VALUE"""),"+10:00")</f>
        <v>+10:00</v>
      </c>
      <c r="W155" s="177">
        <f>IFERROR(__xludf.DUMMYFUNCTION("""COMPUTED_VALUE"""),1.7527446E9)</f>
        <v>1752744600</v>
      </c>
      <c r="X155" s="178">
        <f>IFERROR(__xludf.DUMMYFUNCTION("""COMPUTED_VALUE"""),45855.922326388885)</f>
        <v>45855.92233</v>
      </c>
      <c r="Y155" s="177" t="str">
        <f>IFERROR(__xludf.DUMMYFUNCTION("""COMPUTED_VALUE"""),"Docklands")</f>
        <v>Docklands</v>
      </c>
      <c r="Z155" s="177" t="str">
        <f>IFERROR(__xludf.DUMMYFUNCTION("""COMPUTED_VALUE"""),"Greater Western Sydney")</f>
        <v>Greater Western Sydney</v>
      </c>
      <c r="AA155" s="177">
        <f>IFERROR(__xludf.DUMMYFUNCTION("""COMPUTED_VALUE"""),9.0)</f>
        <v>9</v>
      </c>
      <c r="AB155" s="177">
        <f>IFERROR(__xludf.DUMMYFUNCTION("""COMPUTED_VALUE"""),2025.0)</f>
        <v>2025</v>
      </c>
      <c r="AC155" s="177" t="str">
        <f t="shared" si="3"/>
        <v>Thursday</v>
      </c>
    </row>
    <row r="156">
      <c r="A156" s="175" t="str">
        <f t="shared" si="1"/>
        <v>192</v>
      </c>
      <c r="B156" s="176">
        <f t="shared" si="2"/>
        <v>2</v>
      </c>
      <c r="C156" s="177">
        <f>IFERROR(__xludf.DUMMYFUNCTION("""COMPUTED_VALUE"""),37248.0)</f>
        <v>37248</v>
      </c>
      <c r="D156" s="177">
        <f>IFERROR(__xludf.DUMMYFUNCTION("""COMPUTED_VALUE"""),4.0)</f>
        <v>4</v>
      </c>
      <c r="E156" s="177">
        <f>IFERROR(__xludf.DUMMYFUNCTION("""COMPUTED_VALUE"""),12.0)</f>
        <v>12</v>
      </c>
      <c r="F156" s="177">
        <f>IFERROR(__xludf.DUMMYFUNCTION("""COMPUTED_VALUE"""),76.0)</f>
        <v>76</v>
      </c>
      <c r="G156" s="177" t="str">
        <f>IFERROR(__xludf.DUMMYFUNCTION("""COMPUTED_VALUE"""),"Western Bulldogs")</f>
        <v>Western Bulldogs</v>
      </c>
      <c r="H156" s="177">
        <f>IFERROR(__xludf.DUMMYFUNCTION("""COMPUTED_VALUE"""),18.0)</f>
        <v>18</v>
      </c>
      <c r="I156" s="177">
        <f>IFERROR(__xludf.DUMMYFUNCTION("""COMPUTED_VALUE"""),100.0)</f>
        <v>100</v>
      </c>
      <c r="J156" s="178">
        <f>IFERROR(__xludf.DUMMYFUNCTION("""COMPUTED_VALUE"""),45856.819444444445)</f>
        <v>45856.81944</v>
      </c>
      <c r="K156" s="177">
        <f>IFERROR(__xludf.DUMMYFUNCTION("""COMPUTED_VALUE"""),14.0)</f>
        <v>14</v>
      </c>
      <c r="L156" s="177">
        <f>IFERROR(__xludf.DUMMYFUNCTION("""COMPUTED_VALUE"""),12.0)</f>
        <v>12</v>
      </c>
      <c r="M156" s="177">
        <f>IFERROR(__xludf.DUMMYFUNCTION("""COMPUTED_VALUE"""),86.0)</f>
        <v>86</v>
      </c>
      <c r="N156" s="177" t="str">
        <f>IFERROR(__xludf.DUMMYFUNCTION("""COMPUTED_VALUE"""),"Brisbane Lions")</f>
        <v>Brisbane Lions</v>
      </c>
      <c r="O156" s="177">
        <f>IFERROR(__xludf.DUMMYFUNCTION("""COMPUTED_VALUE"""),2.0)</f>
        <v>2</v>
      </c>
      <c r="P156" s="177">
        <f>IFERROR(__xludf.DUMMYFUNCTION("""COMPUTED_VALUE"""),0.0)</f>
        <v>0</v>
      </c>
      <c r="Q156" s="177">
        <f>IFERROR(__xludf.DUMMYFUNCTION("""COMPUTED_VALUE"""),0.0)</f>
        <v>0</v>
      </c>
      <c r="R156" s="178">
        <f>IFERROR(__xludf.DUMMYFUNCTION("""COMPUTED_VALUE"""),45856.819444444445)</f>
        <v>45856.81944</v>
      </c>
      <c r="S156" s="177">
        <f>IFERROR(__xludf.DUMMYFUNCTION("""COMPUTED_VALUE"""),19.0)</f>
        <v>19</v>
      </c>
      <c r="T156" s="177" t="str">
        <f>IFERROR(__xludf.DUMMYFUNCTION("""COMPUTED_VALUE"""),"Round 19")</f>
        <v>Round 19</v>
      </c>
      <c r="U156" s="177" t="str">
        <f>IFERROR(__xludf.DUMMYFUNCTION("""COMPUTED_VALUE"""),"Full Time")</f>
        <v>Full Time</v>
      </c>
      <c r="V156" s="177" t="str">
        <f>IFERROR(__xludf.DUMMYFUNCTION("""COMPUTED_VALUE"""),"+10:00")</f>
        <v>+10:00</v>
      </c>
      <c r="W156" s="177">
        <f>IFERROR(__xludf.DUMMYFUNCTION("""COMPUTED_VALUE"""),1.7528316E9)</f>
        <v>1752831600</v>
      </c>
      <c r="X156" s="178">
        <f>IFERROR(__xludf.DUMMYFUNCTION("""COMPUTED_VALUE"""),45856.93208333333)</f>
        <v>45856.93208</v>
      </c>
      <c r="Y156" s="177" t="str">
        <f>IFERROR(__xludf.DUMMYFUNCTION("""COMPUTED_VALUE"""),"Gabba")</f>
        <v>Gabba</v>
      </c>
      <c r="Z156" s="177" t="str">
        <f>IFERROR(__xludf.DUMMYFUNCTION("""COMPUTED_VALUE"""),"Brisbane Lions")</f>
        <v>Brisbane Lions</v>
      </c>
      <c r="AA156" s="177">
        <f>IFERROR(__xludf.DUMMYFUNCTION("""COMPUTED_VALUE"""),2.0)</f>
        <v>2</v>
      </c>
      <c r="AB156" s="177">
        <f>IFERROR(__xludf.DUMMYFUNCTION("""COMPUTED_VALUE"""),2025.0)</f>
        <v>2025</v>
      </c>
      <c r="AC156" s="177" t="str">
        <f t="shared" si="3"/>
        <v>Friday</v>
      </c>
    </row>
    <row r="157">
      <c r="A157" s="175" t="str">
        <f t="shared" si="1"/>
        <v>193</v>
      </c>
      <c r="B157" s="176">
        <f t="shared" si="2"/>
        <v>3</v>
      </c>
      <c r="C157" s="177">
        <f>IFERROR(__xludf.DUMMYFUNCTION("""COMPUTED_VALUE"""),37249.0)</f>
        <v>37249</v>
      </c>
      <c r="D157" s="177">
        <f>IFERROR(__xludf.DUMMYFUNCTION("""COMPUTED_VALUE"""),7.0)</f>
        <v>7</v>
      </c>
      <c r="E157" s="177">
        <f>IFERROR(__xludf.DUMMYFUNCTION("""COMPUTED_VALUE"""),7.0)</f>
        <v>7</v>
      </c>
      <c r="F157" s="177">
        <f>IFERROR(__xludf.DUMMYFUNCTION("""COMPUTED_VALUE"""),49.0)</f>
        <v>49</v>
      </c>
      <c r="G157" s="177" t="str">
        <f>IFERROR(__xludf.DUMMYFUNCTION("""COMPUTED_VALUE"""),"Port Adelaide")</f>
        <v>Port Adelaide</v>
      </c>
      <c r="H157" s="177">
        <f>IFERROR(__xludf.DUMMYFUNCTION("""COMPUTED_VALUE"""),13.0)</f>
        <v>13</v>
      </c>
      <c r="I157" s="177">
        <f>IFERROR(__xludf.DUMMYFUNCTION("""COMPUTED_VALUE"""),100.0)</f>
        <v>100</v>
      </c>
      <c r="J157" s="178">
        <f>IFERROR(__xludf.DUMMYFUNCTION("""COMPUTED_VALUE"""),45857.555555555555)</f>
        <v>45857.55556</v>
      </c>
      <c r="K157" s="177">
        <f>IFERROR(__xludf.DUMMYFUNCTION("""COMPUTED_VALUE"""),9.0)</f>
        <v>9</v>
      </c>
      <c r="L157" s="177">
        <f>IFERROR(__xludf.DUMMYFUNCTION("""COMPUTED_VALUE"""),13.0)</f>
        <v>13</v>
      </c>
      <c r="M157" s="177">
        <f>IFERROR(__xludf.DUMMYFUNCTION("""COMPUTED_VALUE"""),87.0)</f>
        <v>87</v>
      </c>
      <c r="N157" s="177" t="str">
        <f>IFERROR(__xludf.DUMMYFUNCTION("""COMPUTED_VALUE"""),"Hawthorn")</f>
        <v>Hawthorn</v>
      </c>
      <c r="O157" s="177">
        <f>IFERROR(__xludf.DUMMYFUNCTION("""COMPUTED_VALUE"""),10.0)</f>
        <v>10</v>
      </c>
      <c r="P157" s="177">
        <f>IFERROR(__xludf.DUMMYFUNCTION("""COMPUTED_VALUE"""),0.0)</f>
        <v>0</v>
      </c>
      <c r="Q157" s="177">
        <f>IFERROR(__xludf.DUMMYFUNCTION("""COMPUTED_VALUE"""),0.0)</f>
        <v>0</v>
      </c>
      <c r="R157" s="178">
        <f>IFERROR(__xludf.DUMMYFUNCTION("""COMPUTED_VALUE"""),45857.555555555555)</f>
        <v>45857.55556</v>
      </c>
      <c r="S157" s="177">
        <f>IFERROR(__xludf.DUMMYFUNCTION("""COMPUTED_VALUE"""),19.0)</f>
        <v>19</v>
      </c>
      <c r="T157" s="177" t="str">
        <f>IFERROR(__xludf.DUMMYFUNCTION("""COMPUTED_VALUE"""),"Round 19")</f>
        <v>Round 19</v>
      </c>
      <c r="U157" s="177" t="str">
        <f>IFERROR(__xludf.DUMMYFUNCTION("""COMPUTED_VALUE"""),"Full Time")</f>
        <v>Full Time</v>
      </c>
      <c r="V157" s="177" t="str">
        <f>IFERROR(__xludf.DUMMYFUNCTION("""COMPUTED_VALUE"""),"+10:00")</f>
        <v>+10:00</v>
      </c>
      <c r="W157" s="177">
        <f>IFERROR(__xludf.DUMMYFUNCTION("""COMPUTED_VALUE"""),1.7528952E9)</f>
        <v>1752895200</v>
      </c>
      <c r="X157" s="178">
        <f>IFERROR(__xludf.DUMMYFUNCTION("""COMPUTED_VALUE"""),45857.66652777778)</f>
        <v>45857.66653</v>
      </c>
      <c r="Y157" s="177" t="str">
        <f>IFERROR(__xludf.DUMMYFUNCTION("""COMPUTED_VALUE"""),"York Park")</f>
        <v>York Park</v>
      </c>
      <c r="Z157" s="177" t="str">
        <f>IFERROR(__xludf.DUMMYFUNCTION("""COMPUTED_VALUE"""),"Hawthorn")</f>
        <v>Hawthorn</v>
      </c>
      <c r="AA157" s="177">
        <f>IFERROR(__xludf.DUMMYFUNCTION("""COMPUTED_VALUE"""),10.0)</f>
        <v>10</v>
      </c>
      <c r="AB157" s="177">
        <f>IFERROR(__xludf.DUMMYFUNCTION("""COMPUTED_VALUE"""),2025.0)</f>
        <v>2025</v>
      </c>
      <c r="AC157" s="177" t="str">
        <f t="shared" si="3"/>
        <v>Saturday</v>
      </c>
    </row>
    <row r="158">
      <c r="A158" s="175" t="str">
        <f t="shared" si="1"/>
        <v>194</v>
      </c>
      <c r="B158" s="176">
        <f t="shared" si="2"/>
        <v>4</v>
      </c>
      <c r="C158" s="177">
        <f>IFERROR(__xludf.DUMMYFUNCTION("""COMPUTED_VALUE"""),37247.0)</f>
        <v>37247</v>
      </c>
      <c r="D158" s="177">
        <f>IFERROR(__xludf.DUMMYFUNCTION("""COMPUTED_VALUE"""),11.0)</f>
        <v>11</v>
      </c>
      <c r="E158" s="177">
        <f>IFERROR(__xludf.DUMMYFUNCTION("""COMPUTED_VALUE"""),7.0)</f>
        <v>7</v>
      </c>
      <c r="F158" s="177">
        <f>IFERROR(__xludf.DUMMYFUNCTION("""COMPUTED_VALUE"""),53.0)</f>
        <v>53</v>
      </c>
      <c r="G158" s="177" t="str">
        <f>IFERROR(__xludf.DUMMYFUNCTION("""COMPUTED_VALUE"""),"North Melbourne")</f>
        <v>North Melbourne</v>
      </c>
      <c r="H158" s="177">
        <f>IFERROR(__xludf.DUMMYFUNCTION("""COMPUTED_VALUE"""),12.0)</f>
        <v>12</v>
      </c>
      <c r="I158" s="177">
        <f>IFERROR(__xludf.DUMMYFUNCTION("""COMPUTED_VALUE"""),100.0)</f>
        <v>100</v>
      </c>
      <c r="J158" s="178">
        <f>IFERROR(__xludf.DUMMYFUNCTION("""COMPUTED_VALUE"""),45857.677083333336)</f>
        <v>45857.67708</v>
      </c>
      <c r="K158" s="177">
        <f>IFERROR(__xludf.DUMMYFUNCTION("""COMPUTED_VALUE"""),12.0)</f>
        <v>12</v>
      </c>
      <c r="L158" s="177">
        <f>IFERROR(__xludf.DUMMYFUNCTION("""COMPUTED_VALUE"""),12.0)</f>
        <v>12</v>
      </c>
      <c r="M158" s="177">
        <f>IFERROR(__xludf.DUMMYFUNCTION("""COMPUTED_VALUE"""),84.0)</f>
        <v>84</v>
      </c>
      <c r="N158" s="177" t="str">
        <f>IFERROR(__xludf.DUMMYFUNCTION("""COMPUTED_VALUE"""),"Sydney")</f>
        <v>Sydney</v>
      </c>
      <c r="O158" s="177">
        <f>IFERROR(__xludf.DUMMYFUNCTION("""COMPUTED_VALUE"""),16.0)</f>
        <v>16</v>
      </c>
      <c r="P158" s="177">
        <f>IFERROR(__xludf.DUMMYFUNCTION("""COMPUTED_VALUE"""),0.0)</f>
        <v>0</v>
      </c>
      <c r="Q158" s="177">
        <f>IFERROR(__xludf.DUMMYFUNCTION("""COMPUTED_VALUE"""),0.0)</f>
        <v>0</v>
      </c>
      <c r="R158" s="178">
        <f>IFERROR(__xludf.DUMMYFUNCTION("""COMPUTED_VALUE"""),45857.677083333336)</f>
        <v>45857.67708</v>
      </c>
      <c r="S158" s="177">
        <f>IFERROR(__xludf.DUMMYFUNCTION("""COMPUTED_VALUE"""),19.0)</f>
        <v>19</v>
      </c>
      <c r="T158" s="177" t="str">
        <f>IFERROR(__xludf.DUMMYFUNCTION("""COMPUTED_VALUE"""),"Round 19")</f>
        <v>Round 19</v>
      </c>
      <c r="U158" s="177" t="str">
        <f>IFERROR(__xludf.DUMMYFUNCTION("""COMPUTED_VALUE"""),"Full Time")</f>
        <v>Full Time</v>
      </c>
      <c r="V158" s="177" t="str">
        <f>IFERROR(__xludf.DUMMYFUNCTION("""COMPUTED_VALUE"""),"+10:00")</f>
        <v>+10:00</v>
      </c>
      <c r="W158" s="177">
        <f>IFERROR(__xludf.DUMMYFUNCTION("""COMPUTED_VALUE"""),1.7529057E9)</f>
        <v>1752905700</v>
      </c>
      <c r="X158" s="178">
        <f>IFERROR(__xludf.DUMMYFUNCTION("""COMPUTED_VALUE"""),45857.789293981485)</f>
        <v>45857.78929</v>
      </c>
      <c r="Y158" s="177" t="str">
        <f>IFERROR(__xludf.DUMMYFUNCTION("""COMPUTED_VALUE"""),"S.C.G.")</f>
        <v>S.C.G.</v>
      </c>
      <c r="Z158" s="177" t="str">
        <f>IFERROR(__xludf.DUMMYFUNCTION("""COMPUTED_VALUE"""),"Sydney")</f>
        <v>Sydney</v>
      </c>
      <c r="AA158" s="177">
        <f>IFERROR(__xludf.DUMMYFUNCTION("""COMPUTED_VALUE"""),16.0)</f>
        <v>16</v>
      </c>
      <c r="AB158" s="177">
        <f>IFERROR(__xludf.DUMMYFUNCTION("""COMPUTED_VALUE"""),2025.0)</f>
        <v>2025</v>
      </c>
      <c r="AC158" s="177" t="str">
        <f t="shared" si="3"/>
        <v>Saturday</v>
      </c>
    </row>
    <row r="159">
      <c r="A159" s="175" t="str">
        <f t="shared" si="1"/>
        <v>195</v>
      </c>
      <c r="B159" s="176">
        <f t="shared" si="2"/>
        <v>5</v>
      </c>
      <c r="C159" s="177">
        <f>IFERROR(__xludf.DUMMYFUNCTION("""COMPUTED_VALUE"""),37245.0)</f>
        <v>37245</v>
      </c>
      <c r="D159" s="177">
        <f>IFERROR(__xludf.DUMMYFUNCTION("""COMPUTED_VALUE"""),10.0)</f>
        <v>10</v>
      </c>
      <c r="E159" s="177">
        <f>IFERROR(__xludf.DUMMYFUNCTION("""COMPUTED_VALUE"""),10.0)</f>
        <v>10</v>
      </c>
      <c r="F159" s="177">
        <f>IFERROR(__xludf.DUMMYFUNCTION("""COMPUTED_VALUE"""),70.0)</f>
        <v>70</v>
      </c>
      <c r="G159" s="177" t="str">
        <f>IFERROR(__xludf.DUMMYFUNCTION("""COMPUTED_VALUE"""),"Melbourne")</f>
        <v>Melbourne</v>
      </c>
      <c r="H159" s="177">
        <f>IFERROR(__xludf.DUMMYFUNCTION("""COMPUTED_VALUE"""),11.0)</f>
        <v>11</v>
      </c>
      <c r="I159" s="177">
        <f>IFERROR(__xludf.DUMMYFUNCTION("""COMPUTED_VALUE"""),100.0)</f>
        <v>100</v>
      </c>
      <c r="J159" s="178">
        <f>IFERROR(__xludf.DUMMYFUNCTION("""COMPUTED_VALUE"""),45857.81597222222)</f>
        <v>45857.81597</v>
      </c>
      <c r="K159" s="177">
        <f>IFERROR(__xludf.DUMMYFUNCTION("""COMPUTED_VALUE"""),6.0)</f>
        <v>6</v>
      </c>
      <c r="L159" s="177">
        <f>IFERROR(__xludf.DUMMYFUNCTION("""COMPUTED_VALUE"""),12.0)</f>
        <v>12</v>
      </c>
      <c r="M159" s="177">
        <f>IFERROR(__xludf.DUMMYFUNCTION("""COMPUTED_VALUE"""),78.0)</f>
        <v>78</v>
      </c>
      <c r="N159" s="177" t="str">
        <f>IFERROR(__xludf.DUMMYFUNCTION("""COMPUTED_VALUE"""),"Carlton")</f>
        <v>Carlton</v>
      </c>
      <c r="O159" s="177">
        <f>IFERROR(__xludf.DUMMYFUNCTION("""COMPUTED_VALUE"""),3.0)</f>
        <v>3</v>
      </c>
      <c r="P159" s="177">
        <f>IFERROR(__xludf.DUMMYFUNCTION("""COMPUTED_VALUE"""),0.0)</f>
        <v>0</v>
      </c>
      <c r="Q159" s="177">
        <f>IFERROR(__xludf.DUMMYFUNCTION("""COMPUTED_VALUE"""),0.0)</f>
        <v>0</v>
      </c>
      <c r="R159" s="178">
        <f>IFERROR(__xludf.DUMMYFUNCTION("""COMPUTED_VALUE"""),45857.81597222222)</f>
        <v>45857.81597</v>
      </c>
      <c r="S159" s="177">
        <f>IFERROR(__xludf.DUMMYFUNCTION("""COMPUTED_VALUE"""),19.0)</f>
        <v>19</v>
      </c>
      <c r="T159" s="177" t="str">
        <f>IFERROR(__xludf.DUMMYFUNCTION("""COMPUTED_VALUE"""),"Round 19")</f>
        <v>Round 19</v>
      </c>
      <c r="U159" s="177" t="str">
        <f>IFERROR(__xludf.DUMMYFUNCTION("""COMPUTED_VALUE"""),"Full Time")</f>
        <v>Full Time</v>
      </c>
      <c r="V159" s="177" t="str">
        <f>IFERROR(__xludf.DUMMYFUNCTION("""COMPUTED_VALUE"""),"+10:00")</f>
        <v>+10:00</v>
      </c>
      <c r="W159" s="177">
        <f>IFERROR(__xludf.DUMMYFUNCTION("""COMPUTED_VALUE"""),1.7529177E9)</f>
        <v>1752917700</v>
      </c>
      <c r="X159" s="178">
        <f>IFERROR(__xludf.DUMMYFUNCTION("""COMPUTED_VALUE"""),45857.92652777778)</f>
        <v>45857.92653</v>
      </c>
      <c r="Y159" s="177" t="str">
        <f>IFERROR(__xludf.DUMMYFUNCTION("""COMPUTED_VALUE"""),"M.C.G.")</f>
        <v>M.C.G.</v>
      </c>
      <c r="Z159" s="177" t="str">
        <f>IFERROR(__xludf.DUMMYFUNCTION("""COMPUTED_VALUE"""),"Carlton")</f>
        <v>Carlton</v>
      </c>
      <c r="AA159" s="177">
        <f>IFERROR(__xludf.DUMMYFUNCTION("""COMPUTED_VALUE"""),3.0)</f>
        <v>3</v>
      </c>
      <c r="AB159" s="177">
        <f>IFERROR(__xludf.DUMMYFUNCTION("""COMPUTED_VALUE"""),2025.0)</f>
        <v>2025</v>
      </c>
      <c r="AC159" s="177" t="str">
        <f t="shared" si="3"/>
        <v>Saturday</v>
      </c>
    </row>
    <row r="160">
      <c r="A160" s="175" t="str">
        <f t="shared" si="1"/>
        <v>196</v>
      </c>
      <c r="B160" s="176">
        <f t="shared" si="2"/>
        <v>6</v>
      </c>
      <c r="C160" s="177">
        <f>IFERROR(__xludf.DUMMYFUNCTION("""COMPUTED_VALUE"""),37251.0)</f>
        <v>37251</v>
      </c>
      <c r="D160" s="177">
        <f>IFERROR(__xludf.DUMMYFUNCTION("""COMPUTED_VALUE"""),9.0)</f>
        <v>9</v>
      </c>
      <c r="E160" s="177">
        <f>IFERROR(__xludf.DUMMYFUNCTION("""COMPUTED_VALUE"""),16.0)</f>
        <v>16</v>
      </c>
      <c r="F160" s="177">
        <f>IFERROR(__xludf.DUMMYFUNCTION("""COMPUTED_VALUE"""),105.0)</f>
        <v>105</v>
      </c>
      <c r="G160" s="177" t="str">
        <f>IFERROR(__xludf.DUMMYFUNCTION("""COMPUTED_VALUE"""),"Richmond")</f>
        <v>Richmond</v>
      </c>
      <c r="H160" s="177">
        <f>IFERROR(__xludf.DUMMYFUNCTION("""COMPUTED_VALUE"""),14.0)</f>
        <v>14</v>
      </c>
      <c r="I160" s="177">
        <f>IFERROR(__xludf.DUMMYFUNCTION("""COMPUTED_VALUE"""),100.0)</f>
        <v>100</v>
      </c>
      <c r="J160" s="178">
        <f>IFERROR(__xludf.DUMMYFUNCTION("""COMPUTED_VALUE"""),45857.84027777778)</f>
        <v>45857.84028</v>
      </c>
      <c r="K160" s="177">
        <f>IFERROR(__xludf.DUMMYFUNCTION("""COMPUTED_VALUE"""),8.0)</f>
        <v>8</v>
      </c>
      <c r="L160" s="177">
        <f>IFERROR(__xludf.DUMMYFUNCTION("""COMPUTED_VALUE"""),8.0)</f>
        <v>8</v>
      </c>
      <c r="M160" s="177">
        <f>IFERROR(__xludf.DUMMYFUNCTION("""COMPUTED_VALUE"""),56.0)</f>
        <v>56</v>
      </c>
      <c r="N160" s="177" t="str">
        <f>IFERROR(__xludf.DUMMYFUNCTION("""COMPUTED_VALUE"""),"West Coast")</f>
        <v>West Coast</v>
      </c>
      <c r="O160" s="177">
        <f>IFERROR(__xludf.DUMMYFUNCTION("""COMPUTED_VALUE"""),17.0)</f>
        <v>17</v>
      </c>
      <c r="P160" s="177">
        <f>IFERROR(__xludf.DUMMYFUNCTION("""COMPUTED_VALUE"""),0.0)</f>
        <v>0</v>
      </c>
      <c r="Q160" s="177">
        <f>IFERROR(__xludf.DUMMYFUNCTION("""COMPUTED_VALUE"""),0.0)</f>
        <v>0</v>
      </c>
      <c r="R160" s="178">
        <f>IFERROR(__xludf.DUMMYFUNCTION("""COMPUTED_VALUE"""),45857.756944444445)</f>
        <v>45857.75694</v>
      </c>
      <c r="S160" s="177">
        <f>IFERROR(__xludf.DUMMYFUNCTION("""COMPUTED_VALUE"""),19.0)</f>
        <v>19</v>
      </c>
      <c r="T160" s="177" t="str">
        <f>IFERROR(__xludf.DUMMYFUNCTION("""COMPUTED_VALUE"""),"Round 19")</f>
        <v>Round 19</v>
      </c>
      <c r="U160" s="177" t="str">
        <f>IFERROR(__xludf.DUMMYFUNCTION("""COMPUTED_VALUE"""),"Full Time")</f>
        <v>Full Time</v>
      </c>
      <c r="V160" s="177" t="str">
        <f>IFERROR(__xludf.DUMMYFUNCTION("""COMPUTED_VALUE"""),"+10:00")</f>
        <v>+10:00</v>
      </c>
      <c r="W160" s="177">
        <f>IFERROR(__xludf.DUMMYFUNCTION("""COMPUTED_VALUE"""),1.7529198E9)</f>
        <v>1752919800</v>
      </c>
      <c r="X160" s="178">
        <f>IFERROR(__xludf.DUMMYFUNCTION("""COMPUTED_VALUE"""),45857.94869212963)</f>
        <v>45857.94869</v>
      </c>
      <c r="Y160" s="177" t="str">
        <f>IFERROR(__xludf.DUMMYFUNCTION("""COMPUTED_VALUE"""),"Perth Stadium")</f>
        <v>Perth Stadium</v>
      </c>
      <c r="Z160" s="177" t="str">
        <f>IFERROR(__xludf.DUMMYFUNCTION("""COMPUTED_VALUE"""),"Richmond")</f>
        <v>Richmond</v>
      </c>
      <c r="AA160" s="177">
        <f>IFERROR(__xludf.DUMMYFUNCTION("""COMPUTED_VALUE"""),14.0)</f>
        <v>14</v>
      </c>
      <c r="AB160" s="177">
        <f>IFERROR(__xludf.DUMMYFUNCTION("""COMPUTED_VALUE"""),2025.0)</f>
        <v>2025</v>
      </c>
      <c r="AC160" s="177" t="str">
        <f t="shared" si="3"/>
        <v>Saturday</v>
      </c>
    </row>
    <row r="161">
      <c r="A161" s="175" t="str">
        <f t="shared" si="1"/>
        <v>197</v>
      </c>
      <c r="B161" s="176">
        <f t="shared" si="2"/>
        <v>7</v>
      </c>
      <c r="C161" s="177">
        <f>IFERROR(__xludf.DUMMYFUNCTION("""COMPUTED_VALUE"""),37243.0)</f>
        <v>37243</v>
      </c>
      <c r="D161" s="177">
        <f>IFERROR(__xludf.DUMMYFUNCTION("""COMPUTED_VALUE"""),10.0)</f>
        <v>10</v>
      </c>
      <c r="E161" s="177">
        <f>IFERROR(__xludf.DUMMYFUNCTION("""COMPUTED_VALUE"""),12.0)</f>
        <v>12</v>
      </c>
      <c r="F161" s="177">
        <f>IFERROR(__xludf.DUMMYFUNCTION("""COMPUTED_VALUE"""),82.0)</f>
        <v>82</v>
      </c>
      <c r="G161" s="177" t="str">
        <f>IFERROR(__xludf.DUMMYFUNCTION("""COMPUTED_VALUE"""),"St Kilda")</f>
        <v>St Kilda</v>
      </c>
      <c r="H161" s="177">
        <f>IFERROR(__xludf.DUMMYFUNCTION("""COMPUTED_VALUE"""),15.0)</f>
        <v>15</v>
      </c>
      <c r="I161" s="177">
        <f>IFERROR(__xludf.DUMMYFUNCTION("""COMPUTED_VALUE"""),100.0)</f>
        <v>100</v>
      </c>
      <c r="J161" s="178">
        <f>IFERROR(__xludf.DUMMYFUNCTION("""COMPUTED_VALUE"""),45858.54861111111)</f>
        <v>45858.54861</v>
      </c>
      <c r="K161" s="177">
        <f>IFERROR(__xludf.DUMMYFUNCTION("""COMPUTED_VALUE"""),11.0)</f>
        <v>11</v>
      </c>
      <c r="L161" s="177">
        <f>IFERROR(__xludf.DUMMYFUNCTION("""COMPUTED_VALUE"""),17.0)</f>
        <v>17</v>
      </c>
      <c r="M161" s="177">
        <f>IFERROR(__xludf.DUMMYFUNCTION("""COMPUTED_VALUE"""),113.0)</f>
        <v>113</v>
      </c>
      <c r="N161" s="177" t="str">
        <f>IFERROR(__xludf.DUMMYFUNCTION("""COMPUTED_VALUE"""),"Geelong")</f>
        <v>Geelong</v>
      </c>
      <c r="O161" s="177">
        <f>IFERROR(__xludf.DUMMYFUNCTION("""COMPUTED_VALUE"""),7.0)</f>
        <v>7</v>
      </c>
      <c r="P161" s="177">
        <f>IFERROR(__xludf.DUMMYFUNCTION("""COMPUTED_VALUE"""),0.0)</f>
        <v>0</v>
      </c>
      <c r="Q161" s="177">
        <f>IFERROR(__xludf.DUMMYFUNCTION("""COMPUTED_VALUE"""),0.0)</f>
        <v>0</v>
      </c>
      <c r="R161" s="178">
        <f>IFERROR(__xludf.DUMMYFUNCTION("""COMPUTED_VALUE"""),45858.54861111111)</f>
        <v>45858.54861</v>
      </c>
      <c r="S161" s="177">
        <f>IFERROR(__xludf.DUMMYFUNCTION("""COMPUTED_VALUE"""),19.0)</f>
        <v>19</v>
      </c>
      <c r="T161" s="177" t="str">
        <f>IFERROR(__xludf.DUMMYFUNCTION("""COMPUTED_VALUE"""),"Round 19")</f>
        <v>Round 19</v>
      </c>
      <c r="U161" s="177" t="str">
        <f>IFERROR(__xludf.DUMMYFUNCTION("""COMPUTED_VALUE"""),"Full Time")</f>
        <v>Full Time</v>
      </c>
      <c r="V161" s="177" t="str">
        <f>IFERROR(__xludf.DUMMYFUNCTION("""COMPUTED_VALUE"""),"+10:00")</f>
        <v>+10:00</v>
      </c>
      <c r="W161" s="177">
        <f>IFERROR(__xludf.DUMMYFUNCTION("""COMPUTED_VALUE"""),1.752981E9)</f>
        <v>1752981000</v>
      </c>
      <c r="X161" s="178">
        <f>IFERROR(__xludf.DUMMYFUNCTION("""COMPUTED_VALUE"""),45858.66516203704)</f>
        <v>45858.66516</v>
      </c>
      <c r="Y161" s="177" t="str">
        <f>IFERROR(__xludf.DUMMYFUNCTION("""COMPUTED_VALUE"""),"Kardinia Park")</f>
        <v>Kardinia Park</v>
      </c>
      <c r="Z161" s="177" t="str">
        <f>IFERROR(__xludf.DUMMYFUNCTION("""COMPUTED_VALUE"""),"Geelong")</f>
        <v>Geelong</v>
      </c>
      <c r="AA161" s="177">
        <f>IFERROR(__xludf.DUMMYFUNCTION("""COMPUTED_VALUE"""),7.0)</f>
        <v>7</v>
      </c>
      <c r="AB161" s="177">
        <f>IFERROR(__xludf.DUMMYFUNCTION("""COMPUTED_VALUE"""),2025.0)</f>
        <v>2025</v>
      </c>
      <c r="AC161" s="177" t="str">
        <f t="shared" si="3"/>
        <v>Sunday</v>
      </c>
    </row>
    <row r="162">
      <c r="A162" s="175" t="str">
        <f t="shared" si="1"/>
        <v>198</v>
      </c>
      <c r="B162" s="176">
        <f t="shared" si="2"/>
        <v>8</v>
      </c>
      <c r="C162" s="177">
        <f>IFERROR(__xludf.DUMMYFUNCTION("""COMPUTED_VALUE"""),37246.0)</f>
        <v>37246</v>
      </c>
      <c r="D162" s="177">
        <f>IFERROR(__xludf.DUMMYFUNCTION("""COMPUTED_VALUE"""),7.0)</f>
        <v>7</v>
      </c>
      <c r="E162" s="177">
        <f>IFERROR(__xludf.DUMMYFUNCTION("""COMPUTED_VALUE"""),12.0)</f>
        <v>12</v>
      </c>
      <c r="F162" s="177">
        <f>IFERROR(__xludf.DUMMYFUNCTION("""COMPUTED_VALUE"""),79.0)</f>
        <v>79</v>
      </c>
      <c r="G162" s="177" t="str">
        <f>IFERROR(__xludf.DUMMYFUNCTION("""COMPUTED_VALUE"""),"Fremantle")</f>
        <v>Fremantle</v>
      </c>
      <c r="H162" s="177">
        <f>IFERROR(__xludf.DUMMYFUNCTION("""COMPUTED_VALUE"""),6.0)</f>
        <v>6</v>
      </c>
      <c r="I162" s="177">
        <f>IFERROR(__xludf.DUMMYFUNCTION("""COMPUTED_VALUE"""),100.0)</f>
        <v>100</v>
      </c>
      <c r="J162" s="178">
        <f>IFERROR(__xludf.DUMMYFUNCTION("""COMPUTED_VALUE"""),45858.635416666664)</f>
        <v>45858.63542</v>
      </c>
      <c r="K162" s="177">
        <f>IFERROR(__xludf.DUMMYFUNCTION("""COMPUTED_VALUE"""),12.0)</f>
        <v>12</v>
      </c>
      <c r="L162" s="177">
        <f>IFERROR(__xludf.DUMMYFUNCTION("""COMPUTED_VALUE"""),11.0)</f>
        <v>11</v>
      </c>
      <c r="M162" s="177">
        <f>IFERROR(__xludf.DUMMYFUNCTION("""COMPUTED_VALUE"""),78.0)</f>
        <v>78</v>
      </c>
      <c r="N162" s="177" t="str">
        <f>IFERROR(__xludf.DUMMYFUNCTION("""COMPUTED_VALUE"""),"Collingwood")</f>
        <v>Collingwood</v>
      </c>
      <c r="O162" s="177">
        <f>IFERROR(__xludf.DUMMYFUNCTION("""COMPUTED_VALUE"""),4.0)</f>
        <v>4</v>
      </c>
      <c r="P162" s="177">
        <f>IFERROR(__xludf.DUMMYFUNCTION("""COMPUTED_VALUE"""),0.0)</f>
        <v>0</v>
      </c>
      <c r="Q162" s="177">
        <f>IFERROR(__xludf.DUMMYFUNCTION("""COMPUTED_VALUE"""),0.0)</f>
        <v>0</v>
      </c>
      <c r="R162" s="178">
        <f>IFERROR(__xludf.DUMMYFUNCTION("""COMPUTED_VALUE"""),45858.635416666664)</f>
        <v>45858.63542</v>
      </c>
      <c r="S162" s="177">
        <f>IFERROR(__xludf.DUMMYFUNCTION("""COMPUTED_VALUE"""),19.0)</f>
        <v>19</v>
      </c>
      <c r="T162" s="177" t="str">
        <f>IFERROR(__xludf.DUMMYFUNCTION("""COMPUTED_VALUE"""),"Round 19")</f>
        <v>Round 19</v>
      </c>
      <c r="U162" s="177" t="str">
        <f>IFERROR(__xludf.DUMMYFUNCTION("""COMPUTED_VALUE"""),"Full Time")</f>
        <v>Full Time</v>
      </c>
      <c r="V162" s="177" t="str">
        <f>IFERROR(__xludf.DUMMYFUNCTION("""COMPUTED_VALUE"""),"+10:00")</f>
        <v>+10:00</v>
      </c>
      <c r="W162" s="177">
        <f>IFERROR(__xludf.DUMMYFUNCTION("""COMPUTED_VALUE"""),1.7529885E9)</f>
        <v>1752988500</v>
      </c>
      <c r="X162" s="178">
        <f>IFERROR(__xludf.DUMMYFUNCTION("""COMPUTED_VALUE"""),45858.74798611111)</f>
        <v>45858.74799</v>
      </c>
      <c r="Y162" s="177" t="str">
        <f>IFERROR(__xludf.DUMMYFUNCTION("""COMPUTED_VALUE"""),"M.C.G.")</f>
        <v>M.C.G.</v>
      </c>
      <c r="Z162" s="177" t="str">
        <f>IFERROR(__xludf.DUMMYFUNCTION("""COMPUTED_VALUE"""),"Fremantle")</f>
        <v>Fremantle</v>
      </c>
      <c r="AA162" s="177">
        <f>IFERROR(__xludf.DUMMYFUNCTION("""COMPUTED_VALUE"""),6.0)</f>
        <v>6</v>
      </c>
      <c r="AB162" s="177">
        <f>IFERROR(__xludf.DUMMYFUNCTION("""COMPUTED_VALUE"""),2025.0)</f>
        <v>2025</v>
      </c>
      <c r="AC162" s="177" t="str">
        <f t="shared" si="3"/>
        <v>Sunday</v>
      </c>
    </row>
    <row r="163">
      <c r="A163" s="175" t="str">
        <f t="shared" si="1"/>
        <v>199</v>
      </c>
      <c r="B163" s="176">
        <f t="shared" si="2"/>
        <v>9</v>
      </c>
      <c r="C163" s="177">
        <f>IFERROR(__xludf.DUMMYFUNCTION("""COMPUTED_VALUE"""),37250.0)</f>
        <v>37250</v>
      </c>
      <c r="D163" s="177">
        <f>IFERROR(__xludf.DUMMYFUNCTION("""COMPUTED_VALUE"""),10.0)</f>
        <v>10</v>
      </c>
      <c r="E163" s="177">
        <f>IFERROR(__xludf.DUMMYFUNCTION("""COMPUTED_VALUE"""),6.0)</f>
        <v>6</v>
      </c>
      <c r="F163" s="177">
        <f>IFERROR(__xludf.DUMMYFUNCTION("""COMPUTED_VALUE"""),46.0)</f>
        <v>46</v>
      </c>
      <c r="G163" s="177" t="str">
        <f>IFERROR(__xludf.DUMMYFUNCTION("""COMPUTED_VALUE"""),"Gold Coast")</f>
        <v>Gold Coast</v>
      </c>
      <c r="H163" s="177">
        <f>IFERROR(__xludf.DUMMYFUNCTION("""COMPUTED_VALUE"""),8.0)</f>
        <v>8</v>
      </c>
      <c r="I163" s="177">
        <f>IFERROR(__xludf.DUMMYFUNCTION("""COMPUTED_VALUE"""),100.0)</f>
        <v>100</v>
      </c>
      <c r="J163" s="178">
        <f>IFERROR(__xludf.DUMMYFUNCTION("""COMPUTED_VALUE"""),45858.694444444445)</f>
        <v>45858.69444</v>
      </c>
      <c r="K163" s="177">
        <f>IFERROR(__xludf.DUMMYFUNCTION("""COMPUTED_VALUE"""),11.0)</f>
        <v>11</v>
      </c>
      <c r="L163" s="177">
        <f>IFERROR(__xludf.DUMMYFUNCTION("""COMPUTED_VALUE"""),16.0)</f>
        <v>16</v>
      </c>
      <c r="M163" s="177">
        <f>IFERROR(__xludf.DUMMYFUNCTION("""COMPUTED_VALUE"""),107.0)</f>
        <v>107</v>
      </c>
      <c r="N163" s="177" t="str">
        <f>IFERROR(__xludf.DUMMYFUNCTION("""COMPUTED_VALUE"""),"Adelaide")</f>
        <v>Adelaide</v>
      </c>
      <c r="O163" s="177">
        <f>IFERROR(__xludf.DUMMYFUNCTION("""COMPUTED_VALUE"""),1.0)</f>
        <v>1</v>
      </c>
      <c r="P163" s="177">
        <f>IFERROR(__xludf.DUMMYFUNCTION("""COMPUTED_VALUE"""),0.0)</f>
        <v>0</v>
      </c>
      <c r="Q163" s="177">
        <f>IFERROR(__xludf.DUMMYFUNCTION("""COMPUTED_VALUE"""),0.0)</f>
        <v>0</v>
      </c>
      <c r="R163" s="178">
        <f>IFERROR(__xludf.DUMMYFUNCTION("""COMPUTED_VALUE"""),45858.67361111111)</f>
        <v>45858.67361</v>
      </c>
      <c r="S163" s="177">
        <f>IFERROR(__xludf.DUMMYFUNCTION("""COMPUTED_VALUE"""),19.0)</f>
        <v>19</v>
      </c>
      <c r="T163" s="177" t="str">
        <f>IFERROR(__xludf.DUMMYFUNCTION("""COMPUTED_VALUE"""),"Round 19")</f>
        <v>Round 19</v>
      </c>
      <c r="U163" s="177" t="str">
        <f>IFERROR(__xludf.DUMMYFUNCTION("""COMPUTED_VALUE"""),"Full Time")</f>
        <v>Full Time</v>
      </c>
      <c r="V163" s="177" t="str">
        <f>IFERROR(__xludf.DUMMYFUNCTION("""COMPUTED_VALUE"""),"+10:00")</f>
        <v>+10:00</v>
      </c>
      <c r="W163" s="177">
        <f>IFERROR(__xludf.DUMMYFUNCTION("""COMPUTED_VALUE"""),1.7529936E9)</f>
        <v>1752993600</v>
      </c>
      <c r="X163" s="178">
        <f>IFERROR(__xludf.DUMMYFUNCTION("""COMPUTED_VALUE"""),45858.807604166665)</f>
        <v>45858.8076</v>
      </c>
      <c r="Y163" s="177" t="str">
        <f>IFERROR(__xludf.DUMMYFUNCTION("""COMPUTED_VALUE"""),"Adelaide Oval")</f>
        <v>Adelaide Oval</v>
      </c>
      <c r="Z163" s="177" t="str">
        <f>IFERROR(__xludf.DUMMYFUNCTION("""COMPUTED_VALUE"""),"Adelaide")</f>
        <v>Adelaide</v>
      </c>
      <c r="AA163" s="177">
        <f>IFERROR(__xludf.DUMMYFUNCTION("""COMPUTED_VALUE"""),1.0)</f>
        <v>1</v>
      </c>
      <c r="AB163" s="177">
        <f>IFERROR(__xludf.DUMMYFUNCTION("""COMPUTED_VALUE"""),2025.0)</f>
        <v>2025</v>
      </c>
      <c r="AC163" s="177" t="str">
        <f t="shared" si="3"/>
        <v>Sunday</v>
      </c>
    </row>
    <row r="164">
      <c r="A164" s="175" t="str">
        <f t="shared" si="1"/>
        <v>201</v>
      </c>
      <c r="B164" s="176">
        <f t="shared" si="2"/>
        <v>1</v>
      </c>
      <c r="C164" s="177">
        <f>IFERROR(__xludf.DUMMYFUNCTION("""COMPUTED_VALUE"""),37257.0)</f>
        <v>37257</v>
      </c>
      <c r="D164" s="177">
        <f>IFERROR(__xludf.DUMMYFUNCTION("""COMPUTED_VALUE"""),7.0)</f>
        <v>7</v>
      </c>
      <c r="E164" s="177">
        <f>IFERROR(__xludf.DUMMYFUNCTION("""COMPUTED_VALUE"""),9.0)</f>
        <v>9</v>
      </c>
      <c r="F164" s="177">
        <f>IFERROR(__xludf.DUMMYFUNCTION("""COMPUTED_VALUE"""),61.0)</f>
        <v>61</v>
      </c>
      <c r="G164" s="177" t="str">
        <f>IFERROR(__xludf.DUMMYFUNCTION("""COMPUTED_VALUE"""),"Carlton")</f>
        <v>Carlton</v>
      </c>
      <c r="H164" s="177">
        <f>IFERROR(__xludf.DUMMYFUNCTION("""COMPUTED_VALUE"""),3.0)</f>
        <v>3</v>
      </c>
      <c r="I164" s="177">
        <f>IFERROR(__xludf.DUMMYFUNCTION("""COMPUTED_VALUE"""),100.0)</f>
        <v>100</v>
      </c>
      <c r="J164" s="178">
        <f>IFERROR(__xludf.DUMMYFUNCTION("""COMPUTED_VALUE"""),45862.8125)</f>
        <v>45862.8125</v>
      </c>
      <c r="K164" s="177">
        <f>IFERROR(__xludf.DUMMYFUNCTION("""COMPUTED_VALUE"""),7.0)</f>
        <v>7</v>
      </c>
      <c r="L164" s="177">
        <f>IFERROR(__xludf.DUMMYFUNCTION("""COMPUTED_VALUE"""),13.0)</f>
        <v>13</v>
      </c>
      <c r="M164" s="177">
        <f>IFERROR(__xludf.DUMMYFUNCTION("""COMPUTED_VALUE"""),85.0)</f>
        <v>85</v>
      </c>
      <c r="N164" s="177" t="str">
        <f>IFERROR(__xludf.DUMMYFUNCTION("""COMPUTED_VALUE"""),"Hawthorn")</f>
        <v>Hawthorn</v>
      </c>
      <c r="O164" s="177">
        <f>IFERROR(__xludf.DUMMYFUNCTION("""COMPUTED_VALUE"""),10.0)</f>
        <v>10</v>
      </c>
      <c r="P164" s="177">
        <f>IFERROR(__xludf.DUMMYFUNCTION("""COMPUTED_VALUE"""),0.0)</f>
        <v>0</v>
      </c>
      <c r="Q164" s="177">
        <f>IFERROR(__xludf.DUMMYFUNCTION("""COMPUTED_VALUE"""),0.0)</f>
        <v>0</v>
      </c>
      <c r="R164" s="178">
        <f>IFERROR(__xludf.DUMMYFUNCTION("""COMPUTED_VALUE"""),45862.8125)</f>
        <v>45862.8125</v>
      </c>
      <c r="S164" s="177">
        <f>IFERROR(__xludf.DUMMYFUNCTION("""COMPUTED_VALUE"""),20.0)</f>
        <v>20</v>
      </c>
      <c r="T164" s="177" t="str">
        <f>IFERROR(__xludf.DUMMYFUNCTION("""COMPUTED_VALUE"""),"Round 20")</f>
        <v>Round 20</v>
      </c>
      <c r="U164" s="177" t="str">
        <f>IFERROR(__xludf.DUMMYFUNCTION("""COMPUTED_VALUE"""),"Full Time")</f>
        <v>Full Time</v>
      </c>
      <c r="V164" s="177" t="str">
        <f>IFERROR(__xludf.DUMMYFUNCTION("""COMPUTED_VALUE"""),"+10:00")</f>
        <v>+10:00</v>
      </c>
      <c r="W164" s="177">
        <f>IFERROR(__xludf.DUMMYFUNCTION("""COMPUTED_VALUE"""),1.7533494E9)</f>
        <v>1753349400</v>
      </c>
      <c r="X164" s="178">
        <f>IFERROR(__xludf.DUMMYFUNCTION("""COMPUTED_VALUE"""),45862.921747685185)</f>
        <v>45862.92175</v>
      </c>
      <c r="Y164" s="177" t="str">
        <f>IFERROR(__xludf.DUMMYFUNCTION("""COMPUTED_VALUE"""),"M.C.G.")</f>
        <v>M.C.G.</v>
      </c>
      <c r="Z164" s="177" t="str">
        <f>IFERROR(__xludf.DUMMYFUNCTION("""COMPUTED_VALUE"""),"Hawthorn")</f>
        <v>Hawthorn</v>
      </c>
      <c r="AA164" s="177">
        <f>IFERROR(__xludf.DUMMYFUNCTION("""COMPUTED_VALUE"""),10.0)</f>
        <v>10</v>
      </c>
      <c r="AB164" s="177">
        <f>IFERROR(__xludf.DUMMYFUNCTION("""COMPUTED_VALUE"""),2025.0)</f>
        <v>2025</v>
      </c>
      <c r="AC164" s="177" t="str">
        <f t="shared" si="3"/>
        <v>Thursday</v>
      </c>
    </row>
    <row r="165">
      <c r="A165" s="175" t="str">
        <f t="shared" si="1"/>
        <v>202</v>
      </c>
      <c r="B165" s="176">
        <f t="shared" si="2"/>
        <v>2</v>
      </c>
      <c r="C165" s="177">
        <f>IFERROR(__xludf.DUMMYFUNCTION("""COMPUTED_VALUE"""),37255.0)</f>
        <v>37255</v>
      </c>
      <c r="D165" s="177">
        <f>IFERROR(__xludf.DUMMYFUNCTION("""COMPUTED_VALUE"""),11.0)</f>
        <v>11</v>
      </c>
      <c r="E165" s="177">
        <f>IFERROR(__xludf.DUMMYFUNCTION("""COMPUTED_VALUE"""),22.0)</f>
        <v>22</v>
      </c>
      <c r="F165" s="177">
        <f>IFERROR(__xludf.DUMMYFUNCTION("""COMPUTED_VALUE"""),143.0)</f>
        <v>143</v>
      </c>
      <c r="G165" s="177" t="str">
        <f>IFERROR(__xludf.DUMMYFUNCTION("""COMPUTED_VALUE"""),"Western Bulldogs")</f>
        <v>Western Bulldogs</v>
      </c>
      <c r="H165" s="177">
        <f>IFERROR(__xludf.DUMMYFUNCTION("""COMPUTED_VALUE"""),18.0)</f>
        <v>18</v>
      </c>
      <c r="I165" s="177">
        <f>IFERROR(__xludf.DUMMYFUNCTION("""COMPUTED_VALUE"""),100.0)</f>
        <v>100</v>
      </c>
      <c r="J165" s="178">
        <f>IFERROR(__xludf.DUMMYFUNCTION("""COMPUTED_VALUE"""),45863.805555555555)</f>
        <v>45863.80556</v>
      </c>
      <c r="K165" s="177">
        <f>IFERROR(__xludf.DUMMYFUNCTION("""COMPUTED_VALUE"""),8.0)</f>
        <v>8</v>
      </c>
      <c r="L165" s="177">
        <f>IFERROR(__xludf.DUMMYFUNCTION("""COMPUTED_VALUE"""),7.0)</f>
        <v>7</v>
      </c>
      <c r="M165" s="177">
        <f>IFERROR(__xludf.DUMMYFUNCTION("""COMPUTED_VALUE"""),50.0)</f>
        <v>50</v>
      </c>
      <c r="N165" s="177" t="str">
        <f>IFERROR(__xludf.DUMMYFUNCTION("""COMPUTED_VALUE"""),"Essendon")</f>
        <v>Essendon</v>
      </c>
      <c r="O165" s="177">
        <f>IFERROR(__xludf.DUMMYFUNCTION("""COMPUTED_VALUE"""),5.0)</f>
        <v>5</v>
      </c>
      <c r="P165" s="177">
        <f>IFERROR(__xludf.DUMMYFUNCTION("""COMPUTED_VALUE"""),0.0)</f>
        <v>0</v>
      </c>
      <c r="Q165" s="177">
        <f>IFERROR(__xludf.DUMMYFUNCTION("""COMPUTED_VALUE"""),0.0)</f>
        <v>0</v>
      </c>
      <c r="R165" s="178">
        <f>IFERROR(__xludf.DUMMYFUNCTION("""COMPUTED_VALUE"""),45863.805555555555)</f>
        <v>45863.80556</v>
      </c>
      <c r="S165" s="177">
        <f>IFERROR(__xludf.DUMMYFUNCTION("""COMPUTED_VALUE"""),20.0)</f>
        <v>20</v>
      </c>
      <c r="T165" s="177" t="str">
        <f>IFERROR(__xludf.DUMMYFUNCTION("""COMPUTED_VALUE"""),"Round 20")</f>
        <v>Round 20</v>
      </c>
      <c r="U165" s="177" t="str">
        <f>IFERROR(__xludf.DUMMYFUNCTION("""COMPUTED_VALUE"""),"Full Time")</f>
        <v>Full Time</v>
      </c>
      <c r="V165" s="177" t="str">
        <f>IFERROR(__xludf.DUMMYFUNCTION("""COMPUTED_VALUE"""),"+10:00")</f>
        <v>+10:00</v>
      </c>
      <c r="W165" s="177">
        <f>IFERROR(__xludf.DUMMYFUNCTION("""COMPUTED_VALUE"""),1.7534352E9)</f>
        <v>1753435200</v>
      </c>
      <c r="X165" s="178">
        <f>IFERROR(__xludf.DUMMYFUNCTION("""COMPUTED_VALUE"""),45863.91570601852)</f>
        <v>45863.91571</v>
      </c>
      <c r="Y165" s="177" t="str">
        <f>IFERROR(__xludf.DUMMYFUNCTION("""COMPUTED_VALUE"""),"Docklands")</f>
        <v>Docklands</v>
      </c>
      <c r="Z165" s="177" t="str">
        <f>IFERROR(__xludf.DUMMYFUNCTION("""COMPUTED_VALUE"""),"Western Bulldogs")</f>
        <v>Western Bulldogs</v>
      </c>
      <c r="AA165" s="177">
        <f>IFERROR(__xludf.DUMMYFUNCTION("""COMPUTED_VALUE"""),18.0)</f>
        <v>18</v>
      </c>
      <c r="AB165" s="177">
        <f>IFERROR(__xludf.DUMMYFUNCTION("""COMPUTED_VALUE"""),2025.0)</f>
        <v>2025</v>
      </c>
      <c r="AC165" s="177" t="str">
        <f t="shared" si="3"/>
        <v>Friday</v>
      </c>
    </row>
    <row r="166">
      <c r="A166" s="175" t="str">
        <f t="shared" si="1"/>
        <v>203</v>
      </c>
      <c r="B166" s="176">
        <f t="shared" si="2"/>
        <v>3</v>
      </c>
      <c r="C166" s="177">
        <f>IFERROR(__xludf.DUMMYFUNCTION("""COMPUTED_VALUE"""),37252.0)</f>
        <v>37252</v>
      </c>
      <c r="D166" s="177">
        <f>IFERROR(__xludf.DUMMYFUNCTION("""COMPUTED_VALUE"""),10.0)</f>
        <v>10</v>
      </c>
      <c r="E166" s="177">
        <f>IFERROR(__xludf.DUMMYFUNCTION("""COMPUTED_VALUE"""),8.0)</f>
        <v>8</v>
      </c>
      <c r="F166" s="177">
        <f>IFERROR(__xludf.DUMMYFUNCTION("""COMPUTED_VALUE"""),58.0)</f>
        <v>58</v>
      </c>
      <c r="G166" s="177" t="str">
        <f>IFERROR(__xludf.DUMMYFUNCTION("""COMPUTED_VALUE"""),"Sydney")</f>
        <v>Sydney</v>
      </c>
      <c r="H166" s="177">
        <f>IFERROR(__xludf.DUMMYFUNCTION("""COMPUTED_VALUE"""),16.0)</f>
        <v>16</v>
      </c>
      <c r="I166" s="177">
        <f>IFERROR(__xludf.DUMMYFUNCTION("""COMPUTED_VALUE"""),100.0)</f>
        <v>100</v>
      </c>
      <c r="J166" s="178">
        <f>IFERROR(__xludf.DUMMYFUNCTION("""COMPUTED_VALUE"""),45863.82638888889)</f>
        <v>45863.82639</v>
      </c>
      <c r="K166" s="177">
        <f>IFERROR(__xludf.DUMMYFUNCTION("""COMPUTED_VALUE"""),12.0)</f>
        <v>12</v>
      </c>
      <c r="L166" s="177">
        <f>IFERROR(__xludf.DUMMYFUNCTION("""COMPUTED_VALUE"""),15.0)</f>
        <v>15</v>
      </c>
      <c r="M166" s="177">
        <f>IFERROR(__xludf.DUMMYFUNCTION("""COMPUTED_VALUE"""),102.0)</f>
        <v>102</v>
      </c>
      <c r="N166" s="177" t="str">
        <f>IFERROR(__xludf.DUMMYFUNCTION("""COMPUTED_VALUE"""),"Greater Western Sydney")</f>
        <v>Greater Western Sydney</v>
      </c>
      <c r="O166" s="177">
        <f>IFERROR(__xludf.DUMMYFUNCTION("""COMPUTED_VALUE"""),9.0)</f>
        <v>9</v>
      </c>
      <c r="P166" s="177">
        <f>IFERROR(__xludf.DUMMYFUNCTION("""COMPUTED_VALUE"""),0.0)</f>
        <v>0</v>
      </c>
      <c r="Q166" s="177">
        <f>IFERROR(__xludf.DUMMYFUNCTION("""COMPUTED_VALUE"""),0.0)</f>
        <v>0</v>
      </c>
      <c r="R166" s="178">
        <f>IFERROR(__xludf.DUMMYFUNCTION("""COMPUTED_VALUE"""),45863.82638888889)</f>
        <v>45863.82639</v>
      </c>
      <c r="S166" s="177">
        <f>IFERROR(__xludf.DUMMYFUNCTION("""COMPUTED_VALUE"""),20.0)</f>
        <v>20</v>
      </c>
      <c r="T166" s="177" t="str">
        <f>IFERROR(__xludf.DUMMYFUNCTION("""COMPUTED_VALUE"""),"Round 20")</f>
        <v>Round 20</v>
      </c>
      <c r="U166" s="177" t="str">
        <f>IFERROR(__xludf.DUMMYFUNCTION("""COMPUTED_VALUE"""),"Full Time")</f>
        <v>Full Time</v>
      </c>
      <c r="V166" s="177" t="str">
        <f>IFERROR(__xludf.DUMMYFUNCTION("""COMPUTED_VALUE"""),"+10:00")</f>
        <v>+10:00</v>
      </c>
      <c r="W166" s="177">
        <f>IFERROR(__xludf.DUMMYFUNCTION("""COMPUTED_VALUE"""),1.753437E9)</f>
        <v>1753437000</v>
      </c>
      <c r="X166" s="178">
        <f>IFERROR(__xludf.DUMMYFUNCTION("""COMPUTED_VALUE"""),45863.93989583333)</f>
        <v>45863.9399</v>
      </c>
      <c r="Y166" s="177" t="str">
        <f>IFERROR(__xludf.DUMMYFUNCTION("""COMPUTED_VALUE"""),"Sydney Showground")</f>
        <v>Sydney Showground</v>
      </c>
      <c r="Z166" s="177" t="str">
        <f>IFERROR(__xludf.DUMMYFUNCTION("""COMPUTED_VALUE"""),"Greater Western Sydney")</f>
        <v>Greater Western Sydney</v>
      </c>
      <c r="AA166" s="177">
        <f>IFERROR(__xludf.DUMMYFUNCTION("""COMPUTED_VALUE"""),9.0)</f>
        <v>9</v>
      </c>
      <c r="AB166" s="177">
        <f>IFERROR(__xludf.DUMMYFUNCTION("""COMPUTED_VALUE"""),2025.0)</f>
        <v>2025</v>
      </c>
      <c r="AC166" s="177" t="str">
        <f t="shared" si="3"/>
        <v>Friday</v>
      </c>
    </row>
    <row r="167">
      <c r="A167" s="175" t="str">
        <f t="shared" si="1"/>
        <v>204</v>
      </c>
      <c r="B167" s="176">
        <f t="shared" si="2"/>
        <v>4</v>
      </c>
      <c r="C167" s="177">
        <f>IFERROR(__xludf.DUMMYFUNCTION("""COMPUTED_VALUE"""),37258.0)</f>
        <v>37258</v>
      </c>
      <c r="D167" s="177">
        <f>IFERROR(__xludf.DUMMYFUNCTION("""COMPUTED_VALUE"""),10.0)</f>
        <v>10</v>
      </c>
      <c r="E167" s="177">
        <f>IFERROR(__xludf.DUMMYFUNCTION("""COMPUTED_VALUE"""),9.0)</f>
        <v>9</v>
      </c>
      <c r="F167" s="177">
        <f>IFERROR(__xludf.DUMMYFUNCTION("""COMPUTED_VALUE"""),64.0)</f>
        <v>64</v>
      </c>
      <c r="G167" s="177" t="str">
        <f>IFERROR(__xludf.DUMMYFUNCTION("""COMPUTED_VALUE"""),"Brisbane Lions")</f>
        <v>Brisbane Lions</v>
      </c>
      <c r="H167" s="177">
        <f>IFERROR(__xludf.DUMMYFUNCTION("""COMPUTED_VALUE"""),2.0)</f>
        <v>2</v>
      </c>
      <c r="I167" s="177">
        <f>IFERROR(__xludf.DUMMYFUNCTION("""COMPUTED_VALUE"""),100.0)</f>
        <v>100</v>
      </c>
      <c r="J167" s="178">
        <f>IFERROR(__xludf.DUMMYFUNCTION("""COMPUTED_VALUE"""),45864.555555555555)</f>
        <v>45864.55556</v>
      </c>
      <c r="K167" s="177">
        <f>IFERROR(__xludf.DUMMYFUNCTION("""COMPUTED_VALUE"""),10.0)</f>
        <v>10</v>
      </c>
      <c r="L167" s="177">
        <f>IFERROR(__xludf.DUMMYFUNCTION("""COMPUTED_VALUE"""),20.0)</f>
        <v>20</v>
      </c>
      <c r="M167" s="177">
        <f>IFERROR(__xludf.DUMMYFUNCTION("""COMPUTED_VALUE"""),130.0)</f>
        <v>130</v>
      </c>
      <c r="N167" s="177" t="str">
        <f>IFERROR(__xludf.DUMMYFUNCTION("""COMPUTED_VALUE"""),"Gold Coast")</f>
        <v>Gold Coast</v>
      </c>
      <c r="O167" s="177">
        <f>IFERROR(__xludf.DUMMYFUNCTION("""COMPUTED_VALUE"""),8.0)</f>
        <v>8</v>
      </c>
      <c r="P167" s="177">
        <f>IFERROR(__xludf.DUMMYFUNCTION("""COMPUTED_VALUE"""),0.0)</f>
        <v>0</v>
      </c>
      <c r="Q167" s="177">
        <f>IFERROR(__xludf.DUMMYFUNCTION("""COMPUTED_VALUE"""),0.0)</f>
        <v>0</v>
      </c>
      <c r="R167" s="178">
        <f>IFERROR(__xludf.DUMMYFUNCTION("""COMPUTED_VALUE"""),45864.555555555555)</f>
        <v>45864.55556</v>
      </c>
      <c r="S167" s="177">
        <f>IFERROR(__xludf.DUMMYFUNCTION("""COMPUTED_VALUE"""),20.0)</f>
        <v>20</v>
      </c>
      <c r="T167" s="177" t="str">
        <f>IFERROR(__xludf.DUMMYFUNCTION("""COMPUTED_VALUE"""),"Round 20")</f>
        <v>Round 20</v>
      </c>
      <c r="U167" s="177" t="str">
        <f>IFERROR(__xludf.DUMMYFUNCTION("""COMPUTED_VALUE"""),"Full Time")</f>
        <v>Full Time</v>
      </c>
      <c r="V167" s="177" t="str">
        <f>IFERROR(__xludf.DUMMYFUNCTION("""COMPUTED_VALUE"""),"+10:00")</f>
        <v>+10:00</v>
      </c>
      <c r="W167" s="177">
        <f>IFERROR(__xludf.DUMMYFUNCTION("""COMPUTED_VALUE"""),1.7535E9)</f>
        <v>1753500000</v>
      </c>
      <c r="X167" s="178">
        <f>IFERROR(__xludf.DUMMYFUNCTION("""COMPUTED_VALUE"""),45864.670277777775)</f>
        <v>45864.67028</v>
      </c>
      <c r="Y167" s="177" t="str">
        <f>IFERROR(__xludf.DUMMYFUNCTION("""COMPUTED_VALUE"""),"Carrara")</f>
        <v>Carrara</v>
      </c>
      <c r="Z167" s="177" t="str">
        <f>IFERROR(__xludf.DUMMYFUNCTION("""COMPUTED_VALUE"""),"Gold Coast")</f>
        <v>Gold Coast</v>
      </c>
      <c r="AA167" s="177">
        <f>IFERROR(__xludf.DUMMYFUNCTION("""COMPUTED_VALUE"""),8.0)</f>
        <v>8</v>
      </c>
      <c r="AB167" s="177">
        <f>IFERROR(__xludf.DUMMYFUNCTION("""COMPUTED_VALUE"""),2025.0)</f>
        <v>2025</v>
      </c>
      <c r="AC167" s="177" t="str">
        <f t="shared" si="3"/>
        <v>Saturday</v>
      </c>
    </row>
    <row r="168">
      <c r="A168" s="175" t="str">
        <f t="shared" si="1"/>
        <v>205</v>
      </c>
      <c r="B168" s="176">
        <f t="shared" si="2"/>
        <v>5</v>
      </c>
      <c r="C168" s="177">
        <f>IFERROR(__xludf.DUMMYFUNCTION("""COMPUTED_VALUE"""),37260.0)</f>
        <v>37260</v>
      </c>
      <c r="D168" s="177">
        <f>IFERROR(__xludf.DUMMYFUNCTION("""COMPUTED_VALUE"""),5.0)</f>
        <v>5</v>
      </c>
      <c r="E168" s="177">
        <f>IFERROR(__xludf.DUMMYFUNCTION("""COMPUTED_VALUE"""),12.0)</f>
        <v>12</v>
      </c>
      <c r="F168" s="177">
        <f>IFERROR(__xludf.DUMMYFUNCTION("""COMPUTED_VALUE"""),77.0)</f>
        <v>77</v>
      </c>
      <c r="G168" s="177" t="str">
        <f>IFERROR(__xludf.DUMMYFUNCTION("""COMPUTED_VALUE"""),"West Coast")</f>
        <v>West Coast</v>
      </c>
      <c r="H168" s="177">
        <f>IFERROR(__xludf.DUMMYFUNCTION("""COMPUTED_VALUE"""),17.0)</f>
        <v>17</v>
      </c>
      <c r="I168" s="177">
        <f>IFERROR(__xludf.DUMMYFUNCTION("""COMPUTED_VALUE"""),100.0)</f>
        <v>100</v>
      </c>
      <c r="J168" s="178">
        <f>IFERROR(__xludf.DUMMYFUNCTION("""COMPUTED_VALUE"""),45864.677083333336)</f>
        <v>45864.67708</v>
      </c>
      <c r="K168" s="177">
        <f>IFERROR(__xludf.DUMMYFUNCTION("""COMPUTED_VALUE"""),18.0)</f>
        <v>18</v>
      </c>
      <c r="L168" s="177">
        <f>IFERROR(__xludf.DUMMYFUNCTION("""COMPUTED_VALUE"""),18.0)</f>
        <v>18</v>
      </c>
      <c r="M168" s="177">
        <f>IFERROR(__xludf.DUMMYFUNCTION("""COMPUTED_VALUE"""),126.0)</f>
        <v>126</v>
      </c>
      <c r="N168" s="177" t="str">
        <f>IFERROR(__xludf.DUMMYFUNCTION("""COMPUTED_VALUE"""),"Fremantle")</f>
        <v>Fremantle</v>
      </c>
      <c r="O168" s="177">
        <f>IFERROR(__xludf.DUMMYFUNCTION("""COMPUTED_VALUE"""),6.0)</f>
        <v>6</v>
      </c>
      <c r="P168" s="177">
        <f>IFERROR(__xludf.DUMMYFUNCTION("""COMPUTED_VALUE"""),0.0)</f>
        <v>0</v>
      </c>
      <c r="Q168" s="177">
        <f>IFERROR(__xludf.DUMMYFUNCTION("""COMPUTED_VALUE"""),0.0)</f>
        <v>0</v>
      </c>
      <c r="R168" s="178">
        <f>IFERROR(__xludf.DUMMYFUNCTION("""COMPUTED_VALUE"""),45864.59375)</f>
        <v>45864.59375</v>
      </c>
      <c r="S168" s="177">
        <f>IFERROR(__xludf.DUMMYFUNCTION("""COMPUTED_VALUE"""),20.0)</f>
        <v>20</v>
      </c>
      <c r="T168" s="177" t="str">
        <f>IFERROR(__xludf.DUMMYFUNCTION("""COMPUTED_VALUE"""),"Round 20")</f>
        <v>Round 20</v>
      </c>
      <c r="U168" s="177" t="str">
        <f>IFERROR(__xludf.DUMMYFUNCTION("""COMPUTED_VALUE"""),"Full Time")</f>
        <v>Full Time</v>
      </c>
      <c r="V168" s="177" t="str">
        <f>IFERROR(__xludf.DUMMYFUNCTION("""COMPUTED_VALUE"""),"+10:00")</f>
        <v>+10:00</v>
      </c>
      <c r="W168" s="177">
        <f>IFERROR(__xludf.DUMMYFUNCTION("""COMPUTED_VALUE"""),1.7535105E9)</f>
        <v>1753510500</v>
      </c>
      <c r="X168" s="178">
        <f>IFERROR(__xludf.DUMMYFUNCTION("""COMPUTED_VALUE"""),45864.790358796294)</f>
        <v>45864.79036</v>
      </c>
      <c r="Y168" s="177" t="str">
        <f>IFERROR(__xludf.DUMMYFUNCTION("""COMPUTED_VALUE"""),"Perth Stadium")</f>
        <v>Perth Stadium</v>
      </c>
      <c r="Z168" s="177" t="str">
        <f>IFERROR(__xludf.DUMMYFUNCTION("""COMPUTED_VALUE"""),"Fremantle")</f>
        <v>Fremantle</v>
      </c>
      <c r="AA168" s="177">
        <f>IFERROR(__xludf.DUMMYFUNCTION("""COMPUTED_VALUE"""),6.0)</f>
        <v>6</v>
      </c>
      <c r="AB168" s="177">
        <f>IFERROR(__xludf.DUMMYFUNCTION("""COMPUTED_VALUE"""),2025.0)</f>
        <v>2025</v>
      </c>
      <c r="AC168" s="177" t="str">
        <f t="shared" si="3"/>
        <v>Saturday</v>
      </c>
    </row>
    <row r="169">
      <c r="A169" s="175" t="str">
        <f t="shared" si="1"/>
        <v>206</v>
      </c>
      <c r="B169" s="176">
        <f t="shared" si="2"/>
        <v>6</v>
      </c>
      <c r="C169" s="177">
        <f>IFERROR(__xludf.DUMMYFUNCTION("""COMPUTED_VALUE"""),37253.0)</f>
        <v>37253</v>
      </c>
      <c r="D169" s="177">
        <f>IFERROR(__xludf.DUMMYFUNCTION("""COMPUTED_VALUE"""),18.0)</f>
        <v>18</v>
      </c>
      <c r="E169" s="177">
        <f>IFERROR(__xludf.DUMMYFUNCTION("""COMPUTED_VALUE"""),22.0)</f>
        <v>22</v>
      </c>
      <c r="F169" s="177">
        <f>IFERROR(__xludf.DUMMYFUNCTION("""COMPUTED_VALUE"""),150.0)</f>
        <v>150</v>
      </c>
      <c r="G169" s="177" t="str">
        <f>IFERROR(__xludf.DUMMYFUNCTION("""COMPUTED_VALUE"""),"Geelong")</f>
        <v>Geelong</v>
      </c>
      <c r="H169" s="177">
        <f>IFERROR(__xludf.DUMMYFUNCTION("""COMPUTED_VALUE"""),7.0)</f>
        <v>7</v>
      </c>
      <c r="I169" s="177">
        <f>IFERROR(__xludf.DUMMYFUNCTION("""COMPUTED_VALUE"""),100.0)</f>
        <v>100</v>
      </c>
      <c r="J169" s="178">
        <f>IFERROR(__xludf.DUMMYFUNCTION("""COMPUTED_VALUE"""),45864.81597222222)</f>
        <v>45864.81597</v>
      </c>
      <c r="K169" s="177">
        <f>IFERROR(__xludf.DUMMYFUNCTION("""COMPUTED_VALUE"""),7.0)</f>
        <v>7</v>
      </c>
      <c r="L169" s="177">
        <f>IFERROR(__xludf.DUMMYFUNCTION("""COMPUTED_VALUE"""),7.0)</f>
        <v>7</v>
      </c>
      <c r="M169" s="177">
        <f>IFERROR(__xludf.DUMMYFUNCTION("""COMPUTED_VALUE"""),49.0)</f>
        <v>49</v>
      </c>
      <c r="N169" s="177" t="str">
        <f>IFERROR(__xludf.DUMMYFUNCTION("""COMPUTED_VALUE"""),"North Melbourne")</f>
        <v>North Melbourne</v>
      </c>
      <c r="O169" s="177">
        <f>IFERROR(__xludf.DUMMYFUNCTION("""COMPUTED_VALUE"""),12.0)</f>
        <v>12</v>
      </c>
      <c r="P169" s="177">
        <f>IFERROR(__xludf.DUMMYFUNCTION("""COMPUTED_VALUE"""),0.0)</f>
        <v>0</v>
      </c>
      <c r="Q169" s="177">
        <f>IFERROR(__xludf.DUMMYFUNCTION("""COMPUTED_VALUE"""),0.0)</f>
        <v>0</v>
      </c>
      <c r="R169" s="178">
        <f>IFERROR(__xludf.DUMMYFUNCTION("""COMPUTED_VALUE"""),45864.81597222222)</f>
        <v>45864.81597</v>
      </c>
      <c r="S169" s="177">
        <f>IFERROR(__xludf.DUMMYFUNCTION("""COMPUTED_VALUE"""),20.0)</f>
        <v>20</v>
      </c>
      <c r="T169" s="177" t="str">
        <f>IFERROR(__xludf.DUMMYFUNCTION("""COMPUTED_VALUE"""),"Round 20")</f>
        <v>Round 20</v>
      </c>
      <c r="U169" s="177" t="str">
        <f>IFERROR(__xludf.DUMMYFUNCTION("""COMPUTED_VALUE"""),"Full Time")</f>
        <v>Full Time</v>
      </c>
      <c r="V169" s="177" t="str">
        <f>IFERROR(__xludf.DUMMYFUNCTION("""COMPUTED_VALUE"""),"+10:00")</f>
        <v>+10:00</v>
      </c>
      <c r="W169" s="177">
        <f>IFERROR(__xludf.DUMMYFUNCTION("""COMPUTED_VALUE"""),1.7535225E9)</f>
        <v>1753522500</v>
      </c>
      <c r="X169" s="178">
        <f>IFERROR(__xludf.DUMMYFUNCTION("""COMPUTED_VALUE"""),45864.93174768519)</f>
        <v>45864.93175</v>
      </c>
      <c r="Y169" s="177" t="str">
        <f>IFERROR(__xludf.DUMMYFUNCTION("""COMPUTED_VALUE"""),"Docklands")</f>
        <v>Docklands</v>
      </c>
      <c r="Z169" s="177" t="str">
        <f>IFERROR(__xludf.DUMMYFUNCTION("""COMPUTED_VALUE"""),"Geelong")</f>
        <v>Geelong</v>
      </c>
      <c r="AA169" s="177">
        <f>IFERROR(__xludf.DUMMYFUNCTION("""COMPUTED_VALUE"""),7.0)</f>
        <v>7</v>
      </c>
      <c r="AB169" s="177">
        <f>IFERROR(__xludf.DUMMYFUNCTION("""COMPUTED_VALUE"""),2025.0)</f>
        <v>2025</v>
      </c>
      <c r="AC169" s="177" t="str">
        <f t="shared" si="3"/>
        <v>Saturday</v>
      </c>
    </row>
    <row r="170">
      <c r="A170" s="175" t="str">
        <f t="shared" si="1"/>
        <v>207</v>
      </c>
      <c r="B170" s="176">
        <f t="shared" si="2"/>
        <v>7</v>
      </c>
      <c r="C170" s="177">
        <f>IFERROR(__xludf.DUMMYFUNCTION("""COMPUTED_VALUE"""),37259.0)</f>
        <v>37259</v>
      </c>
      <c r="D170" s="177">
        <f>IFERROR(__xludf.DUMMYFUNCTION("""COMPUTED_VALUE"""),5.0)</f>
        <v>5</v>
      </c>
      <c r="E170" s="177">
        <f>IFERROR(__xludf.DUMMYFUNCTION("""COMPUTED_VALUE"""),5.0)</f>
        <v>5</v>
      </c>
      <c r="F170" s="177">
        <f>IFERROR(__xludf.DUMMYFUNCTION("""COMPUTED_VALUE"""),35.0)</f>
        <v>35</v>
      </c>
      <c r="G170" s="177" t="str">
        <f>IFERROR(__xludf.DUMMYFUNCTION("""COMPUTED_VALUE"""),"Port Adelaide")</f>
        <v>Port Adelaide</v>
      </c>
      <c r="H170" s="177">
        <f>IFERROR(__xludf.DUMMYFUNCTION("""COMPUTED_VALUE"""),13.0)</f>
        <v>13</v>
      </c>
      <c r="I170" s="177">
        <f>IFERROR(__xludf.DUMMYFUNCTION("""COMPUTED_VALUE"""),100.0)</f>
        <v>100</v>
      </c>
      <c r="J170" s="178">
        <f>IFERROR(__xludf.DUMMYFUNCTION("""COMPUTED_VALUE"""),45864.84027777778)</f>
        <v>45864.84028</v>
      </c>
      <c r="K170" s="177">
        <f>IFERROR(__xludf.DUMMYFUNCTION("""COMPUTED_VALUE"""),13.0)</f>
        <v>13</v>
      </c>
      <c r="L170" s="177">
        <f>IFERROR(__xludf.DUMMYFUNCTION("""COMPUTED_VALUE"""),20.0)</f>
        <v>20</v>
      </c>
      <c r="M170" s="177">
        <f>IFERROR(__xludf.DUMMYFUNCTION("""COMPUTED_VALUE"""),133.0)</f>
        <v>133</v>
      </c>
      <c r="N170" s="177" t="str">
        <f>IFERROR(__xludf.DUMMYFUNCTION("""COMPUTED_VALUE"""),"Adelaide")</f>
        <v>Adelaide</v>
      </c>
      <c r="O170" s="177">
        <f>IFERROR(__xludf.DUMMYFUNCTION("""COMPUTED_VALUE"""),1.0)</f>
        <v>1</v>
      </c>
      <c r="P170" s="177">
        <f>IFERROR(__xludf.DUMMYFUNCTION("""COMPUTED_VALUE"""),0.0)</f>
        <v>0</v>
      </c>
      <c r="Q170" s="177">
        <f>IFERROR(__xludf.DUMMYFUNCTION("""COMPUTED_VALUE"""),0.0)</f>
        <v>0</v>
      </c>
      <c r="R170" s="178">
        <f>IFERROR(__xludf.DUMMYFUNCTION("""COMPUTED_VALUE"""),45864.819444444445)</f>
        <v>45864.81944</v>
      </c>
      <c r="S170" s="177">
        <f>IFERROR(__xludf.DUMMYFUNCTION("""COMPUTED_VALUE"""),20.0)</f>
        <v>20</v>
      </c>
      <c r="T170" s="177" t="str">
        <f>IFERROR(__xludf.DUMMYFUNCTION("""COMPUTED_VALUE"""),"Round 20")</f>
        <v>Round 20</v>
      </c>
      <c r="U170" s="177" t="str">
        <f>IFERROR(__xludf.DUMMYFUNCTION("""COMPUTED_VALUE"""),"Full Time")</f>
        <v>Full Time</v>
      </c>
      <c r="V170" s="177" t="str">
        <f>IFERROR(__xludf.DUMMYFUNCTION("""COMPUTED_VALUE"""),"+10:00")</f>
        <v>+10:00</v>
      </c>
      <c r="W170" s="177">
        <f>IFERROR(__xludf.DUMMYFUNCTION("""COMPUTED_VALUE"""),1.7535246E9)</f>
        <v>1753524600</v>
      </c>
      <c r="X170" s="178">
        <f>IFERROR(__xludf.DUMMYFUNCTION("""COMPUTED_VALUE"""),45864.95517361111)</f>
        <v>45864.95517</v>
      </c>
      <c r="Y170" s="177" t="str">
        <f>IFERROR(__xludf.DUMMYFUNCTION("""COMPUTED_VALUE"""),"Adelaide Oval")</f>
        <v>Adelaide Oval</v>
      </c>
      <c r="Z170" s="177" t="str">
        <f>IFERROR(__xludf.DUMMYFUNCTION("""COMPUTED_VALUE"""),"Adelaide")</f>
        <v>Adelaide</v>
      </c>
      <c r="AA170" s="177">
        <f>IFERROR(__xludf.DUMMYFUNCTION("""COMPUTED_VALUE"""),1.0)</f>
        <v>1</v>
      </c>
      <c r="AB170" s="177">
        <f>IFERROR(__xludf.DUMMYFUNCTION("""COMPUTED_VALUE"""),2025.0)</f>
        <v>2025</v>
      </c>
      <c r="AC170" s="177" t="str">
        <f t="shared" si="3"/>
        <v>Saturday</v>
      </c>
    </row>
    <row r="171">
      <c r="A171" s="175" t="str">
        <f t="shared" si="1"/>
        <v>208</v>
      </c>
      <c r="B171" s="176">
        <f t="shared" si="2"/>
        <v>8</v>
      </c>
      <c r="C171" s="177">
        <f>IFERROR(__xludf.DUMMYFUNCTION("""COMPUTED_VALUE"""),37256.0)</f>
        <v>37256</v>
      </c>
      <c r="D171" s="177">
        <f>IFERROR(__xludf.DUMMYFUNCTION("""COMPUTED_VALUE"""),15.0)</f>
        <v>15</v>
      </c>
      <c r="E171" s="177">
        <f>IFERROR(__xludf.DUMMYFUNCTION("""COMPUTED_VALUE"""),13.0)</f>
        <v>13</v>
      </c>
      <c r="F171" s="177">
        <f>IFERROR(__xludf.DUMMYFUNCTION("""COMPUTED_VALUE"""),93.0)</f>
        <v>93</v>
      </c>
      <c r="G171" s="177" t="str">
        <f>IFERROR(__xludf.DUMMYFUNCTION("""COMPUTED_VALUE"""),"Collingwood")</f>
        <v>Collingwood</v>
      </c>
      <c r="H171" s="177">
        <f>IFERROR(__xludf.DUMMYFUNCTION("""COMPUTED_VALUE"""),4.0)</f>
        <v>4</v>
      </c>
      <c r="I171" s="177">
        <f>IFERROR(__xludf.DUMMYFUNCTION("""COMPUTED_VALUE"""),100.0)</f>
        <v>100</v>
      </c>
      <c r="J171" s="178">
        <f>IFERROR(__xludf.DUMMYFUNCTION("""COMPUTED_VALUE"""),45865.59027777778)</f>
        <v>45865.59028</v>
      </c>
      <c r="K171" s="177">
        <f>IFERROR(__xludf.DUMMYFUNCTION("""COMPUTED_VALUE"""),9.0)</f>
        <v>9</v>
      </c>
      <c r="L171" s="177">
        <f>IFERROR(__xludf.DUMMYFUNCTION("""COMPUTED_VALUE"""),8.0)</f>
        <v>8</v>
      </c>
      <c r="M171" s="177">
        <f>IFERROR(__xludf.DUMMYFUNCTION("""COMPUTED_VALUE"""),57.0)</f>
        <v>57</v>
      </c>
      <c r="N171" s="177" t="str">
        <f>IFERROR(__xludf.DUMMYFUNCTION("""COMPUTED_VALUE"""),"Richmond")</f>
        <v>Richmond</v>
      </c>
      <c r="O171" s="177">
        <f>IFERROR(__xludf.DUMMYFUNCTION("""COMPUTED_VALUE"""),14.0)</f>
        <v>14</v>
      </c>
      <c r="P171" s="177">
        <f>IFERROR(__xludf.DUMMYFUNCTION("""COMPUTED_VALUE"""),0.0)</f>
        <v>0</v>
      </c>
      <c r="Q171" s="177">
        <f>IFERROR(__xludf.DUMMYFUNCTION("""COMPUTED_VALUE"""),0.0)</f>
        <v>0</v>
      </c>
      <c r="R171" s="178">
        <f>IFERROR(__xludf.DUMMYFUNCTION("""COMPUTED_VALUE"""),45865.59027777778)</f>
        <v>45865.59028</v>
      </c>
      <c r="S171" s="177">
        <f>IFERROR(__xludf.DUMMYFUNCTION("""COMPUTED_VALUE"""),20.0)</f>
        <v>20</v>
      </c>
      <c r="T171" s="177" t="str">
        <f>IFERROR(__xludf.DUMMYFUNCTION("""COMPUTED_VALUE"""),"Round 20")</f>
        <v>Round 20</v>
      </c>
      <c r="U171" s="177" t="str">
        <f>IFERROR(__xludf.DUMMYFUNCTION("""COMPUTED_VALUE"""),"Full Time")</f>
        <v>Full Time</v>
      </c>
      <c r="V171" s="177" t="str">
        <f>IFERROR(__xludf.DUMMYFUNCTION("""COMPUTED_VALUE"""),"+10:00")</f>
        <v>+10:00</v>
      </c>
      <c r="W171" s="177">
        <f>IFERROR(__xludf.DUMMYFUNCTION("""COMPUTED_VALUE"""),1.7535894E9)</f>
        <v>1753589400</v>
      </c>
      <c r="X171" s="178">
        <f>IFERROR(__xludf.DUMMYFUNCTION("""COMPUTED_VALUE"""),45865.695439814815)</f>
        <v>45865.69544</v>
      </c>
      <c r="Y171" s="177" t="str">
        <f>IFERROR(__xludf.DUMMYFUNCTION("""COMPUTED_VALUE"""),"M.C.G.")</f>
        <v>M.C.G.</v>
      </c>
      <c r="Z171" s="177" t="str">
        <f>IFERROR(__xludf.DUMMYFUNCTION("""COMPUTED_VALUE"""),"Collingwood")</f>
        <v>Collingwood</v>
      </c>
      <c r="AA171" s="177">
        <f>IFERROR(__xludf.DUMMYFUNCTION("""COMPUTED_VALUE"""),4.0)</f>
        <v>4</v>
      </c>
      <c r="AB171" s="177">
        <f>IFERROR(__xludf.DUMMYFUNCTION("""COMPUTED_VALUE"""),2025.0)</f>
        <v>2025</v>
      </c>
      <c r="AC171" s="177" t="str">
        <f t="shared" si="3"/>
        <v>Sunday</v>
      </c>
    </row>
    <row r="172">
      <c r="A172" s="175" t="str">
        <f t="shared" si="1"/>
        <v>209</v>
      </c>
      <c r="B172" s="176">
        <f t="shared" si="2"/>
        <v>9</v>
      </c>
      <c r="C172" s="177">
        <f>IFERROR(__xludf.DUMMYFUNCTION("""COMPUTED_VALUE"""),37254.0)</f>
        <v>37254</v>
      </c>
      <c r="D172" s="177">
        <f>IFERROR(__xludf.DUMMYFUNCTION("""COMPUTED_VALUE"""),12.0)</f>
        <v>12</v>
      </c>
      <c r="E172" s="177">
        <f>IFERROR(__xludf.DUMMYFUNCTION("""COMPUTED_VALUE"""),13.0)</f>
        <v>13</v>
      </c>
      <c r="F172" s="177">
        <f>IFERROR(__xludf.DUMMYFUNCTION("""COMPUTED_VALUE"""),90.0)</f>
        <v>90</v>
      </c>
      <c r="G172" s="177" t="str">
        <f>IFERROR(__xludf.DUMMYFUNCTION("""COMPUTED_VALUE"""),"Melbourne")</f>
        <v>Melbourne</v>
      </c>
      <c r="H172" s="177">
        <f>IFERROR(__xludf.DUMMYFUNCTION("""COMPUTED_VALUE"""),11.0)</f>
        <v>11</v>
      </c>
      <c r="I172" s="177">
        <f>IFERROR(__xludf.DUMMYFUNCTION("""COMPUTED_VALUE"""),100.0)</f>
        <v>100</v>
      </c>
      <c r="J172" s="178">
        <f>IFERROR(__xludf.DUMMYFUNCTION("""COMPUTED_VALUE"""),45865.635416666664)</f>
        <v>45865.63542</v>
      </c>
      <c r="K172" s="177">
        <f>IFERROR(__xludf.DUMMYFUNCTION("""COMPUTED_VALUE"""),6.0)</f>
        <v>6</v>
      </c>
      <c r="L172" s="177">
        <f>IFERROR(__xludf.DUMMYFUNCTION("""COMPUTED_VALUE"""),15.0)</f>
        <v>15</v>
      </c>
      <c r="M172" s="177">
        <f>IFERROR(__xludf.DUMMYFUNCTION("""COMPUTED_VALUE"""),96.0)</f>
        <v>96</v>
      </c>
      <c r="N172" s="177" t="str">
        <f>IFERROR(__xludf.DUMMYFUNCTION("""COMPUTED_VALUE"""),"St Kilda")</f>
        <v>St Kilda</v>
      </c>
      <c r="O172" s="177">
        <f>IFERROR(__xludf.DUMMYFUNCTION("""COMPUTED_VALUE"""),15.0)</f>
        <v>15</v>
      </c>
      <c r="P172" s="177">
        <f>IFERROR(__xludf.DUMMYFUNCTION("""COMPUTED_VALUE"""),0.0)</f>
        <v>0</v>
      </c>
      <c r="Q172" s="177">
        <f>IFERROR(__xludf.DUMMYFUNCTION("""COMPUTED_VALUE"""),0.0)</f>
        <v>0</v>
      </c>
      <c r="R172" s="178">
        <f>IFERROR(__xludf.DUMMYFUNCTION("""COMPUTED_VALUE"""),45865.635416666664)</f>
        <v>45865.63542</v>
      </c>
      <c r="S172" s="177">
        <f>IFERROR(__xludf.DUMMYFUNCTION("""COMPUTED_VALUE"""),20.0)</f>
        <v>20</v>
      </c>
      <c r="T172" s="177" t="str">
        <f>IFERROR(__xludf.DUMMYFUNCTION("""COMPUTED_VALUE"""),"Round 20")</f>
        <v>Round 20</v>
      </c>
      <c r="U172" s="177" t="str">
        <f>IFERROR(__xludf.DUMMYFUNCTION("""COMPUTED_VALUE"""),"Full Time")</f>
        <v>Full Time</v>
      </c>
      <c r="V172" s="177" t="str">
        <f>IFERROR(__xludf.DUMMYFUNCTION("""COMPUTED_VALUE"""),"+10:00")</f>
        <v>+10:00</v>
      </c>
      <c r="W172" s="177">
        <f>IFERROR(__xludf.DUMMYFUNCTION("""COMPUTED_VALUE"""),1.7535933E9)</f>
        <v>1753593300</v>
      </c>
      <c r="X172" s="178">
        <f>IFERROR(__xludf.DUMMYFUNCTION("""COMPUTED_VALUE"""),45865.74760416667)</f>
        <v>45865.7476</v>
      </c>
      <c r="Y172" s="177" t="str">
        <f>IFERROR(__xludf.DUMMYFUNCTION("""COMPUTED_VALUE"""),"Docklands")</f>
        <v>Docklands</v>
      </c>
      <c r="Z172" s="177" t="str">
        <f>IFERROR(__xludf.DUMMYFUNCTION("""COMPUTED_VALUE"""),"St Kilda")</f>
        <v>St Kilda</v>
      </c>
      <c r="AA172" s="177">
        <f>IFERROR(__xludf.DUMMYFUNCTION("""COMPUTED_VALUE"""),15.0)</f>
        <v>15</v>
      </c>
      <c r="AB172" s="177">
        <f>IFERROR(__xludf.DUMMYFUNCTION("""COMPUTED_VALUE"""),2025.0)</f>
        <v>2025</v>
      </c>
      <c r="AC172" s="177" t="str">
        <f t="shared" si="3"/>
        <v>Sunday</v>
      </c>
    </row>
    <row r="173">
      <c r="A173" s="175" t="str">
        <f t="shared" si="1"/>
        <v>211</v>
      </c>
      <c r="B173" s="176">
        <f t="shared" si="2"/>
        <v>1</v>
      </c>
      <c r="C173" s="177">
        <f>IFERROR(__xludf.DUMMYFUNCTION("""COMPUTED_VALUE"""),37264.0)</f>
        <v>37264</v>
      </c>
      <c r="D173" s="177">
        <f>IFERROR(__xludf.DUMMYFUNCTION("""COMPUTED_VALUE"""),8.0)</f>
        <v>8</v>
      </c>
      <c r="E173" s="177">
        <f>IFERROR(__xludf.DUMMYFUNCTION("""COMPUTED_VALUE"""),6.0)</f>
        <v>6</v>
      </c>
      <c r="F173" s="177">
        <f>IFERROR(__xludf.DUMMYFUNCTION("""COMPUTED_VALUE"""),44.0)</f>
        <v>44</v>
      </c>
      <c r="G173" s="177" t="str">
        <f>IFERROR(__xludf.DUMMYFUNCTION("""COMPUTED_VALUE"""),"Greater Western Sydney")</f>
        <v>Greater Western Sydney</v>
      </c>
      <c r="H173" s="177">
        <f>IFERROR(__xludf.DUMMYFUNCTION("""COMPUTED_VALUE"""),9.0)</f>
        <v>9</v>
      </c>
      <c r="I173" s="177">
        <f>IFERROR(__xludf.DUMMYFUNCTION("""COMPUTED_VALUE"""),100.0)</f>
        <v>100</v>
      </c>
      <c r="J173" s="178">
        <f>IFERROR(__xludf.DUMMYFUNCTION("""COMPUTED_VALUE"""),45869.8125)</f>
        <v>45869.8125</v>
      </c>
      <c r="K173" s="177">
        <f>IFERROR(__xludf.DUMMYFUNCTION("""COMPUTED_VALUE"""),18.0)</f>
        <v>18</v>
      </c>
      <c r="L173" s="177">
        <f>IFERROR(__xludf.DUMMYFUNCTION("""COMPUTED_VALUE"""),19.0)</f>
        <v>19</v>
      </c>
      <c r="M173" s="177">
        <f>IFERROR(__xludf.DUMMYFUNCTION("""COMPUTED_VALUE"""),132.0)</f>
        <v>132</v>
      </c>
      <c r="N173" s="177" t="str">
        <f>IFERROR(__xludf.DUMMYFUNCTION("""COMPUTED_VALUE"""),"Western Bulldogs")</f>
        <v>Western Bulldogs</v>
      </c>
      <c r="O173" s="177">
        <f>IFERROR(__xludf.DUMMYFUNCTION("""COMPUTED_VALUE"""),18.0)</f>
        <v>18</v>
      </c>
      <c r="P173" s="177">
        <f>IFERROR(__xludf.DUMMYFUNCTION("""COMPUTED_VALUE"""),0.0)</f>
        <v>0</v>
      </c>
      <c r="Q173" s="177">
        <f>IFERROR(__xludf.DUMMYFUNCTION("""COMPUTED_VALUE"""),0.0)</f>
        <v>0</v>
      </c>
      <c r="R173" s="178">
        <f>IFERROR(__xludf.DUMMYFUNCTION("""COMPUTED_VALUE"""),45869.8125)</f>
        <v>45869.8125</v>
      </c>
      <c r="S173" s="177">
        <f>IFERROR(__xludf.DUMMYFUNCTION("""COMPUTED_VALUE"""),21.0)</f>
        <v>21</v>
      </c>
      <c r="T173" s="177" t="str">
        <f>IFERROR(__xludf.DUMMYFUNCTION("""COMPUTED_VALUE"""),"Round 21")</f>
        <v>Round 21</v>
      </c>
      <c r="U173" s="177" t="str">
        <f>IFERROR(__xludf.DUMMYFUNCTION("""COMPUTED_VALUE"""),"Full Time")</f>
        <v>Full Time</v>
      </c>
      <c r="V173" s="177" t="str">
        <f>IFERROR(__xludf.DUMMYFUNCTION("""COMPUTED_VALUE"""),"+10:00")</f>
        <v>+10:00</v>
      </c>
      <c r="W173" s="177">
        <f>IFERROR(__xludf.DUMMYFUNCTION("""COMPUTED_VALUE"""),1.7539542E9)</f>
        <v>1753954200</v>
      </c>
      <c r="X173" s="178">
        <f>IFERROR(__xludf.DUMMYFUNCTION("""COMPUTED_VALUE"""),45869.92275462963)</f>
        <v>45869.92275</v>
      </c>
      <c r="Y173" s="177" t="str">
        <f>IFERROR(__xludf.DUMMYFUNCTION("""COMPUTED_VALUE"""),"Docklands")</f>
        <v>Docklands</v>
      </c>
      <c r="Z173" s="177" t="str">
        <f>IFERROR(__xludf.DUMMYFUNCTION("""COMPUTED_VALUE"""),"Western Bulldogs")</f>
        <v>Western Bulldogs</v>
      </c>
      <c r="AA173" s="177">
        <f>IFERROR(__xludf.DUMMYFUNCTION("""COMPUTED_VALUE"""),18.0)</f>
        <v>18</v>
      </c>
      <c r="AB173" s="177">
        <f>IFERROR(__xludf.DUMMYFUNCTION("""COMPUTED_VALUE"""),2025.0)</f>
        <v>2025</v>
      </c>
      <c r="AC173" s="177" t="str">
        <f t="shared" si="3"/>
        <v>Thursday</v>
      </c>
    </row>
    <row r="174">
      <c r="A174" s="175" t="str">
        <f t="shared" si="1"/>
        <v>212</v>
      </c>
      <c r="B174" s="176">
        <f t="shared" si="2"/>
        <v>2</v>
      </c>
      <c r="C174" s="177">
        <f>IFERROR(__xludf.DUMMYFUNCTION("""COMPUTED_VALUE"""),37268.0)</f>
        <v>37268</v>
      </c>
      <c r="D174" s="177">
        <f>IFERROR(__xludf.DUMMYFUNCTION("""COMPUTED_VALUE"""),9.0)</f>
        <v>9</v>
      </c>
      <c r="E174" s="177">
        <f>IFERROR(__xludf.DUMMYFUNCTION("""COMPUTED_VALUE"""),13.0)</f>
        <v>13</v>
      </c>
      <c r="F174" s="177">
        <f>IFERROR(__xludf.DUMMYFUNCTION("""COMPUTED_VALUE"""),87.0)</f>
        <v>87</v>
      </c>
      <c r="G174" s="177" t="str">
        <f>IFERROR(__xludf.DUMMYFUNCTION("""COMPUTED_VALUE"""),"Hawthorn")</f>
        <v>Hawthorn</v>
      </c>
      <c r="H174" s="177">
        <f>IFERROR(__xludf.DUMMYFUNCTION("""COMPUTED_VALUE"""),10.0)</f>
        <v>10</v>
      </c>
      <c r="I174" s="177">
        <f>IFERROR(__xludf.DUMMYFUNCTION("""COMPUTED_VALUE"""),100.0)</f>
        <v>100</v>
      </c>
      <c r="J174" s="178">
        <f>IFERROR(__xludf.DUMMYFUNCTION("""COMPUTED_VALUE"""),45870.819444444445)</f>
        <v>45870.81944</v>
      </c>
      <c r="K174" s="177">
        <f>IFERROR(__xludf.DUMMYFUNCTION("""COMPUTED_VALUE"""),11.0)</f>
        <v>11</v>
      </c>
      <c r="L174" s="177">
        <f>IFERROR(__xludf.DUMMYFUNCTION("""COMPUTED_VALUE"""),15.0)</f>
        <v>15</v>
      </c>
      <c r="M174" s="177">
        <f>IFERROR(__xludf.DUMMYFUNCTION("""COMPUTED_VALUE"""),101.0)</f>
        <v>101</v>
      </c>
      <c r="N174" s="177" t="str">
        <f>IFERROR(__xludf.DUMMYFUNCTION("""COMPUTED_VALUE"""),"Adelaide")</f>
        <v>Adelaide</v>
      </c>
      <c r="O174" s="177">
        <f>IFERROR(__xludf.DUMMYFUNCTION("""COMPUTED_VALUE"""),1.0)</f>
        <v>1</v>
      </c>
      <c r="P174" s="177">
        <f>IFERROR(__xludf.DUMMYFUNCTION("""COMPUTED_VALUE"""),0.0)</f>
        <v>0</v>
      </c>
      <c r="Q174" s="177">
        <f>IFERROR(__xludf.DUMMYFUNCTION("""COMPUTED_VALUE"""),0.0)</f>
        <v>0</v>
      </c>
      <c r="R174" s="178">
        <f>IFERROR(__xludf.DUMMYFUNCTION("""COMPUTED_VALUE"""),45870.79861111111)</f>
        <v>45870.79861</v>
      </c>
      <c r="S174" s="177">
        <f>IFERROR(__xludf.DUMMYFUNCTION("""COMPUTED_VALUE"""),21.0)</f>
        <v>21</v>
      </c>
      <c r="T174" s="177" t="str">
        <f>IFERROR(__xludf.DUMMYFUNCTION("""COMPUTED_VALUE"""),"Round 21")</f>
        <v>Round 21</v>
      </c>
      <c r="U174" s="177" t="str">
        <f>IFERROR(__xludf.DUMMYFUNCTION("""COMPUTED_VALUE"""),"Full Time")</f>
        <v>Full Time</v>
      </c>
      <c r="V174" s="177" t="str">
        <f>IFERROR(__xludf.DUMMYFUNCTION("""COMPUTED_VALUE"""),"+10:00")</f>
        <v>+10:00</v>
      </c>
      <c r="W174" s="177">
        <f>IFERROR(__xludf.DUMMYFUNCTION("""COMPUTED_VALUE"""),1.7540412E9)</f>
        <v>1754041200</v>
      </c>
      <c r="X174" s="178">
        <f>IFERROR(__xludf.DUMMYFUNCTION("""COMPUTED_VALUE"""),45870.93512731481)</f>
        <v>45870.93513</v>
      </c>
      <c r="Y174" s="177" t="str">
        <f>IFERROR(__xludf.DUMMYFUNCTION("""COMPUTED_VALUE"""),"Adelaide Oval")</f>
        <v>Adelaide Oval</v>
      </c>
      <c r="Z174" s="177" t="str">
        <f>IFERROR(__xludf.DUMMYFUNCTION("""COMPUTED_VALUE"""),"Adelaide")</f>
        <v>Adelaide</v>
      </c>
      <c r="AA174" s="177">
        <f>IFERROR(__xludf.DUMMYFUNCTION("""COMPUTED_VALUE"""),1.0)</f>
        <v>1</v>
      </c>
      <c r="AB174" s="177">
        <f>IFERROR(__xludf.DUMMYFUNCTION("""COMPUTED_VALUE"""),2025.0)</f>
        <v>2025</v>
      </c>
      <c r="AC174" s="177" t="str">
        <f t="shared" si="3"/>
        <v>Friday</v>
      </c>
    </row>
    <row r="175">
      <c r="A175" s="175" t="str">
        <f t="shared" si="1"/>
        <v>213</v>
      </c>
      <c r="B175" s="176">
        <f t="shared" si="2"/>
        <v>3</v>
      </c>
      <c r="C175" s="177">
        <f>IFERROR(__xludf.DUMMYFUNCTION("""COMPUTED_VALUE"""),37263.0)</f>
        <v>37263</v>
      </c>
      <c r="D175" s="177">
        <f>IFERROR(__xludf.DUMMYFUNCTION("""COMPUTED_VALUE"""),8.0)</f>
        <v>8</v>
      </c>
      <c r="E175" s="177">
        <f>IFERROR(__xludf.DUMMYFUNCTION("""COMPUTED_VALUE"""),8.0)</f>
        <v>8</v>
      </c>
      <c r="F175" s="177">
        <f>IFERROR(__xludf.DUMMYFUNCTION("""COMPUTED_VALUE"""),56.0)</f>
        <v>56</v>
      </c>
      <c r="G175" s="177" t="str">
        <f>IFERROR(__xludf.DUMMYFUNCTION("""COMPUTED_VALUE"""),"West Coast")</f>
        <v>West Coast</v>
      </c>
      <c r="H175" s="177">
        <f>IFERROR(__xludf.DUMMYFUNCTION("""COMPUTED_VALUE"""),17.0)</f>
        <v>17</v>
      </c>
      <c r="I175" s="177">
        <f>IFERROR(__xludf.DUMMYFUNCTION("""COMPUTED_VALUE"""),100.0)</f>
        <v>100</v>
      </c>
      <c r="J175" s="178">
        <f>IFERROR(__xludf.DUMMYFUNCTION("""COMPUTED_VALUE"""),45871.555555555555)</f>
        <v>45871.55556</v>
      </c>
      <c r="K175" s="177">
        <f>IFERROR(__xludf.DUMMYFUNCTION("""COMPUTED_VALUE"""),13.0)</f>
        <v>13</v>
      </c>
      <c r="L175" s="177">
        <f>IFERROR(__xludf.DUMMYFUNCTION("""COMPUTED_VALUE"""),21.0)</f>
        <v>21</v>
      </c>
      <c r="M175" s="177">
        <f>IFERROR(__xludf.DUMMYFUNCTION("""COMPUTED_VALUE"""),139.0)</f>
        <v>139</v>
      </c>
      <c r="N175" s="177" t="str">
        <f>IFERROR(__xludf.DUMMYFUNCTION("""COMPUTED_VALUE"""),"Melbourne")</f>
        <v>Melbourne</v>
      </c>
      <c r="O175" s="177">
        <f>IFERROR(__xludf.DUMMYFUNCTION("""COMPUTED_VALUE"""),11.0)</f>
        <v>11</v>
      </c>
      <c r="P175" s="177">
        <f>IFERROR(__xludf.DUMMYFUNCTION("""COMPUTED_VALUE"""),0.0)</f>
        <v>0</v>
      </c>
      <c r="Q175" s="177">
        <f>IFERROR(__xludf.DUMMYFUNCTION("""COMPUTED_VALUE"""),0.0)</f>
        <v>0</v>
      </c>
      <c r="R175" s="178">
        <f>IFERROR(__xludf.DUMMYFUNCTION("""COMPUTED_VALUE"""),45871.555555555555)</f>
        <v>45871.55556</v>
      </c>
      <c r="S175" s="177">
        <f>IFERROR(__xludf.DUMMYFUNCTION("""COMPUTED_VALUE"""),21.0)</f>
        <v>21</v>
      </c>
      <c r="T175" s="177" t="str">
        <f>IFERROR(__xludf.DUMMYFUNCTION("""COMPUTED_VALUE"""),"Round 21")</f>
        <v>Round 21</v>
      </c>
      <c r="U175" s="177" t="str">
        <f>IFERROR(__xludf.DUMMYFUNCTION("""COMPUTED_VALUE"""),"Full Time")</f>
        <v>Full Time</v>
      </c>
      <c r="V175" s="177" t="str">
        <f>IFERROR(__xludf.DUMMYFUNCTION("""COMPUTED_VALUE"""),"+10:00")</f>
        <v>+10:00</v>
      </c>
      <c r="W175" s="177">
        <f>IFERROR(__xludf.DUMMYFUNCTION("""COMPUTED_VALUE"""),1.7541048E9)</f>
        <v>1754104800</v>
      </c>
      <c r="X175" s="178">
        <f>IFERROR(__xludf.DUMMYFUNCTION("""COMPUTED_VALUE"""),45871.670752314814)</f>
        <v>45871.67075</v>
      </c>
      <c r="Y175" s="177" t="str">
        <f>IFERROR(__xludf.DUMMYFUNCTION("""COMPUTED_VALUE"""),"Docklands")</f>
        <v>Docklands</v>
      </c>
      <c r="Z175" s="177" t="str">
        <f>IFERROR(__xludf.DUMMYFUNCTION("""COMPUTED_VALUE"""),"Melbourne")</f>
        <v>Melbourne</v>
      </c>
      <c r="AA175" s="177">
        <f>IFERROR(__xludf.DUMMYFUNCTION("""COMPUTED_VALUE"""),11.0)</f>
        <v>11</v>
      </c>
      <c r="AB175" s="177">
        <f>IFERROR(__xludf.DUMMYFUNCTION("""COMPUTED_VALUE"""),2025.0)</f>
        <v>2025</v>
      </c>
      <c r="AC175" s="177" t="str">
        <f t="shared" si="3"/>
        <v>Saturday</v>
      </c>
    </row>
    <row r="176">
      <c r="A176" s="175" t="str">
        <f t="shared" si="1"/>
        <v>214</v>
      </c>
      <c r="B176" s="176">
        <f t="shared" si="2"/>
        <v>4</v>
      </c>
      <c r="C176" s="177">
        <f>IFERROR(__xludf.DUMMYFUNCTION("""COMPUTED_VALUE"""),37266.0)</f>
        <v>37266</v>
      </c>
      <c r="D176" s="177">
        <f>IFERROR(__xludf.DUMMYFUNCTION("""COMPUTED_VALUE"""),11.0)</f>
        <v>11</v>
      </c>
      <c r="E176" s="177">
        <f>IFERROR(__xludf.DUMMYFUNCTION("""COMPUTED_VALUE"""),2.0)</f>
        <v>2</v>
      </c>
      <c r="F176" s="177">
        <f>IFERROR(__xludf.DUMMYFUNCTION("""COMPUTED_VALUE"""),23.0)</f>
        <v>23</v>
      </c>
      <c r="G176" s="177" t="str">
        <f>IFERROR(__xludf.DUMMYFUNCTION("""COMPUTED_VALUE"""),"Richmond")</f>
        <v>Richmond</v>
      </c>
      <c r="H176" s="177">
        <f>IFERROR(__xludf.DUMMYFUNCTION("""COMPUTED_VALUE"""),14.0)</f>
        <v>14</v>
      </c>
      <c r="I176" s="177">
        <f>IFERROR(__xludf.DUMMYFUNCTION("""COMPUTED_VALUE"""),100.0)</f>
        <v>100</v>
      </c>
      <c r="J176" s="178">
        <f>IFERROR(__xludf.DUMMYFUNCTION("""COMPUTED_VALUE"""),45871.67361111111)</f>
        <v>45871.67361</v>
      </c>
      <c r="K176" s="177">
        <f>IFERROR(__xludf.DUMMYFUNCTION("""COMPUTED_VALUE"""),11.0)</f>
        <v>11</v>
      </c>
      <c r="L176" s="177">
        <f>IFERROR(__xludf.DUMMYFUNCTION("""COMPUTED_VALUE"""),16.0)</f>
        <v>16</v>
      </c>
      <c r="M176" s="177">
        <f>IFERROR(__xludf.DUMMYFUNCTION("""COMPUTED_VALUE"""),107.0)</f>
        <v>107</v>
      </c>
      <c r="N176" s="177" t="str">
        <f>IFERROR(__xludf.DUMMYFUNCTION("""COMPUTED_VALUE"""),"Gold Coast")</f>
        <v>Gold Coast</v>
      </c>
      <c r="O176" s="177">
        <f>IFERROR(__xludf.DUMMYFUNCTION("""COMPUTED_VALUE"""),8.0)</f>
        <v>8</v>
      </c>
      <c r="P176" s="177">
        <f>IFERROR(__xludf.DUMMYFUNCTION("""COMPUTED_VALUE"""),0.0)</f>
        <v>0</v>
      </c>
      <c r="Q176" s="177">
        <f>IFERROR(__xludf.DUMMYFUNCTION("""COMPUTED_VALUE"""),0.0)</f>
        <v>0</v>
      </c>
      <c r="R176" s="178">
        <f>IFERROR(__xludf.DUMMYFUNCTION("""COMPUTED_VALUE"""),45871.67361111111)</f>
        <v>45871.67361</v>
      </c>
      <c r="S176" s="177">
        <f>IFERROR(__xludf.DUMMYFUNCTION("""COMPUTED_VALUE"""),21.0)</f>
        <v>21</v>
      </c>
      <c r="T176" s="177" t="str">
        <f>IFERROR(__xludf.DUMMYFUNCTION("""COMPUTED_VALUE"""),"Round 21")</f>
        <v>Round 21</v>
      </c>
      <c r="U176" s="177" t="str">
        <f>IFERROR(__xludf.DUMMYFUNCTION("""COMPUTED_VALUE"""),"Full Time")</f>
        <v>Full Time</v>
      </c>
      <c r="V176" s="177" t="str">
        <f>IFERROR(__xludf.DUMMYFUNCTION("""COMPUTED_VALUE"""),"+10:00")</f>
        <v>+10:00</v>
      </c>
      <c r="W176" s="177">
        <f>IFERROR(__xludf.DUMMYFUNCTION("""COMPUTED_VALUE"""),1.754115E9)</f>
        <v>1754115000</v>
      </c>
      <c r="X176" s="178">
        <f>IFERROR(__xludf.DUMMYFUNCTION("""COMPUTED_VALUE"""),45871.77837962963)</f>
        <v>45871.77838</v>
      </c>
      <c r="Y176" s="177" t="str">
        <f>IFERROR(__xludf.DUMMYFUNCTION("""COMPUTED_VALUE"""),"Carrara")</f>
        <v>Carrara</v>
      </c>
      <c r="Z176" s="177" t="str">
        <f>IFERROR(__xludf.DUMMYFUNCTION("""COMPUTED_VALUE"""),"Gold Coast")</f>
        <v>Gold Coast</v>
      </c>
      <c r="AA176" s="177">
        <f>IFERROR(__xludf.DUMMYFUNCTION("""COMPUTED_VALUE"""),8.0)</f>
        <v>8</v>
      </c>
      <c r="AB176" s="177">
        <f>IFERROR(__xludf.DUMMYFUNCTION("""COMPUTED_VALUE"""),2025.0)</f>
        <v>2025</v>
      </c>
      <c r="AC176" s="177" t="str">
        <f t="shared" si="3"/>
        <v>Saturday</v>
      </c>
    </row>
    <row r="177">
      <c r="A177" s="175" t="str">
        <f t="shared" si="1"/>
        <v>215</v>
      </c>
      <c r="B177" s="176">
        <f t="shared" si="2"/>
        <v>5</v>
      </c>
      <c r="C177" s="177">
        <f>IFERROR(__xludf.DUMMYFUNCTION("""COMPUTED_VALUE"""),37267.0)</f>
        <v>37267</v>
      </c>
      <c r="D177" s="177">
        <f>IFERROR(__xludf.DUMMYFUNCTION("""COMPUTED_VALUE"""),12.0)</f>
        <v>12</v>
      </c>
      <c r="E177" s="177">
        <f>IFERROR(__xludf.DUMMYFUNCTION("""COMPUTED_VALUE"""),7.0)</f>
        <v>7</v>
      </c>
      <c r="F177" s="177">
        <f>IFERROR(__xludf.DUMMYFUNCTION("""COMPUTED_VALUE"""),54.0)</f>
        <v>54</v>
      </c>
      <c r="G177" s="177" t="str">
        <f>IFERROR(__xludf.DUMMYFUNCTION("""COMPUTED_VALUE"""),"Essendon")</f>
        <v>Essendon</v>
      </c>
      <c r="H177" s="177">
        <f>IFERROR(__xludf.DUMMYFUNCTION("""COMPUTED_VALUE"""),5.0)</f>
        <v>5</v>
      </c>
      <c r="I177" s="177">
        <f>IFERROR(__xludf.DUMMYFUNCTION("""COMPUTED_VALUE"""),100.0)</f>
        <v>100</v>
      </c>
      <c r="J177" s="178">
        <f>IFERROR(__xludf.DUMMYFUNCTION("""COMPUTED_VALUE"""),45871.677083333336)</f>
        <v>45871.67708</v>
      </c>
      <c r="K177" s="177">
        <f>IFERROR(__xludf.DUMMYFUNCTION("""COMPUTED_VALUE"""),14.0)</f>
        <v>14</v>
      </c>
      <c r="L177" s="177">
        <f>IFERROR(__xludf.DUMMYFUNCTION("""COMPUTED_VALUE"""),9.0)</f>
        <v>9</v>
      </c>
      <c r="M177" s="177">
        <f>IFERROR(__xludf.DUMMYFUNCTION("""COMPUTED_VALUE"""),68.0)</f>
        <v>68</v>
      </c>
      <c r="N177" s="177" t="str">
        <f>IFERROR(__xludf.DUMMYFUNCTION("""COMPUTED_VALUE"""),"Sydney")</f>
        <v>Sydney</v>
      </c>
      <c r="O177" s="177">
        <f>IFERROR(__xludf.DUMMYFUNCTION("""COMPUTED_VALUE"""),16.0)</f>
        <v>16</v>
      </c>
      <c r="P177" s="177">
        <f>IFERROR(__xludf.DUMMYFUNCTION("""COMPUTED_VALUE"""),0.0)</f>
        <v>0</v>
      </c>
      <c r="Q177" s="177">
        <f>IFERROR(__xludf.DUMMYFUNCTION("""COMPUTED_VALUE"""),0.0)</f>
        <v>0</v>
      </c>
      <c r="R177" s="178">
        <f>IFERROR(__xludf.DUMMYFUNCTION("""COMPUTED_VALUE"""),45871.677083333336)</f>
        <v>45871.67708</v>
      </c>
      <c r="S177" s="177">
        <f>IFERROR(__xludf.DUMMYFUNCTION("""COMPUTED_VALUE"""),21.0)</f>
        <v>21</v>
      </c>
      <c r="T177" s="177" t="str">
        <f>IFERROR(__xludf.DUMMYFUNCTION("""COMPUTED_VALUE"""),"Round 21")</f>
        <v>Round 21</v>
      </c>
      <c r="U177" s="177" t="str">
        <f>IFERROR(__xludf.DUMMYFUNCTION("""COMPUTED_VALUE"""),"Full Time")</f>
        <v>Full Time</v>
      </c>
      <c r="V177" s="177" t="str">
        <f>IFERROR(__xludf.DUMMYFUNCTION("""COMPUTED_VALUE"""),"+10:00")</f>
        <v>+10:00</v>
      </c>
      <c r="W177" s="177">
        <f>IFERROR(__xludf.DUMMYFUNCTION("""COMPUTED_VALUE"""),1.7541153E9)</f>
        <v>1754115300</v>
      </c>
      <c r="X177" s="178">
        <f>IFERROR(__xludf.DUMMYFUNCTION("""COMPUTED_VALUE"""),45871.78502314815)</f>
        <v>45871.78502</v>
      </c>
      <c r="Y177" s="177" t="str">
        <f>IFERROR(__xludf.DUMMYFUNCTION("""COMPUTED_VALUE"""),"S.C.G.")</f>
        <v>S.C.G.</v>
      </c>
      <c r="Z177" s="177" t="str">
        <f>IFERROR(__xludf.DUMMYFUNCTION("""COMPUTED_VALUE"""),"Sydney")</f>
        <v>Sydney</v>
      </c>
      <c r="AA177" s="177">
        <f>IFERROR(__xludf.DUMMYFUNCTION("""COMPUTED_VALUE"""),16.0)</f>
        <v>16</v>
      </c>
      <c r="AB177" s="177">
        <f>IFERROR(__xludf.DUMMYFUNCTION("""COMPUTED_VALUE"""),2025.0)</f>
        <v>2025</v>
      </c>
      <c r="AC177" s="177" t="str">
        <f t="shared" si="3"/>
        <v>Saturday</v>
      </c>
    </row>
    <row r="178">
      <c r="A178" s="175" t="str">
        <f t="shared" si="1"/>
        <v>216</v>
      </c>
      <c r="B178" s="176">
        <f t="shared" si="2"/>
        <v>6</v>
      </c>
      <c r="C178" s="177">
        <f>IFERROR(__xludf.DUMMYFUNCTION("""COMPUTED_VALUE"""),37265.0)</f>
        <v>37265</v>
      </c>
      <c r="D178" s="177">
        <f>IFERROR(__xludf.DUMMYFUNCTION("""COMPUTED_VALUE"""),8.0)</f>
        <v>8</v>
      </c>
      <c r="E178" s="177">
        <f>IFERROR(__xludf.DUMMYFUNCTION("""COMPUTED_VALUE"""),14.0)</f>
        <v>14</v>
      </c>
      <c r="F178" s="177">
        <f>IFERROR(__xludf.DUMMYFUNCTION("""COMPUTED_VALUE"""),92.0)</f>
        <v>92</v>
      </c>
      <c r="G178" s="177" t="str">
        <f>IFERROR(__xludf.DUMMYFUNCTION("""COMPUTED_VALUE"""),"Brisbane Lions")</f>
        <v>Brisbane Lions</v>
      </c>
      <c r="H178" s="177">
        <f>IFERROR(__xludf.DUMMYFUNCTION("""COMPUTED_VALUE"""),2.0)</f>
        <v>2</v>
      </c>
      <c r="I178" s="177">
        <f>IFERROR(__xludf.DUMMYFUNCTION("""COMPUTED_VALUE"""),100.0)</f>
        <v>100</v>
      </c>
      <c r="J178" s="178">
        <f>IFERROR(__xludf.DUMMYFUNCTION("""COMPUTED_VALUE"""),45871.81597222222)</f>
        <v>45871.81597</v>
      </c>
      <c r="K178" s="177">
        <f>IFERROR(__xludf.DUMMYFUNCTION("""COMPUTED_VALUE"""),5.0)</f>
        <v>5</v>
      </c>
      <c r="L178" s="177">
        <f>IFERROR(__xludf.DUMMYFUNCTION("""COMPUTED_VALUE"""),10.0)</f>
        <v>10</v>
      </c>
      <c r="M178" s="177">
        <f>IFERROR(__xludf.DUMMYFUNCTION("""COMPUTED_VALUE"""),65.0)</f>
        <v>65</v>
      </c>
      <c r="N178" s="177" t="str">
        <f>IFERROR(__xludf.DUMMYFUNCTION("""COMPUTED_VALUE"""),"Collingwood")</f>
        <v>Collingwood</v>
      </c>
      <c r="O178" s="177">
        <f>IFERROR(__xludf.DUMMYFUNCTION("""COMPUTED_VALUE"""),4.0)</f>
        <v>4</v>
      </c>
      <c r="P178" s="177">
        <f>IFERROR(__xludf.DUMMYFUNCTION("""COMPUTED_VALUE"""),0.0)</f>
        <v>0</v>
      </c>
      <c r="Q178" s="177">
        <f>IFERROR(__xludf.DUMMYFUNCTION("""COMPUTED_VALUE"""),0.0)</f>
        <v>0</v>
      </c>
      <c r="R178" s="178">
        <f>IFERROR(__xludf.DUMMYFUNCTION("""COMPUTED_VALUE"""),45871.81597222222)</f>
        <v>45871.81597</v>
      </c>
      <c r="S178" s="177">
        <f>IFERROR(__xludf.DUMMYFUNCTION("""COMPUTED_VALUE"""),21.0)</f>
        <v>21</v>
      </c>
      <c r="T178" s="177" t="str">
        <f>IFERROR(__xludf.DUMMYFUNCTION("""COMPUTED_VALUE"""),"Round 21")</f>
        <v>Round 21</v>
      </c>
      <c r="U178" s="177" t="str">
        <f>IFERROR(__xludf.DUMMYFUNCTION("""COMPUTED_VALUE"""),"Full Time")</f>
        <v>Full Time</v>
      </c>
      <c r="V178" s="177" t="str">
        <f>IFERROR(__xludf.DUMMYFUNCTION("""COMPUTED_VALUE"""),"+10:00")</f>
        <v>+10:00</v>
      </c>
      <c r="W178" s="177">
        <f>IFERROR(__xludf.DUMMYFUNCTION("""COMPUTED_VALUE"""),1.7541273E9)</f>
        <v>1754127300</v>
      </c>
      <c r="X178" s="178">
        <f>IFERROR(__xludf.DUMMYFUNCTION("""COMPUTED_VALUE"""),45871.92753472222)</f>
        <v>45871.92753</v>
      </c>
      <c r="Y178" s="177" t="str">
        <f>IFERROR(__xludf.DUMMYFUNCTION("""COMPUTED_VALUE"""),"M.C.G.")</f>
        <v>M.C.G.</v>
      </c>
      <c r="Z178" s="177" t="str">
        <f>IFERROR(__xludf.DUMMYFUNCTION("""COMPUTED_VALUE"""),"Brisbane Lions")</f>
        <v>Brisbane Lions</v>
      </c>
      <c r="AA178" s="177">
        <f>IFERROR(__xludf.DUMMYFUNCTION("""COMPUTED_VALUE"""),2.0)</f>
        <v>2</v>
      </c>
      <c r="AB178" s="177">
        <f>IFERROR(__xludf.DUMMYFUNCTION("""COMPUTED_VALUE"""),2025.0)</f>
        <v>2025</v>
      </c>
      <c r="AC178" s="177" t="str">
        <f t="shared" si="3"/>
        <v>Saturday</v>
      </c>
    </row>
    <row r="179">
      <c r="A179" s="175" t="str">
        <f t="shared" si="1"/>
        <v>217</v>
      </c>
      <c r="B179" s="176">
        <f t="shared" si="2"/>
        <v>7</v>
      </c>
      <c r="C179" s="177">
        <f>IFERROR(__xludf.DUMMYFUNCTION("""COMPUTED_VALUE"""),37262.0)</f>
        <v>37262</v>
      </c>
      <c r="D179" s="177">
        <f>IFERROR(__xludf.DUMMYFUNCTION("""COMPUTED_VALUE"""),9.0)</f>
        <v>9</v>
      </c>
      <c r="E179" s="177">
        <f>IFERROR(__xludf.DUMMYFUNCTION("""COMPUTED_VALUE"""),10.0)</f>
        <v>10</v>
      </c>
      <c r="F179" s="177">
        <f>IFERROR(__xludf.DUMMYFUNCTION("""COMPUTED_VALUE"""),69.0)</f>
        <v>69</v>
      </c>
      <c r="G179" s="177" t="str">
        <f>IFERROR(__xludf.DUMMYFUNCTION("""COMPUTED_VALUE"""),"North Melbourne")</f>
        <v>North Melbourne</v>
      </c>
      <c r="H179" s="177">
        <f>IFERROR(__xludf.DUMMYFUNCTION("""COMPUTED_VALUE"""),12.0)</f>
        <v>12</v>
      </c>
      <c r="I179" s="177">
        <f>IFERROR(__xludf.DUMMYFUNCTION("""COMPUTED_VALUE"""),100.0)</f>
        <v>100</v>
      </c>
      <c r="J179" s="178">
        <f>IFERROR(__xludf.DUMMYFUNCTION("""COMPUTED_VALUE"""),45872.569444444445)</f>
        <v>45872.56944</v>
      </c>
      <c r="K179" s="177">
        <f>IFERROR(__xludf.DUMMYFUNCTION("""COMPUTED_VALUE"""),12.0)</f>
        <v>12</v>
      </c>
      <c r="L179" s="177">
        <f>IFERROR(__xludf.DUMMYFUNCTION("""COMPUTED_VALUE"""),11.0)</f>
        <v>11</v>
      </c>
      <c r="M179" s="177">
        <f>IFERROR(__xludf.DUMMYFUNCTION("""COMPUTED_VALUE"""),78.0)</f>
        <v>78</v>
      </c>
      <c r="N179" s="177" t="str">
        <f>IFERROR(__xludf.DUMMYFUNCTION("""COMPUTED_VALUE"""),"St Kilda")</f>
        <v>St Kilda</v>
      </c>
      <c r="O179" s="177">
        <f>IFERROR(__xludf.DUMMYFUNCTION("""COMPUTED_VALUE"""),15.0)</f>
        <v>15</v>
      </c>
      <c r="P179" s="177">
        <f>IFERROR(__xludf.DUMMYFUNCTION("""COMPUTED_VALUE"""),0.0)</f>
        <v>0</v>
      </c>
      <c r="Q179" s="177">
        <f>IFERROR(__xludf.DUMMYFUNCTION("""COMPUTED_VALUE"""),0.0)</f>
        <v>0</v>
      </c>
      <c r="R179" s="178">
        <f>IFERROR(__xludf.DUMMYFUNCTION("""COMPUTED_VALUE"""),45872.569444444445)</f>
        <v>45872.56944</v>
      </c>
      <c r="S179" s="177">
        <f>IFERROR(__xludf.DUMMYFUNCTION("""COMPUTED_VALUE"""),21.0)</f>
        <v>21</v>
      </c>
      <c r="T179" s="177" t="str">
        <f>IFERROR(__xludf.DUMMYFUNCTION("""COMPUTED_VALUE"""),"Round 21")</f>
        <v>Round 21</v>
      </c>
      <c r="U179" s="177" t="str">
        <f>IFERROR(__xludf.DUMMYFUNCTION("""COMPUTED_VALUE"""),"Full Time")</f>
        <v>Full Time</v>
      </c>
      <c r="V179" s="177" t="str">
        <f>IFERROR(__xludf.DUMMYFUNCTION("""COMPUTED_VALUE"""),"+10:00")</f>
        <v>+10:00</v>
      </c>
      <c r="W179" s="177">
        <f>IFERROR(__xludf.DUMMYFUNCTION("""COMPUTED_VALUE"""),1.7541924E9)</f>
        <v>1754192400</v>
      </c>
      <c r="X179" s="178">
        <f>IFERROR(__xludf.DUMMYFUNCTION("""COMPUTED_VALUE"""),45872.677569444444)</f>
        <v>45872.67757</v>
      </c>
      <c r="Y179" s="177" t="str">
        <f>IFERROR(__xludf.DUMMYFUNCTION("""COMPUTED_VALUE"""),"Docklands")</f>
        <v>Docklands</v>
      </c>
      <c r="Z179" s="177" t="str">
        <f>IFERROR(__xludf.DUMMYFUNCTION("""COMPUTED_VALUE"""),"St Kilda")</f>
        <v>St Kilda</v>
      </c>
      <c r="AA179" s="177">
        <f>IFERROR(__xludf.DUMMYFUNCTION("""COMPUTED_VALUE"""),15.0)</f>
        <v>15</v>
      </c>
      <c r="AB179" s="177">
        <f>IFERROR(__xludf.DUMMYFUNCTION("""COMPUTED_VALUE"""),2025.0)</f>
        <v>2025</v>
      </c>
      <c r="AC179" s="177" t="str">
        <f t="shared" si="3"/>
        <v>Sunday</v>
      </c>
    </row>
    <row r="180">
      <c r="A180" s="175" t="str">
        <f t="shared" si="1"/>
        <v>218</v>
      </c>
      <c r="B180" s="176">
        <f t="shared" si="2"/>
        <v>8</v>
      </c>
      <c r="C180" s="177">
        <f>IFERROR(__xludf.DUMMYFUNCTION("""COMPUTED_VALUE"""),37261.0)</f>
        <v>37261</v>
      </c>
      <c r="D180" s="177">
        <f>IFERROR(__xludf.DUMMYFUNCTION("""COMPUTED_VALUE"""),11.0)</f>
        <v>11</v>
      </c>
      <c r="E180" s="177">
        <f>IFERROR(__xludf.DUMMYFUNCTION("""COMPUTED_VALUE"""),9.0)</f>
        <v>9</v>
      </c>
      <c r="F180" s="177">
        <f>IFERROR(__xludf.DUMMYFUNCTION("""COMPUTED_VALUE"""),65.0)</f>
        <v>65</v>
      </c>
      <c r="G180" s="177" t="str">
        <f>IFERROR(__xludf.DUMMYFUNCTION("""COMPUTED_VALUE"""),"Port Adelaide")</f>
        <v>Port Adelaide</v>
      </c>
      <c r="H180" s="177">
        <f>IFERROR(__xludf.DUMMYFUNCTION("""COMPUTED_VALUE"""),13.0)</f>
        <v>13</v>
      </c>
      <c r="I180" s="177">
        <f>IFERROR(__xludf.DUMMYFUNCTION("""COMPUTED_VALUE"""),100.0)</f>
        <v>100</v>
      </c>
      <c r="J180" s="178">
        <f>IFERROR(__xludf.DUMMYFUNCTION("""COMPUTED_VALUE"""),45872.635416666664)</f>
        <v>45872.63542</v>
      </c>
      <c r="K180" s="177">
        <f>IFERROR(__xludf.DUMMYFUNCTION("""COMPUTED_VALUE"""),15.0)</f>
        <v>15</v>
      </c>
      <c r="L180" s="177">
        <f>IFERROR(__xludf.DUMMYFUNCTION("""COMPUTED_VALUE"""),23.0)</f>
        <v>23</v>
      </c>
      <c r="M180" s="177">
        <f>IFERROR(__xludf.DUMMYFUNCTION("""COMPUTED_VALUE"""),153.0)</f>
        <v>153</v>
      </c>
      <c r="N180" s="177" t="str">
        <f>IFERROR(__xludf.DUMMYFUNCTION("""COMPUTED_VALUE"""),"Geelong")</f>
        <v>Geelong</v>
      </c>
      <c r="O180" s="177">
        <f>IFERROR(__xludf.DUMMYFUNCTION("""COMPUTED_VALUE"""),7.0)</f>
        <v>7</v>
      </c>
      <c r="P180" s="177">
        <f>IFERROR(__xludf.DUMMYFUNCTION("""COMPUTED_VALUE"""),0.0)</f>
        <v>0</v>
      </c>
      <c r="Q180" s="177">
        <f>IFERROR(__xludf.DUMMYFUNCTION("""COMPUTED_VALUE"""),0.0)</f>
        <v>0</v>
      </c>
      <c r="R180" s="178">
        <f>IFERROR(__xludf.DUMMYFUNCTION("""COMPUTED_VALUE"""),45872.635416666664)</f>
        <v>45872.63542</v>
      </c>
      <c r="S180" s="177">
        <f>IFERROR(__xludf.DUMMYFUNCTION("""COMPUTED_VALUE"""),21.0)</f>
        <v>21</v>
      </c>
      <c r="T180" s="177" t="str">
        <f>IFERROR(__xludf.DUMMYFUNCTION("""COMPUTED_VALUE"""),"Round 21")</f>
        <v>Round 21</v>
      </c>
      <c r="U180" s="177" t="str">
        <f>IFERROR(__xludf.DUMMYFUNCTION("""COMPUTED_VALUE"""),"Full Time")</f>
        <v>Full Time</v>
      </c>
      <c r="V180" s="177" t="str">
        <f>IFERROR(__xludf.DUMMYFUNCTION("""COMPUTED_VALUE"""),"+10:00")</f>
        <v>+10:00</v>
      </c>
      <c r="W180" s="177">
        <f>IFERROR(__xludf.DUMMYFUNCTION("""COMPUTED_VALUE"""),1.7541981E9)</f>
        <v>1754198100</v>
      </c>
      <c r="X180" s="178">
        <f>IFERROR(__xludf.DUMMYFUNCTION("""COMPUTED_VALUE"""),45872.747881944444)</f>
        <v>45872.74788</v>
      </c>
      <c r="Y180" s="177" t="str">
        <f>IFERROR(__xludf.DUMMYFUNCTION("""COMPUTED_VALUE"""),"Kardinia Park")</f>
        <v>Kardinia Park</v>
      </c>
      <c r="Z180" s="177" t="str">
        <f>IFERROR(__xludf.DUMMYFUNCTION("""COMPUTED_VALUE"""),"Geelong")</f>
        <v>Geelong</v>
      </c>
      <c r="AA180" s="177">
        <f>IFERROR(__xludf.DUMMYFUNCTION("""COMPUTED_VALUE"""),7.0)</f>
        <v>7</v>
      </c>
      <c r="AB180" s="177">
        <f>IFERROR(__xludf.DUMMYFUNCTION("""COMPUTED_VALUE"""),2025.0)</f>
        <v>2025</v>
      </c>
      <c r="AC180" s="177" t="str">
        <f t="shared" si="3"/>
        <v>Sunday</v>
      </c>
    </row>
    <row r="181">
      <c r="A181" s="175" t="str">
        <f t="shared" si="1"/>
        <v>219</v>
      </c>
      <c r="B181" s="176">
        <f t="shared" si="2"/>
        <v>9</v>
      </c>
      <c r="C181" s="177">
        <f>IFERROR(__xludf.DUMMYFUNCTION("""COMPUTED_VALUE"""),37269.0)</f>
        <v>37269</v>
      </c>
      <c r="D181" s="177">
        <f>IFERROR(__xludf.DUMMYFUNCTION("""COMPUTED_VALUE"""),7.0)</f>
        <v>7</v>
      </c>
      <c r="E181" s="177">
        <f>IFERROR(__xludf.DUMMYFUNCTION("""COMPUTED_VALUE"""),10.0)</f>
        <v>10</v>
      </c>
      <c r="F181" s="177">
        <f>IFERROR(__xludf.DUMMYFUNCTION("""COMPUTED_VALUE"""),67.0)</f>
        <v>67</v>
      </c>
      <c r="G181" s="177" t="str">
        <f>IFERROR(__xludf.DUMMYFUNCTION("""COMPUTED_VALUE"""),"Carlton")</f>
        <v>Carlton</v>
      </c>
      <c r="H181" s="177">
        <f>IFERROR(__xludf.DUMMYFUNCTION("""COMPUTED_VALUE"""),3.0)</f>
        <v>3</v>
      </c>
      <c r="I181" s="177">
        <f>IFERROR(__xludf.DUMMYFUNCTION("""COMPUTED_VALUE"""),100.0)</f>
        <v>100</v>
      </c>
      <c r="J181" s="178">
        <f>IFERROR(__xludf.DUMMYFUNCTION("""COMPUTED_VALUE"""),45872.71527777778)</f>
        <v>45872.71528</v>
      </c>
      <c r="K181" s="177">
        <f>IFERROR(__xludf.DUMMYFUNCTION("""COMPUTED_VALUE"""),4.0)</f>
        <v>4</v>
      </c>
      <c r="L181" s="177">
        <f>IFERROR(__xludf.DUMMYFUNCTION("""COMPUTED_VALUE"""),15.0)</f>
        <v>15</v>
      </c>
      <c r="M181" s="177">
        <f>IFERROR(__xludf.DUMMYFUNCTION("""COMPUTED_VALUE"""),94.0)</f>
        <v>94</v>
      </c>
      <c r="N181" s="177" t="str">
        <f>IFERROR(__xludf.DUMMYFUNCTION("""COMPUTED_VALUE"""),"Fremantle")</f>
        <v>Fremantle</v>
      </c>
      <c r="O181" s="177">
        <f>IFERROR(__xludf.DUMMYFUNCTION("""COMPUTED_VALUE"""),6.0)</f>
        <v>6</v>
      </c>
      <c r="P181" s="177">
        <f>IFERROR(__xludf.DUMMYFUNCTION("""COMPUTED_VALUE"""),0.0)</f>
        <v>0</v>
      </c>
      <c r="Q181" s="177">
        <f>IFERROR(__xludf.DUMMYFUNCTION("""COMPUTED_VALUE"""),0.0)</f>
        <v>0</v>
      </c>
      <c r="R181" s="178">
        <f>IFERROR(__xludf.DUMMYFUNCTION("""COMPUTED_VALUE"""),45872.631944444445)</f>
        <v>45872.63194</v>
      </c>
      <c r="S181" s="177">
        <f>IFERROR(__xludf.DUMMYFUNCTION("""COMPUTED_VALUE"""),21.0)</f>
        <v>21</v>
      </c>
      <c r="T181" s="177" t="str">
        <f>IFERROR(__xludf.DUMMYFUNCTION("""COMPUTED_VALUE"""),"Round 21")</f>
        <v>Round 21</v>
      </c>
      <c r="U181" s="177" t="str">
        <f>IFERROR(__xludf.DUMMYFUNCTION("""COMPUTED_VALUE"""),"Full Time")</f>
        <v>Full Time</v>
      </c>
      <c r="V181" s="177" t="str">
        <f>IFERROR(__xludf.DUMMYFUNCTION("""COMPUTED_VALUE"""),"+10:00")</f>
        <v>+10:00</v>
      </c>
      <c r="W181" s="177">
        <f>IFERROR(__xludf.DUMMYFUNCTION("""COMPUTED_VALUE"""),1.754205E9)</f>
        <v>1754205000</v>
      </c>
      <c r="X181" s="178">
        <f>IFERROR(__xludf.DUMMYFUNCTION("""COMPUTED_VALUE"""),45872.8302662037)</f>
        <v>45872.83027</v>
      </c>
      <c r="Y181" s="177" t="str">
        <f>IFERROR(__xludf.DUMMYFUNCTION("""COMPUTED_VALUE"""),"Perth Stadium")</f>
        <v>Perth Stadium</v>
      </c>
      <c r="Z181" s="177" t="str">
        <f>IFERROR(__xludf.DUMMYFUNCTION("""COMPUTED_VALUE"""),"Fremantle")</f>
        <v>Fremantle</v>
      </c>
      <c r="AA181" s="177">
        <f>IFERROR(__xludf.DUMMYFUNCTION("""COMPUTED_VALUE"""),6.0)</f>
        <v>6</v>
      </c>
      <c r="AB181" s="177">
        <f>IFERROR(__xludf.DUMMYFUNCTION("""COMPUTED_VALUE"""),2025.0)</f>
        <v>2025</v>
      </c>
      <c r="AC181" s="177" t="str">
        <f t="shared" si="3"/>
        <v>Sunday</v>
      </c>
    </row>
    <row r="182">
      <c r="A182" s="175" t="str">
        <f t="shared" si="1"/>
        <v>221</v>
      </c>
      <c r="B182" s="176">
        <f t="shared" si="2"/>
        <v>1</v>
      </c>
      <c r="C182" s="177">
        <f>IFERROR(__xludf.DUMMYFUNCTION("""COMPUTED_VALUE"""),37275.0)</f>
        <v>37275</v>
      </c>
      <c r="D182" s="177">
        <f>IFERROR(__xludf.DUMMYFUNCTION("""COMPUTED_VALUE"""),10.0)</f>
        <v>10</v>
      </c>
      <c r="E182" s="177">
        <f>IFERROR(__xludf.DUMMYFUNCTION("""COMPUTED_VALUE"""),6.0)</f>
        <v>6</v>
      </c>
      <c r="F182" s="177">
        <f>IFERROR(__xludf.DUMMYFUNCTION("""COMPUTED_VALUE"""),46.0)</f>
        <v>46</v>
      </c>
      <c r="G182" s="177" t="str">
        <f>IFERROR(__xludf.DUMMYFUNCTION("""COMPUTED_VALUE"""),"Collingwood")</f>
        <v>Collingwood</v>
      </c>
      <c r="H182" s="177">
        <f>IFERROR(__xludf.DUMMYFUNCTION("""COMPUTED_VALUE"""),4.0)</f>
        <v>4</v>
      </c>
      <c r="I182" s="177">
        <f>IFERROR(__xludf.DUMMYFUNCTION("""COMPUTED_VALUE"""),100.0)</f>
        <v>100</v>
      </c>
      <c r="J182" s="178">
        <f>IFERROR(__xludf.DUMMYFUNCTION("""COMPUTED_VALUE"""),45876.8125)</f>
        <v>45876.8125</v>
      </c>
      <c r="K182" s="177">
        <f>IFERROR(__xludf.DUMMYFUNCTION("""COMPUTED_VALUE"""),8.0)</f>
        <v>8</v>
      </c>
      <c r="L182" s="177">
        <f>IFERROR(__xludf.DUMMYFUNCTION("""COMPUTED_VALUE"""),17.0)</f>
        <v>17</v>
      </c>
      <c r="M182" s="177">
        <f>IFERROR(__xludf.DUMMYFUNCTION("""COMPUTED_VALUE"""),110.0)</f>
        <v>110</v>
      </c>
      <c r="N182" s="177" t="str">
        <f>IFERROR(__xludf.DUMMYFUNCTION("""COMPUTED_VALUE"""),"Hawthorn")</f>
        <v>Hawthorn</v>
      </c>
      <c r="O182" s="177">
        <f>IFERROR(__xludf.DUMMYFUNCTION("""COMPUTED_VALUE"""),10.0)</f>
        <v>10</v>
      </c>
      <c r="P182" s="177">
        <f>IFERROR(__xludf.DUMMYFUNCTION("""COMPUTED_VALUE"""),0.0)</f>
        <v>0</v>
      </c>
      <c r="Q182" s="177">
        <f>IFERROR(__xludf.DUMMYFUNCTION("""COMPUTED_VALUE"""),0.0)</f>
        <v>0</v>
      </c>
      <c r="R182" s="178">
        <f>IFERROR(__xludf.DUMMYFUNCTION("""COMPUTED_VALUE"""),45876.8125)</f>
        <v>45876.8125</v>
      </c>
      <c r="S182" s="177">
        <f>IFERROR(__xludf.DUMMYFUNCTION("""COMPUTED_VALUE"""),22.0)</f>
        <v>22</v>
      </c>
      <c r="T182" s="177" t="str">
        <f>IFERROR(__xludf.DUMMYFUNCTION("""COMPUTED_VALUE"""),"Round 22")</f>
        <v>Round 22</v>
      </c>
      <c r="U182" s="177" t="str">
        <f>IFERROR(__xludf.DUMMYFUNCTION("""COMPUTED_VALUE"""),"Full Time")</f>
        <v>Full Time</v>
      </c>
      <c r="V182" s="177" t="str">
        <f>IFERROR(__xludf.DUMMYFUNCTION("""COMPUTED_VALUE"""),"+10:00")</f>
        <v>+10:00</v>
      </c>
      <c r="W182" s="177">
        <f>IFERROR(__xludf.DUMMYFUNCTION("""COMPUTED_VALUE"""),1.754559E9)</f>
        <v>1754559000</v>
      </c>
      <c r="X182" s="178">
        <f>IFERROR(__xludf.DUMMYFUNCTION("""COMPUTED_VALUE"""),45876.923414351855)</f>
        <v>45876.92341</v>
      </c>
      <c r="Y182" s="177" t="str">
        <f>IFERROR(__xludf.DUMMYFUNCTION("""COMPUTED_VALUE"""),"M.C.G.")</f>
        <v>M.C.G.</v>
      </c>
      <c r="Z182" s="177" t="str">
        <f>IFERROR(__xludf.DUMMYFUNCTION("""COMPUTED_VALUE"""),"Hawthorn")</f>
        <v>Hawthorn</v>
      </c>
      <c r="AA182" s="177">
        <f>IFERROR(__xludf.DUMMYFUNCTION("""COMPUTED_VALUE"""),10.0)</f>
        <v>10</v>
      </c>
      <c r="AB182" s="177">
        <f>IFERROR(__xludf.DUMMYFUNCTION("""COMPUTED_VALUE"""),2025.0)</f>
        <v>2025</v>
      </c>
      <c r="AC182" s="177" t="str">
        <f t="shared" si="3"/>
        <v>Thursday</v>
      </c>
    </row>
    <row r="183">
      <c r="A183" s="175" t="str">
        <f t="shared" si="1"/>
        <v>222</v>
      </c>
      <c r="B183" s="176">
        <f t="shared" si="2"/>
        <v>2</v>
      </c>
      <c r="C183" s="177">
        <f>IFERROR(__xludf.DUMMYFUNCTION("""COMPUTED_VALUE"""),37270.0)</f>
        <v>37270</v>
      </c>
      <c r="D183" s="177">
        <f>IFERROR(__xludf.DUMMYFUNCTION("""COMPUTED_VALUE"""),5.0)</f>
        <v>5</v>
      </c>
      <c r="E183" s="177">
        <f>IFERROR(__xludf.DUMMYFUNCTION("""COMPUTED_VALUE"""),10.0)</f>
        <v>10</v>
      </c>
      <c r="F183" s="177">
        <f>IFERROR(__xludf.DUMMYFUNCTION("""COMPUTED_VALUE"""),65.0)</f>
        <v>65</v>
      </c>
      <c r="G183" s="177" t="str">
        <f>IFERROR(__xludf.DUMMYFUNCTION("""COMPUTED_VALUE"""),"Essendon")</f>
        <v>Essendon</v>
      </c>
      <c r="H183" s="177">
        <f>IFERROR(__xludf.DUMMYFUNCTION("""COMPUTED_VALUE"""),5.0)</f>
        <v>5</v>
      </c>
      <c r="I183" s="177">
        <f>IFERROR(__xludf.DUMMYFUNCTION("""COMPUTED_VALUE"""),100.0)</f>
        <v>100</v>
      </c>
      <c r="J183" s="178">
        <f>IFERROR(__xludf.DUMMYFUNCTION("""COMPUTED_VALUE"""),45877.819444444445)</f>
        <v>45877.81944</v>
      </c>
      <c r="K183" s="177">
        <f>IFERROR(__xludf.DUMMYFUNCTION("""COMPUTED_VALUE"""),19.0)</f>
        <v>19</v>
      </c>
      <c r="L183" s="177">
        <f>IFERROR(__xludf.DUMMYFUNCTION("""COMPUTED_VALUE"""),15.0)</f>
        <v>15</v>
      </c>
      <c r="M183" s="177">
        <f>IFERROR(__xludf.DUMMYFUNCTION("""COMPUTED_VALUE"""),109.0)</f>
        <v>109</v>
      </c>
      <c r="N183" s="177" t="str">
        <f>IFERROR(__xludf.DUMMYFUNCTION("""COMPUTED_VALUE"""),"Geelong")</f>
        <v>Geelong</v>
      </c>
      <c r="O183" s="177">
        <f>IFERROR(__xludf.DUMMYFUNCTION("""COMPUTED_VALUE"""),7.0)</f>
        <v>7</v>
      </c>
      <c r="P183" s="177">
        <f>IFERROR(__xludf.DUMMYFUNCTION("""COMPUTED_VALUE"""),0.0)</f>
        <v>0</v>
      </c>
      <c r="Q183" s="177">
        <f>IFERROR(__xludf.DUMMYFUNCTION("""COMPUTED_VALUE"""),0.0)</f>
        <v>0</v>
      </c>
      <c r="R183" s="178">
        <f>IFERROR(__xludf.DUMMYFUNCTION("""COMPUTED_VALUE"""),45877.819444444445)</f>
        <v>45877.81944</v>
      </c>
      <c r="S183" s="177">
        <f>IFERROR(__xludf.DUMMYFUNCTION("""COMPUTED_VALUE"""),22.0)</f>
        <v>22</v>
      </c>
      <c r="T183" s="177" t="str">
        <f>IFERROR(__xludf.DUMMYFUNCTION("""COMPUTED_VALUE"""),"Round 22")</f>
        <v>Round 22</v>
      </c>
      <c r="U183" s="177" t="str">
        <f>IFERROR(__xludf.DUMMYFUNCTION("""COMPUTED_VALUE"""),"Full Time")</f>
        <v>Full Time</v>
      </c>
      <c r="V183" s="177" t="str">
        <f>IFERROR(__xludf.DUMMYFUNCTION("""COMPUTED_VALUE"""),"+10:00")</f>
        <v>+10:00</v>
      </c>
      <c r="W183" s="177">
        <f>IFERROR(__xludf.DUMMYFUNCTION("""COMPUTED_VALUE"""),1.754646E9)</f>
        <v>1754646000</v>
      </c>
      <c r="X183" s="178">
        <f>IFERROR(__xludf.DUMMYFUNCTION("""COMPUTED_VALUE"""),45877.93053240741)</f>
        <v>45877.93053</v>
      </c>
      <c r="Y183" s="177" t="str">
        <f>IFERROR(__xludf.DUMMYFUNCTION("""COMPUTED_VALUE"""),"Kardinia Park")</f>
        <v>Kardinia Park</v>
      </c>
      <c r="Z183" s="177" t="str">
        <f>IFERROR(__xludf.DUMMYFUNCTION("""COMPUTED_VALUE"""),"Geelong")</f>
        <v>Geelong</v>
      </c>
      <c r="AA183" s="177">
        <f>IFERROR(__xludf.DUMMYFUNCTION("""COMPUTED_VALUE"""),7.0)</f>
        <v>7</v>
      </c>
      <c r="AB183" s="177">
        <f>IFERROR(__xludf.DUMMYFUNCTION("""COMPUTED_VALUE"""),2025.0)</f>
        <v>2025</v>
      </c>
      <c r="AC183" s="177" t="str">
        <f t="shared" si="3"/>
        <v>Friday</v>
      </c>
    </row>
    <row r="184">
      <c r="A184" s="175" t="str">
        <f t="shared" si="1"/>
        <v>223</v>
      </c>
      <c r="B184" s="176">
        <f t="shared" si="2"/>
        <v>3</v>
      </c>
      <c r="C184" s="177">
        <f>IFERROR(__xludf.DUMMYFUNCTION("""COMPUTED_VALUE"""),37273.0)</f>
        <v>37273</v>
      </c>
      <c r="D184" s="177">
        <f>IFERROR(__xludf.DUMMYFUNCTION("""COMPUTED_VALUE"""),8.0)</f>
        <v>8</v>
      </c>
      <c r="E184" s="177">
        <f>IFERROR(__xludf.DUMMYFUNCTION("""COMPUTED_VALUE"""),8.0)</f>
        <v>8</v>
      </c>
      <c r="F184" s="177">
        <f>IFERROR(__xludf.DUMMYFUNCTION("""COMPUTED_VALUE"""),56.0)</f>
        <v>56</v>
      </c>
      <c r="G184" s="177" t="str">
        <f>IFERROR(__xludf.DUMMYFUNCTION("""COMPUTED_VALUE"""),"St Kilda")</f>
        <v>St Kilda</v>
      </c>
      <c r="H184" s="177">
        <f>IFERROR(__xludf.DUMMYFUNCTION("""COMPUTED_VALUE"""),15.0)</f>
        <v>15</v>
      </c>
      <c r="I184" s="177">
        <f>IFERROR(__xludf.DUMMYFUNCTION("""COMPUTED_VALUE"""),100.0)</f>
        <v>100</v>
      </c>
      <c r="J184" s="178">
        <f>IFERROR(__xludf.DUMMYFUNCTION("""COMPUTED_VALUE"""),45878.555555555555)</f>
        <v>45878.55556</v>
      </c>
      <c r="K184" s="177">
        <f>IFERROR(__xludf.DUMMYFUNCTION("""COMPUTED_VALUE"""),10.0)</f>
        <v>10</v>
      </c>
      <c r="L184" s="177">
        <f>IFERROR(__xludf.DUMMYFUNCTION("""COMPUTED_VALUE"""),7.0)</f>
        <v>7</v>
      </c>
      <c r="M184" s="177">
        <f>IFERROR(__xludf.DUMMYFUNCTION("""COMPUTED_VALUE"""),52.0)</f>
        <v>52</v>
      </c>
      <c r="N184" s="177" t="str">
        <f>IFERROR(__xludf.DUMMYFUNCTION("""COMPUTED_VALUE"""),"Richmond")</f>
        <v>Richmond</v>
      </c>
      <c r="O184" s="177">
        <f>IFERROR(__xludf.DUMMYFUNCTION("""COMPUTED_VALUE"""),14.0)</f>
        <v>14</v>
      </c>
      <c r="P184" s="177">
        <f>IFERROR(__xludf.DUMMYFUNCTION("""COMPUTED_VALUE"""),0.0)</f>
        <v>0</v>
      </c>
      <c r="Q184" s="177">
        <f>IFERROR(__xludf.DUMMYFUNCTION("""COMPUTED_VALUE"""),0.0)</f>
        <v>0</v>
      </c>
      <c r="R184" s="178">
        <f>IFERROR(__xludf.DUMMYFUNCTION("""COMPUTED_VALUE"""),45878.555555555555)</f>
        <v>45878.55556</v>
      </c>
      <c r="S184" s="177">
        <f>IFERROR(__xludf.DUMMYFUNCTION("""COMPUTED_VALUE"""),22.0)</f>
        <v>22</v>
      </c>
      <c r="T184" s="177" t="str">
        <f>IFERROR(__xludf.DUMMYFUNCTION("""COMPUTED_VALUE"""),"Round 22")</f>
        <v>Round 22</v>
      </c>
      <c r="U184" s="177" t="str">
        <f>IFERROR(__xludf.DUMMYFUNCTION("""COMPUTED_VALUE"""),"Full Time")</f>
        <v>Full Time</v>
      </c>
      <c r="V184" s="177" t="str">
        <f>IFERROR(__xludf.DUMMYFUNCTION("""COMPUTED_VALUE"""),"+10:00")</f>
        <v>+10:00</v>
      </c>
      <c r="W184" s="177">
        <f>IFERROR(__xludf.DUMMYFUNCTION("""COMPUTED_VALUE"""),1.7547096E9)</f>
        <v>1754709600</v>
      </c>
      <c r="X184" s="178">
        <f>IFERROR(__xludf.DUMMYFUNCTION("""COMPUTED_VALUE"""),45878.65959490741)</f>
        <v>45878.65959</v>
      </c>
      <c r="Y184" s="177" t="str">
        <f>IFERROR(__xludf.DUMMYFUNCTION("""COMPUTED_VALUE"""),"M.C.G.")</f>
        <v>M.C.G.</v>
      </c>
      <c r="Z184" s="177" t="str">
        <f>IFERROR(__xludf.DUMMYFUNCTION("""COMPUTED_VALUE"""),"St Kilda")</f>
        <v>St Kilda</v>
      </c>
      <c r="AA184" s="177">
        <f>IFERROR(__xludf.DUMMYFUNCTION("""COMPUTED_VALUE"""),15.0)</f>
        <v>15</v>
      </c>
      <c r="AB184" s="177">
        <f>IFERROR(__xludf.DUMMYFUNCTION("""COMPUTED_VALUE"""),2025.0)</f>
        <v>2025</v>
      </c>
      <c r="AC184" s="177" t="str">
        <f t="shared" si="3"/>
        <v>Saturday</v>
      </c>
    </row>
    <row r="185">
      <c r="A185" s="175" t="str">
        <f t="shared" si="1"/>
        <v>224</v>
      </c>
      <c r="B185" s="176">
        <f t="shared" si="2"/>
        <v>4</v>
      </c>
      <c r="C185" s="177">
        <f>IFERROR(__xludf.DUMMYFUNCTION("""COMPUTED_VALUE"""),37276.0)</f>
        <v>37276</v>
      </c>
      <c r="D185" s="177">
        <f>IFERROR(__xludf.DUMMYFUNCTION("""COMPUTED_VALUE"""),14.0)</f>
        <v>14</v>
      </c>
      <c r="E185" s="177">
        <f>IFERROR(__xludf.DUMMYFUNCTION("""COMPUTED_VALUE"""),13.0)</f>
        <v>13</v>
      </c>
      <c r="F185" s="177">
        <f>IFERROR(__xludf.DUMMYFUNCTION("""COMPUTED_VALUE"""),92.0)</f>
        <v>92</v>
      </c>
      <c r="G185" s="177" t="str">
        <f>IFERROR(__xludf.DUMMYFUNCTION("""COMPUTED_VALUE"""),"Sydney")</f>
        <v>Sydney</v>
      </c>
      <c r="H185" s="177">
        <f>IFERROR(__xludf.DUMMYFUNCTION("""COMPUTED_VALUE"""),16.0)</f>
        <v>16</v>
      </c>
      <c r="I185" s="177">
        <f>IFERROR(__xludf.DUMMYFUNCTION("""COMPUTED_VALUE"""),100.0)</f>
        <v>100</v>
      </c>
      <c r="J185" s="178">
        <f>IFERROR(__xludf.DUMMYFUNCTION("""COMPUTED_VALUE"""),45878.677083333336)</f>
        <v>45878.67708</v>
      </c>
      <c r="K185" s="177">
        <f>IFERROR(__xludf.DUMMYFUNCTION("""COMPUTED_VALUE"""),12.0)</f>
        <v>12</v>
      </c>
      <c r="L185" s="177">
        <f>IFERROR(__xludf.DUMMYFUNCTION("""COMPUTED_VALUE"""),13.0)</f>
        <v>13</v>
      </c>
      <c r="M185" s="177">
        <f>IFERROR(__xludf.DUMMYFUNCTION("""COMPUTED_VALUE"""),90.0)</f>
        <v>90</v>
      </c>
      <c r="N185" s="177" t="str">
        <f>IFERROR(__xludf.DUMMYFUNCTION("""COMPUTED_VALUE"""),"Brisbane Lions")</f>
        <v>Brisbane Lions</v>
      </c>
      <c r="O185" s="177">
        <f>IFERROR(__xludf.DUMMYFUNCTION("""COMPUTED_VALUE"""),2.0)</f>
        <v>2</v>
      </c>
      <c r="P185" s="177">
        <f>IFERROR(__xludf.DUMMYFUNCTION("""COMPUTED_VALUE"""),0.0)</f>
        <v>0</v>
      </c>
      <c r="Q185" s="177">
        <f>IFERROR(__xludf.DUMMYFUNCTION("""COMPUTED_VALUE"""),0.0)</f>
        <v>0</v>
      </c>
      <c r="R185" s="178">
        <f>IFERROR(__xludf.DUMMYFUNCTION("""COMPUTED_VALUE"""),45878.677083333336)</f>
        <v>45878.67708</v>
      </c>
      <c r="S185" s="177">
        <f>IFERROR(__xludf.DUMMYFUNCTION("""COMPUTED_VALUE"""),22.0)</f>
        <v>22</v>
      </c>
      <c r="T185" s="177" t="str">
        <f>IFERROR(__xludf.DUMMYFUNCTION("""COMPUTED_VALUE"""),"Round 22")</f>
        <v>Round 22</v>
      </c>
      <c r="U185" s="177" t="str">
        <f>IFERROR(__xludf.DUMMYFUNCTION("""COMPUTED_VALUE"""),"Full Time")</f>
        <v>Full Time</v>
      </c>
      <c r="V185" s="177" t="str">
        <f>IFERROR(__xludf.DUMMYFUNCTION("""COMPUTED_VALUE"""),"+10:00")</f>
        <v>+10:00</v>
      </c>
      <c r="W185" s="177">
        <f>IFERROR(__xludf.DUMMYFUNCTION("""COMPUTED_VALUE"""),1.7547201E9)</f>
        <v>1754720100</v>
      </c>
      <c r="X185" s="178">
        <f>IFERROR(__xludf.DUMMYFUNCTION("""COMPUTED_VALUE"""),45878.786516203705)</f>
        <v>45878.78652</v>
      </c>
      <c r="Y185" s="177" t="str">
        <f>IFERROR(__xludf.DUMMYFUNCTION("""COMPUTED_VALUE"""),"Gabba")</f>
        <v>Gabba</v>
      </c>
      <c r="Z185" s="177" t="str">
        <f>IFERROR(__xludf.DUMMYFUNCTION("""COMPUTED_VALUE"""),"Sydney")</f>
        <v>Sydney</v>
      </c>
      <c r="AA185" s="177">
        <f>IFERROR(__xludf.DUMMYFUNCTION("""COMPUTED_VALUE"""),16.0)</f>
        <v>16</v>
      </c>
      <c r="AB185" s="177">
        <f>IFERROR(__xludf.DUMMYFUNCTION("""COMPUTED_VALUE"""),2025.0)</f>
        <v>2025</v>
      </c>
      <c r="AC185" s="177" t="str">
        <f t="shared" si="3"/>
        <v>Saturday</v>
      </c>
    </row>
    <row r="186">
      <c r="A186" s="175" t="str">
        <f t="shared" si="1"/>
        <v>225</v>
      </c>
      <c r="B186" s="176">
        <f t="shared" si="2"/>
        <v>5</v>
      </c>
      <c r="C186" s="177">
        <f>IFERROR(__xludf.DUMMYFUNCTION("""COMPUTED_VALUE"""),37272.0)</f>
        <v>37272</v>
      </c>
      <c r="D186" s="177">
        <f>IFERROR(__xludf.DUMMYFUNCTION("""COMPUTED_VALUE"""),15.0)</f>
        <v>15</v>
      </c>
      <c r="E186" s="177">
        <f>IFERROR(__xludf.DUMMYFUNCTION("""COMPUTED_VALUE"""),13.0)</f>
        <v>13</v>
      </c>
      <c r="F186" s="177">
        <f>IFERROR(__xludf.DUMMYFUNCTION("""COMPUTED_VALUE"""),93.0)</f>
        <v>93</v>
      </c>
      <c r="G186" s="177" t="str">
        <f>IFERROR(__xludf.DUMMYFUNCTION("""COMPUTED_VALUE"""),"Gold Coast")</f>
        <v>Gold Coast</v>
      </c>
      <c r="H186" s="177">
        <f>IFERROR(__xludf.DUMMYFUNCTION("""COMPUTED_VALUE"""),8.0)</f>
        <v>8</v>
      </c>
      <c r="I186" s="177">
        <f>IFERROR(__xludf.DUMMYFUNCTION("""COMPUTED_VALUE"""),100.0)</f>
        <v>100</v>
      </c>
      <c r="J186" s="178">
        <f>IFERROR(__xludf.DUMMYFUNCTION("""COMPUTED_VALUE"""),45878.81597222222)</f>
        <v>45878.81597</v>
      </c>
      <c r="K186" s="177">
        <f>IFERROR(__xludf.DUMMYFUNCTION("""COMPUTED_VALUE"""),8.0)</f>
        <v>8</v>
      </c>
      <c r="L186" s="177">
        <f>IFERROR(__xludf.DUMMYFUNCTION("""COMPUTED_VALUE"""),11.0)</f>
        <v>11</v>
      </c>
      <c r="M186" s="177">
        <f>IFERROR(__xludf.DUMMYFUNCTION("""COMPUTED_VALUE"""),74.0)</f>
        <v>74</v>
      </c>
      <c r="N186" s="177" t="str">
        <f>IFERROR(__xludf.DUMMYFUNCTION("""COMPUTED_VALUE"""),"Carlton")</f>
        <v>Carlton</v>
      </c>
      <c r="O186" s="177">
        <f>IFERROR(__xludf.DUMMYFUNCTION("""COMPUTED_VALUE"""),3.0)</f>
        <v>3</v>
      </c>
      <c r="P186" s="177">
        <f>IFERROR(__xludf.DUMMYFUNCTION("""COMPUTED_VALUE"""),0.0)</f>
        <v>0</v>
      </c>
      <c r="Q186" s="177">
        <f>IFERROR(__xludf.DUMMYFUNCTION("""COMPUTED_VALUE"""),0.0)</f>
        <v>0</v>
      </c>
      <c r="R186" s="178">
        <f>IFERROR(__xludf.DUMMYFUNCTION("""COMPUTED_VALUE"""),45878.81597222222)</f>
        <v>45878.81597</v>
      </c>
      <c r="S186" s="177">
        <f>IFERROR(__xludf.DUMMYFUNCTION("""COMPUTED_VALUE"""),22.0)</f>
        <v>22</v>
      </c>
      <c r="T186" s="177" t="str">
        <f>IFERROR(__xludf.DUMMYFUNCTION("""COMPUTED_VALUE"""),"Round 22")</f>
        <v>Round 22</v>
      </c>
      <c r="U186" s="177" t="str">
        <f>IFERROR(__xludf.DUMMYFUNCTION("""COMPUTED_VALUE"""),"Full Time")</f>
        <v>Full Time</v>
      </c>
      <c r="V186" s="177" t="str">
        <f>IFERROR(__xludf.DUMMYFUNCTION("""COMPUTED_VALUE"""),"+10:00")</f>
        <v>+10:00</v>
      </c>
      <c r="W186" s="177">
        <f>IFERROR(__xludf.DUMMYFUNCTION("""COMPUTED_VALUE"""),1.7547321E9)</f>
        <v>1754732100</v>
      </c>
      <c r="X186" s="178">
        <f>IFERROR(__xludf.DUMMYFUNCTION("""COMPUTED_VALUE"""),45878.92530092593)</f>
        <v>45878.9253</v>
      </c>
      <c r="Y186" s="177" t="str">
        <f>IFERROR(__xludf.DUMMYFUNCTION("""COMPUTED_VALUE"""),"Docklands")</f>
        <v>Docklands</v>
      </c>
      <c r="Z186" s="177" t="str">
        <f>IFERROR(__xludf.DUMMYFUNCTION("""COMPUTED_VALUE"""),"Gold Coast")</f>
        <v>Gold Coast</v>
      </c>
      <c r="AA186" s="177">
        <f>IFERROR(__xludf.DUMMYFUNCTION("""COMPUTED_VALUE"""),8.0)</f>
        <v>8</v>
      </c>
      <c r="AB186" s="177">
        <f>IFERROR(__xludf.DUMMYFUNCTION("""COMPUTED_VALUE"""),2025.0)</f>
        <v>2025</v>
      </c>
      <c r="AC186" s="177" t="str">
        <f t="shared" si="3"/>
        <v>Saturday</v>
      </c>
    </row>
    <row r="187">
      <c r="A187" s="175" t="str">
        <f t="shared" si="1"/>
        <v>226</v>
      </c>
      <c r="B187" s="176">
        <f t="shared" si="2"/>
        <v>6</v>
      </c>
      <c r="C187" s="177">
        <f>IFERROR(__xludf.DUMMYFUNCTION("""COMPUTED_VALUE"""),37277.0)</f>
        <v>37277</v>
      </c>
      <c r="D187" s="177">
        <f>IFERROR(__xludf.DUMMYFUNCTION("""COMPUTED_VALUE"""),14.0)</f>
        <v>14</v>
      </c>
      <c r="E187" s="177">
        <f>IFERROR(__xludf.DUMMYFUNCTION("""COMPUTED_VALUE"""),13.0)</f>
        <v>13</v>
      </c>
      <c r="F187" s="177">
        <f>IFERROR(__xludf.DUMMYFUNCTION("""COMPUTED_VALUE"""),92.0)</f>
        <v>92</v>
      </c>
      <c r="G187" s="177" t="str">
        <f>IFERROR(__xludf.DUMMYFUNCTION("""COMPUTED_VALUE"""),"Fremantle")</f>
        <v>Fremantle</v>
      </c>
      <c r="H187" s="177">
        <f>IFERROR(__xludf.DUMMYFUNCTION("""COMPUTED_VALUE"""),6.0)</f>
        <v>6</v>
      </c>
      <c r="I187" s="177">
        <f>IFERROR(__xludf.DUMMYFUNCTION("""COMPUTED_VALUE"""),100.0)</f>
        <v>100</v>
      </c>
      <c r="J187" s="178">
        <f>IFERROR(__xludf.DUMMYFUNCTION("""COMPUTED_VALUE"""),45878.84027777778)</f>
        <v>45878.84028</v>
      </c>
      <c r="K187" s="177">
        <f>IFERROR(__xludf.DUMMYFUNCTION("""COMPUTED_VALUE"""),8.0)</f>
        <v>8</v>
      </c>
      <c r="L187" s="177">
        <f>IFERROR(__xludf.DUMMYFUNCTION("""COMPUTED_VALUE"""),13.0)</f>
        <v>13</v>
      </c>
      <c r="M187" s="177">
        <f>IFERROR(__xludf.DUMMYFUNCTION("""COMPUTED_VALUE"""),86.0)</f>
        <v>86</v>
      </c>
      <c r="N187" s="177" t="str">
        <f>IFERROR(__xludf.DUMMYFUNCTION("""COMPUTED_VALUE"""),"Port Adelaide")</f>
        <v>Port Adelaide</v>
      </c>
      <c r="O187" s="177">
        <f>IFERROR(__xludf.DUMMYFUNCTION("""COMPUTED_VALUE"""),13.0)</f>
        <v>13</v>
      </c>
      <c r="P187" s="177">
        <f>IFERROR(__xludf.DUMMYFUNCTION("""COMPUTED_VALUE"""),0.0)</f>
        <v>0</v>
      </c>
      <c r="Q187" s="177">
        <f>IFERROR(__xludf.DUMMYFUNCTION("""COMPUTED_VALUE"""),0.0)</f>
        <v>0</v>
      </c>
      <c r="R187" s="178">
        <f>IFERROR(__xludf.DUMMYFUNCTION("""COMPUTED_VALUE"""),45878.819444444445)</f>
        <v>45878.81944</v>
      </c>
      <c r="S187" s="177">
        <f>IFERROR(__xludf.DUMMYFUNCTION("""COMPUTED_VALUE"""),22.0)</f>
        <v>22</v>
      </c>
      <c r="T187" s="177" t="str">
        <f>IFERROR(__xludf.DUMMYFUNCTION("""COMPUTED_VALUE"""),"Round 22")</f>
        <v>Round 22</v>
      </c>
      <c r="U187" s="177" t="str">
        <f>IFERROR(__xludf.DUMMYFUNCTION("""COMPUTED_VALUE"""),"Full Time")</f>
        <v>Full Time</v>
      </c>
      <c r="V187" s="177" t="str">
        <f>IFERROR(__xludf.DUMMYFUNCTION("""COMPUTED_VALUE"""),"+10:00")</f>
        <v>+10:00</v>
      </c>
      <c r="W187" s="177">
        <f>IFERROR(__xludf.DUMMYFUNCTION("""COMPUTED_VALUE"""),1.7547342E9)</f>
        <v>1754734200</v>
      </c>
      <c r="X187" s="178">
        <f>IFERROR(__xludf.DUMMYFUNCTION("""COMPUTED_VALUE"""),45878.952314814815)</f>
        <v>45878.95231</v>
      </c>
      <c r="Y187" s="177" t="str">
        <f>IFERROR(__xludf.DUMMYFUNCTION("""COMPUTED_VALUE"""),"Adelaide Oval")</f>
        <v>Adelaide Oval</v>
      </c>
      <c r="Z187" s="177" t="str">
        <f>IFERROR(__xludf.DUMMYFUNCTION("""COMPUTED_VALUE"""),"Fremantle")</f>
        <v>Fremantle</v>
      </c>
      <c r="AA187" s="177">
        <f>IFERROR(__xludf.DUMMYFUNCTION("""COMPUTED_VALUE"""),6.0)</f>
        <v>6</v>
      </c>
      <c r="AB187" s="177">
        <f>IFERROR(__xludf.DUMMYFUNCTION("""COMPUTED_VALUE"""),2025.0)</f>
        <v>2025</v>
      </c>
      <c r="AC187" s="177" t="str">
        <f t="shared" si="3"/>
        <v>Saturday</v>
      </c>
    </row>
    <row r="188">
      <c r="A188" s="175" t="str">
        <f t="shared" si="1"/>
        <v>227</v>
      </c>
      <c r="B188" s="176">
        <f t="shared" si="2"/>
        <v>7</v>
      </c>
      <c r="C188" s="177">
        <f>IFERROR(__xludf.DUMMYFUNCTION("""COMPUTED_VALUE"""),37271.0)</f>
        <v>37271</v>
      </c>
      <c r="D188" s="177">
        <f>IFERROR(__xludf.DUMMYFUNCTION("""COMPUTED_VALUE"""),7.0)</f>
        <v>7</v>
      </c>
      <c r="E188" s="177">
        <f>IFERROR(__xludf.DUMMYFUNCTION("""COMPUTED_VALUE"""),12.0)</f>
        <v>12</v>
      </c>
      <c r="F188" s="177">
        <f>IFERROR(__xludf.DUMMYFUNCTION("""COMPUTED_VALUE"""),79.0)</f>
        <v>79</v>
      </c>
      <c r="G188" s="177" t="str">
        <f>IFERROR(__xludf.DUMMYFUNCTION("""COMPUTED_VALUE"""),"North Melbourne")</f>
        <v>North Melbourne</v>
      </c>
      <c r="H188" s="177">
        <f>IFERROR(__xludf.DUMMYFUNCTION("""COMPUTED_VALUE"""),12.0)</f>
        <v>12</v>
      </c>
      <c r="I188" s="177">
        <f>IFERROR(__xludf.DUMMYFUNCTION("""COMPUTED_VALUE"""),100.0)</f>
        <v>100</v>
      </c>
      <c r="J188" s="178">
        <f>IFERROR(__xludf.DUMMYFUNCTION("""COMPUTED_VALUE"""),45879.569444444445)</f>
        <v>45879.56944</v>
      </c>
      <c r="K188" s="177">
        <f>IFERROR(__xludf.DUMMYFUNCTION("""COMPUTED_VALUE"""),13.0)</f>
        <v>13</v>
      </c>
      <c r="L188" s="177">
        <f>IFERROR(__xludf.DUMMYFUNCTION("""COMPUTED_VALUE"""),20.0)</f>
        <v>20</v>
      </c>
      <c r="M188" s="177">
        <f>IFERROR(__xludf.DUMMYFUNCTION("""COMPUTED_VALUE"""),133.0)</f>
        <v>133</v>
      </c>
      <c r="N188" s="177" t="str">
        <f>IFERROR(__xludf.DUMMYFUNCTION("""COMPUTED_VALUE"""),"Greater Western Sydney")</f>
        <v>Greater Western Sydney</v>
      </c>
      <c r="O188" s="177">
        <f>IFERROR(__xludf.DUMMYFUNCTION("""COMPUTED_VALUE"""),9.0)</f>
        <v>9</v>
      </c>
      <c r="P188" s="177">
        <f>IFERROR(__xludf.DUMMYFUNCTION("""COMPUTED_VALUE"""),0.0)</f>
        <v>0</v>
      </c>
      <c r="Q188" s="177">
        <f>IFERROR(__xludf.DUMMYFUNCTION("""COMPUTED_VALUE"""),0.0)</f>
        <v>0</v>
      </c>
      <c r="R188" s="178">
        <f>IFERROR(__xludf.DUMMYFUNCTION("""COMPUTED_VALUE"""),45879.569444444445)</f>
        <v>45879.56944</v>
      </c>
      <c r="S188" s="177">
        <f>IFERROR(__xludf.DUMMYFUNCTION("""COMPUTED_VALUE"""),22.0)</f>
        <v>22</v>
      </c>
      <c r="T188" s="177" t="str">
        <f>IFERROR(__xludf.DUMMYFUNCTION("""COMPUTED_VALUE"""),"Round 22")</f>
        <v>Round 22</v>
      </c>
      <c r="U188" s="177" t="str">
        <f>IFERROR(__xludf.DUMMYFUNCTION("""COMPUTED_VALUE"""),"Full Time")</f>
        <v>Full Time</v>
      </c>
      <c r="V188" s="177" t="str">
        <f>IFERROR(__xludf.DUMMYFUNCTION("""COMPUTED_VALUE"""),"+10:00")</f>
        <v>+10:00</v>
      </c>
      <c r="W188" s="177">
        <f>IFERROR(__xludf.DUMMYFUNCTION("""COMPUTED_VALUE"""),1.7547972E9)</f>
        <v>1754797200</v>
      </c>
      <c r="X188" s="178">
        <f>IFERROR(__xludf.DUMMYFUNCTION("""COMPUTED_VALUE"""),45879.685960648145)</f>
        <v>45879.68596</v>
      </c>
      <c r="Y188" s="177" t="str">
        <f>IFERROR(__xludf.DUMMYFUNCTION("""COMPUTED_VALUE"""),"Manuka Oval")</f>
        <v>Manuka Oval</v>
      </c>
      <c r="Z188" s="177" t="str">
        <f>IFERROR(__xludf.DUMMYFUNCTION("""COMPUTED_VALUE"""),"Greater Western Sydney")</f>
        <v>Greater Western Sydney</v>
      </c>
      <c r="AA188" s="177">
        <f>IFERROR(__xludf.DUMMYFUNCTION("""COMPUTED_VALUE"""),9.0)</f>
        <v>9</v>
      </c>
      <c r="AB188" s="177">
        <f>IFERROR(__xludf.DUMMYFUNCTION("""COMPUTED_VALUE"""),2025.0)</f>
        <v>2025</v>
      </c>
      <c r="AC188" s="177" t="str">
        <f t="shared" si="3"/>
        <v>Sunday</v>
      </c>
    </row>
    <row r="189">
      <c r="A189" s="175" t="str">
        <f t="shared" si="1"/>
        <v>228</v>
      </c>
      <c r="B189" s="176">
        <f t="shared" si="2"/>
        <v>8</v>
      </c>
      <c r="C189" s="177">
        <f>IFERROR(__xludf.DUMMYFUNCTION("""COMPUTED_VALUE"""),37274.0)</f>
        <v>37274</v>
      </c>
      <c r="D189" s="177">
        <f>IFERROR(__xludf.DUMMYFUNCTION("""COMPUTED_VALUE"""),15.0)</f>
        <v>15</v>
      </c>
      <c r="E189" s="177">
        <f>IFERROR(__xludf.DUMMYFUNCTION("""COMPUTED_VALUE"""),15.0)</f>
        <v>15</v>
      </c>
      <c r="F189" s="177">
        <f>IFERROR(__xludf.DUMMYFUNCTION("""COMPUTED_VALUE"""),105.0)</f>
        <v>105</v>
      </c>
      <c r="G189" s="177" t="str">
        <f>IFERROR(__xludf.DUMMYFUNCTION("""COMPUTED_VALUE"""),"Western Bulldogs")</f>
        <v>Western Bulldogs</v>
      </c>
      <c r="H189" s="177">
        <f>IFERROR(__xludf.DUMMYFUNCTION("""COMPUTED_VALUE"""),18.0)</f>
        <v>18</v>
      </c>
      <c r="I189" s="177">
        <f>IFERROR(__xludf.DUMMYFUNCTION("""COMPUTED_VALUE"""),100.0)</f>
        <v>100</v>
      </c>
      <c r="J189" s="178">
        <f>IFERROR(__xludf.DUMMYFUNCTION("""COMPUTED_VALUE"""),45879.635416666664)</f>
        <v>45879.63542</v>
      </c>
      <c r="K189" s="177">
        <f>IFERROR(__xludf.DUMMYFUNCTION("""COMPUTED_VALUE"""),9.0)</f>
        <v>9</v>
      </c>
      <c r="L189" s="177">
        <f>IFERROR(__xludf.DUMMYFUNCTION("""COMPUTED_VALUE"""),15.0)</f>
        <v>15</v>
      </c>
      <c r="M189" s="177">
        <f>IFERROR(__xludf.DUMMYFUNCTION("""COMPUTED_VALUE"""),99.0)</f>
        <v>99</v>
      </c>
      <c r="N189" s="177" t="str">
        <f>IFERROR(__xludf.DUMMYFUNCTION("""COMPUTED_VALUE"""),"Melbourne")</f>
        <v>Melbourne</v>
      </c>
      <c r="O189" s="177">
        <f>IFERROR(__xludf.DUMMYFUNCTION("""COMPUTED_VALUE"""),11.0)</f>
        <v>11</v>
      </c>
      <c r="P189" s="177">
        <f>IFERROR(__xludf.DUMMYFUNCTION("""COMPUTED_VALUE"""),0.0)</f>
        <v>0</v>
      </c>
      <c r="Q189" s="177">
        <f>IFERROR(__xludf.DUMMYFUNCTION("""COMPUTED_VALUE"""),0.0)</f>
        <v>0</v>
      </c>
      <c r="R189" s="178">
        <f>IFERROR(__xludf.DUMMYFUNCTION("""COMPUTED_VALUE"""),45879.635416666664)</f>
        <v>45879.63542</v>
      </c>
      <c r="S189" s="177">
        <f>IFERROR(__xludf.DUMMYFUNCTION("""COMPUTED_VALUE"""),22.0)</f>
        <v>22</v>
      </c>
      <c r="T189" s="177" t="str">
        <f>IFERROR(__xludf.DUMMYFUNCTION("""COMPUTED_VALUE"""),"Round 22")</f>
        <v>Round 22</v>
      </c>
      <c r="U189" s="177" t="str">
        <f>IFERROR(__xludf.DUMMYFUNCTION("""COMPUTED_VALUE"""),"Full Time")</f>
        <v>Full Time</v>
      </c>
      <c r="V189" s="177" t="str">
        <f>IFERROR(__xludf.DUMMYFUNCTION("""COMPUTED_VALUE"""),"+10:00")</f>
        <v>+10:00</v>
      </c>
      <c r="W189" s="177">
        <f>IFERROR(__xludf.DUMMYFUNCTION("""COMPUTED_VALUE"""),1.7548029E9)</f>
        <v>1754802900</v>
      </c>
      <c r="X189" s="178">
        <f>IFERROR(__xludf.DUMMYFUNCTION("""COMPUTED_VALUE"""),45879.747824074075)</f>
        <v>45879.74782</v>
      </c>
      <c r="Y189" s="177" t="str">
        <f>IFERROR(__xludf.DUMMYFUNCTION("""COMPUTED_VALUE"""),"M.C.G.")</f>
        <v>M.C.G.</v>
      </c>
      <c r="Z189" s="177" t="str">
        <f>IFERROR(__xludf.DUMMYFUNCTION("""COMPUTED_VALUE"""),"Western Bulldogs")</f>
        <v>Western Bulldogs</v>
      </c>
      <c r="AA189" s="177">
        <f>IFERROR(__xludf.DUMMYFUNCTION("""COMPUTED_VALUE"""),18.0)</f>
        <v>18</v>
      </c>
      <c r="AB189" s="177">
        <f>IFERROR(__xludf.DUMMYFUNCTION("""COMPUTED_VALUE"""),2025.0)</f>
        <v>2025</v>
      </c>
      <c r="AC189" s="177" t="str">
        <f t="shared" si="3"/>
        <v>Sunday</v>
      </c>
    </row>
    <row r="190">
      <c r="A190" s="175" t="str">
        <f t="shared" si="1"/>
        <v>229</v>
      </c>
      <c r="B190" s="176">
        <f t="shared" si="2"/>
        <v>9</v>
      </c>
      <c r="C190" s="177">
        <f>IFERROR(__xludf.DUMMYFUNCTION("""COMPUTED_VALUE"""),37278.0)</f>
        <v>37278</v>
      </c>
      <c r="D190" s="177">
        <f>IFERROR(__xludf.DUMMYFUNCTION("""COMPUTED_VALUE"""),9.0)</f>
        <v>9</v>
      </c>
      <c r="E190" s="177">
        <f>IFERROR(__xludf.DUMMYFUNCTION("""COMPUTED_VALUE"""),13.0)</f>
        <v>13</v>
      </c>
      <c r="F190" s="177">
        <f>IFERROR(__xludf.DUMMYFUNCTION("""COMPUTED_VALUE"""),87.0)</f>
        <v>87</v>
      </c>
      <c r="G190" s="177" t="str">
        <f>IFERROR(__xludf.DUMMYFUNCTION("""COMPUTED_VALUE"""),"Adelaide")</f>
        <v>Adelaide</v>
      </c>
      <c r="H190" s="177">
        <f>IFERROR(__xludf.DUMMYFUNCTION("""COMPUTED_VALUE"""),1.0)</f>
        <v>1</v>
      </c>
      <c r="I190" s="177">
        <f>IFERROR(__xludf.DUMMYFUNCTION("""COMPUTED_VALUE"""),100.0)</f>
        <v>100</v>
      </c>
      <c r="J190" s="178">
        <f>IFERROR(__xludf.DUMMYFUNCTION("""COMPUTED_VALUE"""),45879.71527777778)</f>
        <v>45879.71528</v>
      </c>
      <c r="K190" s="177">
        <f>IFERROR(__xludf.DUMMYFUNCTION("""COMPUTED_VALUE"""),6.0)</f>
        <v>6</v>
      </c>
      <c r="L190" s="177">
        <f>IFERROR(__xludf.DUMMYFUNCTION("""COMPUTED_VALUE"""),12.0)</f>
        <v>12</v>
      </c>
      <c r="M190" s="177">
        <f>IFERROR(__xludf.DUMMYFUNCTION("""COMPUTED_VALUE"""),78.0)</f>
        <v>78</v>
      </c>
      <c r="N190" s="177" t="str">
        <f>IFERROR(__xludf.DUMMYFUNCTION("""COMPUTED_VALUE"""),"West Coast")</f>
        <v>West Coast</v>
      </c>
      <c r="O190" s="177">
        <f>IFERROR(__xludf.DUMMYFUNCTION("""COMPUTED_VALUE"""),17.0)</f>
        <v>17</v>
      </c>
      <c r="P190" s="177">
        <f>IFERROR(__xludf.DUMMYFUNCTION("""COMPUTED_VALUE"""),0.0)</f>
        <v>0</v>
      </c>
      <c r="Q190" s="177">
        <f>IFERROR(__xludf.DUMMYFUNCTION("""COMPUTED_VALUE"""),0.0)</f>
        <v>0</v>
      </c>
      <c r="R190" s="178">
        <f>IFERROR(__xludf.DUMMYFUNCTION("""COMPUTED_VALUE"""),45879.631944444445)</f>
        <v>45879.63194</v>
      </c>
      <c r="S190" s="177">
        <f>IFERROR(__xludf.DUMMYFUNCTION("""COMPUTED_VALUE"""),22.0)</f>
        <v>22</v>
      </c>
      <c r="T190" s="177" t="str">
        <f>IFERROR(__xludf.DUMMYFUNCTION("""COMPUTED_VALUE"""),"Round 22")</f>
        <v>Round 22</v>
      </c>
      <c r="U190" s="177" t="str">
        <f>IFERROR(__xludf.DUMMYFUNCTION("""COMPUTED_VALUE"""),"Full Time")</f>
        <v>Full Time</v>
      </c>
      <c r="V190" s="177" t="str">
        <f>IFERROR(__xludf.DUMMYFUNCTION("""COMPUTED_VALUE"""),"+10:00")</f>
        <v>+10:00</v>
      </c>
      <c r="W190" s="177">
        <f>IFERROR(__xludf.DUMMYFUNCTION("""COMPUTED_VALUE"""),1.7548098E9)</f>
        <v>1754809800</v>
      </c>
      <c r="X190" s="178">
        <f>IFERROR(__xludf.DUMMYFUNCTION("""COMPUTED_VALUE"""),45879.82525462963)</f>
        <v>45879.82525</v>
      </c>
      <c r="Y190" s="177" t="str">
        <f>IFERROR(__xludf.DUMMYFUNCTION("""COMPUTED_VALUE"""),"Perth Stadium")</f>
        <v>Perth Stadium</v>
      </c>
      <c r="Z190" s="177" t="str">
        <f>IFERROR(__xludf.DUMMYFUNCTION("""COMPUTED_VALUE"""),"Adelaide")</f>
        <v>Adelaide</v>
      </c>
      <c r="AA190" s="177">
        <f>IFERROR(__xludf.DUMMYFUNCTION("""COMPUTED_VALUE"""),1.0)</f>
        <v>1</v>
      </c>
      <c r="AB190" s="177">
        <f>IFERROR(__xludf.DUMMYFUNCTION("""COMPUTED_VALUE"""),2025.0)</f>
        <v>2025</v>
      </c>
      <c r="AC190" s="177" t="str">
        <f t="shared" si="3"/>
        <v>Sunday</v>
      </c>
    </row>
    <row r="191">
      <c r="A191" s="175" t="str">
        <f t="shared" si="1"/>
        <v>231</v>
      </c>
      <c r="B191" s="176">
        <f t="shared" si="2"/>
        <v>1</v>
      </c>
      <c r="C191" s="177">
        <f>IFERROR(__xludf.DUMMYFUNCTION("""COMPUTED_VALUE"""),37280.0)</f>
        <v>37280</v>
      </c>
      <c r="D191" s="177">
        <f>IFERROR(__xludf.DUMMYFUNCTION("""COMPUTED_VALUE"""),11.0)</f>
        <v>11</v>
      </c>
      <c r="E191" s="177">
        <f>IFERROR(__xludf.DUMMYFUNCTION("""COMPUTED_VALUE"""),11.0)</f>
        <v>11</v>
      </c>
      <c r="F191" s="177">
        <f>IFERROR(__xludf.DUMMYFUNCTION("""COMPUTED_VALUE"""),77.0)</f>
        <v>77</v>
      </c>
      <c r="G191" s="177" t="str">
        <f>IFERROR(__xludf.DUMMYFUNCTION("""COMPUTED_VALUE"""),"St Kilda")</f>
        <v>St Kilda</v>
      </c>
      <c r="H191" s="177">
        <f>IFERROR(__xludf.DUMMYFUNCTION("""COMPUTED_VALUE"""),15.0)</f>
        <v>15</v>
      </c>
      <c r="I191" s="177">
        <f>IFERROR(__xludf.DUMMYFUNCTION("""COMPUTED_VALUE"""),100.0)</f>
        <v>100</v>
      </c>
      <c r="J191" s="178">
        <f>IFERROR(__xludf.DUMMYFUNCTION("""COMPUTED_VALUE"""),45884.805555555555)</f>
        <v>45884.80556</v>
      </c>
      <c r="K191" s="177">
        <f>IFERROR(__xludf.DUMMYFUNCTION("""COMPUTED_VALUE"""),9.0)</f>
        <v>9</v>
      </c>
      <c r="L191" s="177">
        <f>IFERROR(__xludf.DUMMYFUNCTION("""COMPUTED_VALUE"""),11.0)</f>
        <v>11</v>
      </c>
      <c r="M191" s="177">
        <f>IFERROR(__xludf.DUMMYFUNCTION("""COMPUTED_VALUE"""),75.0)</f>
        <v>75</v>
      </c>
      <c r="N191" s="177" t="str">
        <f>IFERROR(__xludf.DUMMYFUNCTION("""COMPUTED_VALUE"""),"Essendon")</f>
        <v>Essendon</v>
      </c>
      <c r="O191" s="177">
        <f>IFERROR(__xludf.DUMMYFUNCTION("""COMPUTED_VALUE"""),5.0)</f>
        <v>5</v>
      </c>
      <c r="P191" s="177">
        <f>IFERROR(__xludf.DUMMYFUNCTION("""COMPUTED_VALUE"""),0.0)</f>
        <v>0</v>
      </c>
      <c r="Q191" s="177">
        <f>IFERROR(__xludf.DUMMYFUNCTION("""COMPUTED_VALUE"""),0.0)</f>
        <v>0</v>
      </c>
      <c r="R191" s="178">
        <f>IFERROR(__xludf.DUMMYFUNCTION("""COMPUTED_VALUE"""),45884.805555555555)</f>
        <v>45884.80556</v>
      </c>
      <c r="S191" s="177">
        <f>IFERROR(__xludf.DUMMYFUNCTION("""COMPUTED_VALUE"""),23.0)</f>
        <v>23</v>
      </c>
      <c r="T191" s="177" t="str">
        <f>IFERROR(__xludf.DUMMYFUNCTION("""COMPUTED_VALUE"""),"Round 23")</f>
        <v>Round 23</v>
      </c>
      <c r="U191" s="177" t="str">
        <f>IFERROR(__xludf.DUMMYFUNCTION("""COMPUTED_VALUE"""),"Full Time")</f>
        <v>Full Time</v>
      </c>
      <c r="V191" s="177" t="str">
        <f>IFERROR(__xludf.DUMMYFUNCTION("""COMPUTED_VALUE"""),"+10:00")</f>
        <v>+10:00</v>
      </c>
      <c r="W191" s="177">
        <f>IFERROR(__xludf.DUMMYFUNCTION("""COMPUTED_VALUE"""),1.7552496E9)</f>
        <v>1755249600</v>
      </c>
      <c r="X191" s="178">
        <f>IFERROR(__xludf.DUMMYFUNCTION("""COMPUTED_VALUE"""),45884.915972222225)</f>
        <v>45884.91597</v>
      </c>
      <c r="Y191" s="177" t="str">
        <f>IFERROR(__xludf.DUMMYFUNCTION("""COMPUTED_VALUE"""),"Docklands")</f>
        <v>Docklands</v>
      </c>
      <c r="Z191" s="177" t="str">
        <f>IFERROR(__xludf.DUMMYFUNCTION("""COMPUTED_VALUE"""),"St Kilda")</f>
        <v>St Kilda</v>
      </c>
      <c r="AA191" s="177">
        <f>IFERROR(__xludf.DUMMYFUNCTION("""COMPUTED_VALUE"""),15.0)</f>
        <v>15</v>
      </c>
      <c r="AB191" s="177">
        <f>IFERROR(__xludf.DUMMYFUNCTION("""COMPUTED_VALUE"""),2025.0)</f>
        <v>2025</v>
      </c>
      <c r="AC191" s="177" t="str">
        <f t="shared" si="3"/>
        <v>Friday</v>
      </c>
    </row>
    <row r="192">
      <c r="A192" s="175" t="str">
        <f t="shared" si="1"/>
        <v>232</v>
      </c>
      <c r="B192" s="176">
        <f t="shared" si="2"/>
        <v>2</v>
      </c>
      <c r="C192" s="177">
        <f>IFERROR(__xludf.DUMMYFUNCTION("""COMPUTED_VALUE"""),37287.0)</f>
        <v>37287</v>
      </c>
      <c r="D192" s="177">
        <f>IFERROR(__xludf.DUMMYFUNCTION("""COMPUTED_VALUE"""),11.0)</f>
        <v>11</v>
      </c>
      <c r="E192" s="177">
        <f>IFERROR(__xludf.DUMMYFUNCTION("""COMPUTED_VALUE"""),15.0)</f>
        <v>15</v>
      </c>
      <c r="F192" s="177">
        <f>IFERROR(__xludf.DUMMYFUNCTION("""COMPUTED_VALUE"""),101.0)</f>
        <v>101</v>
      </c>
      <c r="G192" s="177" t="str">
        <f>IFERROR(__xludf.DUMMYFUNCTION("""COMPUTED_VALUE"""),"Brisbane Lions")</f>
        <v>Brisbane Lions</v>
      </c>
      <c r="H192" s="177">
        <f>IFERROR(__xludf.DUMMYFUNCTION("""COMPUTED_VALUE"""),2.0)</f>
        <v>2</v>
      </c>
      <c r="I192" s="177">
        <f>IFERROR(__xludf.DUMMYFUNCTION("""COMPUTED_VALUE"""),100.0)</f>
        <v>100</v>
      </c>
      <c r="J192" s="178">
        <f>IFERROR(__xludf.DUMMYFUNCTION("""COMPUTED_VALUE"""),45884.84722222222)</f>
        <v>45884.84722</v>
      </c>
      <c r="K192" s="177">
        <f>IFERROR(__xludf.DUMMYFUNCTION("""COMPUTED_VALUE"""),14.0)</f>
        <v>14</v>
      </c>
      <c r="L192" s="177">
        <f>IFERROR(__xludf.DUMMYFUNCTION("""COMPUTED_VALUE"""),5.0)</f>
        <v>5</v>
      </c>
      <c r="M192" s="177">
        <f>IFERROR(__xludf.DUMMYFUNCTION("""COMPUTED_VALUE"""),44.0)</f>
        <v>44</v>
      </c>
      <c r="N192" s="177" t="str">
        <f>IFERROR(__xludf.DUMMYFUNCTION("""COMPUTED_VALUE"""),"Fremantle")</f>
        <v>Fremantle</v>
      </c>
      <c r="O192" s="177">
        <f>IFERROR(__xludf.DUMMYFUNCTION("""COMPUTED_VALUE"""),6.0)</f>
        <v>6</v>
      </c>
      <c r="P192" s="177">
        <f>IFERROR(__xludf.DUMMYFUNCTION("""COMPUTED_VALUE"""),0.0)</f>
        <v>0</v>
      </c>
      <c r="Q192" s="177">
        <f>IFERROR(__xludf.DUMMYFUNCTION("""COMPUTED_VALUE"""),0.0)</f>
        <v>0</v>
      </c>
      <c r="R192" s="178">
        <f>IFERROR(__xludf.DUMMYFUNCTION("""COMPUTED_VALUE"""),45884.76388888889)</f>
        <v>45884.76389</v>
      </c>
      <c r="S192" s="177">
        <f>IFERROR(__xludf.DUMMYFUNCTION("""COMPUTED_VALUE"""),23.0)</f>
        <v>23</v>
      </c>
      <c r="T192" s="177" t="str">
        <f>IFERROR(__xludf.DUMMYFUNCTION("""COMPUTED_VALUE"""),"Round 23")</f>
        <v>Round 23</v>
      </c>
      <c r="U192" s="177" t="str">
        <f>IFERROR(__xludf.DUMMYFUNCTION("""COMPUTED_VALUE"""),"Full Time")</f>
        <v>Full Time</v>
      </c>
      <c r="V192" s="177" t="str">
        <f>IFERROR(__xludf.DUMMYFUNCTION("""COMPUTED_VALUE"""),"+10:00")</f>
        <v>+10:00</v>
      </c>
      <c r="W192" s="177">
        <f>IFERROR(__xludf.DUMMYFUNCTION("""COMPUTED_VALUE"""),1.7552532E9)</f>
        <v>1755253200</v>
      </c>
      <c r="X192" s="178">
        <f>IFERROR(__xludf.DUMMYFUNCTION("""COMPUTED_VALUE"""),45884.96172453704)</f>
        <v>45884.96172</v>
      </c>
      <c r="Y192" s="177" t="str">
        <f>IFERROR(__xludf.DUMMYFUNCTION("""COMPUTED_VALUE"""),"Perth Stadium")</f>
        <v>Perth Stadium</v>
      </c>
      <c r="Z192" s="177" t="str">
        <f>IFERROR(__xludf.DUMMYFUNCTION("""COMPUTED_VALUE"""),"Brisbane Lions")</f>
        <v>Brisbane Lions</v>
      </c>
      <c r="AA192" s="177">
        <f>IFERROR(__xludf.DUMMYFUNCTION("""COMPUTED_VALUE"""),2.0)</f>
        <v>2</v>
      </c>
      <c r="AB192" s="177">
        <f>IFERROR(__xludf.DUMMYFUNCTION("""COMPUTED_VALUE"""),2025.0)</f>
        <v>2025</v>
      </c>
      <c r="AC192" s="177" t="str">
        <f t="shared" si="3"/>
        <v>Friday</v>
      </c>
    </row>
    <row r="193">
      <c r="A193" s="175" t="str">
        <f t="shared" si="1"/>
        <v>233</v>
      </c>
      <c r="B193" s="176">
        <f t="shared" si="2"/>
        <v>3</v>
      </c>
      <c r="C193" s="177">
        <f>IFERROR(__xludf.DUMMYFUNCTION("""COMPUTED_VALUE"""),37284.0)</f>
        <v>37284</v>
      </c>
      <c r="D193" s="177">
        <f>IFERROR(__xludf.DUMMYFUNCTION("""COMPUTED_VALUE"""),9.0)</f>
        <v>9</v>
      </c>
      <c r="E193" s="177">
        <f>IFERROR(__xludf.DUMMYFUNCTION("""COMPUTED_VALUE"""),17.0)</f>
        <v>17</v>
      </c>
      <c r="F193" s="177">
        <f>IFERROR(__xludf.DUMMYFUNCTION("""COMPUTED_VALUE"""),111.0)</f>
        <v>111</v>
      </c>
      <c r="G193" s="177" t="str">
        <f>IFERROR(__xludf.DUMMYFUNCTION("""COMPUTED_VALUE"""),"Greater Western Sydney")</f>
        <v>Greater Western Sydney</v>
      </c>
      <c r="H193" s="177">
        <f>IFERROR(__xludf.DUMMYFUNCTION("""COMPUTED_VALUE"""),9.0)</f>
        <v>9</v>
      </c>
      <c r="I193" s="177">
        <f>IFERROR(__xludf.DUMMYFUNCTION("""COMPUTED_VALUE"""),100.0)</f>
        <v>100</v>
      </c>
      <c r="J193" s="178">
        <f>IFERROR(__xludf.DUMMYFUNCTION("""COMPUTED_VALUE"""),45885.524305555555)</f>
        <v>45885.52431</v>
      </c>
      <c r="K193" s="177">
        <f>IFERROR(__xludf.DUMMYFUNCTION("""COMPUTED_VALUE"""),10.0)</f>
        <v>10</v>
      </c>
      <c r="L193" s="177">
        <f>IFERROR(__xludf.DUMMYFUNCTION("""COMPUTED_VALUE"""),11.0)</f>
        <v>11</v>
      </c>
      <c r="M193" s="177">
        <f>IFERROR(__xludf.DUMMYFUNCTION("""COMPUTED_VALUE"""),76.0)</f>
        <v>76</v>
      </c>
      <c r="N193" s="177" t="str">
        <f>IFERROR(__xludf.DUMMYFUNCTION("""COMPUTED_VALUE"""),"Gold Coast")</f>
        <v>Gold Coast</v>
      </c>
      <c r="O193" s="177">
        <f>IFERROR(__xludf.DUMMYFUNCTION("""COMPUTED_VALUE"""),8.0)</f>
        <v>8</v>
      </c>
      <c r="P193" s="177">
        <f>IFERROR(__xludf.DUMMYFUNCTION("""COMPUTED_VALUE"""),0.0)</f>
        <v>0</v>
      </c>
      <c r="Q193" s="177">
        <f>IFERROR(__xludf.DUMMYFUNCTION("""COMPUTED_VALUE"""),0.0)</f>
        <v>0</v>
      </c>
      <c r="R193" s="178">
        <f>IFERROR(__xludf.DUMMYFUNCTION("""COMPUTED_VALUE"""),45885.524305555555)</f>
        <v>45885.52431</v>
      </c>
      <c r="S193" s="177">
        <f>IFERROR(__xludf.DUMMYFUNCTION("""COMPUTED_VALUE"""),23.0)</f>
        <v>23</v>
      </c>
      <c r="T193" s="177" t="str">
        <f>IFERROR(__xludf.DUMMYFUNCTION("""COMPUTED_VALUE"""),"Round 23")</f>
        <v>Round 23</v>
      </c>
      <c r="U193" s="177" t="str">
        <f>IFERROR(__xludf.DUMMYFUNCTION("""COMPUTED_VALUE"""),"Full Time")</f>
        <v>Full Time</v>
      </c>
      <c r="V193" s="177" t="str">
        <f>IFERROR(__xludf.DUMMYFUNCTION("""COMPUTED_VALUE"""),"+10:00")</f>
        <v>+10:00</v>
      </c>
      <c r="W193" s="177">
        <f>IFERROR(__xludf.DUMMYFUNCTION("""COMPUTED_VALUE"""),1.7553117E9)</f>
        <v>1755311700</v>
      </c>
      <c r="X193" s="178">
        <f>IFERROR(__xludf.DUMMYFUNCTION("""COMPUTED_VALUE"""),45885.634733796294)</f>
        <v>45885.63473</v>
      </c>
      <c r="Y193" s="177" t="str">
        <f>IFERROR(__xludf.DUMMYFUNCTION("""COMPUTED_VALUE"""),"Carrara")</f>
        <v>Carrara</v>
      </c>
      <c r="Z193" s="177" t="str">
        <f>IFERROR(__xludf.DUMMYFUNCTION("""COMPUTED_VALUE"""),"Greater Western Sydney")</f>
        <v>Greater Western Sydney</v>
      </c>
      <c r="AA193" s="177">
        <f>IFERROR(__xludf.DUMMYFUNCTION("""COMPUTED_VALUE"""),9.0)</f>
        <v>9</v>
      </c>
      <c r="AB193" s="177">
        <f>IFERROR(__xludf.DUMMYFUNCTION("""COMPUTED_VALUE"""),2025.0)</f>
        <v>2025</v>
      </c>
      <c r="AC193" s="177" t="str">
        <f t="shared" si="3"/>
        <v>Saturday</v>
      </c>
    </row>
    <row r="194">
      <c r="A194" s="175" t="str">
        <f t="shared" si="1"/>
        <v>234</v>
      </c>
      <c r="B194" s="176">
        <f t="shared" si="2"/>
        <v>4</v>
      </c>
      <c r="C194" s="177">
        <f>IFERROR(__xludf.DUMMYFUNCTION("""COMPUTED_VALUE"""),37282.0)</f>
        <v>37282</v>
      </c>
      <c r="D194" s="177">
        <f>IFERROR(__xludf.DUMMYFUNCTION("""COMPUTED_VALUE"""),10.0)</f>
        <v>10</v>
      </c>
      <c r="E194" s="177">
        <f>IFERROR(__xludf.DUMMYFUNCTION("""COMPUTED_VALUE"""),9.0)</f>
        <v>9</v>
      </c>
      <c r="F194" s="177">
        <f>IFERROR(__xludf.DUMMYFUNCTION("""COMPUTED_VALUE"""),64.0)</f>
        <v>64</v>
      </c>
      <c r="G194" s="177" t="str">
        <f>IFERROR(__xludf.DUMMYFUNCTION("""COMPUTED_VALUE"""),"Port Adelaide")</f>
        <v>Port Adelaide</v>
      </c>
      <c r="H194" s="177">
        <f>IFERROR(__xludf.DUMMYFUNCTION("""COMPUTED_VALUE"""),13.0)</f>
        <v>13</v>
      </c>
      <c r="I194" s="177">
        <f>IFERROR(__xludf.DUMMYFUNCTION("""COMPUTED_VALUE"""),100.0)</f>
        <v>100</v>
      </c>
      <c r="J194" s="178">
        <f>IFERROR(__xludf.DUMMYFUNCTION("""COMPUTED_VALUE"""),45885.555555555555)</f>
        <v>45885.55556</v>
      </c>
      <c r="K194" s="177">
        <f>IFERROR(__xludf.DUMMYFUNCTION("""COMPUTED_VALUE"""),10.0)</f>
        <v>10</v>
      </c>
      <c r="L194" s="177">
        <f>IFERROR(__xludf.DUMMYFUNCTION("""COMPUTED_VALUE"""),18.0)</f>
        <v>18</v>
      </c>
      <c r="M194" s="177">
        <f>IFERROR(__xludf.DUMMYFUNCTION("""COMPUTED_VALUE"""),118.0)</f>
        <v>118</v>
      </c>
      <c r="N194" s="177" t="str">
        <f>IFERROR(__xludf.DUMMYFUNCTION("""COMPUTED_VALUE"""),"Carlton")</f>
        <v>Carlton</v>
      </c>
      <c r="O194" s="177">
        <f>IFERROR(__xludf.DUMMYFUNCTION("""COMPUTED_VALUE"""),3.0)</f>
        <v>3</v>
      </c>
      <c r="P194" s="177">
        <f>IFERROR(__xludf.DUMMYFUNCTION("""COMPUTED_VALUE"""),0.0)</f>
        <v>0</v>
      </c>
      <c r="Q194" s="177">
        <f>IFERROR(__xludf.DUMMYFUNCTION("""COMPUTED_VALUE"""),0.0)</f>
        <v>0</v>
      </c>
      <c r="R194" s="178">
        <f>IFERROR(__xludf.DUMMYFUNCTION("""COMPUTED_VALUE"""),45885.555555555555)</f>
        <v>45885.55556</v>
      </c>
      <c r="S194" s="177">
        <f>IFERROR(__xludf.DUMMYFUNCTION("""COMPUTED_VALUE"""),23.0)</f>
        <v>23</v>
      </c>
      <c r="T194" s="177" t="str">
        <f>IFERROR(__xludf.DUMMYFUNCTION("""COMPUTED_VALUE"""),"Round 23")</f>
        <v>Round 23</v>
      </c>
      <c r="U194" s="177" t="str">
        <f>IFERROR(__xludf.DUMMYFUNCTION("""COMPUTED_VALUE"""),"Full Time")</f>
        <v>Full Time</v>
      </c>
      <c r="V194" s="177" t="str">
        <f>IFERROR(__xludf.DUMMYFUNCTION("""COMPUTED_VALUE"""),"+10:00")</f>
        <v>+10:00</v>
      </c>
      <c r="W194" s="177">
        <f>IFERROR(__xludf.DUMMYFUNCTION("""COMPUTED_VALUE"""),1.7553144E9)</f>
        <v>1755314400</v>
      </c>
      <c r="X194" s="178">
        <f>IFERROR(__xludf.DUMMYFUNCTION("""COMPUTED_VALUE"""),45885.66542824074)</f>
        <v>45885.66543</v>
      </c>
      <c r="Y194" s="177" t="str">
        <f>IFERROR(__xludf.DUMMYFUNCTION("""COMPUTED_VALUE"""),"Docklands")</f>
        <v>Docklands</v>
      </c>
      <c r="Z194" s="177" t="str">
        <f>IFERROR(__xludf.DUMMYFUNCTION("""COMPUTED_VALUE"""),"Carlton")</f>
        <v>Carlton</v>
      </c>
      <c r="AA194" s="177">
        <f>IFERROR(__xludf.DUMMYFUNCTION("""COMPUTED_VALUE"""),3.0)</f>
        <v>3</v>
      </c>
      <c r="AB194" s="177">
        <f>IFERROR(__xludf.DUMMYFUNCTION("""COMPUTED_VALUE"""),2025.0)</f>
        <v>2025</v>
      </c>
      <c r="AC194" s="177" t="str">
        <f t="shared" si="3"/>
        <v>Saturday</v>
      </c>
    </row>
    <row r="195">
      <c r="A195" s="175" t="str">
        <f t="shared" si="1"/>
        <v>235</v>
      </c>
      <c r="B195" s="176">
        <f t="shared" si="2"/>
        <v>5</v>
      </c>
      <c r="C195" s="177">
        <f>IFERROR(__xludf.DUMMYFUNCTION("""COMPUTED_VALUE"""),37283.0)</f>
        <v>37283</v>
      </c>
      <c r="D195" s="177">
        <f>IFERROR(__xludf.DUMMYFUNCTION("""COMPUTED_VALUE"""),8.0)</f>
        <v>8</v>
      </c>
      <c r="E195" s="177">
        <f>IFERROR(__xludf.DUMMYFUNCTION("""COMPUTED_VALUE"""),8.0)</f>
        <v>8</v>
      </c>
      <c r="F195" s="177">
        <f>IFERROR(__xludf.DUMMYFUNCTION("""COMPUTED_VALUE"""),56.0)</f>
        <v>56</v>
      </c>
      <c r="G195" s="177" t="str">
        <f>IFERROR(__xludf.DUMMYFUNCTION("""COMPUTED_VALUE"""),"Melbourne")</f>
        <v>Melbourne</v>
      </c>
      <c r="H195" s="177">
        <f>IFERROR(__xludf.DUMMYFUNCTION("""COMPUTED_VALUE"""),11.0)</f>
        <v>11</v>
      </c>
      <c r="I195" s="177">
        <f>IFERROR(__xludf.DUMMYFUNCTION("""COMPUTED_VALUE"""),100.0)</f>
        <v>100</v>
      </c>
      <c r="J195" s="178">
        <f>IFERROR(__xludf.DUMMYFUNCTION("""COMPUTED_VALUE"""),45885.677083333336)</f>
        <v>45885.67708</v>
      </c>
      <c r="K195" s="177">
        <f>IFERROR(__xludf.DUMMYFUNCTION("""COMPUTED_VALUE"""),14.0)</f>
        <v>14</v>
      </c>
      <c r="L195" s="177">
        <f>IFERROR(__xludf.DUMMYFUNCTION("""COMPUTED_VALUE"""),13.0)</f>
        <v>13</v>
      </c>
      <c r="M195" s="177">
        <f>IFERROR(__xludf.DUMMYFUNCTION("""COMPUTED_VALUE"""),92.0)</f>
        <v>92</v>
      </c>
      <c r="N195" s="177" t="str">
        <f>IFERROR(__xludf.DUMMYFUNCTION("""COMPUTED_VALUE"""),"Hawthorn")</f>
        <v>Hawthorn</v>
      </c>
      <c r="O195" s="177">
        <f>IFERROR(__xludf.DUMMYFUNCTION("""COMPUTED_VALUE"""),10.0)</f>
        <v>10</v>
      </c>
      <c r="P195" s="177">
        <f>IFERROR(__xludf.DUMMYFUNCTION("""COMPUTED_VALUE"""),0.0)</f>
        <v>0</v>
      </c>
      <c r="Q195" s="177">
        <f>IFERROR(__xludf.DUMMYFUNCTION("""COMPUTED_VALUE"""),0.0)</f>
        <v>0</v>
      </c>
      <c r="R195" s="178">
        <f>IFERROR(__xludf.DUMMYFUNCTION("""COMPUTED_VALUE"""),45885.677083333336)</f>
        <v>45885.67708</v>
      </c>
      <c r="S195" s="177">
        <f>IFERROR(__xludf.DUMMYFUNCTION("""COMPUTED_VALUE"""),23.0)</f>
        <v>23</v>
      </c>
      <c r="T195" s="177" t="str">
        <f>IFERROR(__xludf.DUMMYFUNCTION("""COMPUTED_VALUE"""),"Round 23")</f>
        <v>Round 23</v>
      </c>
      <c r="U195" s="177" t="str">
        <f>IFERROR(__xludf.DUMMYFUNCTION("""COMPUTED_VALUE"""),"Full Time")</f>
        <v>Full Time</v>
      </c>
      <c r="V195" s="177" t="str">
        <f>IFERROR(__xludf.DUMMYFUNCTION("""COMPUTED_VALUE"""),"+10:00")</f>
        <v>+10:00</v>
      </c>
      <c r="W195" s="177">
        <f>IFERROR(__xludf.DUMMYFUNCTION("""COMPUTED_VALUE"""),1.7553249E9)</f>
        <v>1755324900</v>
      </c>
      <c r="X195" s="178">
        <f>IFERROR(__xludf.DUMMYFUNCTION("""COMPUTED_VALUE"""),45885.78428240741)</f>
        <v>45885.78428</v>
      </c>
      <c r="Y195" s="177" t="str">
        <f>IFERROR(__xludf.DUMMYFUNCTION("""COMPUTED_VALUE"""),"M.C.G.")</f>
        <v>M.C.G.</v>
      </c>
      <c r="Z195" s="177" t="str">
        <f>IFERROR(__xludf.DUMMYFUNCTION("""COMPUTED_VALUE"""),"Hawthorn")</f>
        <v>Hawthorn</v>
      </c>
      <c r="AA195" s="177">
        <f>IFERROR(__xludf.DUMMYFUNCTION("""COMPUTED_VALUE"""),10.0)</f>
        <v>10</v>
      </c>
      <c r="AB195" s="177">
        <f>IFERROR(__xludf.DUMMYFUNCTION("""COMPUTED_VALUE"""),2025.0)</f>
        <v>2025</v>
      </c>
      <c r="AC195" s="177" t="str">
        <f t="shared" si="3"/>
        <v>Saturday</v>
      </c>
    </row>
    <row r="196">
      <c r="A196" s="175" t="str">
        <f t="shared" si="1"/>
        <v>236</v>
      </c>
      <c r="B196" s="176">
        <f t="shared" si="2"/>
        <v>6</v>
      </c>
      <c r="C196" s="177">
        <f>IFERROR(__xludf.DUMMYFUNCTION("""COMPUTED_VALUE"""),37286.0)</f>
        <v>37286</v>
      </c>
      <c r="D196" s="177">
        <f>IFERROR(__xludf.DUMMYFUNCTION("""COMPUTED_VALUE"""),8.0)</f>
        <v>8</v>
      </c>
      <c r="E196" s="177">
        <f>IFERROR(__xludf.DUMMYFUNCTION("""COMPUTED_VALUE"""),8.0)</f>
        <v>8</v>
      </c>
      <c r="F196" s="177">
        <f>IFERROR(__xludf.DUMMYFUNCTION("""COMPUTED_VALUE"""),56.0)</f>
        <v>56</v>
      </c>
      <c r="G196" s="177" t="str">
        <f>IFERROR(__xludf.DUMMYFUNCTION("""COMPUTED_VALUE"""),"Collingwood")</f>
        <v>Collingwood</v>
      </c>
      <c r="H196" s="177">
        <f>IFERROR(__xludf.DUMMYFUNCTION("""COMPUTED_VALUE"""),4.0)</f>
        <v>4</v>
      </c>
      <c r="I196" s="177">
        <f>IFERROR(__xludf.DUMMYFUNCTION("""COMPUTED_VALUE"""),100.0)</f>
        <v>100</v>
      </c>
      <c r="J196" s="178">
        <f>IFERROR(__xludf.DUMMYFUNCTION("""COMPUTED_VALUE"""),45885.81597222222)</f>
        <v>45885.81597</v>
      </c>
      <c r="K196" s="177">
        <f>IFERROR(__xludf.DUMMYFUNCTION("""COMPUTED_VALUE"""),5.0)</f>
        <v>5</v>
      </c>
      <c r="L196" s="177">
        <f>IFERROR(__xludf.DUMMYFUNCTION("""COMPUTED_VALUE"""),9.0)</f>
        <v>9</v>
      </c>
      <c r="M196" s="177">
        <f>IFERROR(__xludf.DUMMYFUNCTION("""COMPUTED_VALUE"""),59.0)</f>
        <v>59</v>
      </c>
      <c r="N196" s="177" t="str">
        <f>IFERROR(__xludf.DUMMYFUNCTION("""COMPUTED_VALUE"""),"Adelaide")</f>
        <v>Adelaide</v>
      </c>
      <c r="O196" s="177">
        <f>IFERROR(__xludf.DUMMYFUNCTION("""COMPUTED_VALUE"""),1.0)</f>
        <v>1</v>
      </c>
      <c r="P196" s="177">
        <f>IFERROR(__xludf.DUMMYFUNCTION("""COMPUTED_VALUE"""),0.0)</f>
        <v>0</v>
      </c>
      <c r="Q196" s="177">
        <f>IFERROR(__xludf.DUMMYFUNCTION("""COMPUTED_VALUE"""),0.0)</f>
        <v>0</v>
      </c>
      <c r="R196" s="178">
        <f>IFERROR(__xludf.DUMMYFUNCTION("""COMPUTED_VALUE"""),45885.79513888889)</f>
        <v>45885.79514</v>
      </c>
      <c r="S196" s="177">
        <f>IFERROR(__xludf.DUMMYFUNCTION("""COMPUTED_VALUE"""),23.0)</f>
        <v>23</v>
      </c>
      <c r="T196" s="177" t="str">
        <f>IFERROR(__xludf.DUMMYFUNCTION("""COMPUTED_VALUE"""),"Round 23")</f>
        <v>Round 23</v>
      </c>
      <c r="U196" s="177" t="str">
        <f>IFERROR(__xludf.DUMMYFUNCTION("""COMPUTED_VALUE"""),"Full Time")</f>
        <v>Full Time</v>
      </c>
      <c r="V196" s="177" t="str">
        <f>IFERROR(__xludf.DUMMYFUNCTION("""COMPUTED_VALUE"""),"+10:00")</f>
        <v>+10:00</v>
      </c>
      <c r="W196" s="177">
        <f>IFERROR(__xludf.DUMMYFUNCTION("""COMPUTED_VALUE"""),1.7553369E9)</f>
        <v>1755336900</v>
      </c>
      <c r="X196" s="178">
        <f>IFERROR(__xludf.DUMMYFUNCTION("""COMPUTED_VALUE"""),45885.92799768518)</f>
        <v>45885.928</v>
      </c>
      <c r="Y196" s="177" t="str">
        <f>IFERROR(__xludf.DUMMYFUNCTION("""COMPUTED_VALUE"""),"Adelaide Oval")</f>
        <v>Adelaide Oval</v>
      </c>
      <c r="Z196" s="177" t="str">
        <f>IFERROR(__xludf.DUMMYFUNCTION("""COMPUTED_VALUE"""),"Adelaide")</f>
        <v>Adelaide</v>
      </c>
      <c r="AA196" s="177">
        <f>IFERROR(__xludf.DUMMYFUNCTION("""COMPUTED_VALUE"""),1.0)</f>
        <v>1</v>
      </c>
      <c r="AB196" s="177">
        <f>IFERROR(__xludf.DUMMYFUNCTION("""COMPUTED_VALUE"""),2025.0)</f>
        <v>2025</v>
      </c>
      <c r="AC196" s="177" t="str">
        <f t="shared" si="3"/>
        <v>Saturday</v>
      </c>
    </row>
    <row r="197">
      <c r="A197" s="175" t="str">
        <f t="shared" si="1"/>
        <v>237</v>
      </c>
      <c r="B197" s="176">
        <f t="shared" si="2"/>
        <v>7</v>
      </c>
      <c r="C197" s="177">
        <f>IFERROR(__xludf.DUMMYFUNCTION("""COMPUTED_VALUE"""),37279.0)</f>
        <v>37279</v>
      </c>
      <c r="D197" s="177">
        <f>IFERROR(__xludf.DUMMYFUNCTION("""COMPUTED_VALUE"""),9.0)</f>
        <v>9</v>
      </c>
      <c r="E197" s="177">
        <f>IFERROR(__xludf.DUMMYFUNCTION("""COMPUTED_VALUE"""),13.0)</f>
        <v>13</v>
      </c>
      <c r="F197" s="177">
        <f>IFERROR(__xludf.DUMMYFUNCTION("""COMPUTED_VALUE"""),87.0)</f>
        <v>87</v>
      </c>
      <c r="G197" s="177" t="str">
        <f>IFERROR(__xludf.DUMMYFUNCTION("""COMPUTED_VALUE"""),"Richmond")</f>
        <v>Richmond</v>
      </c>
      <c r="H197" s="177">
        <f>IFERROR(__xludf.DUMMYFUNCTION("""COMPUTED_VALUE"""),14.0)</f>
        <v>14</v>
      </c>
      <c r="I197" s="177">
        <f>IFERROR(__xludf.DUMMYFUNCTION("""COMPUTED_VALUE"""),100.0)</f>
        <v>100</v>
      </c>
      <c r="J197" s="178">
        <f>IFERROR(__xludf.DUMMYFUNCTION("""COMPUTED_VALUE"""),45886.54861111111)</f>
        <v>45886.54861</v>
      </c>
      <c r="K197" s="177">
        <f>IFERROR(__xludf.DUMMYFUNCTION("""COMPUTED_VALUE"""),15.0)</f>
        <v>15</v>
      </c>
      <c r="L197" s="177">
        <f>IFERROR(__xludf.DUMMYFUNCTION("""COMPUTED_VALUE"""),20.0)</f>
        <v>20</v>
      </c>
      <c r="M197" s="177">
        <f>IFERROR(__xludf.DUMMYFUNCTION("""COMPUTED_VALUE"""),135.0)</f>
        <v>135</v>
      </c>
      <c r="N197" s="177" t="str">
        <f>IFERROR(__xludf.DUMMYFUNCTION("""COMPUTED_VALUE"""),"North Melbourne")</f>
        <v>North Melbourne</v>
      </c>
      <c r="O197" s="177">
        <f>IFERROR(__xludf.DUMMYFUNCTION("""COMPUTED_VALUE"""),12.0)</f>
        <v>12</v>
      </c>
      <c r="P197" s="177">
        <f>IFERROR(__xludf.DUMMYFUNCTION("""COMPUTED_VALUE"""),0.0)</f>
        <v>0</v>
      </c>
      <c r="Q197" s="177">
        <f>IFERROR(__xludf.DUMMYFUNCTION("""COMPUTED_VALUE"""),0.0)</f>
        <v>0</v>
      </c>
      <c r="R197" s="178">
        <f>IFERROR(__xludf.DUMMYFUNCTION("""COMPUTED_VALUE"""),45886.54861111111)</f>
        <v>45886.54861</v>
      </c>
      <c r="S197" s="177">
        <f>IFERROR(__xludf.DUMMYFUNCTION("""COMPUTED_VALUE"""),23.0)</f>
        <v>23</v>
      </c>
      <c r="T197" s="177" t="str">
        <f>IFERROR(__xludf.DUMMYFUNCTION("""COMPUTED_VALUE"""),"Round 23")</f>
        <v>Round 23</v>
      </c>
      <c r="U197" s="177" t="str">
        <f>IFERROR(__xludf.DUMMYFUNCTION("""COMPUTED_VALUE"""),"Full Time")</f>
        <v>Full Time</v>
      </c>
      <c r="V197" s="177" t="str">
        <f>IFERROR(__xludf.DUMMYFUNCTION("""COMPUTED_VALUE"""),"+10:00")</f>
        <v>+10:00</v>
      </c>
      <c r="W197" s="177">
        <f>IFERROR(__xludf.DUMMYFUNCTION("""COMPUTED_VALUE"""),1.7554002E9)</f>
        <v>1755400200</v>
      </c>
      <c r="X197" s="178">
        <f>IFERROR(__xludf.DUMMYFUNCTION("""COMPUTED_VALUE"""),45886.66861111111)</f>
        <v>45886.66861</v>
      </c>
      <c r="Y197" s="177" t="str">
        <f>IFERROR(__xludf.DUMMYFUNCTION("""COMPUTED_VALUE"""),"Bellerive Oval")</f>
        <v>Bellerive Oval</v>
      </c>
      <c r="Z197" s="177" t="str">
        <f>IFERROR(__xludf.DUMMYFUNCTION("""COMPUTED_VALUE"""),"North Melbourne")</f>
        <v>North Melbourne</v>
      </c>
      <c r="AA197" s="177">
        <f>IFERROR(__xludf.DUMMYFUNCTION("""COMPUTED_VALUE"""),12.0)</f>
        <v>12</v>
      </c>
      <c r="AB197" s="177">
        <f>IFERROR(__xludf.DUMMYFUNCTION("""COMPUTED_VALUE"""),2025.0)</f>
        <v>2025</v>
      </c>
      <c r="AC197" s="177" t="str">
        <f t="shared" si="3"/>
        <v>Sunday</v>
      </c>
    </row>
    <row r="198">
      <c r="A198" s="175" t="str">
        <f t="shared" si="1"/>
        <v>238</v>
      </c>
      <c r="B198" s="176">
        <f t="shared" si="2"/>
        <v>8</v>
      </c>
      <c r="C198" s="177">
        <f>IFERROR(__xludf.DUMMYFUNCTION("""COMPUTED_VALUE"""),37285.0)</f>
        <v>37285</v>
      </c>
      <c r="D198" s="177">
        <f>IFERROR(__xludf.DUMMYFUNCTION("""COMPUTED_VALUE"""),15.0)</f>
        <v>15</v>
      </c>
      <c r="E198" s="177">
        <f>IFERROR(__xludf.DUMMYFUNCTION("""COMPUTED_VALUE"""),16.0)</f>
        <v>16</v>
      </c>
      <c r="F198" s="177">
        <f>IFERROR(__xludf.DUMMYFUNCTION("""COMPUTED_VALUE"""),111.0)</f>
        <v>111</v>
      </c>
      <c r="G198" s="177" t="str">
        <f>IFERROR(__xludf.DUMMYFUNCTION("""COMPUTED_VALUE"""),"Geelong")</f>
        <v>Geelong</v>
      </c>
      <c r="H198" s="177">
        <f>IFERROR(__xludf.DUMMYFUNCTION("""COMPUTED_VALUE"""),7.0)</f>
        <v>7</v>
      </c>
      <c r="I198" s="177">
        <f>IFERROR(__xludf.DUMMYFUNCTION("""COMPUTED_VALUE"""),100.0)</f>
        <v>100</v>
      </c>
      <c r="J198" s="178">
        <f>IFERROR(__xludf.DUMMYFUNCTION("""COMPUTED_VALUE"""),45886.635416666664)</f>
        <v>45886.63542</v>
      </c>
      <c r="K198" s="177">
        <f>IFERROR(__xludf.DUMMYFUNCTION("""COMPUTED_VALUE"""),8.0)</f>
        <v>8</v>
      </c>
      <c r="L198" s="177">
        <f>IFERROR(__xludf.DUMMYFUNCTION("""COMPUTED_VALUE"""),10.0)</f>
        <v>10</v>
      </c>
      <c r="M198" s="177">
        <f>IFERROR(__xludf.DUMMYFUNCTION("""COMPUTED_VALUE"""),68.0)</f>
        <v>68</v>
      </c>
      <c r="N198" s="177" t="str">
        <f>IFERROR(__xludf.DUMMYFUNCTION("""COMPUTED_VALUE"""),"Sydney")</f>
        <v>Sydney</v>
      </c>
      <c r="O198" s="177">
        <f>IFERROR(__xludf.DUMMYFUNCTION("""COMPUTED_VALUE"""),16.0)</f>
        <v>16</v>
      </c>
      <c r="P198" s="177">
        <f>IFERROR(__xludf.DUMMYFUNCTION("""COMPUTED_VALUE"""),0.0)</f>
        <v>0</v>
      </c>
      <c r="Q198" s="177">
        <f>IFERROR(__xludf.DUMMYFUNCTION("""COMPUTED_VALUE"""),0.0)</f>
        <v>0</v>
      </c>
      <c r="R198" s="178">
        <f>IFERROR(__xludf.DUMMYFUNCTION("""COMPUTED_VALUE"""),45886.635416666664)</f>
        <v>45886.63542</v>
      </c>
      <c r="S198" s="177">
        <f>IFERROR(__xludf.DUMMYFUNCTION("""COMPUTED_VALUE"""),23.0)</f>
        <v>23</v>
      </c>
      <c r="T198" s="177" t="str">
        <f>IFERROR(__xludf.DUMMYFUNCTION("""COMPUTED_VALUE"""),"Round 23")</f>
        <v>Round 23</v>
      </c>
      <c r="U198" s="177" t="str">
        <f>IFERROR(__xludf.DUMMYFUNCTION("""COMPUTED_VALUE"""),"Full Time")</f>
        <v>Full Time</v>
      </c>
      <c r="V198" s="177" t="str">
        <f>IFERROR(__xludf.DUMMYFUNCTION("""COMPUTED_VALUE"""),"+10:00")</f>
        <v>+10:00</v>
      </c>
      <c r="W198" s="177">
        <f>IFERROR(__xludf.DUMMYFUNCTION("""COMPUTED_VALUE"""),1.7554077E9)</f>
        <v>1755407700</v>
      </c>
      <c r="X198" s="178">
        <f>IFERROR(__xludf.DUMMYFUNCTION("""COMPUTED_VALUE"""),45886.747465277775)</f>
        <v>45886.74747</v>
      </c>
      <c r="Y198" s="177" t="str">
        <f>IFERROR(__xludf.DUMMYFUNCTION("""COMPUTED_VALUE"""),"S.C.G.")</f>
        <v>S.C.G.</v>
      </c>
      <c r="Z198" s="177" t="str">
        <f>IFERROR(__xludf.DUMMYFUNCTION("""COMPUTED_VALUE"""),"Geelong")</f>
        <v>Geelong</v>
      </c>
      <c r="AA198" s="177">
        <f>IFERROR(__xludf.DUMMYFUNCTION("""COMPUTED_VALUE"""),7.0)</f>
        <v>7</v>
      </c>
      <c r="AB198" s="177">
        <f>IFERROR(__xludf.DUMMYFUNCTION("""COMPUTED_VALUE"""),2025.0)</f>
        <v>2025</v>
      </c>
      <c r="AC198" s="177" t="str">
        <f t="shared" si="3"/>
        <v>Sunday</v>
      </c>
    </row>
    <row r="199">
      <c r="A199" s="175" t="str">
        <f t="shared" si="1"/>
        <v>239</v>
      </c>
      <c r="B199" s="176">
        <f t="shared" si="2"/>
        <v>9</v>
      </c>
      <c r="C199" s="177">
        <f>IFERROR(__xludf.DUMMYFUNCTION("""COMPUTED_VALUE"""),37281.0)</f>
        <v>37281</v>
      </c>
      <c r="D199" s="177">
        <f>IFERROR(__xludf.DUMMYFUNCTION("""COMPUTED_VALUE"""),8.0)</f>
        <v>8</v>
      </c>
      <c r="E199" s="177">
        <f>IFERROR(__xludf.DUMMYFUNCTION("""COMPUTED_VALUE"""),4.0)</f>
        <v>4</v>
      </c>
      <c r="F199" s="177">
        <f>IFERROR(__xludf.DUMMYFUNCTION("""COMPUTED_VALUE"""),32.0)</f>
        <v>32</v>
      </c>
      <c r="G199" s="177" t="str">
        <f>IFERROR(__xludf.DUMMYFUNCTION("""COMPUTED_VALUE"""),"West Coast")</f>
        <v>West Coast</v>
      </c>
      <c r="H199" s="177">
        <f>IFERROR(__xludf.DUMMYFUNCTION("""COMPUTED_VALUE"""),17.0)</f>
        <v>17</v>
      </c>
      <c r="I199" s="177">
        <f>IFERROR(__xludf.DUMMYFUNCTION("""COMPUTED_VALUE"""),100.0)</f>
        <v>100</v>
      </c>
      <c r="J199" s="178">
        <f>IFERROR(__xludf.DUMMYFUNCTION("""COMPUTED_VALUE"""),45886.694444444445)</f>
        <v>45886.69444</v>
      </c>
      <c r="K199" s="177">
        <f>IFERROR(__xludf.DUMMYFUNCTION("""COMPUTED_VALUE"""),12.0)</f>
        <v>12</v>
      </c>
      <c r="L199" s="177">
        <f>IFERROR(__xludf.DUMMYFUNCTION("""COMPUTED_VALUE"""),19.0)</f>
        <v>19</v>
      </c>
      <c r="M199" s="177">
        <f>IFERROR(__xludf.DUMMYFUNCTION("""COMPUTED_VALUE"""),126.0)</f>
        <v>126</v>
      </c>
      <c r="N199" s="177" t="str">
        <f>IFERROR(__xludf.DUMMYFUNCTION("""COMPUTED_VALUE"""),"Western Bulldogs")</f>
        <v>Western Bulldogs</v>
      </c>
      <c r="O199" s="177">
        <f>IFERROR(__xludf.DUMMYFUNCTION("""COMPUTED_VALUE"""),18.0)</f>
        <v>18</v>
      </c>
      <c r="P199" s="177">
        <f>IFERROR(__xludf.DUMMYFUNCTION("""COMPUTED_VALUE"""),0.0)</f>
        <v>0</v>
      </c>
      <c r="Q199" s="177">
        <f>IFERROR(__xludf.DUMMYFUNCTION("""COMPUTED_VALUE"""),0.0)</f>
        <v>0</v>
      </c>
      <c r="R199" s="178">
        <f>IFERROR(__xludf.DUMMYFUNCTION("""COMPUTED_VALUE"""),45886.694444444445)</f>
        <v>45886.69444</v>
      </c>
      <c r="S199" s="177">
        <f>IFERROR(__xludf.DUMMYFUNCTION("""COMPUTED_VALUE"""),23.0)</f>
        <v>23</v>
      </c>
      <c r="T199" s="177" t="str">
        <f>IFERROR(__xludf.DUMMYFUNCTION("""COMPUTED_VALUE"""),"Round 23")</f>
        <v>Round 23</v>
      </c>
      <c r="U199" s="177" t="str">
        <f>IFERROR(__xludf.DUMMYFUNCTION("""COMPUTED_VALUE"""),"Full Time")</f>
        <v>Full Time</v>
      </c>
      <c r="V199" s="177" t="str">
        <f>IFERROR(__xludf.DUMMYFUNCTION("""COMPUTED_VALUE"""),"+10:00")</f>
        <v>+10:00</v>
      </c>
      <c r="W199" s="177">
        <f>IFERROR(__xludf.DUMMYFUNCTION("""COMPUTED_VALUE"""),1.7554128E9)</f>
        <v>1755412800</v>
      </c>
      <c r="X199" s="178">
        <f>IFERROR(__xludf.DUMMYFUNCTION("""COMPUTED_VALUE"""),45886.80231481481)</f>
        <v>45886.80231</v>
      </c>
      <c r="Y199" s="177" t="str">
        <f>IFERROR(__xludf.DUMMYFUNCTION("""COMPUTED_VALUE"""),"Docklands")</f>
        <v>Docklands</v>
      </c>
      <c r="Z199" s="177" t="str">
        <f>IFERROR(__xludf.DUMMYFUNCTION("""COMPUTED_VALUE"""),"Western Bulldogs")</f>
        <v>Western Bulldogs</v>
      </c>
      <c r="AA199" s="177">
        <f>IFERROR(__xludf.DUMMYFUNCTION("""COMPUTED_VALUE"""),18.0)</f>
        <v>18</v>
      </c>
      <c r="AB199" s="177">
        <f>IFERROR(__xludf.DUMMYFUNCTION("""COMPUTED_VALUE"""),2025.0)</f>
        <v>2025</v>
      </c>
      <c r="AC199" s="177" t="str">
        <f t="shared" si="3"/>
        <v>Sunday</v>
      </c>
    </row>
    <row r="200">
      <c r="A200" s="175" t="str">
        <f t="shared" si="1"/>
        <v>241</v>
      </c>
      <c r="B200" s="176">
        <f t="shared" si="2"/>
        <v>1</v>
      </c>
      <c r="C200" s="177">
        <f>IFERROR(__xludf.DUMMYFUNCTION("""COMPUTED_VALUE"""),37293.0)</f>
        <v>37293</v>
      </c>
      <c r="D200" s="177"/>
      <c r="E200" s="177"/>
      <c r="F200" s="177">
        <f>IFERROR(__xludf.DUMMYFUNCTION("""COMPUTED_VALUE"""),0.0)</f>
        <v>0</v>
      </c>
      <c r="G200" s="177" t="str">
        <f>IFERROR(__xludf.DUMMYFUNCTION("""COMPUTED_VALUE"""),"Carlton")</f>
        <v>Carlton</v>
      </c>
      <c r="H200" s="177">
        <f>IFERROR(__xludf.DUMMYFUNCTION("""COMPUTED_VALUE"""),3.0)</f>
        <v>3</v>
      </c>
      <c r="I200" s="177">
        <f>IFERROR(__xludf.DUMMYFUNCTION("""COMPUTED_VALUE"""),0.0)</f>
        <v>0</v>
      </c>
      <c r="J200" s="178">
        <f>IFERROR(__xludf.DUMMYFUNCTION("""COMPUTED_VALUE"""),45890.8125)</f>
        <v>45890.8125</v>
      </c>
      <c r="K200" s="177"/>
      <c r="L200" s="177"/>
      <c r="M200" s="177">
        <f>IFERROR(__xludf.DUMMYFUNCTION("""COMPUTED_VALUE"""),0.0)</f>
        <v>0</v>
      </c>
      <c r="N200" s="177" t="str">
        <f>IFERROR(__xludf.DUMMYFUNCTION("""COMPUTED_VALUE"""),"Essendon")</f>
        <v>Essendon</v>
      </c>
      <c r="O200" s="177">
        <f>IFERROR(__xludf.DUMMYFUNCTION("""COMPUTED_VALUE"""),5.0)</f>
        <v>5</v>
      </c>
      <c r="P200" s="177">
        <f>IFERROR(__xludf.DUMMYFUNCTION("""COMPUTED_VALUE"""),0.0)</f>
        <v>0</v>
      </c>
      <c r="Q200" s="177">
        <f>IFERROR(__xludf.DUMMYFUNCTION("""COMPUTED_VALUE"""),0.0)</f>
        <v>0</v>
      </c>
      <c r="R200" s="178">
        <f>IFERROR(__xludf.DUMMYFUNCTION("""COMPUTED_VALUE"""),45890.8125)</f>
        <v>45890.8125</v>
      </c>
      <c r="S200" s="177">
        <f>IFERROR(__xludf.DUMMYFUNCTION("""COMPUTED_VALUE"""),24.0)</f>
        <v>24</v>
      </c>
      <c r="T200" s="177" t="str">
        <f>IFERROR(__xludf.DUMMYFUNCTION("""COMPUTED_VALUE"""),"Round 24")</f>
        <v>Round 24</v>
      </c>
      <c r="U200" s="177"/>
      <c r="V200" s="177" t="str">
        <f>IFERROR(__xludf.DUMMYFUNCTION("""COMPUTED_VALUE"""),"+10:00")</f>
        <v>+10:00</v>
      </c>
      <c r="W200" s="177">
        <f>IFERROR(__xludf.DUMMYFUNCTION("""COMPUTED_VALUE"""),1.7557686E9)</f>
        <v>1755768600</v>
      </c>
      <c r="X200" s="178">
        <f>IFERROR(__xludf.DUMMYFUNCTION("""COMPUTED_VALUE"""),45875.61143518519)</f>
        <v>45875.61144</v>
      </c>
      <c r="Y200" s="177" t="str">
        <f>IFERROR(__xludf.DUMMYFUNCTION("""COMPUTED_VALUE"""),"M.C.G.")</f>
        <v>M.C.G.</v>
      </c>
      <c r="Z200" s="177"/>
      <c r="AA200" s="177"/>
      <c r="AB200" s="177">
        <f>IFERROR(__xludf.DUMMYFUNCTION("""COMPUTED_VALUE"""),2025.0)</f>
        <v>2025</v>
      </c>
      <c r="AC200" s="177" t="str">
        <f t="shared" si="3"/>
        <v>Thursday</v>
      </c>
    </row>
    <row r="201">
      <c r="A201" s="175" t="str">
        <f t="shared" si="1"/>
        <v>242</v>
      </c>
      <c r="B201" s="176">
        <f t="shared" si="2"/>
        <v>2</v>
      </c>
      <c r="C201" s="177">
        <f>IFERROR(__xludf.DUMMYFUNCTION("""COMPUTED_VALUE"""),37291.0)</f>
        <v>37291</v>
      </c>
      <c r="D201" s="177"/>
      <c r="E201" s="177"/>
      <c r="F201" s="177">
        <f>IFERROR(__xludf.DUMMYFUNCTION("""COMPUTED_VALUE"""),0.0)</f>
        <v>0</v>
      </c>
      <c r="G201" s="177" t="str">
        <f>IFERROR(__xludf.DUMMYFUNCTION("""COMPUTED_VALUE"""),"Melbourne")</f>
        <v>Melbourne</v>
      </c>
      <c r="H201" s="177">
        <f>IFERROR(__xludf.DUMMYFUNCTION("""COMPUTED_VALUE"""),11.0)</f>
        <v>11</v>
      </c>
      <c r="I201" s="177">
        <f>IFERROR(__xludf.DUMMYFUNCTION("""COMPUTED_VALUE"""),0.0)</f>
        <v>0</v>
      </c>
      <c r="J201" s="178">
        <f>IFERROR(__xludf.DUMMYFUNCTION("""COMPUTED_VALUE"""),45891.79861111111)</f>
        <v>45891.79861</v>
      </c>
      <c r="K201" s="177"/>
      <c r="L201" s="177"/>
      <c r="M201" s="177">
        <f>IFERROR(__xludf.DUMMYFUNCTION("""COMPUTED_VALUE"""),0.0)</f>
        <v>0</v>
      </c>
      <c r="N201" s="177" t="str">
        <f>IFERROR(__xludf.DUMMYFUNCTION("""COMPUTED_VALUE"""),"Collingwood")</f>
        <v>Collingwood</v>
      </c>
      <c r="O201" s="177">
        <f>IFERROR(__xludf.DUMMYFUNCTION("""COMPUTED_VALUE"""),4.0)</f>
        <v>4</v>
      </c>
      <c r="P201" s="177">
        <f>IFERROR(__xludf.DUMMYFUNCTION("""COMPUTED_VALUE"""),0.0)</f>
        <v>0</v>
      </c>
      <c r="Q201" s="177">
        <f>IFERROR(__xludf.DUMMYFUNCTION("""COMPUTED_VALUE"""),0.0)</f>
        <v>0</v>
      </c>
      <c r="R201" s="178">
        <f>IFERROR(__xludf.DUMMYFUNCTION("""COMPUTED_VALUE"""),45891.79861111111)</f>
        <v>45891.79861</v>
      </c>
      <c r="S201" s="177">
        <f>IFERROR(__xludf.DUMMYFUNCTION("""COMPUTED_VALUE"""),24.0)</f>
        <v>24</v>
      </c>
      <c r="T201" s="177" t="str">
        <f>IFERROR(__xludf.DUMMYFUNCTION("""COMPUTED_VALUE"""),"Round 24")</f>
        <v>Round 24</v>
      </c>
      <c r="U201" s="177"/>
      <c r="V201" s="177" t="str">
        <f>IFERROR(__xludf.DUMMYFUNCTION("""COMPUTED_VALUE"""),"+10:00")</f>
        <v>+10:00</v>
      </c>
      <c r="W201" s="177">
        <f>IFERROR(__xludf.DUMMYFUNCTION("""COMPUTED_VALUE"""),1.7558538E9)</f>
        <v>1755853800</v>
      </c>
      <c r="X201" s="178">
        <f>IFERROR(__xludf.DUMMYFUNCTION("""COMPUTED_VALUE"""),45875.61143518519)</f>
        <v>45875.61144</v>
      </c>
      <c r="Y201" s="177" t="str">
        <f>IFERROR(__xludf.DUMMYFUNCTION("""COMPUTED_VALUE"""),"M.C.G.")</f>
        <v>M.C.G.</v>
      </c>
      <c r="Z201" s="177"/>
      <c r="AA201" s="177"/>
      <c r="AB201" s="177">
        <f>IFERROR(__xludf.DUMMYFUNCTION("""COMPUTED_VALUE"""),2025.0)</f>
        <v>2025</v>
      </c>
      <c r="AC201" s="177" t="str">
        <f t="shared" si="3"/>
        <v>Friday</v>
      </c>
    </row>
    <row r="202">
      <c r="A202" s="175" t="str">
        <f t="shared" si="1"/>
        <v>243</v>
      </c>
      <c r="B202" s="176">
        <f t="shared" si="2"/>
        <v>3</v>
      </c>
      <c r="C202" s="177">
        <f>IFERROR(__xludf.DUMMYFUNCTION("""COMPUTED_VALUE"""),37295.0)</f>
        <v>37295</v>
      </c>
      <c r="D202" s="177"/>
      <c r="E202" s="177"/>
      <c r="F202" s="177">
        <f>IFERROR(__xludf.DUMMYFUNCTION("""COMPUTED_VALUE"""),0.0)</f>
        <v>0</v>
      </c>
      <c r="G202" s="177" t="str">
        <f>IFERROR(__xludf.DUMMYFUNCTION("""COMPUTED_VALUE"""),"Gold Coast")</f>
        <v>Gold Coast</v>
      </c>
      <c r="H202" s="177">
        <f>IFERROR(__xludf.DUMMYFUNCTION("""COMPUTED_VALUE"""),8.0)</f>
        <v>8</v>
      </c>
      <c r="I202" s="177">
        <f>IFERROR(__xludf.DUMMYFUNCTION("""COMPUTED_VALUE"""),0.0)</f>
        <v>0</v>
      </c>
      <c r="J202" s="178">
        <f>IFERROR(__xludf.DUMMYFUNCTION("""COMPUTED_VALUE"""),45891.84027777778)</f>
        <v>45891.84028</v>
      </c>
      <c r="K202" s="177"/>
      <c r="L202" s="177"/>
      <c r="M202" s="177">
        <f>IFERROR(__xludf.DUMMYFUNCTION("""COMPUTED_VALUE"""),0.0)</f>
        <v>0</v>
      </c>
      <c r="N202" s="177" t="str">
        <f>IFERROR(__xludf.DUMMYFUNCTION("""COMPUTED_VALUE"""),"Port Adelaide")</f>
        <v>Port Adelaide</v>
      </c>
      <c r="O202" s="177">
        <f>IFERROR(__xludf.DUMMYFUNCTION("""COMPUTED_VALUE"""),13.0)</f>
        <v>13</v>
      </c>
      <c r="P202" s="177">
        <f>IFERROR(__xludf.DUMMYFUNCTION("""COMPUTED_VALUE"""),0.0)</f>
        <v>0</v>
      </c>
      <c r="Q202" s="177">
        <f>IFERROR(__xludf.DUMMYFUNCTION("""COMPUTED_VALUE"""),0.0)</f>
        <v>0</v>
      </c>
      <c r="R202" s="178">
        <f>IFERROR(__xludf.DUMMYFUNCTION("""COMPUTED_VALUE"""),45891.819444444445)</f>
        <v>45891.81944</v>
      </c>
      <c r="S202" s="177">
        <f>IFERROR(__xludf.DUMMYFUNCTION("""COMPUTED_VALUE"""),24.0)</f>
        <v>24</v>
      </c>
      <c r="T202" s="177" t="str">
        <f>IFERROR(__xludf.DUMMYFUNCTION("""COMPUTED_VALUE"""),"Round 24")</f>
        <v>Round 24</v>
      </c>
      <c r="U202" s="177"/>
      <c r="V202" s="177" t="str">
        <f>IFERROR(__xludf.DUMMYFUNCTION("""COMPUTED_VALUE"""),"+10:00")</f>
        <v>+10:00</v>
      </c>
      <c r="W202" s="177">
        <f>IFERROR(__xludf.DUMMYFUNCTION("""COMPUTED_VALUE"""),1.7558574E9)</f>
        <v>1755857400</v>
      </c>
      <c r="X202" s="178">
        <f>IFERROR(__xludf.DUMMYFUNCTION("""COMPUTED_VALUE"""),45875.61143518519)</f>
        <v>45875.61144</v>
      </c>
      <c r="Y202" s="177" t="str">
        <f>IFERROR(__xludf.DUMMYFUNCTION("""COMPUTED_VALUE"""),"Adelaide Oval")</f>
        <v>Adelaide Oval</v>
      </c>
      <c r="Z202" s="177"/>
      <c r="AA202" s="177"/>
      <c r="AB202" s="177">
        <f>IFERROR(__xludf.DUMMYFUNCTION("""COMPUTED_VALUE"""),2025.0)</f>
        <v>2025</v>
      </c>
      <c r="AC202" s="177" t="str">
        <f t="shared" si="3"/>
        <v>Friday</v>
      </c>
    </row>
    <row r="203">
      <c r="A203" s="175" t="str">
        <f t="shared" si="1"/>
        <v>244</v>
      </c>
      <c r="B203" s="176">
        <f t="shared" si="2"/>
        <v>4</v>
      </c>
      <c r="C203" s="177">
        <f>IFERROR(__xludf.DUMMYFUNCTION("""COMPUTED_VALUE"""),37289.0)</f>
        <v>37289</v>
      </c>
      <c r="D203" s="177"/>
      <c r="E203" s="177"/>
      <c r="F203" s="177">
        <f>IFERROR(__xludf.DUMMYFUNCTION("""COMPUTED_VALUE"""),0.0)</f>
        <v>0</v>
      </c>
      <c r="G203" s="177" t="str">
        <f>IFERROR(__xludf.DUMMYFUNCTION("""COMPUTED_VALUE"""),"Adelaide")</f>
        <v>Adelaide</v>
      </c>
      <c r="H203" s="177">
        <f>IFERROR(__xludf.DUMMYFUNCTION("""COMPUTED_VALUE"""),1.0)</f>
        <v>1</v>
      </c>
      <c r="I203" s="177">
        <f>IFERROR(__xludf.DUMMYFUNCTION("""COMPUTED_VALUE"""),0.0)</f>
        <v>0</v>
      </c>
      <c r="J203" s="178">
        <f>IFERROR(__xludf.DUMMYFUNCTION("""COMPUTED_VALUE"""),45892.555555555555)</f>
        <v>45892.55556</v>
      </c>
      <c r="K203" s="177"/>
      <c r="L203" s="177"/>
      <c r="M203" s="177">
        <f>IFERROR(__xludf.DUMMYFUNCTION("""COMPUTED_VALUE"""),0.0)</f>
        <v>0</v>
      </c>
      <c r="N203" s="177" t="str">
        <f>IFERROR(__xludf.DUMMYFUNCTION("""COMPUTED_VALUE"""),"North Melbourne")</f>
        <v>North Melbourne</v>
      </c>
      <c r="O203" s="177">
        <f>IFERROR(__xludf.DUMMYFUNCTION("""COMPUTED_VALUE"""),12.0)</f>
        <v>12</v>
      </c>
      <c r="P203" s="177">
        <f>IFERROR(__xludf.DUMMYFUNCTION("""COMPUTED_VALUE"""),0.0)</f>
        <v>0</v>
      </c>
      <c r="Q203" s="177">
        <f>IFERROR(__xludf.DUMMYFUNCTION("""COMPUTED_VALUE"""),0.0)</f>
        <v>0</v>
      </c>
      <c r="R203" s="178">
        <f>IFERROR(__xludf.DUMMYFUNCTION("""COMPUTED_VALUE"""),45892.555555555555)</f>
        <v>45892.55556</v>
      </c>
      <c r="S203" s="177">
        <f>IFERROR(__xludf.DUMMYFUNCTION("""COMPUTED_VALUE"""),24.0)</f>
        <v>24</v>
      </c>
      <c r="T203" s="177" t="str">
        <f>IFERROR(__xludf.DUMMYFUNCTION("""COMPUTED_VALUE"""),"Round 24")</f>
        <v>Round 24</v>
      </c>
      <c r="U203" s="177"/>
      <c r="V203" s="177" t="str">
        <f>IFERROR(__xludf.DUMMYFUNCTION("""COMPUTED_VALUE"""),"+10:00")</f>
        <v>+10:00</v>
      </c>
      <c r="W203" s="177">
        <f>IFERROR(__xludf.DUMMYFUNCTION("""COMPUTED_VALUE"""),1.7559192E9)</f>
        <v>1755919200</v>
      </c>
      <c r="X203" s="178">
        <f>IFERROR(__xludf.DUMMYFUNCTION("""COMPUTED_VALUE"""),45875.61143518519)</f>
        <v>45875.61144</v>
      </c>
      <c r="Y203" s="177" t="str">
        <f>IFERROR(__xludf.DUMMYFUNCTION("""COMPUTED_VALUE"""),"Docklands")</f>
        <v>Docklands</v>
      </c>
      <c r="Z203" s="177"/>
      <c r="AA203" s="177"/>
      <c r="AB203" s="177">
        <f>IFERROR(__xludf.DUMMYFUNCTION("""COMPUTED_VALUE"""),2025.0)</f>
        <v>2025</v>
      </c>
      <c r="AC203" s="177" t="str">
        <f t="shared" si="3"/>
        <v>Saturday</v>
      </c>
    </row>
    <row r="204">
      <c r="A204" s="175" t="str">
        <f t="shared" si="1"/>
        <v>245</v>
      </c>
      <c r="B204" s="176">
        <f t="shared" si="2"/>
        <v>5</v>
      </c>
      <c r="C204" s="177">
        <f>IFERROR(__xludf.DUMMYFUNCTION("""COMPUTED_VALUE"""),37292.0)</f>
        <v>37292</v>
      </c>
      <c r="D204" s="177"/>
      <c r="E204" s="177"/>
      <c r="F204" s="177">
        <f>IFERROR(__xludf.DUMMYFUNCTION("""COMPUTED_VALUE"""),0.0)</f>
        <v>0</v>
      </c>
      <c r="G204" s="177" t="str">
        <f>IFERROR(__xludf.DUMMYFUNCTION("""COMPUTED_VALUE"""),"Geelong")</f>
        <v>Geelong</v>
      </c>
      <c r="H204" s="177">
        <f>IFERROR(__xludf.DUMMYFUNCTION("""COMPUTED_VALUE"""),7.0)</f>
        <v>7</v>
      </c>
      <c r="I204" s="177">
        <f>IFERROR(__xludf.DUMMYFUNCTION("""COMPUTED_VALUE"""),0.0)</f>
        <v>0</v>
      </c>
      <c r="J204" s="178">
        <f>IFERROR(__xludf.DUMMYFUNCTION("""COMPUTED_VALUE"""),45892.677083333336)</f>
        <v>45892.67708</v>
      </c>
      <c r="K204" s="177"/>
      <c r="L204" s="177"/>
      <c r="M204" s="177">
        <f>IFERROR(__xludf.DUMMYFUNCTION("""COMPUTED_VALUE"""),0.0)</f>
        <v>0</v>
      </c>
      <c r="N204" s="177" t="str">
        <f>IFERROR(__xludf.DUMMYFUNCTION("""COMPUTED_VALUE"""),"Richmond")</f>
        <v>Richmond</v>
      </c>
      <c r="O204" s="177">
        <f>IFERROR(__xludf.DUMMYFUNCTION("""COMPUTED_VALUE"""),14.0)</f>
        <v>14</v>
      </c>
      <c r="P204" s="177">
        <f>IFERROR(__xludf.DUMMYFUNCTION("""COMPUTED_VALUE"""),0.0)</f>
        <v>0</v>
      </c>
      <c r="Q204" s="177">
        <f>IFERROR(__xludf.DUMMYFUNCTION("""COMPUTED_VALUE"""),0.0)</f>
        <v>0</v>
      </c>
      <c r="R204" s="178">
        <f>IFERROR(__xludf.DUMMYFUNCTION("""COMPUTED_VALUE"""),45892.677083333336)</f>
        <v>45892.67708</v>
      </c>
      <c r="S204" s="177">
        <f>IFERROR(__xludf.DUMMYFUNCTION("""COMPUTED_VALUE"""),24.0)</f>
        <v>24</v>
      </c>
      <c r="T204" s="177" t="str">
        <f>IFERROR(__xludf.DUMMYFUNCTION("""COMPUTED_VALUE"""),"Round 24")</f>
        <v>Round 24</v>
      </c>
      <c r="U204" s="177"/>
      <c r="V204" s="177" t="str">
        <f>IFERROR(__xludf.DUMMYFUNCTION("""COMPUTED_VALUE"""),"+10:00")</f>
        <v>+10:00</v>
      </c>
      <c r="W204" s="177">
        <f>IFERROR(__xludf.DUMMYFUNCTION("""COMPUTED_VALUE"""),1.7559297E9)</f>
        <v>1755929700</v>
      </c>
      <c r="X204" s="178">
        <f>IFERROR(__xludf.DUMMYFUNCTION("""COMPUTED_VALUE"""),45875.61143518519)</f>
        <v>45875.61144</v>
      </c>
      <c r="Y204" s="177" t="str">
        <f>IFERROR(__xludf.DUMMYFUNCTION("""COMPUTED_VALUE"""),"M.C.G.")</f>
        <v>M.C.G.</v>
      </c>
      <c r="Z204" s="177"/>
      <c r="AA204" s="177"/>
      <c r="AB204" s="177">
        <f>IFERROR(__xludf.DUMMYFUNCTION("""COMPUTED_VALUE"""),2025.0)</f>
        <v>2025</v>
      </c>
      <c r="AC204" s="177" t="str">
        <f t="shared" si="3"/>
        <v>Saturday</v>
      </c>
    </row>
    <row r="205">
      <c r="A205" s="175" t="str">
        <f t="shared" si="1"/>
        <v>246</v>
      </c>
      <c r="B205" s="176">
        <f t="shared" si="2"/>
        <v>6</v>
      </c>
      <c r="C205" s="177">
        <f>IFERROR(__xludf.DUMMYFUNCTION("""COMPUTED_VALUE"""),37296.0)</f>
        <v>37296</v>
      </c>
      <c r="D205" s="177"/>
      <c r="E205" s="177"/>
      <c r="F205" s="177">
        <f>IFERROR(__xludf.DUMMYFUNCTION("""COMPUTED_VALUE"""),0.0)</f>
        <v>0</v>
      </c>
      <c r="G205" s="177" t="str">
        <f>IFERROR(__xludf.DUMMYFUNCTION("""COMPUTED_VALUE"""),"Sydney")</f>
        <v>Sydney</v>
      </c>
      <c r="H205" s="177">
        <f>IFERROR(__xludf.DUMMYFUNCTION("""COMPUTED_VALUE"""),16.0)</f>
        <v>16</v>
      </c>
      <c r="I205" s="177">
        <f>IFERROR(__xludf.DUMMYFUNCTION("""COMPUTED_VALUE"""),0.0)</f>
        <v>0</v>
      </c>
      <c r="J205" s="178">
        <f>IFERROR(__xludf.DUMMYFUNCTION("""COMPUTED_VALUE"""),45892.81597222222)</f>
        <v>45892.81597</v>
      </c>
      <c r="K205" s="177"/>
      <c r="L205" s="177"/>
      <c r="M205" s="177">
        <f>IFERROR(__xludf.DUMMYFUNCTION("""COMPUTED_VALUE"""),0.0)</f>
        <v>0</v>
      </c>
      <c r="N205" s="177" t="str">
        <f>IFERROR(__xludf.DUMMYFUNCTION("""COMPUTED_VALUE"""),"West Coast")</f>
        <v>West Coast</v>
      </c>
      <c r="O205" s="177">
        <f>IFERROR(__xludf.DUMMYFUNCTION("""COMPUTED_VALUE"""),17.0)</f>
        <v>17</v>
      </c>
      <c r="P205" s="177">
        <f>IFERROR(__xludf.DUMMYFUNCTION("""COMPUTED_VALUE"""),0.0)</f>
        <v>0</v>
      </c>
      <c r="Q205" s="177">
        <f>IFERROR(__xludf.DUMMYFUNCTION("""COMPUTED_VALUE"""),0.0)</f>
        <v>0</v>
      </c>
      <c r="R205" s="178">
        <f>IFERROR(__xludf.DUMMYFUNCTION("""COMPUTED_VALUE"""),45892.73263888889)</f>
        <v>45892.73264</v>
      </c>
      <c r="S205" s="177">
        <f>IFERROR(__xludf.DUMMYFUNCTION("""COMPUTED_VALUE"""),24.0)</f>
        <v>24</v>
      </c>
      <c r="T205" s="177" t="str">
        <f>IFERROR(__xludf.DUMMYFUNCTION("""COMPUTED_VALUE"""),"Round 24")</f>
        <v>Round 24</v>
      </c>
      <c r="U205" s="177"/>
      <c r="V205" s="177" t="str">
        <f>IFERROR(__xludf.DUMMYFUNCTION("""COMPUTED_VALUE"""),"+10:00")</f>
        <v>+10:00</v>
      </c>
      <c r="W205" s="177">
        <f>IFERROR(__xludf.DUMMYFUNCTION("""COMPUTED_VALUE"""),1.7559417E9)</f>
        <v>1755941700</v>
      </c>
      <c r="X205" s="178">
        <f>IFERROR(__xludf.DUMMYFUNCTION("""COMPUTED_VALUE"""),45875.61143518519)</f>
        <v>45875.61144</v>
      </c>
      <c r="Y205" s="177" t="str">
        <f>IFERROR(__xludf.DUMMYFUNCTION("""COMPUTED_VALUE"""),"Perth Stadium")</f>
        <v>Perth Stadium</v>
      </c>
      <c r="Z205" s="177"/>
      <c r="AA205" s="177"/>
      <c r="AB205" s="177">
        <f>IFERROR(__xludf.DUMMYFUNCTION("""COMPUTED_VALUE"""),2025.0)</f>
        <v>2025</v>
      </c>
      <c r="AC205" s="177" t="str">
        <f t="shared" si="3"/>
        <v>Saturday</v>
      </c>
    </row>
    <row r="206">
      <c r="A206" s="175" t="str">
        <f t="shared" si="1"/>
        <v>247</v>
      </c>
      <c r="B206" s="176">
        <f t="shared" si="2"/>
        <v>7</v>
      </c>
      <c r="C206" s="177">
        <f>IFERROR(__xludf.DUMMYFUNCTION("""COMPUTED_VALUE"""),37288.0)</f>
        <v>37288</v>
      </c>
      <c r="D206" s="177"/>
      <c r="E206" s="177"/>
      <c r="F206" s="177">
        <f>IFERROR(__xludf.DUMMYFUNCTION("""COMPUTED_VALUE"""),0.0)</f>
        <v>0</v>
      </c>
      <c r="G206" s="177" t="str">
        <f>IFERROR(__xludf.DUMMYFUNCTION("""COMPUTED_VALUE"""),"St Kilda")</f>
        <v>St Kilda</v>
      </c>
      <c r="H206" s="177">
        <f>IFERROR(__xludf.DUMMYFUNCTION("""COMPUTED_VALUE"""),15.0)</f>
        <v>15</v>
      </c>
      <c r="I206" s="177">
        <f>IFERROR(__xludf.DUMMYFUNCTION("""COMPUTED_VALUE"""),0.0)</f>
        <v>0</v>
      </c>
      <c r="J206" s="178">
        <f>IFERROR(__xludf.DUMMYFUNCTION("""COMPUTED_VALUE"""),45893.51388888889)</f>
        <v>45893.51389</v>
      </c>
      <c r="K206" s="177"/>
      <c r="L206" s="177"/>
      <c r="M206" s="177">
        <f>IFERROR(__xludf.DUMMYFUNCTION("""COMPUTED_VALUE"""),0.0)</f>
        <v>0</v>
      </c>
      <c r="N206" s="177" t="str">
        <f>IFERROR(__xludf.DUMMYFUNCTION("""COMPUTED_VALUE"""),"Greater Western Sydney")</f>
        <v>Greater Western Sydney</v>
      </c>
      <c r="O206" s="177">
        <f>IFERROR(__xludf.DUMMYFUNCTION("""COMPUTED_VALUE"""),9.0)</f>
        <v>9</v>
      </c>
      <c r="P206" s="177">
        <f>IFERROR(__xludf.DUMMYFUNCTION("""COMPUTED_VALUE"""),0.0)</f>
        <v>0</v>
      </c>
      <c r="Q206" s="177">
        <f>IFERROR(__xludf.DUMMYFUNCTION("""COMPUTED_VALUE"""),0.0)</f>
        <v>0</v>
      </c>
      <c r="R206" s="178">
        <f>IFERROR(__xludf.DUMMYFUNCTION("""COMPUTED_VALUE"""),45893.51388888889)</f>
        <v>45893.51389</v>
      </c>
      <c r="S206" s="177">
        <f>IFERROR(__xludf.DUMMYFUNCTION("""COMPUTED_VALUE"""),24.0)</f>
        <v>24</v>
      </c>
      <c r="T206" s="177" t="str">
        <f>IFERROR(__xludf.DUMMYFUNCTION("""COMPUTED_VALUE"""),"Round 24")</f>
        <v>Round 24</v>
      </c>
      <c r="U206" s="177"/>
      <c r="V206" s="177" t="str">
        <f>IFERROR(__xludf.DUMMYFUNCTION("""COMPUTED_VALUE"""),"+10:00")</f>
        <v>+10:00</v>
      </c>
      <c r="W206" s="177">
        <f>IFERROR(__xludf.DUMMYFUNCTION("""COMPUTED_VALUE"""),1.756002E9)</f>
        <v>1756002000</v>
      </c>
      <c r="X206" s="178">
        <f>IFERROR(__xludf.DUMMYFUNCTION("""COMPUTED_VALUE"""),45875.61143518519)</f>
        <v>45875.61144</v>
      </c>
      <c r="Y206" s="177" t="str">
        <f>IFERROR(__xludf.DUMMYFUNCTION("""COMPUTED_VALUE"""),"Sydney Showground")</f>
        <v>Sydney Showground</v>
      </c>
      <c r="Z206" s="177"/>
      <c r="AA206" s="177"/>
      <c r="AB206" s="177">
        <f>IFERROR(__xludf.DUMMYFUNCTION("""COMPUTED_VALUE"""),2025.0)</f>
        <v>2025</v>
      </c>
      <c r="AC206" s="177" t="str">
        <f t="shared" si="3"/>
        <v>Sunday</v>
      </c>
    </row>
    <row r="207">
      <c r="A207" s="175" t="str">
        <f t="shared" si="1"/>
        <v>248</v>
      </c>
      <c r="B207" s="176">
        <f t="shared" si="2"/>
        <v>8</v>
      </c>
      <c r="C207" s="177">
        <f>IFERROR(__xludf.DUMMYFUNCTION("""COMPUTED_VALUE"""),37290.0)</f>
        <v>37290</v>
      </c>
      <c r="D207" s="177"/>
      <c r="E207" s="177"/>
      <c r="F207" s="177">
        <f>IFERROR(__xludf.DUMMYFUNCTION("""COMPUTED_VALUE"""),0.0)</f>
        <v>0</v>
      </c>
      <c r="G207" s="177" t="str">
        <f>IFERROR(__xludf.DUMMYFUNCTION("""COMPUTED_VALUE"""),"Fremantle")</f>
        <v>Fremantle</v>
      </c>
      <c r="H207" s="177">
        <f>IFERROR(__xludf.DUMMYFUNCTION("""COMPUTED_VALUE"""),6.0)</f>
        <v>6</v>
      </c>
      <c r="I207" s="177">
        <f>IFERROR(__xludf.DUMMYFUNCTION("""COMPUTED_VALUE"""),0.0)</f>
        <v>0</v>
      </c>
      <c r="J207" s="178">
        <f>IFERROR(__xludf.DUMMYFUNCTION("""COMPUTED_VALUE"""),45893.635416666664)</f>
        <v>45893.63542</v>
      </c>
      <c r="K207" s="177"/>
      <c r="L207" s="177"/>
      <c r="M207" s="177">
        <f>IFERROR(__xludf.DUMMYFUNCTION("""COMPUTED_VALUE"""),0.0)</f>
        <v>0</v>
      </c>
      <c r="N207" s="177" t="str">
        <f>IFERROR(__xludf.DUMMYFUNCTION("""COMPUTED_VALUE"""),"Western Bulldogs")</f>
        <v>Western Bulldogs</v>
      </c>
      <c r="O207" s="177">
        <f>IFERROR(__xludf.DUMMYFUNCTION("""COMPUTED_VALUE"""),18.0)</f>
        <v>18</v>
      </c>
      <c r="P207" s="177">
        <f>IFERROR(__xludf.DUMMYFUNCTION("""COMPUTED_VALUE"""),0.0)</f>
        <v>0</v>
      </c>
      <c r="Q207" s="177">
        <f>IFERROR(__xludf.DUMMYFUNCTION("""COMPUTED_VALUE"""),0.0)</f>
        <v>0</v>
      </c>
      <c r="R207" s="178">
        <f>IFERROR(__xludf.DUMMYFUNCTION("""COMPUTED_VALUE"""),45893.635416666664)</f>
        <v>45893.63542</v>
      </c>
      <c r="S207" s="177">
        <f>IFERROR(__xludf.DUMMYFUNCTION("""COMPUTED_VALUE"""),24.0)</f>
        <v>24</v>
      </c>
      <c r="T207" s="177" t="str">
        <f>IFERROR(__xludf.DUMMYFUNCTION("""COMPUTED_VALUE"""),"Round 24")</f>
        <v>Round 24</v>
      </c>
      <c r="U207" s="177"/>
      <c r="V207" s="177" t="str">
        <f>IFERROR(__xludf.DUMMYFUNCTION("""COMPUTED_VALUE"""),"+10:00")</f>
        <v>+10:00</v>
      </c>
      <c r="W207" s="177">
        <f>IFERROR(__xludf.DUMMYFUNCTION("""COMPUTED_VALUE"""),1.7560125E9)</f>
        <v>1756012500</v>
      </c>
      <c r="X207" s="178">
        <f>IFERROR(__xludf.DUMMYFUNCTION("""COMPUTED_VALUE"""),45875.61143518519)</f>
        <v>45875.61144</v>
      </c>
      <c r="Y207" s="177" t="str">
        <f>IFERROR(__xludf.DUMMYFUNCTION("""COMPUTED_VALUE"""),"Docklands")</f>
        <v>Docklands</v>
      </c>
      <c r="Z207" s="177"/>
      <c r="AA207" s="177"/>
      <c r="AB207" s="177">
        <f>IFERROR(__xludf.DUMMYFUNCTION("""COMPUTED_VALUE"""),2025.0)</f>
        <v>2025</v>
      </c>
      <c r="AC207" s="177" t="str">
        <f t="shared" si="3"/>
        <v>Sunday</v>
      </c>
    </row>
    <row r="208">
      <c r="A208" s="175" t="str">
        <f t="shared" si="1"/>
        <v>249</v>
      </c>
      <c r="B208" s="176">
        <f t="shared" si="2"/>
        <v>9</v>
      </c>
      <c r="C208" s="177">
        <f>IFERROR(__xludf.DUMMYFUNCTION("""COMPUTED_VALUE"""),37294.0)</f>
        <v>37294</v>
      </c>
      <c r="D208" s="177"/>
      <c r="E208" s="177"/>
      <c r="F208" s="177">
        <f>IFERROR(__xludf.DUMMYFUNCTION("""COMPUTED_VALUE"""),0.0)</f>
        <v>0</v>
      </c>
      <c r="G208" s="177" t="str">
        <f>IFERROR(__xludf.DUMMYFUNCTION("""COMPUTED_VALUE"""),"Hawthorn")</f>
        <v>Hawthorn</v>
      </c>
      <c r="H208" s="177">
        <f>IFERROR(__xludf.DUMMYFUNCTION("""COMPUTED_VALUE"""),10.0)</f>
        <v>10</v>
      </c>
      <c r="I208" s="177">
        <f>IFERROR(__xludf.DUMMYFUNCTION("""COMPUTED_VALUE"""),0.0)</f>
        <v>0</v>
      </c>
      <c r="J208" s="178">
        <f>IFERROR(__xludf.DUMMYFUNCTION("""COMPUTED_VALUE"""),45893.805555555555)</f>
        <v>45893.80556</v>
      </c>
      <c r="K208" s="177"/>
      <c r="L208" s="177"/>
      <c r="M208" s="177">
        <f>IFERROR(__xludf.DUMMYFUNCTION("""COMPUTED_VALUE"""),0.0)</f>
        <v>0</v>
      </c>
      <c r="N208" s="177" t="str">
        <f>IFERROR(__xludf.DUMMYFUNCTION("""COMPUTED_VALUE"""),"Brisbane Lions")</f>
        <v>Brisbane Lions</v>
      </c>
      <c r="O208" s="177">
        <f>IFERROR(__xludf.DUMMYFUNCTION("""COMPUTED_VALUE"""),2.0)</f>
        <v>2</v>
      </c>
      <c r="P208" s="177">
        <f>IFERROR(__xludf.DUMMYFUNCTION("""COMPUTED_VALUE"""),0.0)</f>
        <v>0</v>
      </c>
      <c r="Q208" s="177">
        <f>IFERROR(__xludf.DUMMYFUNCTION("""COMPUTED_VALUE"""),0.0)</f>
        <v>0</v>
      </c>
      <c r="R208" s="178">
        <f>IFERROR(__xludf.DUMMYFUNCTION("""COMPUTED_VALUE"""),45893.805555555555)</f>
        <v>45893.80556</v>
      </c>
      <c r="S208" s="177">
        <f>IFERROR(__xludf.DUMMYFUNCTION("""COMPUTED_VALUE"""),24.0)</f>
        <v>24</v>
      </c>
      <c r="T208" s="177" t="str">
        <f>IFERROR(__xludf.DUMMYFUNCTION("""COMPUTED_VALUE"""),"Round 24")</f>
        <v>Round 24</v>
      </c>
      <c r="U208" s="177"/>
      <c r="V208" s="177" t="str">
        <f>IFERROR(__xludf.DUMMYFUNCTION("""COMPUTED_VALUE"""),"+10:00")</f>
        <v>+10:00</v>
      </c>
      <c r="W208" s="177">
        <f>IFERROR(__xludf.DUMMYFUNCTION("""COMPUTED_VALUE"""),1.7560272E9)</f>
        <v>1756027200</v>
      </c>
      <c r="X208" s="178">
        <f>IFERROR(__xludf.DUMMYFUNCTION("""COMPUTED_VALUE"""),45875.61143518519)</f>
        <v>45875.61144</v>
      </c>
      <c r="Y208" s="177" t="str">
        <f>IFERROR(__xludf.DUMMYFUNCTION("""COMPUTED_VALUE"""),"Gabba")</f>
        <v>Gabba</v>
      </c>
      <c r="Z208" s="177"/>
      <c r="AA208" s="177"/>
      <c r="AB208" s="177">
        <f>IFERROR(__xludf.DUMMYFUNCTION("""COMPUTED_VALUE"""),2025.0)</f>
        <v>2025</v>
      </c>
      <c r="AC208" s="177" t="str">
        <f t="shared" si="3"/>
        <v>Sunday</v>
      </c>
    </row>
    <row r="209">
      <c r="A209" s="175" t="str">
        <f t="shared" si="1"/>
        <v>2410</v>
      </c>
      <c r="B209" s="176">
        <f t="shared" si="2"/>
        <v>10</v>
      </c>
      <c r="C209" s="177">
        <f>IFERROR(__xludf.DUMMYFUNCTION("""COMPUTED_VALUE"""),37092.0)</f>
        <v>37092</v>
      </c>
      <c r="D209" s="177"/>
      <c r="E209" s="177"/>
      <c r="F209" s="177">
        <f>IFERROR(__xludf.DUMMYFUNCTION("""COMPUTED_VALUE"""),0.0)</f>
        <v>0</v>
      </c>
      <c r="G209" s="177" t="str">
        <f>IFERROR(__xludf.DUMMYFUNCTION("""COMPUTED_VALUE"""),"Essendon")</f>
        <v>Essendon</v>
      </c>
      <c r="H209" s="177">
        <f>IFERROR(__xludf.DUMMYFUNCTION("""COMPUTED_VALUE"""),5.0)</f>
        <v>5</v>
      </c>
      <c r="I209" s="177">
        <f>IFERROR(__xludf.DUMMYFUNCTION("""COMPUTED_VALUE"""),0.0)</f>
        <v>0</v>
      </c>
      <c r="J209" s="178">
        <f>IFERROR(__xludf.DUMMYFUNCTION("""COMPUTED_VALUE"""),45896.805555555555)</f>
        <v>45896.80556</v>
      </c>
      <c r="K209" s="177"/>
      <c r="L209" s="177"/>
      <c r="M209" s="177">
        <f>IFERROR(__xludf.DUMMYFUNCTION("""COMPUTED_VALUE"""),0.0)</f>
        <v>0</v>
      </c>
      <c r="N209" s="177" t="str">
        <f>IFERROR(__xludf.DUMMYFUNCTION("""COMPUTED_VALUE"""),"Gold Coast")</f>
        <v>Gold Coast</v>
      </c>
      <c r="O209" s="177">
        <f>IFERROR(__xludf.DUMMYFUNCTION("""COMPUTED_VALUE"""),8.0)</f>
        <v>8</v>
      </c>
      <c r="P209" s="177">
        <f>IFERROR(__xludf.DUMMYFUNCTION("""COMPUTED_VALUE"""),0.0)</f>
        <v>0</v>
      </c>
      <c r="Q209" s="177">
        <f>IFERROR(__xludf.DUMMYFUNCTION("""COMPUTED_VALUE"""),0.0)</f>
        <v>0</v>
      </c>
      <c r="R209" s="178">
        <f>IFERROR(__xludf.DUMMYFUNCTION("""COMPUTED_VALUE"""),45896.805555555555)</f>
        <v>45896.80556</v>
      </c>
      <c r="S209" s="177">
        <f>IFERROR(__xludf.DUMMYFUNCTION("""COMPUTED_VALUE"""),24.0)</f>
        <v>24</v>
      </c>
      <c r="T209" s="177" t="str">
        <f>IFERROR(__xludf.DUMMYFUNCTION("""COMPUTED_VALUE"""),"Round 24")</f>
        <v>Round 24</v>
      </c>
      <c r="U209" s="177"/>
      <c r="V209" s="177" t="str">
        <f>IFERROR(__xludf.DUMMYFUNCTION("""COMPUTED_VALUE"""),"+10:00")</f>
        <v>+10:00</v>
      </c>
      <c r="W209" s="177">
        <f>IFERROR(__xludf.DUMMYFUNCTION("""COMPUTED_VALUE"""),1.7562864E9)</f>
        <v>1756286400</v>
      </c>
      <c r="X209" s="178">
        <f>IFERROR(__xludf.DUMMYFUNCTION("""COMPUTED_VALUE"""),45875.61143518519)</f>
        <v>45875.61144</v>
      </c>
      <c r="Y209" s="177" t="str">
        <f>IFERROR(__xludf.DUMMYFUNCTION("""COMPUTED_VALUE"""),"Carrara")</f>
        <v>Carrara</v>
      </c>
      <c r="Z209" s="177"/>
      <c r="AA209" s="177"/>
      <c r="AB209" s="177">
        <f>IFERROR(__xludf.DUMMYFUNCTION("""COMPUTED_VALUE"""),2025.0)</f>
        <v>2025</v>
      </c>
      <c r="AC209" s="177" t="str">
        <f t="shared" si="3"/>
        <v>Wednesday</v>
      </c>
    </row>
    <row r="210">
      <c r="A210" s="175" t="str">
        <f t="shared" si="1"/>
        <v>251</v>
      </c>
      <c r="B210" s="176">
        <f t="shared" si="2"/>
        <v>1</v>
      </c>
      <c r="C210" s="177">
        <f>IFERROR(__xludf.DUMMYFUNCTION("""COMPUTED_VALUE"""),37315.0)</f>
        <v>37315</v>
      </c>
      <c r="D210" s="177"/>
      <c r="E210" s="177"/>
      <c r="F210" s="177">
        <f>IFERROR(__xludf.DUMMYFUNCTION("""COMPUTED_VALUE"""),0.0)</f>
        <v>0</v>
      </c>
      <c r="G210" s="177"/>
      <c r="H210" s="177"/>
      <c r="I210" s="177">
        <f>IFERROR(__xludf.DUMMYFUNCTION("""COMPUTED_VALUE"""),0.0)</f>
        <v>0</v>
      </c>
      <c r="J210" s="178">
        <f>IFERROR(__xludf.DUMMYFUNCTION("""COMPUTED_VALUE"""),45905.083333333336)</f>
        <v>45905.08333</v>
      </c>
      <c r="K210" s="177"/>
      <c r="L210" s="177"/>
      <c r="M210" s="177">
        <f>IFERROR(__xludf.DUMMYFUNCTION("""COMPUTED_VALUE"""),0.0)</f>
        <v>0</v>
      </c>
      <c r="N210" s="177"/>
      <c r="O210" s="177"/>
      <c r="P210" s="177">
        <f>IFERROR(__xludf.DUMMYFUNCTION("""COMPUTED_VALUE"""),2.0)</f>
        <v>2</v>
      </c>
      <c r="Q210" s="177">
        <f>IFERROR(__xludf.DUMMYFUNCTION("""COMPUTED_VALUE"""),0.0)</f>
        <v>0</v>
      </c>
      <c r="R210" s="178">
        <f>IFERROR(__xludf.DUMMYFUNCTION("""COMPUTED_VALUE"""),45905.083333333336)</f>
        <v>45905.08333</v>
      </c>
      <c r="S210" s="177">
        <f>IFERROR(__xludf.DUMMYFUNCTION("""COMPUTED_VALUE"""),25.0)</f>
        <v>25</v>
      </c>
      <c r="T210" s="177" t="str">
        <f>IFERROR(__xludf.DUMMYFUNCTION("""COMPUTED_VALUE"""),"Finals Week 1")</f>
        <v>Finals Week 1</v>
      </c>
      <c r="U210" s="177"/>
      <c r="V210" s="177" t="str">
        <f>IFERROR(__xludf.DUMMYFUNCTION("""COMPUTED_VALUE"""),"+10:00")</f>
        <v>+10:00</v>
      </c>
      <c r="W210" s="177">
        <f>IFERROR(__xludf.DUMMYFUNCTION("""COMPUTED_VALUE"""),1.7570016E9)</f>
        <v>1757001600</v>
      </c>
      <c r="X210" s="178">
        <f>IFERROR(__xludf.DUMMYFUNCTION("""COMPUTED_VALUE"""),45632.68956018519)</f>
        <v>45632.68956</v>
      </c>
      <c r="Y210" s="177" t="str">
        <f>IFERROR(__xludf.DUMMYFUNCTION("""COMPUTED_VALUE"""),"M.C.G.")</f>
        <v>M.C.G.</v>
      </c>
      <c r="Z210" s="177"/>
      <c r="AA210" s="177"/>
      <c r="AB210" s="177">
        <f>IFERROR(__xludf.DUMMYFUNCTION("""COMPUTED_VALUE"""),2025.0)</f>
        <v>2025</v>
      </c>
      <c r="AC210" s="177" t="str">
        <f t="shared" si="3"/>
        <v>Friday</v>
      </c>
    </row>
    <row r="211">
      <c r="A211" s="175" t="str">
        <f t="shared" si="1"/>
        <v>252</v>
      </c>
      <c r="B211" s="176">
        <f t="shared" si="2"/>
        <v>2</v>
      </c>
      <c r="C211" s="177">
        <f>IFERROR(__xludf.DUMMYFUNCTION("""COMPUTED_VALUE"""),37316.0)</f>
        <v>37316</v>
      </c>
      <c r="D211" s="177"/>
      <c r="E211" s="177"/>
      <c r="F211" s="177">
        <f>IFERROR(__xludf.DUMMYFUNCTION("""COMPUTED_VALUE"""),0.0)</f>
        <v>0</v>
      </c>
      <c r="G211" s="177"/>
      <c r="H211" s="177"/>
      <c r="I211" s="177">
        <f>IFERROR(__xludf.DUMMYFUNCTION("""COMPUTED_VALUE"""),0.0)</f>
        <v>0</v>
      </c>
      <c r="J211" s="178">
        <f>IFERROR(__xludf.DUMMYFUNCTION("""COMPUTED_VALUE"""),45905.083333333336)</f>
        <v>45905.08333</v>
      </c>
      <c r="K211" s="177"/>
      <c r="L211" s="177"/>
      <c r="M211" s="177">
        <f>IFERROR(__xludf.DUMMYFUNCTION("""COMPUTED_VALUE"""),0.0)</f>
        <v>0</v>
      </c>
      <c r="N211" s="177"/>
      <c r="O211" s="177"/>
      <c r="P211" s="177">
        <f>IFERROR(__xludf.DUMMYFUNCTION("""COMPUTED_VALUE"""),2.0)</f>
        <v>2</v>
      </c>
      <c r="Q211" s="177">
        <f>IFERROR(__xludf.DUMMYFUNCTION("""COMPUTED_VALUE"""),0.0)</f>
        <v>0</v>
      </c>
      <c r="R211" s="178">
        <f>IFERROR(__xludf.DUMMYFUNCTION("""COMPUTED_VALUE"""),45905.083333333336)</f>
        <v>45905.08333</v>
      </c>
      <c r="S211" s="177">
        <f>IFERROR(__xludf.DUMMYFUNCTION("""COMPUTED_VALUE"""),25.0)</f>
        <v>25</v>
      </c>
      <c r="T211" s="177" t="str">
        <f>IFERROR(__xludf.DUMMYFUNCTION("""COMPUTED_VALUE"""),"Finals Week 1")</f>
        <v>Finals Week 1</v>
      </c>
      <c r="U211" s="177"/>
      <c r="V211" s="177" t="str">
        <f>IFERROR(__xludf.DUMMYFUNCTION("""COMPUTED_VALUE"""),"+10:00")</f>
        <v>+10:00</v>
      </c>
      <c r="W211" s="177">
        <f>IFERROR(__xludf.DUMMYFUNCTION("""COMPUTED_VALUE"""),1.7570016E9)</f>
        <v>1757001600</v>
      </c>
      <c r="X211" s="178">
        <f>IFERROR(__xludf.DUMMYFUNCTION("""COMPUTED_VALUE"""),45632.68956018519)</f>
        <v>45632.68956</v>
      </c>
      <c r="Y211" s="177" t="str">
        <f>IFERROR(__xludf.DUMMYFUNCTION("""COMPUTED_VALUE"""),"M.C.G.")</f>
        <v>M.C.G.</v>
      </c>
      <c r="Z211" s="177"/>
      <c r="AA211" s="177"/>
      <c r="AB211" s="177">
        <f>IFERROR(__xludf.DUMMYFUNCTION("""COMPUTED_VALUE"""),2025.0)</f>
        <v>2025</v>
      </c>
      <c r="AC211" s="177" t="str">
        <f t="shared" si="3"/>
        <v>Friday</v>
      </c>
    </row>
    <row r="212">
      <c r="A212" s="175" t="str">
        <f t="shared" si="1"/>
        <v>253</v>
      </c>
      <c r="B212" s="176">
        <f t="shared" si="2"/>
        <v>3</v>
      </c>
      <c r="C212" s="177">
        <f>IFERROR(__xludf.DUMMYFUNCTION("""COMPUTED_VALUE"""),37317.0)</f>
        <v>37317</v>
      </c>
      <c r="D212" s="177"/>
      <c r="E212" s="177"/>
      <c r="F212" s="177">
        <f>IFERROR(__xludf.DUMMYFUNCTION("""COMPUTED_VALUE"""),0.0)</f>
        <v>0</v>
      </c>
      <c r="G212" s="177"/>
      <c r="H212" s="177"/>
      <c r="I212" s="177">
        <f>IFERROR(__xludf.DUMMYFUNCTION("""COMPUTED_VALUE"""),0.0)</f>
        <v>0</v>
      </c>
      <c r="J212" s="178">
        <f>IFERROR(__xludf.DUMMYFUNCTION("""COMPUTED_VALUE"""),45905.083333333336)</f>
        <v>45905.08333</v>
      </c>
      <c r="K212" s="177"/>
      <c r="L212" s="177"/>
      <c r="M212" s="177">
        <f>IFERROR(__xludf.DUMMYFUNCTION("""COMPUTED_VALUE"""),0.0)</f>
        <v>0</v>
      </c>
      <c r="N212" s="177"/>
      <c r="O212" s="177"/>
      <c r="P212" s="177">
        <f>IFERROR(__xludf.DUMMYFUNCTION("""COMPUTED_VALUE"""),3.0)</f>
        <v>3</v>
      </c>
      <c r="Q212" s="177">
        <f>IFERROR(__xludf.DUMMYFUNCTION("""COMPUTED_VALUE"""),0.0)</f>
        <v>0</v>
      </c>
      <c r="R212" s="178">
        <f>IFERROR(__xludf.DUMMYFUNCTION("""COMPUTED_VALUE"""),45905.083333333336)</f>
        <v>45905.08333</v>
      </c>
      <c r="S212" s="177">
        <f>IFERROR(__xludf.DUMMYFUNCTION("""COMPUTED_VALUE"""),25.0)</f>
        <v>25</v>
      </c>
      <c r="T212" s="177" t="str">
        <f>IFERROR(__xludf.DUMMYFUNCTION("""COMPUTED_VALUE"""),"Finals Week 1")</f>
        <v>Finals Week 1</v>
      </c>
      <c r="U212" s="177"/>
      <c r="V212" s="177" t="str">
        <f>IFERROR(__xludf.DUMMYFUNCTION("""COMPUTED_VALUE"""),"+10:00")</f>
        <v>+10:00</v>
      </c>
      <c r="W212" s="177">
        <f>IFERROR(__xludf.DUMMYFUNCTION("""COMPUTED_VALUE"""),1.7570016E9)</f>
        <v>1757001600</v>
      </c>
      <c r="X212" s="178">
        <f>IFERROR(__xludf.DUMMYFUNCTION("""COMPUTED_VALUE"""),45632.68956018519)</f>
        <v>45632.68956</v>
      </c>
      <c r="Y212" s="177" t="str">
        <f>IFERROR(__xludf.DUMMYFUNCTION("""COMPUTED_VALUE"""),"M.C.G.")</f>
        <v>M.C.G.</v>
      </c>
      <c r="Z212" s="177"/>
      <c r="AA212" s="177"/>
      <c r="AB212" s="177">
        <f>IFERROR(__xludf.DUMMYFUNCTION("""COMPUTED_VALUE"""),2025.0)</f>
        <v>2025</v>
      </c>
      <c r="AC212" s="177" t="str">
        <f t="shared" si="3"/>
        <v>Friday</v>
      </c>
    </row>
    <row r="213">
      <c r="A213" s="175" t="str">
        <f t="shared" si="1"/>
        <v>254</v>
      </c>
      <c r="B213" s="176">
        <f t="shared" si="2"/>
        <v>4</v>
      </c>
      <c r="C213" s="177">
        <f>IFERROR(__xludf.DUMMYFUNCTION("""COMPUTED_VALUE"""),37318.0)</f>
        <v>37318</v>
      </c>
      <c r="D213" s="177"/>
      <c r="E213" s="177"/>
      <c r="F213" s="177">
        <f>IFERROR(__xludf.DUMMYFUNCTION("""COMPUTED_VALUE"""),0.0)</f>
        <v>0</v>
      </c>
      <c r="G213" s="177"/>
      <c r="H213" s="177"/>
      <c r="I213" s="177">
        <f>IFERROR(__xludf.DUMMYFUNCTION("""COMPUTED_VALUE"""),0.0)</f>
        <v>0</v>
      </c>
      <c r="J213" s="178">
        <f>IFERROR(__xludf.DUMMYFUNCTION("""COMPUTED_VALUE"""),45905.083333333336)</f>
        <v>45905.08333</v>
      </c>
      <c r="K213" s="177"/>
      <c r="L213" s="177"/>
      <c r="M213" s="177">
        <f>IFERROR(__xludf.DUMMYFUNCTION("""COMPUTED_VALUE"""),0.0)</f>
        <v>0</v>
      </c>
      <c r="N213" s="177"/>
      <c r="O213" s="177"/>
      <c r="P213" s="177">
        <f>IFERROR(__xludf.DUMMYFUNCTION("""COMPUTED_VALUE"""),3.0)</f>
        <v>3</v>
      </c>
      <c r="Q213" s="177">
        <f>IFERROR(__xludf.DUMMYFUNCTION("""COMPUTED_VALUE"""),0.0)</f>
        <v>0</v>
      </c>
      <c r="R213" s="178">
        <f>IFERROR(__xludf.DUMMYFUNCTION("""COMPUTED_VALUE"""),45905.083333333336)</f>
        <v>45905.08333</v>
      </c>
      <c r="S213" s="177">
        <f>IFERROR(__xludf.DUMMYFUNCTION("""COMPUTED_VALUE"""),25.0)</f>
        <v>25</v>
      </c>
      <c r="T213" s="177" t="str">
        <f>IFERROR(__xludf.DUMMYFUNCTION("""COMPUTED_VALUE"""),"Finals Week 1")</f>
        <v>Finals Week 1</v>
      </c>
      <c r="U213" s="177"/>
      <c r="V213" s="177" t="str">
        <f>IFERROR(__xludf.DUMMYFUNCTION("""COMPUTED_VALUE"""),"+10:00")</f>
        <v>+10:00</v>
      </c>
      <c r="W213" s="177">
        <f>IFERROR(__xludf.DUMMYFUNCTION("""COMPUTED_VALUE"""),1.7570016E9)</f>
        <v>1757001600</v>
      </c>
      <c r="X213" s="178">
        <f>IFERROR(__xludf.DUMMYFUNCTION("""COMPUTED_VALUE"""),45632.68956018519)</f>
        <v>45632.68956</v>
      </c>
      <c r="Y213" s="177" t="str">
        <f>IFERROR(__xludf.DUMMYFUNCTION("""COMPUTED_VALUE"""),"M.C.G.")</f>
        <v>M.C.G.</v>
      </c>
      <c r="Z213" s="177"/>
      <c r="AA213" s="177"/>
      <c r="AB213" s="177">
        <f>IFERROR(__xludf.DUMMYFUNCTION("""COMPUTED_VALUE"""),2025.0)</f>
        <v>2025</v>
      </c>
      <c r="AC213" s="177" t="str">
        <f t="shared" si="3"/>
        <v>Friday</v>
      </c>
    </row>
    <row r="214">
      <c r="A214" s="175" t="str">
        <f t="shared" si="1"/>
        <v>261</v>
      </c>
      <c r="B214" s="176">
        <f t="shared" si="2"/>
        <v>1</v>
      </c>
      <c r="C214" s="177">
        <f>IFERROR(__xludf.DUMMYFUNCTION("""COMPUTED_VALUE"""),37319.0)</f>
        <v>37319</v>
      </c>
      <c r="D214" s="177"/>
      <c r="E214" s="177"/>
      <c r="F214" s="177">
        <f>IFERROR(__xludf.DUMMYFUNCTION("""COMPUTED_VALUE"""),0.0)</f>
        <v>0</v>
      </c>
      <c r="G214" s="177"/>
      <c r="H214" s="177"/>
      <c r="I214" s="177">
        <f>IFERROR(__xludf.DUMMYFUNCTION("""COMPUTED_VALUE"""),0.0)</f>
        <v>0</v>
      </c>
      <c r="J214" s="178">
        <f>IFERROR(__xludf.DUMMYFUNCTION("""COMPUTED_VALUE"""),45912.083333333336)</f>
        <v>45912.08333</v>
      </c>
      <c r="K214" s="177"/>
      <c r="L214" s="177"/>
      <c r="M214" s="177">
        <f>IFERROR(__xludf.DUMMYFUNCTION("""COMPUTED_VALUE"""),0.0)</f>
        <v>0</v>
      </c>
      <c r="N214" s="177"/>
      <c r="O214" s="177"/>
      <c r="P214" s="177">
        <f>IFERROR(__xludf.DUMMYFUNCTION("""COMPUTED_VALUE"""),4.0)</f>
        <v>4</v>
      </c>
      <c r="Q214" s="177">
        <f>IFERROR(__xludf.DUMMYFUNCTION("""COMPUTED_VALUE"""),0.0)</f>
        <v>0</v>
      </c>
      <c r="R214" s="178">
        <f>IFERROR(__xludf.DUMMYFUNCTION("""COMPUTED_VALUE"""),45912.083333333336)</f>
        <v>45912.08333</v>
      </c>
      <c r="S214" s="177">
        <f>IFERROR(__xludf.DUMMYFUNCTION("""COMPUTED_VALUE"""),26.0)</f>
        <v>26</v>
      </c>
      <c r="T214" s="177" t="str">
        <f>IFERROR(__xludf.DUMMYFUNCTION("""COMPUTED_VALUE"""),"Semi-Finals")</f>
        <v>Semi-Finals</v>
      </c>
      <c r="U214" s="177"/>
      <c r="V214" s="177" t="str">
        <f>IFERROR(__xludf.DUMMYFUNCTION("""COMPUTED_VALUE"""),"+10:00")</f>
        <v>+10:00</v>
      </c>
      <c r="W214" s="177">
        <f>IFERROR(__xludf.DUMMYFUNCTION("""COMPUTED_VALUE"""),1.7576064E9)</f>
        <v>1757606400</v>
      </c>
      <c r="X214" s="178">
        <f>IFERROR(__xludf.DUMMYFUNCTION("""COMPUTED_VALUE"""),45632.68956018519)</f>
        <v>45632.68956</v>
      </c>
      <c r="Y214" s="177" t="str">
        <f>IFERROR(__xludf.DUMMYFUNCTION("""COMPUTED_VALUE"""),"M.C.G.")</f>
        <v>M.C.G.</v>
      </c>
      <c r="Z214" s="177"/>
      <c r="AA214" s="177"/>
      <c r="AB214" s="177">
        <f>IFERROR(__xludf.DUMMYFUNCTION("""COMPUTED_VALUE"""),2025.0)</f>
        <v>2025</v>
      </c>
      <c r="AC214" s="177" t="str">
        <f t="shared" si="3"/>
        <v>Friday</v>
      </c>
    </row>
    <row r="215">
      <c r="A215" s="175" t="str">
        <f t="shared" si="1"/>
        <v>262</v>
      </c>
      <c r="B215" s="176">
        <f t="shared" si="2"/>
        <v>2</v>
      </c>
      <c r="C215" s="177">
        <f>IFERROR(__xludf.DUMMYFUNCTION("""COMPUTED_VALUE"""),37320.0)</f>
        <v>37320</v>
      </c>
      <c r="D215" s="177"/>
      <c r="E215" s="177"/>
      <c r="F215" s="177">
        <f>IFERROR(__xludf.DUMMYFUNCTION("""COMPUTED_VALUE"""),0.0)</f>
        <v>0</v>
      </c>
      <c r="G215" s="177"/>
      <c r="H215" s="177"/>
      <c r="I215" s="177">
        <f>IFERROR(__xludf.DUMMYFUNCTION("""COMPUTED_VALUE"""),0.0)</f>
        <v>0</v>
      </c>
      <c r="J215" s="178">
        <f>IFERROR(__xludf.DUMMYFUNCTION("""COMPUTED_VALUE"""),45912.083333333336)</f>
        <v>45912.08333</v>
      </c>
      <c r="K215" s="177"/>
      <c r="L215" s="177"/>
      <c r="M215" s="177">
        <f>IFERROR(__xludf.DUMMYFUNCTION("""COMPUTED_VALUE"""),0.0)</f>
        <v>0</v>
      </c>
      <c r="N215" s="177"/>
      <c r="O215" s="177"/>
      <c r="P215" s="177">
        <f>IFERROR(__xludf.DUMMYFUNCTION("""COMPUTED_VALUE"""),4.0)</f>
        <v>4</v>
      </c>
      <c r="Q215" s="177">
        <f>IFERROR(__xludf.DUMMYFUNCTION("""COMPUTED_VALUE"""),0.0)</f>
        <v>0</v>
      </c>
      <c r="R215" s="178">
        <f>IFERROR(__xludf.DUMMYFUNCTION("""COMPUTED_VALUE"""),45912.083333333336)</f>
        <v>45912.08333</v>
      </c>
      <c r="S215" s="177">
        <f>IFERROR(__xludf.DUMMYFUNCTION("""COMPUTED_VALUE"""),26.0)</f>
        <v>26</v>
      </c>
      <c r="T215" s="177" t="str">
        <f>IFERROR(__xludf.DUMMYFUNCTION("""COMPUTED_VALUE"""),"Semi-Finals")</f>
        <v>Semi-Finals</v>
      </c>
      <c r="U215" s="177"/>
      <c r="V215" s="177" t="str">
        <f>IFERROR(__xludf.DUMMYFUNCTION("""COMPUTED_VALUE"""),"+10:00")</f>
        <v>+10:00</v>
      </c>
      <c r="W215" s="177">
        <f>IFERROR(__xludf.DUMMYFUNCTION("""COMPUTED_VALUE"""),1.7576064E9)</f>
        <v>1757606400</v>
      </c>
      <c r="X215" s="178">
        <f>IFERROR(__xludf.DUMMYFUNCTION("""COMPUTED_VALUE"""),45632.689571759256)</f>
        <v>45632.68957</v>
      </c>
      <c r="Y215" s="177" t="str">
        <f>IFERROR(__xludf.DUMMYFUNCTION("""COMPUTED_VALUE"""),"M.C.G.")</f>
        <v>M.C.G.</v>
      </c>
      <c r="Z215" s="177"/>
      <c r="AA215" s="177"/>
      <c r="AB215" s="177">
        <f>IFERROR(__xludf.DUMMYFUNCTION("""COMPUTED_VALUE"""),2025.0)</f>
        <v>2025</v>
      </c>
      <c r="AC215" s="177" t="str">
        <f t="shared" si="3"/>
        <v>Friday</v>
      </c>
    </row>
    <row r="216">
      <c r="A216" s="175" t="str">
        <f t="shared" si="1"/>
        <v>271</v>
      </c>
      <c r="B216" s="176">
        <f t="shared" si="2"/>
        <v>1</v>
      </c>
      <c r="C216" s="177">
        <f>IFERROR(__xludf.DUMMYFUNCTION("""COMPUTED_VALUE"""),37321.0)</f>
        <v>37321</v>
      </c>
      <c r="D216" s="177"/>
      <c r="E216" s="177"/>
      <c r="F216" s="177">
        <f>IFERROR(__xludf.DUMMYFUNCTION("""COMPUTED_VALUE"""),0.0)</f>
        <v>0</v>
      </c>
      <c r="G216" s="177"/>
      <c r="H216" s="177"/>
      <c r="I216" s="177">
        <f>IFERROR(__xludf.DUMMYFUNCTION("""COMPUTED_VALUE"""),0.0)</f>
        <v>0</v>
      </c>
      <c r="J216" s="178">
        <f>IFERROR(__xludf.DUMMYFUNCTION("""COMPUTED_VALUE"""),45919.083333333336)</f>
        <v>45919.08333</v>
      </c>
      <c r="K216" s="177"/>
      <c r="L216" s="177"/>
      <c r="M216" s="177">
        <f>IFERROR(__xludf.DUMMYFUNCTION("""COMPUTED_VALUE"""),0.0)</f>
        <v>0</v>
      </c>
      <c r="N216" s="177"/>
      <c r="O216" s="177"/>
      <c r="P216" s="177">
        <f>IFERROR(__xludf.DUMMYFUNCTION("""COMPUTED_VALUE"""),5.0)</f>
        <v>5</v>
      </c>
      <c r="Q216" s="177">
        <f>IFERROR(__xludf.DUMMYFUNCTION("""COMPUTED_VALUE"""),0.0)</f>
        <v>0</v>
      </c>
      <c r="R216" s="178">
        <f>IFERROR(__xludf.DUMMYFUNCTION("""COMPUTED_VALUE"""),45919.083333333336)</f>
        <v>45919.08333</v>
      </c>
      <c r="S216" s="177">
        <f>IFERROR(__xludf.DUMMYFUNCTION("""COMPUTED_VALUE"""),27.0)</f>
        <v>27</v>
      </c>
      <c r="T216" s="177" t="str">
        <f>IFERROR(__xludf.DUMMYFUNCTION("""COMPUTED_VALUE"""),"Preliminary Finals")</f>
        <v>Preliminary Finals</v>
      </c>
      <c r="U216" s="177"/>
      <c r="V216" s="177" t="str">
        <f>IFERROR(__xludf.DUMMYFUNCTION("""COMPUTED_VALUE"""),"+10:00")</f>
        <v>+10:00</v>
      </c>
      <c r="W216" s="177">
        <f>IFERROR(__xludf.DUMMYFUNCTION("""COMPUTED_VALUE"""),1.7582112E9)</f>
        <v>1758211200</v>
      </c>
      <c r="X216" s="178">
        <f>IFERROR(__xludf.DUMMYFUNCTION("""COMPUTED_VALUE"""),45632.689571759256)</f>
        <v>45632.68957</v>
      </c>
      <c r="Y216" s="177" t="str">
        <f>IFERROR(__xludf.DUMMYFUNCTION("""COMPUTED_VALUE"""),"M.C.G.")</f>
        <v>M.C.G.</v>
      </c>
      <c r="Z216" s="177"/>
      <c r="AA216" s="177"/>
      <c r="AB216" s="177">
        <f>IFERROR(__xludf.DUMMYFUNCTION("""COMPUTED_VALUE"""),2025.0)</f>
        <v>2025</v>
      </c>
      <c r="AC216" s="177" t="str">
        <f t="shared" si="3"/>
        <v>Friday</v>
      </c>
    </row>
    <row r="217">
      <c r="A217" s="175" t="str">
        <f t="shared" si="1"/>
        <v>272</v>
      </c>
      <c r="B217" s="176">
        <f t="shared" si="2"/>
        <v>2</v>
      </c>
      <c r="C217" s="177">
        <f>IFERROR(__xludf.DUMMYFUNCTION("""COMPUTED_VALUE"""),37322.0)</f>
        <v>37322</v>
      </c>
      <c r="D217" s="177"/>
      <c r="E217" s="177"/>
      <c r="F217" s="177">
        <f>IFERROR(__xludf.DUMMYFUNCTION("""COMPUTED_VALUE"""),0.0)</f>
        <v>0</v>
      </c>
      <c r="G217" s="177"/>
      <c r="H217" s="177"/>
      <c r="I217" s="177">
        <f>IFERROR(__xludf.DUMMYFUNCTION("""COMPUTED_VALUE"""),0.0)</f>
        <v>0</v>
      </c>
      <c r="J217" s="178">
        <f>IFERROR(__xludf.DUMMYFUNCTION("""COMPUTED_VALUE"""),45919.083333333336)</f>
        <v>45919.08333</v>
      </c>
      <c r="K217" s="177"/>
      <c r="L217" s="177"/>
      <c r="M217" s="177">
        <f>IFERROR(__xludf.DUMMYFUNCTION("""COMPUTED_VALUE"""),0.0)</f>
        <v>0</v>
      </c>
      <c r="N217" s="177"/>
      <c r="O217" s="177"/>
      <c r="P217" s="177">
        <f>IFERROR(__xludf.DUMMYFUNCTION("""COMPUTED_VALUE"""),5.0)</f>
        <v>5</v>
      </c>
      <c r="Q217" s="177">
        <f>IFERROR(__xludf.DUMMYFUNCTION("""COMPUTED_VALUE"""),0.0)</f>
        <v>0</v>
      </c>
      <c r="R217" s="178">
        <f>IFERROR(__xludf.DUMMYFUNCTION("""COMPUTED_VALUE"""),45919.083333333336)</f>
        <v>45919.08333</v>
      </c>
      <c r="S217" s="177">
        <f>IFERROR(__xludf.DUMMYFUNCTION("""COMPUTED_VALUE"""),27.0)</f>
        <v>27</v>
      </c>
      <c r="T217" s="177" t="str">
        <f>IFERROR(__xludf.DUMMYFUNCTION("""COMPUTED_VALUE"""),"Preliminary Finals")</f>
        <v>Preliminary Finals</v>
      </c>
      <c r="U217" s="177"/>
      <c r="V217" s="177" t="str">
        <f>IFERROR(__xludf.DUMMYFUNCTION("""COMPUTED_VALUE"""),"+10:00")</f>
        <v>+10:00</v>
      </c>
      <c r="W217" s="177">
        <f>IFERROR(__xludf.DUMMYFUNCTION("""COMPUTED_VALUE"""),1.7582112E9)</f>
        <v>1758211200</v>
      </c>
      <c r="X217" s="178">
        <f>IFERROR(__xludf.DUMMYFUNCTION("""COMPUTED_VALUE"""),45632.689571759256)</f>
        <v>45632.68957</v>
      </c>
      <c r="Y217" s="177" t="str">
        <f>IFERROR(__xludf.DUMMYFUNCTION("""COMPUTED_VALUE"""),"M.C.G.")</f>
        <v>M.C.G.</v>
      </c>
      <c r="Z217" s="177"/>
      <c r="AA217" s="177"/>
      <c r="AB217" s="177">
        <f>IFERROR(__xludf.DUMMYFUNCTION("""COMPUTED_VALUE"""),2025.0)</f>
        <v>2025</v>
      </c>
      <c r="AC217" s="177" t="str">
        <f t="shared" si="3"/>
        <v>Friday</v>
      </c>
    </row>
    <row r="218">
      <c r="A218" s="175" t="str">
        <f t="shared" si="1"/>
        <v>281</v>
      </c>
      <c r="B218" s="176">
        <f t="shared" si="2"/>
        <v>1</v>
      </c>
      <c r="C218" s="177">
        <f>IFERROR(__xludf.DUMMYFUNCTION("""COMPUTED_VALUE"""),37323.0)</f>
        <v>37323</v>
      </c>
      <c r="D218" s="177"/>
      <c r="E218" s="177"/>
      <c r="F218" s="177">
        <f>IFERROR(__xludf.DUMMYFUNCTION("""COMPUTED_VALUE"""),0.0)</f>
        <v>0</v>
      </c>
      <c r="G218" s="177"/>
      <c r="H218" s="177"/>
      <c r="I218" s="177">
        <f>IFERROR(__xludf.DUMMYFUNCTION("""COMPUTED_VALUE"""),0.0)</f>
        <v>0</v>
      </c>
      <c r="J218" s="178">
        <f>IFERROR(__xludf.DUMMYFUNCTION("""COMPUTED_VALUE"""),45926.083333333336)</f>
        <v>45926.08333</v>
      </c>
      <c r="K218" s="177"/>
      <c r="L218" s="177"/>
      <c r="M218" s="177">
        <f>IFERROR(__xludf.DUMMYFUNCTION("""COMPUTED_VALUE"""),0.0)</f>
        <v>0</v>
      </c>
      <c r="N218" s="177"/>
      <c r="O218" s="177"/>
      <c r="P218" s="177">
        <f>IFERROR(__xludf.DUMMYFUNCTION("""COMPUTED_VALUE"""),6.0)</f>
        <v>6</v>
      </c>
      <c r="Q218" s="177">
        <f>IFERROR(__xludf.DUMMYFUNCTION("""COMPUTED_VALUE"""),1.0)</f>
        <v>1</v>
      </c>
      <c r="R218" s="178">
        <f>IFERROR(__xludf.DUMMYFUNCTION("""COMPUTED_VALUE"""),45926.083333333336)</f>
        <v>45926.08333</v>
      </c>
      <c r="S218" s="177">
        <f>IFERROR(__xludf.DUMMYFUNCTION("""COMPUTED_VALUE"""),28.0)</f>
        <v>28</v>
      </c>
      <c r="T218" s="177" t="str">
        <f>IFERROR(__xludf.DUMMYFUNCTION("""COMPUTED_VALUE"""),"Grand Final")</f>
        <v>Grand Final</v>
      </c>
      <c r="U218" s="177"/>
      <c r="V218" s="177" t="str">
        <f>IFERROR(__xludf.DUMMYFUNCTION("""COMPUTED_VALUE"""),"+10:00")</f>
        <v>+10:00</v>
      </c>
      <c r="W218" s="177">
        <f>IFERROR(__xludf.DUMMYFUNCTION("""COMPUTED_VALUE"""),1.758816E9)</f>
        <v>1758816000</v>
      </c>
      <c r="X218" s="178">
        <f>IFERROR(__xludf.DUMMYFUNCTION("""COMPUTED_VALUE"""),45632.689571759256)</f>
        <v>45632.68957</v>
      </c>
      <c r="Y218" s="177" t="str">
        <f>IFERROR(__xludf.DUMMYFUNCTION("""COMPUTED_VALUE"""),"M.C.G.")</f>
        <v>M.C.G.</v>
      </c>
      <c r="Z218" s="177"/>
      <c r="AA218" s="177"/>
      <c r="AB218" s="177">
        <f>IFERROR(__xludf.DUMMYFUNCTION("""COMPUTED_VALUE"""),2025.0)</f>
        <v>2025</v>
      </c>
      <c r="AC218" s="177" t="str">
        <f t="shared" si="3"/>
        <v>Friday</v>
      </c>
    </row>
    <row r="219">
      <c r="A219" s="175" t="str">
        <f t="shared" si="1"/>
        <v>0</v>
      </c>
      <c r="B219" s="176">
        <f t="shared" si="2"/>
        <v>0</v>
      </c>
    </row>
    <row r="220">
      <c r="A220" s="175" t="str">
        <f t="shared" si="1"/>
        <v>0</v>
      </c>
      <c r="B220" s="176">
        <f t="shared" si="2"/>
        <v>0</v>
      </c>
    </row>
    <row r="221">
      <c r="A221" s="175" t="str">
        <f t="shared" si="1"/>
        <v>0</v>
      </c>
      <c r="B221" s="176">
        <f t="shared" si="2"/>
        <v>0</v>
      </c>
    </row>
    <row r="222">
      <c r="A222" s="175" t="str">
        <f t="shared" si="1"/>
        <v>0</v>
      </c>
      <c r="B222" s="176">
        <f t="shared" si="2"/>
        <v>0</v>
      </c>
    </row>
    <row r="223">
      <c r="A223" s="175" t="str">
        <f t="shared" si="1"/>
        <v>0</v>
      </c>
      <c r="B223" s="176">
        <f t="shared" si="2"/>
        <v>0</v>
      </c>
    </row>
    <row r="224">
      <c r="A224" s="175" t="str">
        <f t="shared" si="1"/>
        <v>0</v>
      </c>
      <c r="B224" s="176">
        <f t="shared" si="2"/>
        <v>0</v>
      </c>
    </row>
    <row r="225">
      <c r="A225" s="175" t="str">
        <f t="shared" si="1"/>
        <v>0</v>
      </c>
      <c r="B225" s="176">
        <f t="shared" si="2"/>
        <v>0</v>
      </c>
    </row>
    <row r="226">
      <c r="A226" s="175" t="str">
        <f t="shared" si="1"/>
        <v>0</v>
      </c>
      <c r="B226" s="176">
        <f t="shared" si="2"/>
        <v>0</v>
      </c>
    </row>
    <row r="227">
      <c r="A227" s="175" t="str">
        <f t="shared" si="1"/>
        <v>0</v>
      </c>
      <c r="B227" s="176">
        <f t="shared" si="2"/>
        <v>0</v>
      </c>
    </row>
    <row r="228">
      <c r="A228" s="175" t="str">
        <f t="shared" si="1"/>
        <v>0</v>
      </c>
      <c r="B228" s="176">
        <f t="shared" si="2"/>
        <v>0</v>
      </c>
    </row>
    <row r="229">
      <c r="A229" s="175" t="str">
        <f t="shared" si="1"/>
        <v>0</v>
      </c>
      <c r="B229" s="176">
        <f t="shared" si="2"/>
        <v>0</v>
      </c>
    </row>
    <row r="230">
      <c r="A230" s="175" t="str">
        <f t="shared" si="1"/>
        <v>0</v>
      </c>
      <c r="B230" s="176">
        <f t="shared" si="2"/>
        <v>0</v>
      </c>
    </row>
    <row r="231">
      <c r="A231" s="175" t="str">
        <f t="shared" si="1"/>
        <v>0</v>
      </c>
      <c r="B231" s="176">
        <f t="shared" si="2"/>
        <v>0</v>
      </c>
    </row>
    <row r="232">
      <c r="A232" s="175" t="str">
        <f t="shared" si="1"/>
        <v>0</v>
      </c>
      <c r="B232" s="176">
        <f t="shared" si="2"/>
        <v>0</v>
      </c>
    </row>
    <row r="233">
      <c r="A233" s="175" t="str">
        <f t="shared" si="1"/>
        <v>0</v>
      </c>
      <c r="B233" s="176">
        <f t="shared" si="2"/>
        <v>0</v>
      </c>
    </row>
    <row r="234">
      <c r="A234" s="175" t="str">
        <f t="shared" si="1"/>
        <v>0</v>
      </c>
      <c r="B234" s="176">
        <f t="shared" si="2"/>
        <v>0</v>
      </c>
    </row>
    <row r="235">
      <c r="A235" s="175" t="str">
        <f t="shared" si="1"/>
        <v>0</v>
      </c>
      <c r="B235" s="176">
        <f t="shared" si="2"/>
        <v>0</v>
      </c>
    </row>
    <row r="236">
      <c r="A236" s="175" t="str">
        <f t="shared" si="1"/>
        <v>0</v>
      </c>
      <c r="B236" s="176">
        <f t="shared" si="2"/>
        <v>0</v>
      </c>
    </row>
    <row r="237">
      <c r="A237" s="175" t="str">
        <f t="shared" si="1"/>
        <v>0</v>
      </c>
      <c r="B237" s="176">
        <f t="shared" si="2"/>
        <v>0</v>
      </c>
    </row>
    <row r="238">
      <c r="A238" s="175" t="str">
        <f t="shared" si="1"/>
        <v>0</v>
      </c>
      <c r="B238" s="176">
        <f t="shared" si="2"/>
        <v>0</v>
      </c>
    </row>
    <row r="239">
      <c r="A239" s="175" t="str">
        <f t="shared" si="1"/>
        <v>0</v>
      </c>
      <c r="B239" s="176">
        <f t="shared" si="2"/>
        <v>0</v>
      </c>
    </row>
    <row r="240">
      <c r="A240" s="175" t="str">
        <f t="shared" si="1"/>
        <v>0</v>
      </c>
      <c r="B240" s="176">
        <f t="shared" si="2"/>
        <v>0</v>
      </c>
    </row>
    <row r="241">
      <c r="A241" s="175" t="str">
        <f t="shared" si="1"/>
        <v>0</v>
      </c>
      <c r="B241" s="176">
        <f t="shared" si="2"/>
        <v>0</v>
      </c>
    </row>
    <row r="242">
      <c r="A242" s="175" t="str">
        <f t="shared" si="1"/>
        <v>0</v>
      </c>
      <c r="B242" s="176">
        <f t="shared" si="2"/>
        <v>0</v>
      </c>
    </row>
    <row r="243">
      <c r="A243" s="175" t="str">
        <f t="shared" si="1"/>
        <v>0</v>
      </c>
      <c r="B243" s="176">
        <f t="shared" si="2"/>
        <v>0</v>
      </c>
    </row>
    <row r="244">
      <c r="A244" s="175" t="str">
        <f t="shared" si="1"/>
        <v>0</v>
      </c>
      <c r="B244" s="176">
        <f t="shared" si="2"/>
        <v>0</v>
      </c>
    </row>
    <row r="245">
      <c r="A245" s="175" t="str">
        <f t="shared" si="1"/>
        <v>0</v>
      </c>
      <c r="B245" s="176">
        <f t="shared" si="2"/>
        <v>0</v>
      </c>
    </row>
    <row r="246">
      <c r="A246" s="175" t="str">
        <f t="shared" si="1"/>
        <v>0</v>
      </c>
      <c r="B246" s="176">
        <f t="shared" si="2"/>
        <v>0</v>
      </c>
    </row>
    <row r="247">
      <c r="A247" s="175" t="str">
        <f t="shared" si="1"/>
        <v>0</v>
      </c>
      <c r="B247" s="176">
        <f t="shared" si="2"/>
        <v>0</v>
      </c>
    </row>
    <row r="248">
      <c r="A248" s="175" t="str">
        <f t="shared" si="1"/>
        <v>0</v>
      </c>
      <c r="B248" s="176">
        <f t="shared" si="2"/>
        <v>0</v>
      </c>
    </row>
    <row r="249">
      <c r="A249" s="175" t="str">
        <f t="shared" si="1"/>
        <v>0</v>
      </c>
      <c r="B249" s="176">
        <f t="shared" si="2"/>
        <v>0</v>
      </c>
    </row>
    <row r="250">
      <c r="A250" s="175" t="str">
        <f t="shared" si="1"/>
        <v>0</v>
      </c>
      <c r="B250" s="176">
        <f t="shared" si="2"/>
        <v>0</v>
      </c>
    </row>
    <row r="251">
      <c r="A251" s="175" t="str">
        <f t="shared" si="1"/>
        <v>0</v>
      </c>
      <c r="B251" s="176">
        <f t="shared" si="2"/>
        <v>0</v>
      </c>
    </row>
    <row r="252">
      <c r="A252" s="175" t="str">
        <f t="shared" si="1"/>
        <v>0</v>
      </c>
      <c r="B252" s="176">
        <f t="shared" si="2"/>
        <v>0</v>
      </c>
    </row>
    <row r="253">
      <c r="A253" s="175" t="str">
        <f t="shared" si="1"/>
        <v>0</v>
      </c>
      <c r="B253" s="176">
        <f t="shared" si="2"/>
        <v>0</v>
      </c>
    </row>
    <row r="254">
      <c r="A254" s="175" t="str">
        <f t="shared" si="1"/>
        <v>0</v>
      </c>
      <c r="B254" s="176">
        <f t="shared" si="2"/>
        <v>0</v>
      </c>
    </row>
    <row r="255">
      <c r="A255" s="175" t="str">
        <f t="shared" si="1"/>
        <v>0</v>
      </c>
      <c r="B255" s="176">
        <f t="shared" si="2"/>
        <v>0</v>
      </c>
    </row>
    <row r="256">
      <c r="A256" s="175" t="str">
        <f t="shared" si="1"/>
        <v>0</v>
      </c>
      <c r="B256" s="176">
        <f t="shared" si="2"/>
        <v>0</v>
      </c>
    </row>
    <row r="257">
      <c r="A257" s="175" t="str">
        <f t="shared" si="1"/>
        <v>0</v>
      </c>
      <c r="B257" s="176">
        <f t="shared" si="2"/>
        <v>0</v>
      </c>
    </row>
    <row r="258">
      <c r="A258" s="175" t="str">
        <f t="shared" si="1"/>
        <v>0</v>
      </c>
      <c r="B258" s="176">
        <f t="shared" si="2"/>
        <v>0</v>
      </c>
    </row>
    <row r="259">
      <c r="A259" s="175" t="str">
        <f t="shared" si="1"/>
        <v>0</v>
      </c>
      <c r="B259" s="176">
        <f t="shared" si="2"/>
        <v>0</v>
      </c>
    </row>
    <row r="260">
      <c r="A260" s="175" t="str">
        <f t="shared" si="1"/>
        <v>0</v>
      </c>
      <c r="B260" s="176">
        <f t="shared" si="2"/>
        <v>0</v>
      </c>
    </row>
    <row r="261">
      <c r="A261" s="175" t="str">
        <f t="shared" si="1"/>
        <v>0</v>
      </c>
      <c r="B261" s="176">
        <f t="shared" si="2"/>
        <v>0</v>
      </c>
    </row>
    <row r="262">
      <c r="A262" s="175" t="str">
        <f t="shared" si="1"/>
        <v>0</v>
      </c>
      <c r="B262" s="176">
        <f t="shared" si="2"/>
        <v>0</v>
      </c>
    </row>
    <row r="263">
      <c r="A263" s="175" t="str">
        <f t="shared" si="1"/>
        <v>0</v>
      </c>
      <c r="B263" s="176">
        <f t="shared" si="2"/>
        <v>0</v>
      </c>
    </row>
    <row r="264">
      <c r="A264" s="175" t="str">
        <f t="shared" si="1"/>
        <v>0</v>
      </c>
      <c r="B264" s="176">
        <f t="shared" si="2"/>
        <v>0</v>
      </c>
    </row>
    <row r="265">
      <c r="A265" s="175" t="str">
        <f t="shared" si="1"/>
        <v>0</v>
      </c>
      <c r="B265" s="176">
        <f t="shared" si="2"/>
        <v>0</v>
      </c>
    </row>
    <row r="266">
      <c r="A266" s="175" t="str">
        <f t="shared" si="1"/>
        <v>0</v>
      </c>
      <c r="B266" s="176">
        <f t="shared" si="2"/>
        <v>0</v>
      </c>
    </row>
    <row r="267">
      <c r="A267" s="175" t="str">
        <f t="shared" si="1"/>
        <v>0</v>
      </c>
      <c r="B267" s="176">
        <f t="shared" si="2"/>
        <v>0</v>
      </c>
    </row>
    <row r="268">
      <c r="A268" s="175" t="str">
        <f t="shared" si="1"/>
        <v>0</v>
      </c>
      <c r="B268" s="176">
        <f t="shared" si="2"/>
        <v>0</v>
      </c>
    </row>
    <row r="269">
      <c r="A269" s="175" t="str">
        <f t="shared" si="1"/>
        <v>0</v>
      </c>
      <c r="B269" s="176">
        <f t="shared" si="2"/>
        <v>0</v>
      </c>
    </row>
    <row r="270">
      <c r="A270" s="175" t="str">
        <f t="shared" si="1"/>
        <v>0</v>
      </c>
      <c r="B270" s="176">
        <f t="shared" si="2"/>
        <v>0</v>
      </c>
    </row>
    <row r="271">
      <c r="A271" s="175" t="str">
        <f t="shared" si="1"/>
        <v>0</v>
      </c>
      <c r="B271" s="176">
        <f t="shared" si="2"/>
        <v>0</v>
      </c>
    </row>
    <row r="272">
      <c r="A272" s="175" t="str">
        <f t="shared" si="1"/>
        <v>0</v>
      </c>
      <c r="B272" s="176">
        <f t="shared" si="2"/>
        <v>0</v>
      </c>
    </row>
    <row r="273">
      <c r="A273" s="175" t="str">
        <f t="shared" si="1"/>
        <v>0</v>
      </c>
      <c r="B273" s="176">
        <f t="shared" si="2"/>
        <v>0</v>
      </c>
    </row>
    <row r="274">
      <c r="A274" s="175" t="str">
        <f t="shared" si="1"/>
        <v>0</v>
      </c>
      <c r="B274" s="176">
        <f t="shared" si="2"/>
        <v>0</v>
      </c>
    </row>
    <row r="275">
      <c r="A275" s="175" t="str">
        <f t="shared" si="1"/>
        <v>0</v>
      </c>
      <c r="B275" s="176">
        <f t="shared" si="2"/>
        <v>0</v>
      </c>
    </row>
    <row r="276">
      <c r="A276" s="175" t="str">
        <f t="shared" si="1"/>
        <v>0</v>
      </c>
      <c r="B276" s="176">
        <f t="shared" si="2"/>
        <v>0</v>
      </c>
    </row>
    <row r="277">
      <c r="A277" s="175" t="str">
        <f t="shared" si="1"/>
        <v>0</v>
      </c>
      <c r="B277" s="176">
        <f t="shared" si="2"/>
        <v>0</v>
      </c>
    </row>
    <row r="278">
      <c r="A278" s="175" t="str">
        <f t="shared" si="1"/>
        <v>0</v>
      </c>
      <c r="B278" s="176">
        <f t="shared" si="2"/>
        <v>0</v>
      </c>
    </row>
    <row r="279">
      <c r="A279" s="175" t="str">
        <f t="shared" si="1"/>
        <v>0</v>
      </c>
      <c r="B279" s="176">
        <f t="shared" si="2"/>
        <v>0</v>
      </c>
    </row>
    <row r="280">
      <c r="A280" s="175" t="str">
        <f t="shared" si="1"/>
        <v>0</v>
      </c>
      <c r="B280" s="176">
        <f t="shared" si="2"/>
        <v>0</v>
      </c>
    </row>
    <row r="281">
      <c r="A281" s="175" t="str">
        <f t="shared" si="1"/>
        <v>0</v>
      </c>
      <c r="B281" s="176">
        <f t="shared" si="2"/>
        <v>0</v>
      </c>
    </row>
    <row r="282">
      <c r="A282" s="175" t="str">
        <f t="shared" si="1"/>
        <v>0</v>
      </c>
      <c r="B282" s="176">
        <f t="shared" si="2"/>
        <v>0</v>
      </c>
    </row>
    <row r="283">
      <c r="A283" s="175" t="str">
        <f t="shared" si="1"/>
        <v>0</v>
      </c>
      <c r="B283" s="176">
        <f t="shared" si="2"/>
        <v>0</v>
      </c>
    </row>
    <row r="284">
      <c r="A284" s="175" t="str">
        <f t="shared" si="1"/>
        <v>0</v>
      </c>
      <c r="B284" s="176">
        <f t="shared" si="2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45888.0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23.0</v>
      </c>
      <c r="B2" s="7" t="s">
        <v>109</v>
      </c>
      <c r="C2" s="8"/>
      <c r="D2" s="9" t="s">
        <v>110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45884.805555555555</v>
      </c>
      <c r="E3" s="15">
        <v>45884.84722222222</v>
      </c>
      <c r="F3" s="15">
        <v>45885.524305555555</v>
      </c>
      <c r="G3" s="15">
        <v>45885.555555555555</v>
      </c>
      <c r="H3" s="15">
        <v>45885.677083333336</v>
      </c>
      <c r="I3" s="15">
        <v>45885.81597222222</v>
      </c>
      <c r="J3" s="15">
        <v>45886.54861111111</v>
      </c>
      <c r="K3" s="15">
        <v>45886.635416666664</v>
      </c>
      <c r="L3" s="15">
        <v>45886.694444444445</v>
      </c>
      <c r="M3" s="16"/>
      <c r="N3" s="17"/>
    </row>
    <row r="4">
      <c r="A4" s="6"/>
      <c r="B4" s="18" t="s">
        <v>2</v>
      </c>
      <c r="C4" s="19"/>
      <c r="D4" s="20" t="s">
        <v>111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45884.805555555555</v>
      </c>
      <c r="E5" s="25">
        <v>45884.76388888889</v>
      </c>
      <c r="F5" s="25">
        <v>45885.524305555555</v>
      </c>
      <c r="G5" s="25">
        <v>45885.555555555555</v>
      </c>
      <c r="H5" s="25">
        <v>45885.677083333336</v>
      </c>
      <c r="I5" s="25">
        <v>45885.79513888889</v>
      </c>
      <c r="J5" s="25">
        <v>45886.54861111111</v>
      </c>
      <c r="K5" s="25">
        <v>45886.635416666664</v>
      </c>
      <c r="L5" s="25">
        <v>45886.694444444445</v>
      </c>
      <c r="M5" s="26"/>
      <c r="N5" s="27"/>
    </row>
    <row r="6">
      <c r="A6" s="6">
        <v>7.0</v>
      </c>
      <c r="B6" s="28" t="s">
        <v>4</v>
      </c>
      <c r="C6" s="29"/>
      <c r="D6" s="30" t="s">
        <v>31</v>
      </c>
      <c r="E6" s="30" t="s">
        <v>28</v>
      </c>
      <c r="F6" s="30" t="s">
        <v>23</v>
      </c>
      <c r="G6" s="30" t="s">
        <v>21</v>
      </c>
      <c r="H6" s="30" t="s">
        <v>36</v>
      </c>
      <c r="I6" s="30" t="s">
        <v>24</v>
      </c>
      <c r="J6" s="30" t="s">
        <v>53</v>
      </c>
      <c r="K6" s="30" t="s">
        <v>26</v>
      </c>
      <c r="L6" s="30" t="s">
        <v>55</v>
      </c>
      <c r="M6" s="21"/>
      <c r="N6" s="22"/>
    </row>
    <row r="7">
      <c r="A7" s="6">
        <v>8.0</v>
      </c>
      <c r="B7" s="31" t="s">
        <v>5</v>
      </c>
      <c r="C7" s="24"/>
      <c r="D7" s="32" t="s">
        <v>34</v>
      </c>
      <c r="E7" s="32" t="s">
        <v>29</v>
      </c>
      <c r="F7" s="32" t="s">
        <v>27</v>
      </c>
      <c r="G7" s="32" t="s">
        <v>33</v>
      </c>
      <c r="H7" s="32" t="s">
        <v>22</v>
      </c>
      <c r="I7" s="32" t="s">
        <v>32</v>
      </c>
      <c r="J7" s="32" t="s">
        <v>47</v>
      </c>
      <c r="K7" s="32" t="s">
        <v>25</v>
      </c>
      <c r="L7" s="32" t="s">
        <v>54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115</v>
      </c>
      <c r="F8" s="36" t="s">
        <v>116</v>
      </c>
      <c r="G8" s="36" t="s">
        <v>114</v>
      </c>
      <c r="H8" s="36" t="s">
        <v>117</v>
      </c>
      <c r="I8" s="36" t="s">
        <v>118</v>
      </c>
      <c r="J8" s="36" t="s">
        <v>119</v>
      </c>
      <c r="K8" s="36" t="s">
        <v>120</v>
      </c>
      <c r="L8" s="36" t="s">
        <v>114</v>
      </c>
      <c r="M8" s="37"/>
      <c r="N8" s="38"/>
    </row>
    <row r="9">
      <c r="A9" s="39"/>
      <c r="B9" s="40" t="s">
        <v>7</v>
      </c>
      <c r="C9" s="41"/>
      <c r="D9" s="42" t="s">
        <v>34</v>
      </c>
      <c r="E9" s="42" t="s">
        <v>29</v>
      </c>
      <c r="F9" s="42" t="s">
        <v>27</v>
      </c>
      <c r="G9" s="42" t="s">
        <v>21</v>
      </c>
      <c r="H9" s="42" t="s">
        <v>36</v>
      </c>
      <c r="I9" s="42" t="s">
        <v>24</v>
      </c>
      <c r="J9" s="42" t="s">
        <v>53</v>
      </c>
      <c r="K9" s="42" t="s">
        <v>25</v>
      </c>
      <c r="L9" s="42" t="s">
        <v>55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34</v>
      </c>
      <c r="E10" s="47" t="s">
        <v>28</v>
      </c>
      <c r="F10" s="48" t="s">
        <v>23</v>
      </c>
      <c r="G10" s="48" t="s">
        <v>21</v>
      </c>
      <c r="H10" s="48" t="s">
        <v>36</v>
      </c>
      <c r="I10" s="48" t="s">
        <v>24</v>
      </c>
      <c r="J10" s="48" t="s">
        <v>53</v>
      </c>
      <c r="K10" s="48" t="s">
        <v>25</v>
      </c>
      <c r="L10" s="49" t="s">
        <v>55</v>
      </c>
      <c r="M10" s="50">
        <v>7.0</v>
      </c>
      <c r="N10" s="51">
        <v>134.0</v>
      </c>
    </row>
    <row r="11">
      <c r="A11" s="39"/>
      <c r="B11" s="52" t="s">
        <v>12</v>
      </c>
      <c r="C11" s="53" t="s">
        <v>13</v>
      </c>
      <c r="D11" s="54" t="s">
        <v>31</v>
      </c>
      <c r="E11" s="55" t="s">
        <v>29</v>
      </c>
      <c r="F11" s="55" t="s">
        <v>23</v>
      </c>
      <c r="G11" s="55" t="s">
        <v>33</v>
      </c>
      <c r="H11" s="55" t="s">
        <v>36</v>
      </c>
      <c r="I11" s="55" t="s">
        <v>24</v>
      </c>
      <c r="J11" s="55" t="s">
        <v>53</v>
      </c>
      <c r="K11" s="55" t="s">
        <v>26</v>
      </c>
      <c r="L11" s="56" t="s">
        <v>55</v>
      </c>
      <c r="M11" s="57">
        <v>5.0</v>
      </c>
      <c r="N11" s="58">
        <v>115.0</v>
      </c>
    </row>
    <row r="12">
      <c r="A12" s="39"/>
      <c r="B12" s="52" t="s">
        <v>14</v>
      </c>
      <c r="C12" s="53" t="s">
        <v>15</v>
      </c>
      <c r="D12" s="59" t="s">
        <v>34</v>
      </c>
      <c r="E12" s="60" t="s">
        <v>28</v>
      </c>
      <c r="F12" s="60" t="s">
        <v>23</v>
      </c>
      <c r="G12" s="60" t="s">
        <v>21</v>
      </c>
      <c r="H12" s="60" t="s">
        <v>22</v>
      </c>
      <c r="I12" s="60" t="s">
        <v>24</v>
      </c>
      <c r="J12" s="60" t="s">
        <v>47</v>
      </c>
      <c r="K12" s="60" t="s">
        <v>25</v>
      </c>
      <c r="L12" s="61" t="s">
        <v>55</v>
      </c>
      <c r="M12" s="57">
        <v>5.0</v>
      </c>
      <c r="N12" s="62">
        <v>130.0</v>
      </c>
    </row>
    <row r="13">
      <c r="A13" s="63"/>
      <c r="B13" s="52" t="s">
        <v>16</v>
      </c>
      <c r="C13" s="53" t="s">
        <v>11</v>
      </c>
      <c r="D13" s="54" t="s">
        <v>31</v>
      </c>
      <c r="E13" s="55" t="s">
        <v>28</v>
      </c>
      <c r="F13" s="55" t="s">
        <v>23</v>
      </c>
      <c r="G13" s="55" t="s">
        <v>21</v>
      </c>
      <c r="H13" s="55" t="s">
        <v>36</v>
      </c>
      <c r="I13" s="55" t="s">
        <v>24</v>
      </c>
      <c r="J13" s="55" t="s">
        <v>47</v>
      </c>
      <c r="K13" s="55" t="s">
        <v>25</v>
      </c>
      <c r="L13" s="56" t="s">
        <v>55</v>
      </c>
      <c r="M13" s="57">
        <v>5.0</v>
      </c>
      <c r="N13" s="181">
        <v>110.0</v>
      </c>
    </row>
    <row r="14">
      <c r="A14" s="63"/>
      <c r="B14" s="52" t="s">
        <v>17</v>
      </c>
      <c r="C14" s="53" t="s">
        <v>18</v>
      </c>
      <c r="D14" s="59" t="s">
        <v>34</v>
      </c>
      <c r="E14" s="60" t="s">
        <v>28</v>
      </c>
      <c r="F14" s="60" t="s">
        <v>23</v>
      </c>
      <c r="G14" s="60" t="s">
        <v>33</v>
      </c>
      <c r="H14" s="60" t="s">
        <v>36</v>
      </c>
      <c r="I14" s="60" t="s">
        <v>24</v>
      </c>
      <c r="J14" s="60" t="s">
        <v>47</v>
      </c>
      <c r="K14" s="60" t="s">
        <v>25</v>
      </c>
      <c r="L14" s="61" t="s">
        <v>55</v>
      </c>
      <c r="M14" s="57">
        <v>5.0</v>
      </c>
      <c r="N14" s="181">
        <v>114.0</v>
      </c>
    </row>
    <row r="15">
      <c r="A15" s="63"/>
      <c r="B15" s="52" t="s">
        <v>19</v>
      </c>
      <c r="C15" s="53"/>
      <c r="D15" s="54" t="s">
        <v>31</v>
      </c>
      <c r="E15" s="55" t="s">
        <v>28</v>
      </c>
      <c r="F15" s="55" t="s">
        <v>27</v>
      </c>
      <c r="G15" s="55" t="s">
        <v>33</v>
      </c>
      <c r="H15" s="55" t="s">
        <v>36</v>
      </c>
      <c r="I15" s="55" t="s">
        <v>24</v>
      </c>
      <c r="J15" s="55" t="s">
        <v>53</v>
      </c>
      <c r="K15" s="55" t="s">
        <v>26</v>
      </c>
      <c r="L15" s="56" t="s">
        <v>55</v>
      </c>
      <c r="M15" s="57">
        <v>5.0</v>
      </c>
      <c r="N15" s="181">
        <v>101.0</v>
      </c>
    </row>
    <row r="16">
      <c r="A16" s="63"/>
      <c r="B16" s="52" t="s">
        <v>20</v>
      </c>
      <c r="C16" s="65" t="s">
        <v>15</v>
      </c>
      <c r="D16" s="66" t="s">
        <v>34</v>
      </c>
      <c r="E16" s="66" t="s">
        <v>28</v>
      </c>
      <c r="F16" s="67" t="s">
        <v>27</v>
      </c>
      <c r="G16" s="67" t="s">
        <v>21</v>
      </c>
      <c r="H16" s="67" t="s">
        <v>22</v>
      </c>
      <c r="I16" s="67" t="s">
        <v>24</v>
      </c>
      <c r="J16" s="67" t="s">
        <v>53</v>
      </c>
      <c r="K16" s="67" t="s">
        <v>25</v>
      </c>
      <c r="L16" s="67" t="s">
        <v>55</v>
      </c>
      <c r="M16" s="57">
        <v>7.0</v>
      </c>
      <c r="N16" s="181">
        <v>130.0</v>
      </c>
    </row>
    <row r="17">
      <c r="A17" s="63"/>
      <c r="B17" s="52" t="s">
        <v>30</v>
      </c>
      <c r="C17" s="53" t="s">
        <v>13</v>
      </c>
      <c r="D17" s="68" t="s">
        <v>31</v>
      </c>
      <c r="E17" s="55" t="s">
        <v>28</v>
      </c>
      <c r="F17" s="55" t="s">
        <v>23</v>
      </c>
      <c r="G17" s="55" t="s">
        <v>21</v>
      </c>
      <c r="H17" s="55" t="s">
        <v>36</v>
      </c>
      <c r="I17" s="55" t="s">
        <v>24</v>
      </c>
      <c r="J17" s="55" t="s">
        <v>47</v>
      </c>
      <c r="K17" s="55" t="s">
        <v>26</v>
      </c>
      <c r="L17" s="56" t="s">
        <v>55</v>
      </c>
      <c r="M17" s="57">
        <v>4.0</v>
      </c>
      <c r="N17" s="181">
        <v>126.0</v>
      </c>
    </row>
    <row r="18">
      <c r="A18" s="63"/>
      <c r="B18" s="52" t="s">
        <v>35</v>
      </c>
      <c r="C18" s="53" t="s">
        <v>13</v>
      </c>
      <c r="D18" s="69" t="s">
        <v>31</v>
      </c>
      <c r="E18" s="70" t="s">
        <v>28</v>
      </c>
      <c r="F18" s="70" t="s">
        <v>23</v>
      </c>
      <c r="G18" s="70" t="s">
        <v>21</v>
      </c>
      <c r="H18" s="70" t="s">
        <v>36</v>
      </c>
      <c r="I18" s="70" t="s">
        <v>32</v>
      </c>
      <c r="J18" s="70" t="s">
        <v>47</v>
      </c>
      <c r="K18" s="70" t="s">
        <v>26</v>
      </c>
      <c r="L18" s="61" t="s">
        <v>55</v>
      </c>
      <c r="M18" s="57">
        <v>3.0</v>
      </c>
      <c r="N18" s="181">
        <v>127.0</v>
      </c>
    </row>
    <row r="19">
      <c r="A19" s="63"/>
      <c r="B19" s="52" t="s">
        <v>37</v>
      </c>
      <c r="C19" s="65" t="s">
        <v>13</v>
      </c>
      <c r="D19" s="71" t="s">
        <v>34</v>
      </c>
      <c r="E19" s="72" t="s">
        <v>28</v>
      </c>
      <c r="F19" s="72" t="s">
        <v>23</v>
      </c>
      <c r="G19" s="72" t="s">
        <v>21</v>
      </c>
      <c r="H19" s="72" t="s">
        <v>36</v>
      </c>
      <c r="I19" s="72" t="s">
        <v>24</v>
      </c>
      <c r="J19" s="72" t="s">
        <v>53</v>
      </c>
      <c r="K19" s="72" t="s">
        <v>25</v>
      </c>
      <c r="L19" s="56" t="s">
        <v>55</v>
      </c>
      <c r="M19" s="57">
        <v>7.0</v>
      </c>
      <c r="N19" s="181">
        <v>138.0</v>
      </c>
    </row>
    <row r="20">
      <c r="A20" s="63"/>
      <c r="B20" s="52" t="s">
        <v>38</v>
      </c>
      <c r="C20" s="65" t="s">
        <v>39</v>
      </c>
      <c r="D20" s="69" t="s">
        <v>34</v>
      </c>
      <c r="E20" s="70" t="s">
        <v>28</v>
      </c>
      <c r="F20" s="70" t="s">
        <v>23</v>
      </c>
      <c r="G20" s="70" t="s">
        <v>21</v>
      </c>
      <c r="H20" s="70" t="s">
        <v>36</v>
      </c>
      <c r="I20" s="70" t="s">
        <v>24</v>
      </c>
      <c r="J20" s="70" t="s">
        <v>53</v>
      </c>
      <c r="K20" s="70" t="s">
        <v>25</v>
      </c>
      <c r="L20" s="61" t="s">
        <v>55</v>
      </c>
      <c r="M20" s="57">
        <v>7.0</v>
      </c>
      <c r="N20" s="181">
        <v>149.0</v>
      </c>
    </row>
    <row r="21">
      <c r="A21" s="63"/>
      <c r="B21" s="52" t="s">
        <v>40</v>
      </c>
      <c r="C21" s="65" t="s">
        <v>39</v>
      </c>
      <c r="D21" s="54" t="s">
        <v>34</v>
      </c>
      <c r="E21" s="55" t="s">
        <v>121</v>
      </c>
      <c r="F21" s="72" t="s">
        <v>122</v>
      </c>
      <c r="G21" s="55" t="s">
        <v>33</v>
      </c>
      <c r="H21" s="55" t="s">
        <v>22</v>
      </c>
      <c r="I21" s="55" t="s">
        <v>32</v>
      </c>
      <c r="J21" s="55" t="s">
        <v>47</v>
      </c>
      <c r="K21" s="55" t="s">
        <v>25</v>
      </c>
      <c r="L21" s="56" t="s">
        <v>55</v>
      </c>
      <c r="M21" s="57">
        <v>4.0</v>
      </c>
      <c r="N21" s="181">
        <v>103.0</v>
      </c>
    </row>
    <row r="22">
      <c r="A22" s="63"/>
      <c r="B22" s="52" t="s">
        <v>41</v>
      </c>
      <c r="C22" s="53" t="s">
        <v>39</v>
      </c>
      <c r="D22" s="59" t="s">
        <v>34</v>
      </c>
      <c r="E22" s="70" t="s">
        <v>28</v>
      </c>
      <c r="F22" s="70" t="s">
        <v>23</v>
      </c>
      <c r="G22" s="73" t="s">
        <v>33</v>
      </c>
      <c r="H22" s="70" t="s">
        <v>36</v>
      </c>
      <c r="I22" s="60" t="s">
        <v>24</v>
      </c>
      <c r="J22" s="60" t="s">
        <v>47</v>
      </c>
      <c r="K22" s="73" t="s">
        <v>25</v>
      </c>
      <c r="L22" s="61" t="s">
        <v>55</v>
      </c>
      <c r="M22" s="57">
        <v>5.0</v>
      </c>
      <c r="N22" s="181">
        <v>136.0</v>
      </c>
    </row>
    <row r="23">
      <c r="A23" s="63"/>
      <c r="B23" s="52" t="s">
        <v>42</v>
      </c>
      <c r="C23" s="53" t="s">
        <v>39</v>
      </c>
      <c r="D23" s="54" t="s">
        <v>34</v>
      </c>
      <c r="E23" s="55" t="s">
        <v>28</v>
      </c>
      <c r="F23" s="72" t="s">
        <v>23</v>
      </c>
      <c r="G23" s="55" t="s">
        <v>33</v>
      </c>
      <c r="H23" s="55" t="s">
        <v>36</v>
      </c>
      <c r="I23" s="55" t="s">
        <v>24</v>
      </c>
      <c r="J23" s="74" t="s">
        <v>53</v>
      </c>
      <c r="K23" s="55" t="s">
        <v>25</v>
      </c>
      <c r="L23" s="56" t="s">
        <v>55</v>
      </c>
      <c r="M23" s="57">
        <v>6.0</v>
      </c>
      <c r="N23" s="181">
        <v>141.0</v>
      </c>
    </row>
    <row r="24">
      <c r="A24" s="63"/>
      <c r="B24" s="52" t="s">
        <v>43</v>
      </c>
      <c r="C24" s="53" t="s">
        <v>44</v>
      </c>
      <c r="D24" s="59" t="s">
        <v>34</v>
      </c>
      <c r="E24" s="60" t="s">
        <v>28</v>
      </c>
      <c r="F24" s="70" t="s">
        <v>23</v>
      </c>
      <c r="G24" s="75" t="s">
        <v>21</v>
      </c>
      <c r="H24" s="76" t="s">
        <v>36</v>
      </c>
      <c r="I24" s="60" t="s">
        <v>32</v>
      </c>
      <c r="J24" s="75" t="s">
        <v>53</v>
      </c>
      <c r="K24" s="75" t="s">
        <v>26</v>
      </c>
      <c r="L24" s="75" t="s">
        <v>55</v>
      </c>
      <c r="M24" s="57">
        <v>5.0</v>
      </c>
      <c r="N24" s="181">
        <v>125.0</v>
      </c>
    </row>
    <row r="25">
      <c r="A25" s="63"/>
      <c r="B25" s="52" t="s">
        <v>45</v>
      </c>
      <c r="C25" s="53" t="s">
        <v>44</v>
      </c>
      <c r="D25" s="54" t="s">
        <v>34</v>
      </c>
      <c r="E25" s="55" t="s">
        <v>29</v>
      </c>
      <c r="F25" s="72" t="s">
        <v>27</v>
      </c>
      <c r="G25" s="77" t="s">
        <v>21</v>
      </c>
      <c r="H25" s="78" t="s">
        <v>36</v>
      </c>
      <c r="I25" s="55" t="s">
        <v>24</v>
      </c>
      <c r="J25" s="79" t="s">
        <v>47</v>
      </c>
      <c r="K25" s="79" t="s">
        <v>25</v>
      </c>
      <c r="L25" s="79" t="s">
        <v>55</v>
      </c>
      <c r="M25" s="57">
        <v>8.0</v>
      </c>
      <c r="N25" s="181">
        <v>142.0</v>
      </c>
    </row>
    <row r="26">
      <c r="A26" s="63"/>
      <c r="B26" s="52" t="s">
        <v>46</v>
      </c>
      <c r="C26" s="53" t="s">
        <v>18</v>
      </c>
      <c r="D26" s="59" t="s">
        <v>31</v>
      </c>
      <c r="E26" s="76" t="s">
        <v>29</v>
      </c>
      <c r="F26" s="76" t="s">
        <v>23</v>
      </c>
      <c r="G26" s="76" t="s">
        <v>33</v>
      </c>
      <c r="H26" s="76" t="s">
        <v>36</v>
      </c>
      <c r="I26" s="76" t="s">
        <v>24</v>
      </c>
      <c r="J26" s="76" t="s">
        <v>47</v>
      </c>
      <c r="K26" s="76" t="s">
        <v>25</v>
      </c>
      <c r="L26" s="76" t="s">
        <v>55</v>
      </c>
      <c r="M26" s="80">
        <v>5.0</v>
      </c>
      <c r="N26" s="181">
        <v>126.0</v>
      </c>
    </row>
    <row r="27">
      <c r="A27" s="63"/>
      <c r="B27" s="52" t="s">
        <v>48</v>
      </c>
      <c r="C27" s="53" t="s">
        <v>49</v>
      </c>
      <c r="D27" s="54" t="s">
        <v>34</v>
      </c>
      <c r="E27" s="81" t="s">
        <v>28</v>
      </c>
      <c r="F27" s="82" t="s">
        <v>23</v>
      </c>
      <c r="G27" s="82" t="s">
        <v>21</v>
      </c>
      <c r="H27" s="82" t="s">
        <v>36</v>
      </c>
      <c r="I27" s="82" t="s">
        <v>24</v>
      </c>
      <c r="J27" s="82" t="s">
        <v>53</v>
      </c>
      <c r="K27" s="82" t="s">
        <v>25</v>
      </c>
      <c r="L27" s="82" t="s">
        <v>55</v>
      </c>
      <c r="M27" s="57">
        <v>7.0</v>
      </c>
      <c r="N27" s="181">
        <v>134.0</v>
      </c>
    </row>
    <row r="28">
      <c r="A28" s="63"/>
      <c r="B28" s="52" t="s">
        <v>50</v>
      </c>
      <c r="C28" s="53" t="s">
        <v>51</v>
      </c>
      <c r="D28" s="59" t="s">
        <v>34</v>
      </c>
      <c r="E28" s="66" t="s">
        <v>28</v>
      </c>
      <c r="F28" s="67" t="s">
        <v>23</v>
      </c>
      <c r="G28" s="67" t="s">
        <v>21</v>
      </c>
      <c r="H28" s="67" t="s">
        <v>36</v>
      </c>
      <c r="I28" s="67" t="s">
        <v>24</v>
      </c>
      <c r="J28" s="67" t="s">
        <v>47</v>
      </c>
      <c r="K28" s="67" t="s">
        <v>25</v>
      </c>
      <c r="L28" s="67" t="s">
        <v>55</v>
      </c>
      <c r="M28" s="57">
        <v>6.0</v>
      </c>
      <c r="N28" s="181">
        <v>140.0</v>
      </c>
    </row>
    <row r="29">
      <c r="A29" s="63"/>
      <c r="B29" s="52" t="s">
        <v>52</v>
      </c>
      <c r="C29" s="53" t="s">
        <v>13</v>
      </c>
      <c r="D29" s="54" t="s">
        <v>34</v>
      </c>
      <c r="E29" s="55" t="s">
        <v>29</v>
      </c>
      <c r="F29" s="55" t="s">
        <v>23</v>
      </c>
      <c r="G29" s="55" t="s">
        <v>21</v>
      </c>
      <c r="H29" s="55" t="s">
        <v>36</v>
      </c>
      <c r="I29" s="55" t="s">
        <v>32</v>
      </c>
      <c r="J29" s="55" t="s">
        <v>53</v>
      </c>
      <c r="K29" s="55" t="s">
        <v>25</v>
      </c>
      <c r="L29" s="56" t="s">
        <v>55</v>
      </c>
      <c r="M29" s="57">
        <v>7.0</v>
      </c>
      <c r="N29" s="181">
        <v>146.0</v>
      </c>
    </row>
    <row r="30">
      <c r="A30" s="63"/>
      <c r="B30" s="52" t="s">
        <v>56</v>
      </c>
      <c r="C30" s="53" t="s">
        <v>13</v>
      </c>
      <c r="D30" s="59" t="s">
        <v>31</v>
      </c>
      <c r="E30" s="60" t="s">
        <v>29</v>
      </c>
      <c r="F30" s="60" t="s">
        <v>23</v>
      </c>
      <c r="G30" s="60" t="s">
        <v>21</v>
      </c>
      <c r="H30" s="60" t="s">
        <v>36</v>
      </c>
      <c r="I30" s="60" t="s">
        <v>24</v>
      </c>
      <c r="J30" s="60" t="s">
        <v>53</v>
      </c>
      <c r="K30" s="60" t="s">
        <v>26</v>
      </c>
      <c r="L30" s="61" t="s">
        <v>55</v>
      </c>
      <c r="M30" s="57">
        <v>6.0</v>
      </c>
      <c r="N30" s="181">
        <v>126.0</v>
      </c>
    </row>
    <row r="31">
      <c r="A31" s="63"/>
      <c r="B31" s="52" t="s">
        <v>58</v>
      </c>
      <c r="C31" s="53" t="s">
        <v>59</v>
      </c>
      <c r="D31" s="54" t="s">
        <v>31</v>
      </c>
      <c r="E31" s="55" t="s">
        <v>29</v>
      </c>
      <c r="F31" s="72" t="s">
        <v>27</v>
      </c>
      <c r="G31" s="55" t="s">
        <v>33</v>
      </c>
      <c r="H31" s="55" t="s">
        <v>22</v>
      </c>
      <c r="I31" s="55" t="s">
        <v>32</v>
      </c>
      <c r="J31" s="55" t="s">
        <v>53</v>
      </c>
      <c r="K31" s="55" t="s">
        <v>26</v>
      </c>
      <c r="L31" s="56" t="s">
        <v>54</v>
      </c>
      <c r="M31" s="57">
        <v>3.0</v>
      </c>
      <c r="N31" s="181">
        <v>73.0</v>
      </c>
    </row>
    <row r="32">
      <c r="A32" s="63"/>
      <c r="B32" s="52" t="s">
        <v>60</v>
      </c>
      <c r="C32" s="53" t="s">
        <v>39</v>
      </c>
      <c r="D32" s="59" t="s">
        <v>34</v>
      </c>
      <c r="E32" s="60" t="s">
        <v>29</v>
      </c>
      <c r="F32" s="70" t="s">
        <v>23</v>
      </c>
      <c r="G32" s="60" t="s">
        <v>33</v>
      </c>
      <c r="H32" s="60" t="s">
        <v>36</v>
      </c>
      <c r="I32" s="60" t="s">
        <v>24</v>
      </c>
      <c r="J32" s="60" t="s">
        <v>53</v>
      </c>
      <c r="K32" s="60" t="s">
        <v>25</v>
      </c>
      <c r="L32" s="61" t="s">
        <v>55</v>
      </c>
      <c r="M32" s="57">
        <v>7.0</v>
      </c>
      <c r="N32" s="181">
        <v>143.0</v>
      </c>
    </row>
    <row r="33">
      <c r="A33" s="39"/>
      <c r="B33" s="52" t="s">
        <v>61</v>
      </c>
      <c r="C33" s="53" t="s">
        <v>39</v>
      </c>
      <c r="D33" s="83" t="s">
        <v>34</v>
      </c>
      <c r="E33" s="84" t="s">
        <v>29</v>
      </c>
      <c r="F33" s="84" t="s">
        <v>23</v>
      </c>
      <c r="G33" s="84" t="s">
        <v>33</v>
      </c>
      <c r="H33" s="84" t="s">
        <v>36</v>
      </c>
      <c r="I33" s="84" t="s">
        <v>24</v>
      </c>
      <c r="J33" s="84" t="s">
        <v>53</v>
      </c>
      <c r="K33" s="84" t="s">
        <v>25</v>
      </c>
      <c r="L33" s="85" t="s">
        <v>55</v>
      </c>
      <c r="M33" s="86">
        <v>7.0</v>
      </c>
      <c r="N33" s="181">
        <v>143.0</v>
      </c>
    </row>
    <row r="34">
      <c r="A34" s="39"/>
      <c r="B34" s="87" t="s">
        <v>62</v>
      </c>
      <c r="C34" s="88" t="s">
        <v>63</v>
      </c>
      <c r="D34" s="89" t="s">
        <v>34</v>
      </c>
      <c r="E34" s="89" t="s">
        <v>28</v>
      </c>
      <c r="F34" s="89" t="s">
        <v>23</v>
      </c>
      <c r="G34" s="89" t="s">
        <v>21</v>
      </c>
      <c r="H34" s="89" t="s">
        <v>36</v>
      </c>
      <c r="I34" s="89" t="s">
        <v>24</v>
      </c>
      <c r="J34" s="89" t="s">
        <v>53</v>
      </c>
      <c r="K34" s="89" t="s">
        <v>25</v>
      </c>
      <c r="L34" s="89" t="s">
        <v>55</v>
      </c>
      <c r="M34" s="90">
        <v>7.0</v>
      </c>
      <c r="N34" s="182">
        <v>141.0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45880.0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22.0</v>
      </c>
      <c r="B2" s="7" t="s">
        <v>123</v>
      </c>
      <c r="C2" s="8"/>
      <c r="D2" s="9" t="s">
        <v>124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45876.8125</v>
      </c>
      <c r="E3" s="15">
        <v>45877.819444444445</v>
      </c>
      <c r="F3" s="15">
        <v>45878.555555555555</v>
      </c>
      <c r="G3" s="15">
        <v>45878.677083333336</v>
      </c>
      <c r="H3" s="15">
        <v>45878.81597222222</v>
      </c>
      <c r="I3" s="15">
        <v>45878.84027777778</v>
      </c>
      <c r="J3" s="15">
        <v>45879.569444444445</v>
      </c>
      <c r="K3" s="15">
        <v>45879.635416666664</v>
      </c>
      <c r="L3" s="15">
        <v>45879.71527777778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45876.8125</v>
      </c>
      <c r="E5" s="25">
        <v>45877.819444444445</v>
      </c>
      <c r="F5" s="25">
        <v>45878.555555555555</v>
      </c>
      <c r="G5" s="25">
        <v>45878.677083333336</v>
      </c>
      <c r="H5" s="25">
        <v>45878.81597222222</v>
      </c>
      <c r="I5" s="25">
        <v>45878.819444444445</v>
      </c>
      <c r="J5" s="25">
        <v>45879.569444444445</v>
      </c>
      <c r="K5" s="25">
        <v>45879.635416666664</v>
      </c>
      <c r="L5" s="25">
        <v>45879.631944444445</v>
      </c>
      <c r="M5" s="26"/>
      <c r="N5" s="27"/>
    </row>
    <row r="6">
      <c r="A6" s="6">
        <v>7.0</v>
      </c>
      <c r="B6" s="28" t="s">
        <v>4</v>
      </c>
      <c r="C6" s="29"/>
      <c r="D6" s="30" t="s">
        <v>36</v>
      </c>
      <c r="E6" s="30" t="s">
        <v>25</v>
      </c>
      <c r="F6" s="30" t="s">
        <v>47</v>
      </c>
      <c r="G6" s="30" t="s">
        <v>29</v>
      </c>
      <c r="H6" s="30" t="s">
        <v>21</v>
      </c>
      <c r="I6" s="30" t="s">
        <v>33</v>
      </c>
      <c r="J6" s="30" t="s">
        <v>27</v>
      </c>
      <c r="K6" s="30" t="s">
        <v>22</v>
      </c>
      <c r="L6" s="30" t="s">
        <v>54</v>
      </c>
      <c r="M6" s="21"/>
      <c r="N6" s="22"/>
    </row>
    <row r="7">
      <c r="A7" s="6">
        <v>8.0</v>
      </c>
      <c r="B7" s="31" t="s">
        <v>5</v>
      </c>
      <c r="C7" s="24"/>
      <c r="D7" s="32" t="s">
        <v>32</v>
      </c>
      <c r="E7" s="32" t="s">
        <v>31</v>
      </c>
      <c r="F7" s="32" t="s">
        <v>34</v>
      </c>
      <c r="G7" s="32" t="s">
        <v>26</v>
      </c>
      <c r="H7" s="32" t="s">
        <v>23</v>
      </c>
      <c r="I7" s="32" t="s">
        <v>28</v>
      </c>
      <c r="J7" s="32" t="s">
        <v>53</v>
      </c>
      <c r="K7" s="32" t="s">
        <v>55</v>
      </c>
      <c r="L7" s="32" t="s">
        <v>24</v>
      </c>
      <c r="M7" s="26"/>
      <c r="N7" s="27"/>
    </row>
    <row r="8">
      <c r="A8" s="33">
        <v>9.0</v>
      </c>
      <c r="B8" s="34" t="s">
        <v>6</v>
      </c>
      <c r="C8" s="35"/>
      <c r="D8" s="36" t="s">
        <v>117</v>
      </c>
      <c r="E8" s="36" t="s">
        <v>126</v>
      </c>
      <c r="F8" s="36" t="s">
        <v>117</v>
      </c>
      <c r="G8" s="36" t="s">
        <v>127</v>
      </c>
      <c r="H8" s="36" t="s">
        <v>114</v>
      </c>
      <c r="I8" s="36" t="s">
        <v>118</v>
      </c>
      <c r="J8" s="36" t="s">
        <v>128</v>
      </c>
      <c r="K8" s="36" t="s">
        <v>117</v>
      </c>
      <c r="L8" s="36" t="s">
        <v>115</v>
      </c>
      <c r="M8" s="37"/>
      <c r="N8" s="38"/>
    </row>
    <row r="9">
      <c r="A9" s="39"/>
      <c r="B9" s="40" t="s">
        <v>7</v>
      </c>
      <c r="C9" s="41"/>
      <c r="D9" s="42" t="s">
        <v>36</v>
      </c>
      <c r="E9" s="42" t="s">
        <v>25</v>
      </c>
      <c r="F9" s="42" t="s">
        <v>34</v>
      </c>
      <c r="G9" s="42" t="s">
        <v>26</v>
      </c>
      <c r="H9" s="42" t="s">
        <v>23</v>
      </c>
      <c r="I9" s="42" t="s">
        <v>28</v>
      </c>
      <c r="J9" s="42" t="s">
        <v>27</v>
      </c>
      <c r="K9" s="42" t="s">
        <v>55</v>
      </c>
      <c r="L9" s="42" t="s">
        <v>24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36</v>
      </c>
      <c r="E10" s="47" t="s">
        <v>25</v>
      </c>
      <c r="F10" s="48" t="s">
        <v>34</v>
      </c>
      <c r="G10" s="48" t="s">
        <v>29</v>
      </c>
      <c r="H10" s="48" t="s">
        <v>23</v>
      </c>
      <c r="I10" s="48" t="s">
        <v>28</v>
      </c>
      <c r="J10" s="48" t="s">
        <v>27</v>
      </c>
      <c r="K10" s="48" t="s">
        <v>22</v>
      </c>
      <c r="L10" s="49" t="s">
        <v>24</v>
      </c>
      <c r="M10" s="50">
        <v>7.0</v>
      </c>
      <c r="N10" s="51">
        <v>127.0</v>
      </c>
    </row>
    <row r="11">
      <c r="A11" s="39"/>
      <c r="B11" s="52" t="s">
        <v>12</v>
      </c>
      <c r="C11" s="53" t="s">
        <v>13</v>
      </c>
      <c r="D11" s="54" t="s">
        <v>36</v>
      </c>
      <c r="E11" s="55" t="s">
        <v>31</v>
      </c>
      <c r="F11" s="55" t="s">
        <v>34</v>
      </c>
      <c r="G11" s="55" t="s">
        <v>26</v>
      </c>
      <c r="H11" s="55" t="s">
        <v>23</v>
      </c>
      <c r="I11" s="55" t="s">
        <v>33</v>
      </c>
      <c r="J11" s="55" t="s">
        <v>27</v>
      </c>
      <c r="K11" s="55" t="s">
        <v>55</v>
      </c>
      <c r="L11" s="56" t="s">
        <v>24</v>
      </c>
      <c r="M11" s="57">
        <v>7.0</v>
      </c>
      <c r="N11" s="58">
        <v>110.0</v>
      </c>
    </row>
    <row r="12">
      <c r="A12" s="39"/>
      <c r="B12" s="52" t="s">
        <v>14</v>
      </c>
      <c r="C12" s="53" t="s">
        <v>15</v>
      </c>
      <c r="D12" s="59" t="s">
        <v>32</v>
      </c>
      <c r="E12" s="60" t="s">
        <v>25</v>
      </c>
      <c r="F12" s="60" t="s">
        <v>47</v>
      </c>
      <c r="G12" s="60" t="s">
        <v>29</v>
      </c>
      <c r="H12" s="60" t="s">
        <v>23</v>
      </c>
      <c r="I12" s="60" t="s">
        <v>28</v>
      </c>
      <c r="J12" s="60" t="s">
        <v>27</v>
      </c>
      <c r="K12" s="60" t="s">
        <v>22</v>
      </c>
      <c r="L12" s="61" t="s">
        <v>24</v>
      </c>
      <c r="M12" s="57">
        <v>5.0</v>
      </c>
      <c r="N12" s="62">
        <v>125.0</v>
      </c>
    </row>
    <row r="13">
      <c r="A13" s="63"/>
      <c r="B13" s="52" t="s">
        <v>16</v>
      </c>
      <c r="C13" s="53" t="s">
        <v>11</v>
      </c>
      <c r="D13" s="54" t="s">
        <v>36</v>
      </c>
      <c r="E13" s="55" t="s">
        <v>25</v>
      </c>
      <c r="F13" s="55" t="s">
        <v>47</v>
      </c>
      <c r="G13" s="55" t="s">
        <v>29</v>
      </c>
      <c r="H13" s="55" t="s">
        <v>23</v>
      </c>
      <c r="I13" s="55" t="s">
        <v>33</v>
      </c>
      <c r="J13" s="55" t="s">
        <v>27</v>
      </c>
      <c r="K13" s="55" t="s">
        <v>22</v>
      </c>
      <c r="L13" s="56" t="s">
        <v>24</v>
      </c>
      <c r="M13" s="57">
        <v>5.0</v>
      </c>
      <c r="N13" s="181">
        <v>105.0</v>
      </c>
    </row>
    <row r="14">
      <c r="A14" s="63"/>
      <c r="B14" s="52" t="s">
        <v>17</v>
      </c>
      <c r="C14" s="53" t="s">
        <v>18</v>
      </c>
      <c r="D14" s="59" t="s">
        <v>36</v>
      </c>
      <c r="E14" s="60" t="s">
        <v>25</v>
      </c>
      <c r="F14" s="60" t="s">
        <v>47</v>
      </c>
      <c r="G14" s="60" t="s">
        <v>29</v>
      </c>
      <c r="H14" s="60" t="s">
        <v>23</v>
      </c>
      <c r="I14" s="60" t="s">
        <v>33</v>
      </c>
      <c r="J14" s="60" t="s">
        <v>27</v>
      </c>
      <c r="K14" s="60" t="s">
        <v>55</v>
      </c>
      <c r="L14" s="61" t="s">
        <v>24</v>
      </c>
      <c r="M14" s="57">
        <v>6.0</v>
      </c>
      <c r="N14" s="181">
        <v>109.0</v>
      </c>
    </row>
    <row r="15">
      <c r="A15" s="63"/>
      <c r="B15" s="52" t="s">
        <v>19</v>
      </c>
      <c r="C15" s="53"/>
      <c r="D15" s="54" t="s">
        <v>36</v>
      </c>
      <c r="E15" s="55" t="s">
        <v>25</v>
      </c>
      <c r="F15" s="55" t="s">
        <v>47</v>
      </c>
      <c r="G15" s="55" t="s">
        <v>26</v>
      </c>
      <c r="H15" s="55" t="s">
        <v>21</v>
      </c>
      <c r="I15" s="55" t="s">
        <v>28</v>
      </c>
      <c r="J15" s="55" t="s">
        <v>27</v>
      </c>
      <c r="K15" s="55" t="s">
        <v>22</v>
      </c>
      <c r="L15" s="56" t="s">
        <v>24</v>
      </c>
      <c r="M15" s="57">
        <v>6.0</v>
      </c>
      <c r="N15" s="181">
        <v>96.0</v>
      </c>
    </row>
    <row r="16">
      <c r="A16" s="63"/>
      <c r="B16" s="52" t="s">
        <v>20</v>
      </c>
      <c r="C16" s="65" t="s">
        <v>15</v>
      </c>
      <c r="D16" s="66" t="s">
        <v>32</v>
      </c>
      <c r="E16" s="66" t="s">
        <v>25</v>
      </c>
      <c r="F16" s="67" t="s">
        <v>47</v>
      </c>
      <c r="G16" s="67" t="s">
        <v>29</v>
      </c>
      <c r="H16" s="67" t="s">
        <v>23</v>
      </c>
      <c r="I16" s="67" t="s">
        <v>28</v>
      </c>
      <c r="J16" s="67" t="s">
        <v>27</v>
      </c>
      <c r="K16" s="67" t="s">
        <v>22</v>
      </c>
      <c r="L16" s="67" t="s">
        <v>24</v>
      </c>
      <c r="M16" s="57">
        <v>5.0</v>
      </c>
      <c r="N16" s="181">
        <v>123.0</v>
      </c>
    </row>
    <row r="17">
      <c r="A17" s="63"/>
      <c r="B17" s="52" t="s">
        <v>30</v>
      </c>
      <c r="C17" s="53" t="s">
        <v>13</v>
      </c>
      <c r="D17" s="183" t="s">
        <v>32</v>
      </c>
      <c r="E17" s="184" t="s">
        <v>31</v>
      </c>
      <c r="F17" s="184" t="s">
        <v>34</v>
      </c>
      <c r="G17" s="184" t="s">
        <v>26</v>
      </c>
      <c r="H17" s="184" t="s">
        <v>23</v>
      </c>
      <c r="I17" s="184" t="s">
        <v>28</v>
      </c>
      <c r="J17" s="184" t="s">
        <v>27</v>
      </c>
      <c r="K17" s="184" t="s">
        <v>55</v>
      </c>
      <c r="L17" s="185" t="s">
        <v>24</v>
      </c>
      <c r="M17" s="57">
        <v>7.0</v>
      </c>
      <c r="N17" s="181">
        <v>122.0</v>
      </c>
    </row>
    <row r="18">
      <c r="A18" s="63"/>
      <c r="B18" s="52" t="s">
        <v>35</v>
      </c>
      <c r="C18" s="53" t="s">
        <v>13</v>
      </c>
      <c r="D18" s="186" t="s">
        <v>32</v>
      </c>
      <c r="E18" s="187" t="s">
        <v>31</v>
      </c>
      <c r="F18" s="187" t="s">
        <v>34</v>
      </c>
      <c r="G18" s="187" t="s">
        <v>26</v>
      </c>
      <c r="H18" s="187" t="s">
        <v>23</v>
      </c>
      <c r="I18" s="187" t="s">
        <v>28</v>
      </c>
      <c r="J18" s="187" t="s">
        <v>53</v>
      </c>
      <c r="K18" s="187" t="s">
        <v>55</v>
      </c>
      <c r="L18" s="188" t="s">
        <v>24</v>
      </c>
      <c r="M18" s="57">
        <v>6.0</v>
      </c>
      <c r="N18" s="181">
        <v>124.0</v>
      </c>
    </row>
    <row r="19">
      <c r="A19" s="63"/>
      <c r="B19" s="52" t="s">
        <v>37</v>
      </c>
      <c r="C19" s="65" t="s">
        <v>13</v>
      </c>
      <c r="D19" s="71" t="s">
        <v>32</v>
      </c>
      <c r="E19" s="72" t="s">
        <v>25</v>
      </c>
      <c r="F19" s="72" t="s">
        <v>34</v>
      </c>
      <c r="G19" s="72" t="s">
        <v>29</v>
      </c>
      <c r="H19" s="72" t="s">
        <v>23</v>
      </c>
      <c r="I19" s="72" t="s">
        <v>28</v>
      </c>
      <c r="J19" s="72" t="s">
        <v>27</v>
      </c>
      <c r="K19" s="72" t="s">
        <v>55</v>
      </c>
      <c r="L19" s="56" t="s">
        <v>24</v>
      </c>
      <c r="M19" s="57">
        <v>7.0</v>
      </c>
      <c r="N19" s="181">
        <v>131.0</v>
      </c>
    </row>
    <row r="20">
      <c r="A20" s="63"/>
      <c r="B20" s="52" t="s">
        <v>38</v>
      </c>
      <c r="C20" s="65" t="s">
        <v>39</v>
      </c>
      <c r="D20" s="69" t="s">
        <v>32</v>
      </c>
      <c r="E20" s="70" t="s">
        <v>25</v>
      </c>
      <c r="F20" s="70" t="s">
        <v>34</v>
      </c>
      <c r="G20" s="70" t="s">
        <v>29</v>
      </c>
      <c r="H20" s="70" t="s">
        <v>23</v>
      </c>
      <c r="I20" s="70" t="s">
        <v>28</v>
      </c>
      <c r="J20" s="70" t="s">
        <v>27</v>
      </c>
      <c r="K20" s="70" t="s">
        <v>55</v>
      </c>
      <c r="L20" s="61" t="s">
        <v>24</v>
      </c>
      <c r="M20" s="57">
        <v>7.0</v>
      </c>
      <c r="N20" s="181">
        <v>142.0</v>
      </c>
    </row>
    <row r="21">
      <c r="A21" s="63"/>
      <c r="B21" s="52" t="s">
        <v>40</v>
      </c>
      <c r="C21" s="65" t="s">
        <v>39</v>
      </c>
      <c r="D21" s="54" t="s">
        <v>32</v>
      </c>
      <c r="E21" s="55" t="s">
        <v>25</v>
      </c>
      <c r="F21" s="72" t="s">
        <v>34</v>
      </c>
      <c r="G21" s="55" t="s">
        <v>29</v>
      </c>
      <c r="H21" s="55" t="s">
        <v>21</v>
      </c>
      <c r="I21" s="55" t="s">
        <v>28</v>
      </c>
      <c r="J21" s="55" t="s">
        <v>27</v>
      </c>
      <c r="K21" s="55" t="s">
        <v>22</v>
      </c>
      <c r="L21" s="56" t="s">
        <v>54</v>
      </c>
      <c r="M21" s="57">
        <v>4.0</v>
      </c>
      <c r="N21" s="181">
        <v>99.0</v>
      </c>
    </row>
    <row r="22">
      <c r="A22" s="63"/>
      <c r="B22" s="52" t="s">
        <v>41</v>
      </c>
      <c r="C22" s="53" t="s">
        <v>39</v>
      </c>
      <c r="D22" s="59" t="s">
        <v>36</v>
      </c>
      <c r="E22" s="70" t="s">
        <v>25</v>
      </c>
      <c r="F22" s="187" t="s">
        <v>34</v>
      </c>
      <c r="G22" s="73" t="s">
        <v>29</v>
      </c>
      <c r="H22" s="70" t="s">
        <v>23</v>
      </c>
      <c r="I22" s="60" t="s">
        <v>33</v>
      </c>
      <c r="J22" s="189" t="s">
        <v>27</v>
      </c>
      <c r="K22" s="73" t="s">
        <v>55</v>
      </c>
      <c r="L22" s="61" t="s">
        <v>24</v>
      </c>
      <c r="M22" s="57">
        <v>7.0</v>
      </c>
      <c r="N22" s="181">
        <v>131.0</v>
      </c>
    </row>
    <row r="23">
      <c r="A23" s="63"/>
      <c r="B23" s="52" t="s">
        <v>42</v>
      </c>
      <c r="C23" s="53" t="s">
        <v>39</v>
      </c>
      <c r="D23" s="54" t="s">
        <v>32</v>
      </c>
      <c r="E23" s="55" t="s">
        <v>25</v>
      </c>
      <c r="F23" s="72" t="s">
        <v>34</v>
      </c>
      <c r="G23" s="55" t="s">
        <v>29</v>
      </c>
      <c r="H23" s="55" t="s">
        <v>23</v>
      </c>
      <c r="I23" s="55" t="s">
        <v>28</v>
      </c>
      <c r="J23" s="74" t="s">
        <v>27</v>
      </c>
      <c r="K23" s="55" t="s">
        <v>55</v>
      </c>
      <c r="L23" s="56" t="s">
        <v>24</v>
      </c>
      <c r="M23" s="57">
        <v>7.0</v>
      </c>
      <c r="N23" s="181">
        <v>135.0</v>
      </c>
    </row>
    <row r="24">
      <c r="A24" s="63"/>
      <c r="B24" s="52" t="s">
        <v>43</v>
      </c>
      <c r="C24" s="53" t="s">
        <v>44</v>
      </c>
      <c r="D24" s="59" t="s">
        <v>32</v>
      </c>
      <c r="E24" s="60" t="s">
        <v>25</v>
      </c>
      <c r="F24" s="70" t="s">
        <v>34</v>
      </c>
      <c r="G24" s="75" t="s">
        <v>26</v>
      </c>
      <c r="H24" s="76" t="s">
        <v>23</v>
      </c>
      <c r="I24" s="60" t="s">
        <v>33</v>
      </c>
      <c r="J24" s="75" t="s">
        <v>27</v>
      </c>
      <c r="K24" s="75" t="s">
        <v>22</v>
      </c>
      <c r="L24" s="75" t="s">
        <v>24</v>
      </c>
      <c r="M24" s="57">
        <v>6.0</v>
      </c>
      <c r="N24" s="181">
        <v>120.0</v>
      </c>
    </row>
    <row r="25">
      <c r="A25" s="63"/>
      <c r="B25" s="52" t="s">
        <v>45</v>
      </c>
      <c r="C25" s="53" t="s">
        <v>44</v>
      </c>
      <c r="D25" s="54" t="s">
        <v>32</v>
      </c>
      <c r="E25" s="55" t="s">
        <v>25</v>
      </c>
      <c r="F25" s="72" t="s">
        <v>34</v>
      </c>
      <c r="G25" s="77" t="s">
        <v>29</v>
      </c>
      <c r="H25" s="78" t="s">
        <v>23</v>
      </c>
      <c r="I25" s="55" t="s">
        <v>28</v>
      </c>
      <c r="J25" s="79" t="s">
        <v>27</v>
      </c>
      <c r="K25" s="79" t="s">
        <v>55</v>
      </c>
      <c r="L25" s="79" t="s">
        <v>24</v>
      </c>
      <c r="M25" s="57">
        <v>7.0</v>
      </c>
      <c r="N25" s="181">
        <v>134.0</v>
      </c>
    </row>
    <row r="26">
      <c r="A26" s="63"/>
      <c r="B26" s="52" t="s">
        <v>46</v>
      </c>
      <c r="C26" s="53" t="s">
        <v>18</v>
      </c>
      <c r="D26" s="59" t="s">
        <v>32</v>
      </c>
      <c r="E26" s="76" t="s">
        <v>25</v>
      </c>
      <c r="F26" s="76" t="s">
        <v>47</v>
      </c>
      <c r="G26" s="76" t="s">
        <v>29</v>
      </c>
      <c r="H26" s="76" t="s">
        <v>23</v>
      </c>
      <c r="I26" s="76" t="s">
        <v>28</v>
      </c>
      <c r="J26" s="76" t="s">
        <v>27</v>
      </c>
      <c r="K26" s="76" t="s">
        <v>55</v>
      </c>
      <c r="L26" s="76" t="s">
        <v>24</v>
      </c>
      <c r="M26" s="80">
        <v>6.0</v>
      </c>
      <c r="N26" s="181">
        <v>121.0</v>
      </c>
    </row>
    <row r="27">
      <c r="A27" s="63"/>
      <c r="B27" s="52" t="s">
        <v>48</v>
      </c>
      <c r="C27" s="53" t="s">
        <v>49</v>
      </c>
      <c r="D27" s="54" t="s">
        <v>32</v>
      </c>
      <c r="E27" s="81" t="s">
        <v>25</v>
      </c>
      <c r="F27" s="82" t="s">
        <v>34</v>
      </c>
      <c r="G27" s="82" t="s">
        <v>29</v>
      </c>
      <c r="H27" s="82" t="s">
        <v>23</v>
      </c>
      <c r="I27" s="82" t="s">
        <v>28</v>
      </c>
      <c r="J27" s="82" t="s">
        <v>27</v>
      </c>
      <c r="K27" s="82" t="s">
        <v>55</v>
      </c>
      <c r="L27" s="82" t="s">
        <v>24</v>
      </c>
      <c r="M27" s="57">
        <v>7.0</v>
      </c>
      <c r="N27" s="181">
        <v>127.0</v>
      </c>
    </row>
    <row r="28">
      <c r="A28" s="63"/>
      <c r="B28" s="52" t="s">
        <v>50</v>
      </c>
      <c r="C28" s="53" t="s">
        <v>51</v>
      </c>
      <c r="D28" s="59" t="s">
        <v>32</v>
      </c>
      <c r="E28" s="66" t="s">
        <v>25</v>
      </c>
      <c r="F28" s="67" t="s">
        <v>34</v>
      </c>
      <c r="G28" s="67" t="s">
        <v>29</v>
      </c>
      <c r="H28" s="67" t="s">
        <v>23</v>
      </c>
      <c r="I28" s="67" t="s">
        <v>28</v>
      </c>
      <c r="J28" s="67" t="s">
        <v>27</v>
      </c>
      <c r="K28" s="67" t="s">
        <v>55</v>
      </c>
      <c r="L28" s="67" t="s">
        <v>24</v>
      </c>
      <c r="M28" s="57">
        <v>7.0</v>
      </c>
      <c r="N28" s="181">
        <v>134.0</v>
      </c>
    </row>
    <row r="29">
      <c r="A29" s="63"/>
      <c r="B29" s="52" t="s">
        <v>52</v>
      </c>
      <c r="C29" s="53" t="s">
        <v>13</v>
      </c>
      <c r="D29" s="54" t="s">
        <v>36</v>
      </c>
      <c r="E29" s="55" t="s">
        <v>25</v>
      </c>
      <c r="F29" s="55" t="s">
        <v>47</v>
      </c>
      <c r="G29" s="55" t="s">
        <v>29</v>
      </c>
      <c r="H29" s="55" t="s">
        <v>23</v>
      </c>
      <c r="I29" s="55" t="s">
        <v>28</v>
      </c>
      <c r="J29" s="184" t="s">
        <v>27</v>
      </c>
      <c r="K29" s="55" t="s">
        <v>55</v>
      </c>
      <c r="L29" s="56" t="s">
        <v>24</v>
      </c>
      <c r="M29" s="57">
        <v>7.0</v>
      </c>
      <c r="N29" s="181">
        <v>139.0</v>
      </c>
    </row>
    <row r="30">
      <c r="A30" s="63"/>
      <c r="B30" s="52" t="s">
        <v>56</v>
      </c>
      <c r="C30" s="53" t="s">
        <v>13</v>
      </c>
      <c r="D30" s="59" t="s">
        <v>32</v>
      </c>
      <c r="E30" s="60" t="s">
        <v>25</v>
      </c>
      <c r="F30" s="60" t="s">
        <v>34</v>
      </c>
      <c r="G30" s="60" t="s">
        <v>29</v>
      </c>
      <c r="H30" s="60" t="s">
        <v>23</v>
      </c>
      <c r="I30" s="60" t="s">
        <v>28</v>
      </c>
      <c r="J30" s="189" t="s">
        <v>27</v>
      </c>
      <c r="K30" s="60" t="s">
        <v>55</v>
      </c>
      <c r="L30" s="61" t="s">
        <v>24</v>
      </c>
      <c r="M30" s="57">
        <v>7.0</v>
      </c>
      <c r="N30" s="181">
        <v>120.0</v>
      </c>
    </row>
    <row r="31">
      <c r="A31" s="63"/>
      <c r="B31" s="52" t="s">
        <v>58</v>
      </c>
      <c r="C31" s="53" t="s">
        <v>59</v>
      </c>
      <c r="D31" s="54" t="s">
        <v>36</v>
      </c>
      <c r="E31" s="55" t="s">
        <v>31</v>
      </c>
      <c r="F31" s="72" t="s">
        <v>47</v>
      </c>
      <c r="G31" s="55" t="s">
        <v>26</v>
      </c>
      <c r="H31" s="55" t="s">
        <v>21</v>
      </c>
      <c r="I31" s="55" t="s">
        <v>33</v>
      </c>
      <c r="J31" s="55" t="s">
        <v>53</v>
      </c>
      <c r="K31" s="55" t="s">
        <v>22</v>
      </c>
      <c r="L31" s="56" t="s">
        <v>54</v>
      </c>
      <c r="M31" s="57">
        <v>2.0</v>
      </c>
      <c r="N31" s="181">
        <v>70.0</v>
      </c>
    </row>
    <row r="32">
      <c r="A32" s="63"/>
      <c r="B32" s="52" t="s">
        <v>60</v>
      </c>
      <c r="C32" s="53" t="s">
        <v>39</v>
      </c>
      <c r="D32" s="59" t="s">
        <v>32</v>
      </c>
      <c r="E32" s="60" t="s">
        <v>25</v>
      </c>
      <c r="F32" s="70" t="s">
        <v>34</v>
      </c>
      <c r="G32" s="60" t="s">
        <v>29</v>
      </c>
      <c r="H32" s="60" t="s">
        <v>23</v>
      </c>
      <c r="I32" s="60" t="s">
        <v>28</v>
      </c>
      <c r="J32" s="189" t="s">
        <v>27</v>
      </c>
      <c r="K32" s="60" t="s">
        <v>55</v>
      </c>
      <c r="L32" s="61" t="s">
        <v>24</v>
      </c>
      <c r="M32" s="57">
        <v>7.0</v>
      </c>
      <c r="N32" s="181">
        <v>136.0</v>
      </c>
    </row>
    <row r="33">
      <c r="A33" s="39"/>
      <c r="B33" s="52" t="s">
        <v>61</v>
      </c>
      <c r="C33" s="53" t="s">
        <v>39</v>
      </c>
      <c r="D33" s="83" t="s">
        <v>32</v>
      </c>
      <c r="E33" s="84" t="s">
        <v>25</v>
      </c>
      <c r="F33" s="84" t="s">
        <v>34</v>
      </c>
      <c r="G33" s="84" t="s">
        <v>29</v>
      </c>
      <c r="H33" s="84" t="s">
        <v>23</v>
      </c>
      <c r="I33" s="84" t="s">
        <v>28</v>
      </c>
      <c r="J33" s="190" t="s">
        <v>27</v>
      </c>
      <c r="K33" s="84" t="s">
        <v>55</v>
      </c>
      <c r="L33" s="85" t="s">
        <v>24</v>
      </c>
      <c r="M33" s="86">
        <v>7.0</v>
      </c>
      <c r="N33" s="181">
        <v>136.0</v>
      </c>
    </row>
    <row r="34">
      <c r="A34" s="39"/>
      <c r="B34" s="87" t="s">
        <v>62</v>
      </c>
      <c r="C34" s="88" t="s">
        <v>63</v>
      </c>
      <c r="D34" s="89" t="s">
        <v>32</v>
      </c>
      <c r="E34" s="89" t="s">
        <v>25</v>
      </c>
      <c r="F34" s="89" t="s">
        <v>34</v>
      </c>
      <c r="G34" s="89" t="s">
        <v>29</v>
      </c>
      <c r="H34" s="89" t="s">
        <v>23</v>
      </c>
      <c r="I34" s="89" t="s">
        <v>28</v>
      </c>
      <c r="J34" s="89" t="s">
        <v>27</v>
      </c>
      <c r="K34" s="89" t="s">
        <v>55</v>
      </c>
      <c r="L34" s="89" t="s">
        <v>24</v>
      </c>
      <c r="M34" s="90">
        <v>7.0</v>
      </c>
      <c r="N34" s="182">
        <v>134.0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45875.0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21.0</v>
      </c>
      <c r="B2" s="7" t="s">
        <v>129</v>
      </c>
      <c r="C2" s="8"/>
      <c r="D2" s="9" t="s">
        <v>130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45869.8125</v>
      </c>
      <c r="E3" s="15">
        <v>45870.819444444445</v>
      </c>
      <c r="F3" s="15">
        <v>45871.555555555555</v>
      </c>
      <c r="G3" s="15">
        <v>45871.67361111111</v>
      </c>
      <c r="H3" s="15">
        <v>45871.677083333336</v>
      </c>
      <c r="I3" s="15">
        <v>45871.81597222222</v>
      </c>
      <c r="J3" s="15">
        <v>45872.569444444445</v>
      </c>
      <c r="K3" s="15">
        <v>45872.63888888889</v>
      </c>
      <c r="L3" s="15">
        <v>45872.71527777778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45869.8125</v>
      </c>
      <c r="E5" s="25">
        <v>45870.79861111111</v>
      </c>
      <c r="F5" s="25">
        <v>45871.555555555555</v>
      </c>
      <c r="G5" s="25">
        <v>45871.67361111111</v>
      </c>
      <c r="H5" s="25">
        <v>45871.677083333336</v>
      </c>
      <c r="I5" s="25">
        <v>45871.81597222222</v>
      </c>
      <c r="J5" s="25">
        <v>45872.569444444445</v>
      </c>
      <c r="K5" s="25">
        <v>45872.63888888889</v>
      </c>
      <c r="L5" s="25">
        <v>45872.631944444445</v>
      </c>
      <c r="M5" s="26"/>
      <c r="N5" s="27"/>
    </row>
    <row r="6">
      <c r="A6" s="6">
        <v>7.0</v>
      </c>
      <c r="B6" s="28" t="s">
        <v>4</v>
      </c>
      <c r="C6" s="29"/>
      <c r="D6" s="30" t="s">
        <v>55</v>
      </c>
      <c r="E6" s="30" t="s">
        <v>24</v>
      </c>
      <c r="F6" s="30" t="s">
        <v>22</v>
      </c>
      <c r="G6" s="30" t="s">
        <v>23</v>
      </c>
      <c r="H6" s="30" t="s">
        <v>26</v>
      </c>
      <c r="I6" s="30" t="s">
        <v>32</v>
      </c>
      <c r="J6" s="30" t="s">
        <v>34</v>
      </c>
      <c r="K6" s="30" t="s">
        <v>25</v>
      </c>
      <c r="L6" s="30" t="s">
        <v>28</v>
      </c>
      <c r="M6" s="21"/>
      <c r="N6" s="22"/>
    </row>
    <row r="7">
      <c r="A7" s="6">
        <v>8.0</v>
      </c>
      <c r="B7" s="31" t="s">
        <v>5</v>
      </c>
      <c r="C7" s="24"/>
      <c r="D7" s="32" t="s">
        <v>27</v>
      </c>
      <c r="E7" s="32" t="s">
        <v>36</v>
      </c>
      <c r="F7" s="32" t="s">
        <v>54</v>
      </c>
      <c r="G7" s="32" t="s">
        <v>47</v>
      </c>
      <c r="H7" s="32" t="s">
        <v>31</v>
      </c>
      <c r="I7" s="32" t="s">
        <v>29</v>
      </c>
      <c r="J7" s="32" t="s">
        <v>53</v>
      </c>
      <c r="K7" s="32" t="s">
        <v>33</v>
      </c>
      <c r="L7" s="32" t="s">
        <v>21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118</v>
      </c>
      <c r="F8" s="36" t="s">
        <v>114</v>
      </c>
      <c r="G8" s="36" t="s">
        <v>116</v>
      </c>
      <c r="H8" s="36" t="s">
        <v>120</v>
      </c>
      <c r="I8" s="36" t="s">
        <v>117</v>
      </c>
      <c r="J8" s="36" t="s">
        <v>114</v>
      </c>
      <c r="K8" s="36" t="s">
        <v>126</v>
      </c>
      <c r="L8" s="36" t="s">
        <v>115</v>
      </c>
      <c r="M8" s="37"/>
      <c r="N8" s="38"/>
    </row>
    <row r="9">
      <c r="A9" s="39"/>
      <c r="B9" s="40" t="s">
        <v>7</v>
      </c>
      <c r="C9" s="41"/>
      <c r="D9" s="42" t="s">
        <v>55</v>
      </c>
      <c r="E9" s="42" t="s">
        <v>24</v>
      </c>
      <c r="F9" s="42" t="s">
        <v>22</v>
      </c>
      <c r="G9" s="42" t="s">
        <v>23</v>
      </c>
      <c r="H9" s="42" t="s">
        <v>26</v>
      </c>
      <c r="I9" s="42" t="s">
        <v>29</v>
      </c>
      <c r="J9" s="42" t="s">
        <v>34</v>
      </c>
      <c r="K9" s="42" t="s">
        <v>25</v>
      </c>
      <c r="L9" s="42" t="s">
        <v>28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55</v>
      </c>
      <c r="E10" s="47" t="s">
        <v>24</v>
      </c>
      <c r="F10" s="48" t="s">
        <v>22</v>
      </c>
      <c r="G10" s="48" t="s">
        <v>23</v>
      </c>
      <c r="H10" s="48" t="s">
        <v>26</v>
      </c>
      <c r="I10" s="48" t="s">
        <v>32</v>
      </c>
      <c r="J10" s="48" t="s">
        <v>34</v>
      </c>
      <c r="K10" s="48" t="s">
        <v>25</v>
      </c>
      <c r="L10" s="49" t="s">
        <v>28</v>
      </c>
      <c r="M10" s="50">
        <v>8.0</v>
      </c>
      <c r="N10" s="51">
        <v>128.0</v>
      </c>
    </row>
    <row r="11">
      <c r="A11" s="39"/>
      <c r="B11" s="52" t="s">
        <v>12</v>
      </c>
      <c r="C11" s="53" t="s">
        <v>13</v>
      </c>
      <c r="D11" s="54" t="s">
        <v>27</v>
      </c>
      <c r="E11" s="55" t="s">
        <v>24</v>
      </c>
      <c r="F11" s="55" t="s">
        <v>22</v>
      </c>
      <c r="G11" s="55" t="s">
        <v>23</v>
      </c>
      <c r="H11" s="55" t="s">
        <v>31</v>
      </c>
      <c r="I11" s="55" t="s">
        <v>32</v>
      </c>
      <c r="J11" s="55" t="s">
        <v>34</v>
      </c>
      <c r="K11" s="55" t="s">
        <v>25</v>
      </c>
      <c r="L11" s="56" t="s">
        <v>28</v>
      </c>
      <c r="M11" s="57">
        <v>6.0</v>
      </c>
      <c r="N11" s="58">
        <v>109.0</v>
      </c>
    </row>
    <row r="12">
      <c r="A12" s="39"/>
      <c r="B12" s="52" t="s">
        <v>14</v>
      </c>
      <c r="C12" s="53" t="s">
        <v>15</v>
      </c>
      <c r="D12" s="59" t="s">
        <v>27</v>
      </c>
      <c r="E12" s="60" t="s">
        <v>24</v>
      </c>
      <c r="F12" s="60" t="s">
        <v>22</v>
      </c>
      <c r="G12" s="60" t="s">
        <v>23</v>
      </c>
      <c r="H12" s="60" t="s">
        <v>26</v>
      </c>
      <c r="I12" s="60" t="s">
        <v>32</v>
      </c>
      <c r="J12" s="60" t="s">
        <v>34</v>
      </c>
      <c r="K12" s="60" t="s">
        <v>25</v>
      </c>
      <c r="L12" s="61" t="s">
        <v>28</v>
      </c>
      <c r="M12" s="57">
        <v>7.0</v>
      </c>
      <c r="N12" s="62">
        <v>127.0</v>
      </c>
    </row>
    <row r="13">
      <c r="A13" s="63"/>
      <c r="B13" s="52" t="s">
        <v>16</v>
      </c>
      <c r="C13" s="53" t="s">
        <v>11</v>
      </c>
      <c r="D13" s="54" t="s">
        <v>27</v>
      </c>
      <c r="E13" s="55" t="s">
        <v>36</v>
      </c>
      <c r="F13" s="55" t="s">
        <v>22</v>
      </c>
      <c r="G13" s="55" t="s">
        <v>47</v>
      </c>
      <c r="H13" s="55" t="s">
        <v>26</v>
      </c>
      <c r="I13" s="55" t="s">
        <v>32</v>
      </c>
      <c r="J13" s="55" t="s">
        <v>34</v>
      </c>
      <c r="K13" s="55" t="s">
        <v>25</v>
      </c>
      <c r="L13" s="56" t="s">
        <v>21</v>
      </c>
      <c r="M13" s="57">
        <v>4.0</v>
      </c>
      <c r="N13" s="181">
        <v>104.0</v>
      </c>
    </row>
    <row r="14">
      <c r="A14" s="63"/>
      <c r="B14" s="52" t="s">
        <v>17</v>
      </c>
      <c r="C14" s="53" t="s">
        <v>18</v>
      </c>
      <c r="D14" s="59" t="s">
        <v>27</v>
      </c>
      <c r="E14" s="60" t="s">
        <v>24</v>
      </c>
      <c r="F14" s="60" t="s">
        <v>22</v>
      </c>
      <c r="G14" s="60" t="s">
        <v>47</v>
      </c>
      <c r="H14" s="60" t="s">
        <v>26</v>
      </c>
      <c r="I14" s="60" t="s">
        <v>29</v>
      </c>
      <c r="J14" s="60" t="s">
        <v>34</v>
      </c>
      <c r="K14" s="60" t="s">
        <v>25</v>
      </c>
      <c r="L14" s="61" t="s">
        <v>28</v>
      </c>
      <c r="M14" s="57">
        <v>7.0</v>
      </c>
      <c r="N14" s="181">
        <v>110.0</v>
      </c>
    </row>
    <row r="15">
      <c r="A15" s="63"/>
      <c r="B15" s="52" t="s">
        <v>19</v>
      </c>
      <c r="C15" s="53"/>
      <c r="D15" s="54" t="s">
        <v>27</v>
      </c>
      <c r="E15" s="55" t="s">
        <v>24</v>
      </c>
      <c r="F15" s="55" t="s">
        <v>22</v>
      </c>
      <c r="G15" s="55" t="s">
        <v>23</v>
      </c>
      <c r="H15" s="55" t="s">
        <v>26</v>
      </c>
      <c r="I15" s="55" t="s">
        <v>32</v>
      </c>
      <c r="J15" s="55" t="s">
        <v>34</v>
      </c>
      <c r="K15" s="55" t="s">
        <v>25</v>
      </c>
      <c r="L15" s="56" t="s">
        <v>28</v>
      </c>
      <c r="M15" s="57">
        <v>7.0</v>
      </c>
      <c r="N15" s="181">
        <v>97.0</v>
      </c>
    </row>
    <row r="16">
      <c r="A16" s="63"/>
      <c r="B16" s="52" t="s">
        <v>20</v>
      </c>
      <c r="C16" s="65" t="s">
        <v>15</v>
      </c>
      <c r="D16" s="66" t="s">
        <v>27</v>
      </c>
      <c r="E16" s="66" t="s">
        <v>24</v>
      </c>
      <c r="F16" s="67" t="s">
        <v>22</v>
      </c>
      <c r="G16" s="67" t="s">
        <v>23</v>
      </c>
      <c r="H16" s="67" t="s">
        <v>26</v>
      </c>
      <c r="I16" s="67" t="s">
        <v>32</v>
      </c>
      <c r="J16" s="67" t="s">
        <v>34</v>
      </c>
      <c r="K16" s="67" t="s">
        <v>25</v>
      </c>
      <c r="L16" s="67" t="s">
        <v>28</v>
      </c>
      <c r="M16" s="57">
        <v>7.0</v>
      </c>
      <c r="N16" s="181">
        <v>125.0</v>
      </c>
    </row>
    <row r="17">
      <c r="A17" s="63"/>
      <c r="B17" s="52" t="s">
        <v>30</v>
      </c>
      <c r="C17" s="53" t="s">
        <v>13</v>
      </c>
      <c r="D17" s="68" t="s">
        <v>55</v>
      </c>
      <c r="E17" s="55" t="s">
        <v>24</v>
      </c>
      <c r="F17" s="55" t="s">
        <v>22</v>
      </c>
      <c r="G17" s="55" t="s">
        <v>23</v>
      </c>
      <c r="H17" s="55" t="s">
        <v>31</v>
      </c>
      <c r="I17" s="55" t="s">
        <v>29</v>
      </c>
      <c r="J17" s="55" t="s">
        <v>34</v>
      </c>
      <c r="K17" s="55" t="s">
        <v>25</v>
      </c>
      <c r="L17" s="56" t="s">
        <v>28</v>
      </c>
      <c r="M17" s="57">
        <v>8.0</v>
      </c>
      <c r="N17" s="181">
        <v>123.0</v>
      </c>
    </row>
    <row r="18">
      <c r="A18" s="63"/>
      <c r="B18" s="52" t="s">
        <v>35</v>
      </c>
      <c r="C18" s="53" t="s">
        <v>13</v>
      </c>
      <c r="D18" s="69" t="s">
        <v>55</v>
      </c>
      <c r="E18" s="70" t="s">
        <v>24</v>
      </c>
      <c r="F18" s="70" t="s">
        <v>22</v>
      </c>
      <c r="G18" s="70" t="s">
        <v>23</v>
      </c>
      <c r="H18" s="70" t="s">
        <v>26</v>
      </c>
      <c r="I18" s="70" t="s">
        <v>32</v>
      </c>
      <c r="J18" s="70" t="s">
        <v>34</v>
      </c>
      <c r="K18" s="70" t="s">
        <v>25</v>
      </c>
      <c r="L18" s="61" t="s">
        <v>28</v>
      </c>
      <c r="M18" s="57">
        <v>8.0</v>
      </c>
      <c r="N18" s="181">
        <v>126.0</v>
      </c>
    </row>
    <row r="19">
      <c r="A19" s="63"/>
      <c r="B19" s="52" t="s">
        <v>37</v>
      </c>
      <c r="C19" s="65" t="s">
        <v>13</v>
      </c>
      <c r="D19" s="71" t="s">
        <v>55</v>
      </c>
      <c r="E19" s="72" t="s">
        <v>24</v>
      </c>
      <c r="F19" s="72" t="s">
        <v>22</v>
      </c>
      <c r="G19" s="72" t="s">
        <v>23</v>
      </c>
      <c r="H19" s="72" t="s">
        <v>26</v>
      </c>
      <c r="I19" s="72" t="s">
        <v>32</v>
      </c>
      <c r="J19" s="72" t="s">
        <v>34</v>
      </c>
      <c r="K19" s="72" t="s">
        <v>25</v>
      </c>
      <c r="L19" s="56" t="s">
        <v>28</v>
      </c>
      <c r="M19" s="57">
        <v>8.0</v>
      </c>
      <c r="N19" s="181">
        <v>132.0</v>
      </c>
    </row>
    <row r="20">
      <c r="A20" s="63"/>
      <c r="B20" s="52" t="s">
        <v>38</v>
      </c>
      <c r="C20" s="65" t="s">
        <v>39</v>
      </c>
      <c r="D20" s="69" t="s">
        <v>55</v>
      </c>
      <c r="E20" s="70" t="s">
        <v>24</v>
      </c>
      <c r="F20" s="70" t="s">
        <v>22</v>
      </c>
      <c r="G20" s="70" t="s">
        <v>23</v>
      </c>
      <c r="H20" s="70" t="s">
        <v>26</v>
      </c>
      <c r="I20" s="70" t="s">
        <v>32</v>
      </c>
      <c r="J20" s="70" t="s">
        <v>34</v>
      </c>
      <c r="K20" s="70" t="s">
        <v>25</v>
      </c>
      <c r="L20" s="61" t="s">
        <v>28</v>
      </c>
      <c r="M20" s="57">
        <v>8.0</v>
      </c>
      <c r="N20" s="181">
        <v>143.0</v>
      </c>
    </row>
    <row r="21">
      <c r="A21" s="63"/>
      <c r="B21" s="52" t="s">
        <v>40</v>
      </c>
      <c r="C21" s="65" t="s">
        <v>39</v>
      </c>
      <c r="D21" s="54" t="s">
        <v>55</v>
      </c>
      <c r="E21" s="55" t="s">
        <v>24</v>
      </c>
      <c r="F21" s="72" t="s">
        <v>22</v>
      </c>
      <c r="G21" s="55" t="s">
        <v>47</v>
      </c>
      <c r="H21" s="55" t="s">
        <v>26</v>
      </c>
      <c r="I21" s="55" t="s">
        <v>29</v>
      </c>
      <c r="J21" s="55" t="s">
        <v>53</v>
      </c>
      <c r="K21" s="55" t="s">
        <v>25</v>
      </c>
      <c r="L21" s="56" t="s">
        <v>28</v>
      </c>
      <c r="M21" s="57">
        <v>7.0</v>
      </c>
      <c r="N21" s="181">
        <v>102.0</v>
      </c>
    </row>
    <row r="22">
      <c r="A22" s="63"/>
      <c r="B22" s="52" t="s">
        <v>41</v>
      </c>
      <c r="C22" s="53" t="s">
        <v>39</v>
      </c>
      <c r="D22" s="59" t="s">
        <v>55</v>
      </c>
      <c r="E22" s="70" t="s">
        <v>36</v>
      </c>
      <c r="F22" s="70" t="s">
        <v>22</v>
      </c>
      <c r="G22" s="73" t="s">
        <v>23</v>
      </c>
      <c r="H22" s="70" t="s">
        <v>26</v>
      </c>
      <c r="I22" s="70" t="s">
        <v>32</v>
      </c>
      <c r="J22" s="191" t="s">
        <v>34</v>
      </c>
      <c r="K22" s="73" t="s">
        <v>25</v>
      </c>
      <c r="L22" s="61" t="s">
        <v>28</v>
      </c>
      <c r="M22" s="57">
        <v>7.0</v>
      </c>
      <c r="N22" s="181">
        <v>131.0</v>
      </c>
    </row>
    <row r="23">
      <c r="A23" s="63"/>
      <c r="B23" s="52" t="s">
        <v>42</v>
      </c>
      <c r="C23" s="53" t="s">
        <v>39</v>
      </c>
      <c r="D23" s="54" t="s">
        <v>55</v>
      </c>
      <c r="E23" s="55" t="s">
        <v>24</v>
      </c>
      <c r="F23" s="72" t="s">
        <v>22</v>
      </c>
      <c r="G23" s="55" t="s">
        <v>23</v>
      </c>
      <c r="H23" s="55" t="s">
        <v>26</v>
      </c>
      <c r="I23" s="55" t="s">
        <v>32</v>
      </c>
      <c r="J23" s="74" t="s">
        <v>34</v>
      </c>
      <c r="K23" s="55" t="s">
        <v>25</v>
      </c>
      <c r="L23" s="56" t="s">
        <v>28</v>
      </c>
      <c r="M23" s="57">
        <v>8.0</v>
      </c>
      <c r="N23" s="181">
        <v>136.0</v>
      </c>
    </row>
    <row r="24">
      <c r="A24" s="63"/>
      <c r="B24" s="52" t="s">
        <v>43</v>
      </c>
      <c r="C24" s="53" t="s">
        <v>44</v>
      </c>
      <c r="D24" s="59" t="s">
        <v>55</v>
      </c>
      <c r="E24" s="60" t="s">
        <v>24</v>
      </c>
      <c r="F24" s="70" t="s">
        <v>22</v>
      </c>
      <c r="G24" s="75" t="s">
        <v>23</v>
      </c>
      <c r="H24" s="76" t="s">
        <v>26</v>
      </c>
      <c r="I24" s="60" t="s">
        <v>29</v>
      </c>
      <c r="J24" s="75" t="s">
        <v>34</v>
      </c>
      <c r="K24" s="75" t="s">
        <v>25</v>
      </c>
      <c r="L24" s="75" t="s">
        <v>28</v>
      </c>
      <c r="M24" s="57">
        <v>9.0</v>
      </c>
      <c r="N24" s="181">
        <v>123.0</v>
      </c>
    </row>
    <row r="25">
      <c r="A25" s="63"/>
      <c r="B25" s="52" t="s">
        <v>45</v>
      </c>
      <c r="C25" s="53" t="s">
        <v>44</v>
      </c>
      <c r="D25" s="54" t="s">
        <v>55</v>
      </c>
      <c r="E25" s="55" t="s">
        <v>36</v>
      </c>
      <c r="F25" s="72" t="s">
        <v>22</v>
      </c>
      <c r="G25" s="77" t="s">
        <v>23</v>
      </c>
      <c r="H25" s="78" t="s">
        <v>26</v>
      </c>
      <c r="I25" s="55" t="s">
        <v>29</v>
      </c>
      <c r="J25" s="79" t="s">
        <v>34</v>
      </c>
      <c r="K25" s="79" t="s">
        <v>25</v>
      </c>
      <c r="L25" s="79" t="s">
        <v>28</v>
      </c>
      <c r="M25" s="57">
        <v>8.0</v>
      </c>
      <c r="N25" s="181">
        <v>135.0</v>
      </c>
    </row>
    <row r="26">
      <c r="A26" s="63"/>
      <c r="B26" s="52" t="s">
        <v>46</v>
      </c>
      <c r="C26" s="53" t="s">
        <v>18</v>
      </c>
      <c r="D26" s="59" t="s">
        <v>27</v>
      </c>
      <c r="E26" s="76" t="s">
        <v>24</v>
      </c>
      <c r="F26" s="76" t="s">
        <v>22</v>
      </c>
      <c r="G26" s="76" t="s">
        <v>23</v>
      </c>
      <c r="H26" s="76" t="s">
        <v>26</v>
      </c>
      <c r="I26" s="76" t="s">
        <v>29</v>
      </c>
      <c r="J26" s="76" t="s">
        <v>34</v>
      </c>
      <c r="K26" s="76" t="s">
        <v>25</v>
      </c>
      <c r="L26" s="76" t="s">
        <v>28</v>
      </c>
      <c r="M26" s="80">
        <v>8.0</v>
      </c>
      <c r="N26" s="181">
        <v>123.0</v>
      </c>
    </row>
    <row r="27">
      <c r="A27" s="63"/>
      <c r="B27" s="52" t="s">
        <v>48</v>
      </c>
      <c r="C27" s="53" t="s">
        <v>49</v>
      </c>
      <c r="D27" s="54" t="s">
        <v>55</v>
      </c>
      <c r="E27" s="81" t="s">
        <v>24</v>
      </c>
      <c r="F27" s="82" t="s">
        <v>54</v>
      </c>
      <c r="G27" s="82" t="s">
        <v>23</v>
      </c>
      <c r="H27" s="82" t="s">
        <v>26</v>
      </c>
      <c r="I27" s="82" t="s">
        <v>32</v>
      </c>
      <c r="J27" s="82" t="s">
        <v>34</v>
      </c>
      <c r="K27" s="82" t="s">
        <v>25</v>
      </c>
      <c r="L27" s="82" t="s">
        <v>28</v>
      </c>
      <c r="M27" s="57">
        <v>7.0</v>
      </c>
      <c r="N27" s="181">
        <v>127.0</v>
      </c>
    </row>
    <row r="28">
      <c r="A28" s="63"/>
      <c r="B28" s="52" t="s">
        <v>50</v>
      </c>
      <c r="C28" s="53" t="s">
        <v>51</v>
      </c>
      <c r="D28" s="59" t="s">
        <v>55</v>
      </c>
      <c r="E28" s="66" t="s">
        <v>24</v>
      </c>
      <c r="F28" s="67" t="s">
        <v>22</v>
      </c>
      <c r="G28" s="67" t="s">
        <v>23</v>
      </c>
      <c r="H28" s="67" t="s">
        <v>26</v>
      </c>
      <c r="I28" s="67" t="s">
        <v>32</v>
      </c>
      <c r="J28" s="67" t="s">
        <v>34</v>
      </c>
      <c r="K28" s="67" t="s">
        <v>25</v>
      </c>
      <c r="L28" s="67" t="s">
        <v>28</v>
      </c>
      <c r="M28" s="57">
        <v>8.0</v>
      </c>
      <c r="N28" s="181">
        <v>135.0</v>
      </c>
    </row>
    <row r="29">
      <c r="A29" s="63"/>
      <c r="B29" s="52" t="s">
        <v>52</v>
      </c>
      <c r="C29" s="53" t="s">
        <v>13</v>
      </c>
      <c r="D29" s="54" t="s">
        <v>27</v>
      </c>
      <c r="E29" s="55" t="s">
        <v>24</v>
      </c>
      <c r="F29" s="55" t="s">
        <v>22</v>
      </c>
      <c r="G29" s="55" t="s">
        <v>23</v>
      </c>
      <c r="H29" s="55" t="s">
        <v>26</v>
      </c>
      <c r="I29" s="55" t="s">
        <v>29</v>
      </c>
      <c r="J29" s="55" t="s">
        <v>34</v>
      </c>
      <c r="K29" s="55" t="s">
        <v>25</v>
      </c>
      <c r="L29" s="56" t="s">
        <v>28</v>
      </c>
      <c r="M29" s="57">
        <v>8.0</v>
      </c>
      <c r="N29" s="181">
        <v>140.0</v>
      </c>
    </row>
    <row r="30">
      <c r="A30" s="63"/>
      <c r="B30" s="52" t="s">
        <v>56</v>
      </c>
      <c r="C30" s="53" t="s">
        <v>13</v>
      </c>
      <c r="D30" s="59" t="s">
        <v>55</v>
      </c>
      <c r="E30" s="60" t="s">
        <v>24</v>
      </c>
      <c r="F30" s="60" t="s">
        <v>22</v>
      </c>
      <c r="G30" s="60" t="s">
        <v>23</v>
      </c>
      <c r="H30" s="60" t="s">
        <v>31</v>
      </c>
      <c r="I30" s="60" t="s">
        <v>32</v>
      </c>
      <c r="J30" s="60" t="s">
        <v>34</v>
      </c>
      <c r="K30" s="60" t="s">
        <v>25</v>
      </c>
      <c r="L30" s="61" t="s">
        <v>21</v>
      </c>
      <c r="M30" s="57">
        <v>6.0</v>
      </c>
      <c r="N30" s="181">
        <v>119.0</v>
      </c>
    </row>
    <row r="31">
      <c r="A31" s="63"/>
      <c r="B31" s="52" t="s">
        <v>58</v>
      </c>
      <c r="C31" s="53" t="s">
        <v>59</v>
      </c>
      <c r="D31" s="54" t="s">
        <v>55</v>
      </c>
      <c r="E31" s="55" t="s">
        <v>36</v>
      </c>
      <c r="F31" s="72" t="s">
        <v>54</v>
      </c>
      <c r="G31" s="55" t="s">
        <v>47</v>
      </c>
      <c r="H31" s="55" t="s">
        <v>31</v>
      </c>
      <c r="I31" s="55" t="s">
        <v>32</v>
      </c>
      <c r="J31" s="55" t="s">
        <v>53</v>
      </c>
      <c r="K31" s="55" t="s">
        <v>25</v>
      </c>
      <c r="L31" s="56" t="s">
        <v>21</v>
      </c>
      <c r="M31" s="57">
        <v>2.0</v>
      </c>
      <c r="N31" s="181">
        <v>70.0</v>
      </c>
    </row>
    <row r="32">
      <c r="A32" s="63"/>
      <c r="B32" s="52" t="s">
        <v>60</v>
      </c>
      <c r="C32" s="53" t="s">
        <v>39</v>
      </c>
      <c r="D32" s="59" t="s">
        <v>27</v>
      </c>
      <c r="E32" s="60" t="s">
        <v>24</v>
      </c>
      <c r="F32" s="70" t="s">
        <v>22</v>
      </c>
      <c r="G32" s="60" t="s">
        <v>23</v>
      </c>
      <c r="H32" s="60" t="s">
        <v>26</v>
      </c>
      <c r="I32" s="60" t="s">
        <v>32</v>
      </c>
      <c r="J32" s="60" t="s">
        <v>34</v>
      </c>
      <c r="K32" s="60" t="s">
        <v>25</v>
      </c>
      <c r="L32" s="61" t="s">
        <v>28</v>
      </c>
      <c r="M32" s="57">
        <v>7.0</v>
      </c>
      <c r="N32" s="181">
        <v>136.0</v>
      </c>
    </row>
    <row r="33">
      <c r="A33" s="39"/>
      <c r="B33" s="52" t="s">
        <v>61</v>
      </c>
      <c r="C33" s="53" t="s">
        <v>39</v>
      </c>
      <c r="D33" s="83" t="s">
        <v>27</v>
      </c>
      <c r="E33" s="84" t="s">
        <v>24</v>
      </c>
      <c r="F33" s="84" t="s">
        <v>22</v>
      </c>
      <c r="G33" s="84" t="s">
        <v>23</v>
      </c>
      <c r="H33" s="84" t="s">
        <v>26</v>
      </c>
      <c r="I33" s="84" t="s">
        <v>32</v>
      </c>
      <c r="J33" s="84" t="s">
        <v>34</v>
      </c>
      <c r="K33" s="84" t="s">
        <v>25</v>
      </c>
      <c r="L33" s="85" t="s">
        <v>28</v>
      </c>
      <c r="M33" s="86">
        <v>7.0</v>
      </c>
      <c r="N33" s="181">
        <v>136.0</v>
      </c>
    </row>
    <row r="34">
      <c r="A34" s="39"/>
      <c r="B34" s="87" t="s">
        <v>62</v>
      </c>
      <c r="C34" s="88" t="s">
        <v>63</v>
      </c>
      <c r="D34" s="89" t="s">
        <v>55</v>
      </c>
      <c r="E34" s="89" t="s">
        <v>24</v>
      </c>
      <c r="F34" s="89" t="s">
        <v>22</v>
      </c>
      <c r="G34" s="89" t="s">
        <v>23</v>
      </c>
      <c r="H34" s="89" t="s">
        <v>26</v>
      </c>
      <c r="I34" s="89" t="s">
        <v>32</v>
      </c>
      <c r="J34" s="89" t="s">
        <v>34</v>
      </c>
      <c r="K34" s="89" t="s">
        <v>25</v>
      </c>
      <c r="L34" s="89" t="s">
        <v>28</v>
      </c>
      <c r="M34" s="90">
        <v>8.0</v>
      </c>
      <c r="N34" s="182">
        <v>135.0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45868.0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20.0</v>
      </c>
      <c r="B2" s="7" t="s">
        <v>131</v>
      </c>
      <c r="C2" s="8"/>
      <c r="D2" s="9" t="s">
        <v>132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45862.8125</v>
      </c>
      <c r="E3" s="15">
        <v>45863.805555555555</v>
      </c>
      <c r="F3" s="15">
        <v>45863.82638888889</v>
      </c>
      <c r="G3" s="15">
        <v>45864.555555555555</v>
      </c>
      <c r="H3" s="15">
        <v>45864.677083333336</v>
      </c>
      <c r="I3" s="15">
        <v>45864.81597222222</v>
      </c>
      <c r="J3" s="15">
        <v>45864.84027777778</v>
      </c>
      <c r="K3" s="15">
        <v>45865.59027777778</v>
      </c>
      <c r="L3" s="15">
        <v>45865.63888888889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111</v>
      </c>
      <c r="G4" s="20" t="s">
        <v>112</v>
      </c>
      <c r="H4" s="20" t="s">
        <v>112</v>
      </c>
      <c r="I4" s="20" t="s">
        <v>112</v>
      </c>
      <c r="J4" s="20" t="s">
        <v>112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45862.8125</v>
      </c>
      <c r="E5" s="25">
        <v>45863.805555555555</v>
      </c>
      <c r="F5" s="25">
        <v>45863.82638888889</v>
      </c>
      <c r="G5" s="25">
        <v>45864.555555555555</v>
      </c>
      <c r="H5" s="25">
        <v>45864.59375</v>
      </c>
      <c r="I5" s="25">
        <v>45864.81597222222</v>
      </c>
      <c r="J5" s="25">
        <v>45864.819444444445</v>
      </c>
      <c r="K5" s="25">
        <v>45865.59027777778</v>
      </c>
      <c r="L5" s="25">
        <v>45865.63888888889</v>
      </c>
      <c r="M5" s="26"/>
      <c r="N5" s="27"/>
    </row>
    <row r="6">
      <c r="A6" s="6">
        <v>7.0</v>
      </c>
      <c r="B6" s="28" t="s">
        <v>4</v>
      </c>
      <c r="C6" s="29"/>
      <c r="D6" s="30" t="s">
        <v>36</v>
      </c>
      <c r="E6" s="30" t="s">
        <v>31</v>
      </c>
      <c r="F6" s="30" t="s">
        <v>27</v>
      </c>
      <c r="G6" s="30" t="s">
        <v>23</v>
      </c>
      <c r="H6" s="30" t="s">
        <v>28</v>
      </c>
      <c r="I6" s="30" t="s">
        <v>53</v>
      </c>
      <c r="J6" s="30" t="s">
        <v>24</v>
      </c>
      <c r="K6" s="30" t="s">
        <v>47</v>
      </c>
      <c r="L6" s="30" t="s">
        <v>34</v>
      </c>
      <c r="M6" s="21"/>
      <c r="N6" s="22"/>
    </row>
    <row r="7">
      <c r="A7" s="6">
        <v>8.0</v>
      </c>
      <c r="B7" s="31" t="s">
        <v>5</v>
      </c>
      <c r="C7" s="24"/>
      <c r="D7" s="32" t="s">
        <v>21</v>
      </c>
      <c r="E7" s="32" t="s">
        <v>55</v>
      </c>
      <c r="F7" s="32" t="s">
        <v>26</v>
      </c>
      <c r="G7" s="32" t="s">
        <v>29</v>
      </c>
      <c r="H7" s="32" t="s">
        <v>54</v>
      </c>
      <c r="I7" s="32" t="s">
        <v>25</v>
      </c>
      <c r="J7" s="32" t="s">
        <v>33</v>
      </c>
      <c r="K7" s="32" t="s">
        <v>32</v>
      </c>
      <c r="L7" s="32" t="s">
        <v>22</v>
      </c>
      <c r="M7" s="26"/>
      <c r="N7" s="27"/>
    </row>
    <row r="8">
      <c r="A8" s="33">
        <v>9.0</v>
      </c>
      <c r="B8" s="34" t="s">
        <v>6</v>
      </c>
      <c r="C8" s="35"/>
      <c r="D8" s="36" t="s">
        <v>117</v>
      </c>
      <c r="E8" s="36" t="s">
        <v>114</v>
      </c>
      <c r="F8" s="36" t="s">
        <v>133</v>
      </c>
      <c r="G8" s="36" t="s">
        <v>116</v>
      </c>
      <c r="H8" s="36" t="s">
        <v>115</v>
      </c>
      <c r="I8" s="36" t="s">
        <v>114</v>
      </c>
      <c r="J8" s="36" t="s">
        <v>118</v>
      </c>
      <c r="K8" s="36" t="s">
        <v>117</v>
      </c>
      <c r="L8" s="36" t="s">
        <v>114</v>
      </c>
      <c r="M8" s="37"/>
      <c r="N8" s="38"/>
    </row>
    <row r="9">
      <c r="A9" s="39"/>
      <c r="B9" s="40" t="s">
        <v>7</v>
      </c>
      <c r="C9" s="41"/>
      <c r="D9" s="42" t="s">
        <v>36</v>
      </c>
      <c r="E9" s="42" t="s">
        <v>55</v>
      </c>
      <c r="F9" s="42" t="s">
        <v>27</v>
      </c>
      <c r="G9" s="42" t="s">
        <v>23</v>
      </c>
      <c r="H9" s="42" t="s">
        <v>28</v>
      </c>
      <c r="I9" s="42" t="s">
        <v>25</v>
      </c>
      <c r="J9" s="42" t="s">
        <v>24</v>
      </c>
      <c r="K9" s="42" t="s">
        <v>32</v>
      </c>
      <c r="L9" s="42" t="s">
        <v>34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36</v>
      </c>
      <c r="E10" s="47" t="s">
        <v>55</v>
      </c>
      <c r="F10" s="48" t="s">
        <v>27</v>
      </c>
      <c r="G10" s="48" t="s">
        <v>29</v>
      </c>
      <c r="H10" s="48" t="s">
        <v>28</v>
      </c>
      <c r="I10" s="48" t="s">
        <v>25</v>
      </c>
      <c r="J10" s="48" t="s">
        <v>24</v>
      </c>
      <c r="K10" s="48" t="s">
        <v>32</v>
      </c>
      <c r="L10" s="49" t="s">
        <v>22</v>
      </c>
      <c r="M10" s="50">
        <v>7.0</v>
      </c>
      <c r="N10" s="51">
        <v>112.0</v>
      </c>
    </row>
    <row r="11">
      <c r="A11" s="39"/>
      <c r="B11" s="52" t="s">
        <v>12</v>
      </c>
      <c r="C11" s="53" t="s">
        <v>13</v>
      </c>
      <c r="D11" s="54" t="s">
        <v>36</v>
      </c>
      <c r="E11" s="55" t="s">
        <v>31</v>
      </c>
      <c r="F11" s="55" t="s">
        <v>26</v>
      </c>
      <c r="G11" s="55" t="s">
        <v>29</v>
      </c>
      <c r="H11" s="55" t="s">
        <v>28</v>
      </c>
      <c r="I11" s="55" t="s">
        <v>25</v>
      </c>
      <c r="J11" s="55" t="s">
        <v>24</v>
      </c>
      <c r="K11" s="55" t="s">
        <v>32</v>
      </c>
      <c r="L11" s="56" t="s">
        <v>22</v>
      </c>
      <c r="M11" s="57">
        <v>5.0</v>
      </c>
      <c r="N11" s="58">
        <v>97.0</v>
      </c>
    </row>
    <row r="12">
      <c r="A12" s="39"/>
      <c r="B12" s="52" t="s">
        <v>14</v>
      </c>
      <c r="C12" s="53" t="s">
        <v>15</v>
      </c>
      <c r="D12" s="59" t="s">
        <v>36</v>
      </c>
      <c r="E12" s="60" t="s">
        <v>55</v>
      </c>
      <c r="F12" s="60" t="s">
        <v>27</v>
      </c>
      <c r="G12" s="60" t="s">
        <v>23</v>
      </c>
      <c r="H12" s="60" t="s">
        <v>28</v>
      </c>
      <c r="I12" s="60" t="s">
        <v>25</v>
      </c>
      <c r="J12" s="60" t="s">
        <v>24</v>
      </c>
      <c r="K12" s="60" t="s">
        <v>32</v>
      </c>
      <c r="L12" s="61" t="s">
        <v>22</v>
      </c>
      <c r="M12" s="57">
        <v>8.0</v>
      </c>
      <c r="N12" s="62">
        <v>113.0</v>
      </c>
    </row>
    <row r="13">
      <c r="A13" s="63"/>
      <c r="B13" s="52" t="s">
        <v>16</v>
      </c>
      <c r="C13" s="53" t="s">
        <v>11</v>
      </c>
      <c r="D13" s="54" t="s">
        <v>36</v>
      </c>
      <c r="E13" s="55" t="s">
        <v>31</v>
      </c>
      <c r="F13" s="55" t="s">
        <v>27</v>
      </c>
      <c r="G13" s="55" t="s">
        <v>23</v>
      </c>
      <c r="H13" s="55" t="s">
        <v>28</v>
      </c>
      <c r="I13" s="55" t="s">
        <v>25</v>
      </c>
      <c r="J13" s="55" t="s">
        <v>24</v>
      </c>
      <c r="K13" s="55" t="s">
        <v>47</v>
      </c>
      <c r="L13" s="56" t="s">
        <v>22</v>
      </c>
      <c r="M13" s="57">
        <v>6.0</v>
      </c>
      <c r="N13" s="64">
        <v>96.0</v>
      </c>
    </row>
    <row r="14">
      <c r="A14" s="63"/>
      <c r="B14" s="52" t="s">
        <v>17</v>
      </c>
      <c r="C14" s="53" t="s">
        <v>18</v>
      </c>
      <c r="D14" s="59" t="s">
        <v>36</v>
      </c>
      <c r="E14" s="60" t="s">
        <v>55</v>
      </c>
      <c r="F14" s="60" t="s">
        <v>26</v>
      </c>
      <c r="G14" s="60" t="s">
        <v>23</v>
      </c>
      <c r="H14" s="60" t="s">
        <v>28</v>
      </c>
      <c r="I14" s="60" t="s">
        <v>25</v>
      </c>
      <c r="J14" s="60" t="s">
        <v>33</v>
      </c>
      <c r="K14" s="60" t="s">
        <v>47</v>
      </c>
      <c r="L14" s="61" t="s">
        <v>22</v>
      </c>
      <c r="M14" s="57">
        <v>5.0</v>
      </c>
      <c r="N14" s="64">
        <v>96.0</v>
      </c>
    </row>
    <row r="15">
      <c r="A15" s="63"/>
      <c r="B15" s="52" t="s">
        <v>19</v>
      </c>
      <c r="C15" s="53"/>
      <c r="D15" s="54" t="s">
        <v>36</v>
      </c>
      <c r="E15" s="55" t="s">
        <v>55</v>
      </c>
      <c r="F15" s="55" t="s">
        <v>27</v>
      </c>
      <c r="G15" s="55" t="s">
        <v>29</v>
      </c>
      <c r="H15" s="55" t="s">
        <v>28</v>
      </c>
      <c r="I15" s="55" t="s">
        <v>25</v>
      </c>
      <c r="J15" s="55" t="s">
        <v>24</v>
      </c>
      <c r="K15" s="55" t="s">
        <v>32</v>
      </c>
      <c r="L15" s="56" t="s">
        <v>22</v>
      </c>
      <c r="M15" s="57">
        <v>7.0</v>
      </c>
      <c r="N15" s="64">
        <v>83.0</v>
      </c>
    </row>
    <row r="16">
      <c r="A16" s="63"/>
      <c r="B16" s="52" t="s">
        <v>20</v>
      </c>
      <c r="C16" s="65" t="s">
        <v>15</v>
      </c>
      <c r="D16" s="66" t="s">
        <v>36</v>
      </c>
      <c r="E16" s="66" t="s">
        <v>55</v>
      </c>
      <c r="F16" s="67" t="s">
        <v>26</v>
      </c>
      <c r="G16" s="67" t="s">
        <v>29</v>
      </c>
      <c r="H16" s="67" t="s">
        <v>28</v>
      </c>
      <c r="I16" s="67" t="s">
        <v>25</v>
      </c>
      <c r="J16" s="67" t="s">
        <v>24</v>
      </c>
      <c r="K16" s="67" t="s">
        <v>32</v>
      </c>
      <c r="L16" s="67" t="s">
        <v>22</v>
      </c>
      <c r="M16" s="57">
        <v>6.0</v>
      </c>
      <c r="N16" s="64">
        <v>111.0</v>
      </c>
    </row>
    <row r="17">
      <c r="A17" s="63"/>
      <c r="B17" s="52" t="s">
        <v>30</v>
      </c>
      <c r="C17" s="53" t="s">
        <v>13</v>
      </c>
      <c r="D17" s="68" t="s">
        <v>21</v>
      </c>
      <c r="E17" s="55" t="s">
        <v>31</v>
      </c>
      <c r="F17" s="55" t="s">
        <v>26</v>
      </c>
      <c r="G17" s="55" t="s">
        <v>23</v>
      </c>
      <c r="H17" s="55" t="s">
        <v>28</v>
      </c>
      <c r="I17" s="55" t="s">
        <v>25</v>
      </c>
      <c r="J17" s="55" t="s">
        <v>24</v>
      </c>
      <c r="K17" s="55" t="s">
        <v>32</v>
      </c>
      <c r="L17" s="56" t="s">
        <v>34</v>
      </c>
      <c r="M17" s="57">
        <v>6.0</v>
      </c>
      <c r="N17" s="64">
        <v>107.0</v>
      </c>
    </row>
    <row r="18">
      <c r="A18" s="63"/>
      <c r="B18" s="52" t="s">
        <v>35</v>
      </c>
      <c r="C18" s="53" t="s">
        <v>13</v>
      </c>
      <c r="D18" s="69" t="s">
        <v>36</v>
      </c>
      <c r="E18" s="70" t="s">
        <v>31</v>
      </c>
      <c r="F18" s="70" t="s">
        <v>26</v>
      </c>
      <c r="G18" s="70" t="s">
        <v>29</v>
      </c>
      <c r="H18" s="70" t="s">
        <v>28</v>
      </c>
      <c r="I18" s="70" t="s">
        <v>25</v>
      </c>
      <c r="J18" s="70" t="s">
        <v>24</v>
      </c>
      <c r="K18" s="70" t="s">
        <v>32</v>
      </c>
      <c r="L18" s="61" t="s">
        <v>22</v>
      </c>
      <c r="M18" s="57">
        <v>5.0</v>
      </c>
      <c r="N18" s="64">
        <v>110.0</v>
      </c>
    </row>
    <row r="19">
      <c r="A19" s="63"/>
      <c r="B19" s="52" t="s">
        <v>37</v>
      </c>
      <c r="C19" s="65" t="s">
        <v>13</v>
      </c>
      <c r="D19" s="71" t="s">
        <v>36</v>
      </c>
      <c r="E19" s="72" t="s">
        <v>55</v>
      </c>
      <c r="F19" s="72" t="s">
        <v>27</v>
      </c>
      <c r="G19" s="72" t="s">
        <v>29</v>
      </c>
      <c r="H19" s="72" t="s">
        <v>28</v>
      </c>
      <c r="I19" s="72" t="s">
        <v>25</v>
      </c>
      <c r="J19" s="72" t="s">
        <v>24</v>
      </c>
      <c r="K19" s="72" t="s">
        <v>32</v>
      </c>
      <c r="L19" s="56" t="s">
        <v>22</v>
      </c>
      <c r="M19" s="57">
        <v>7.0</v>
      </c>
      <c r="N19" s="64">
        <v>116.0</v>
      </c>
    </row>
    <row r="20">
      <c r="A20" s="63"/>
      <c r="B20" s="52" t="s">
        <v>38</v>
      </c>
      <c r="C20" s="65" t="s">
        <v>39</v>
      </c>
      <c r="D20" s="69" t="s">
        <v>36</v>
      </c>
      <c r="E20" s="70" t="s">
        <v>55</v>
      </c>
      <c r="F20" s="70" t="s">
        <v>27</v>
      </c>
      <c r="G20" s="70" t="s">
        <v>29</v>
      </c>
      <c r="H20" s="70" t="s">
        <v>28</v>
      </c>
      <c r="I20" s="70" t="s">
        <v>25</v>
      </c>
      <c r="J20" s="70" t="s">
        <v>24</v>
      </c>
      <c r="K20" s="70" t="s">
        <v>32</v>
      </c>
      <c r="L20" s="61" t="s">
        <v>34</v>
      </c>
      <c r="M20" s="57">
        <v>8.0</v>
      </c>
      <c r="N20" s="64">
        <v>127.0</v>
      </c>
    </row>
    <row r="21">
      <c r="A21" s="63"/>
      <c r="B21" s="52" t="s">
        <v>40</v>
      </c>
      <c r="C21" s="65" t="s">
        <v>39</v>
      </c>
      <c r="D21" s="54" t="s">
        <v>21</v>
      </c>
      <c r="E21" s="55" t="s">
        <v>55</v>
      </c>
      <c r="F21" s="72" t="s">
        <v>26</v>
      </c>
      <c r="G21" s="55" t="s">
        <v>29</v>
      </c>
      <c r="H21" s="55" t="s">
        <v>54</v>
      </c>
      <c r="I21" s="55" t="s">
        <v>25</v>
      </c>
      <c r="J21" s="55" t="s">
        <v>24</v>
      </c>
      <c r="K21" s="55" t="s">
        <v>47</v>
      </c>
      <c r="L21" s="56" t="s">
        <v>34</v>
      </c>
      <c r="M21" s="57">
        <v>4.0</v>
      </c>
      <c r="N21" s="64">
        <v>88.0</v>
      </c>
    </row>
    <row r="22">
      <c r="A22" s="63"/>
      <c r="B22" s="52" t="s">
        <v>41</v>
      </c>
      <c r="C22" s="53" t="s">
        <v>39</v>
      </c>
      <c r="D22" s="59" t="s">
        <v>36</v>
      </c>
      <c r="E22" s="70" t="s">
        <v>55</v>
      </c>
      <c r="F22" s="70" t="s">
        <v>26</v>
      </c>
      <c r="G22" s="73" t="s">
        <v>23</v>
      </c>
      <c r="H22" s="70" t="s">
        <v>28</v>
      </c>
      <c r="I22" s="70" t="s">
        <v>25</v>
      </c>
      <c r="J22" s="191" t="s">
        <v>24</v>
      </c>
      <c r="K22" s="73" t="s">
        <v>32</v>
      </c>
      <c r="L22" s="61" t="s">
        <v>34</v>
      </c>
      <c r="M22" s="57">
        <v>8.0</v>
      </c>
      <c r="N22" s="64">
        <v>117.0</v>
      </c>
    </row>
    <row r="23">
      <c r="A23" s="63"/>
      <c r="B23" s="52" t="s">
        <v>42</v>
      </c>
      <c r="C23" s="53" t="s">
        <v>39</v>
      </c>
      <c r="D23" s="54" t="s">
        <v>36</v>
      </c>
      <c r="E23" s="55" t="s">
        <v>55</v>
      </c>
      <c r="F23" s="72" t="s">
        <v>27</v>
      </c>
      <c r="G23" s="55" t="s">
        <v>23</v>
      </c>
      <c r="H23" s="55" t="s">
        <v>28</v>
      </c>
      <c r="I23" s="55" t="s">
        <v>25</v>
      </c>
      <c r="J23" s="74" t="s">
        <v>24</v>
      </c>
      <c r="K23" s="55" t="s">
        <v>32</v>
      </c>
      <c r="L23" s="56" t="s">
        <v>22</v>
      </c>
      <c r="M23" s="57">
        <v>8.0</v>
      </c>
      <c r="N23" s="64">
        <v>120.0</v>
      </c>
    </row>
    <row r="24">
      <c r="A24" s="63"/>
      <c r="B24" s="52" t="s">
        <v>43</v>
      </c>
      <c r="C24" s="53" t="s">
        <v>44</v>
      </c>
      <c r="D24" s="59" t="s">
        <v>36</v>
      </c>
      <c r="E24" s="60" t="s">
        <v>55</v>
      </c>
      <c r="F24" s="70" t="s">
        <v>26</v>
      </c>
      <c r="G24" s="75" t="s">
        <v>23</v>
      </c>
      <c r="H24" s="76" t="s">
        <v>28</v>
      </c>
      <c r="I24" s="60" t="s">
        <v>25</v>
      </c>
      <c r="J24" s="75" t="s">
        <v>24</v>
      </c>
      <c r="K24" s="75" t="s">
        <v>32</v>
      </c>
      <c r="L24" s="75" t="s">
        <v>22</v>
      </c>
      <c r="M24" s="57">
        <v>7.0</v>
      </c>
      <c r="N24" s="64">
        <v>105.0</v>
      </c>
    </row>
    <row r="25">
      <c r="A25" s="63"/>
      <c r="B25" s="52" t="s">
        <v>45</v>
      </c>
      <c r="C25" s="53" t="s">
        <v>44</v>
      </c>
      <c r="D25" s="54" t="s">
        <v>36</v>
      </c>
      <c r="E25" s="55" t="s">
        <v>55</v>
      </c>
      <c r="F25" s="72" t="s">
        <v>27</v>
      </c>
      <c r="G25" s="77" t="s">
        <v>29</v>
      </c>
      <c r="H25" s="78" t="s">
        <v>28</v>
      </c>
      <c r="I25" s="55" t="s">
        <v>25</v>
      </c>
      <c r="J25" s="79" t="s">
        <v>24</v>
      </c>
      <c r="K25" s="79" t="s">
        <v>32</v>
      </c>
      <c r="L25" s="79" t="s">
        <v>22</v>
      </c>
      <c r="M25" s="57">
        <v>7.0</v>
      </c>
      <c r="N25" s="64">
        <v>119.0</v>
      </c>
    </row>
    <row r="26">
      <c r="A26" s="63"/>
      <c r="B26" s="52" t="s">
        <v>46</v>
      </c>
      <c r="C26" s="53" t="s">
        <v>18</v>
      </c>
      <c r="D26" s="59" t="s">
        <v>36</v>
      </c>
      <c r="E26" s="76" t="s">
        <v>55</v>
      </c>
      <c r="F26" s="76" t="s">
        <v>27</v>
      </c>
      <c r="G26" s="76" t="s">
        <v>29</v>
      </c>
      <c r="H26" s="76" t="s">
        <v>28</v>
      </c>
      <c r="I26" s="76" t="s">
        <v>25</v>
      </c>
      <c r="J26" s="76" t="s">
        <v>24</v>
      </c>
      <c r="K26" s="76" t="s">
        <v>47</v>
      </c>
      <c r="L26" s="76" t="s">
        <v>34</v>
      </c>
      <c r="M26" s="80">
        <v>7.0</v>
      </c>
      <c r="N26" s="64">
        <v>107.0</v>
      </c>
    </row>
    <row r="27">
      <c r="A27" s="63"/>
      <c r="B27" s="52" t="s">
        <v>48</v>
      </c>
      <c r="C27" s="53" t="s">
        <v>49</v>
      </c>
      <c r="D27" s="54" t="s">
        <v>36</v>
      </c>
      <c r="E27" s="81" t="s">
        <v>55</v>
      </c>
      <c r="F27" s="82" t="s">
        <v>27</v>
      </c>
      <c r="G27" s="82" t="s">
        <v>29</v>
      </c>
      <c r="H27" s="82" t="s">
        <v>54</v>
      </c>
      <c r="I27" s="82" t="s">
        <v>25</v>
      </c>
      <c r="J27" s="82" t="s">
        <v>24</v>
      </c>
      <c r="K27" s="82" t="s">
        <v>32</v>
      </c>
      <c r="L27" s="82" t="s">
        <v>34</v>
      </c>
      <c r="M27" s="57">
        <v>7.0</v>
      </c>
      <c r="N27" s="64">
        <v>113.0</v>
      </c>
    </row>
    <row r="28">
      <c r="A28" s="63"/>
      <c r="B28" s="52" t="s">
        <v>50</v>
      </c>
      <c r="C28" s="53" t="s">
        <v>51</v>
      </c>
      <c r="D28" s="59" t="s">
        <v>36</v>
      </c>
      <c r="E28" s="66" t="s">
        <v>55</v>
      </c>
      <c r="F28" s="67" t="s">
        <v>27</v>
      </c>
      <c r="G28" s="67" t="s">
        <v>29</v>
      </c>
      <c r="H28" s="67" t="s">
        <v>28</v>
      </c>
      <c r="I28" s="67" t="s">
        <v>25</v>
      </c>
      <c r="J28" s="67" t="s">
        <v>24</v>
      </c>
      <c r="K28" s="67" t="s">
        <v>32</v>
      </c>
      <c r="L28" s="67" t="s">
        <v>22</v>
      </c>
      <c r="M28" s="57">
        <v>7.0</v>
      </c>
      <c r="N28" s="64">
        <v>119.0</v>
      </c>
    </row>
    <row r="29">
      <c r="A29" s="63"/>
      <c r="B29" s="52" t="s">
        <v>52</v>
      </c>
      <c r="C29" s="53" t="s">
        <v>13</v>
      </c>
      <c r="D29" s="54" t="s">
        <v>36</v>
      </c>
      <c r="E29" s="55" t="s">
        <v>55</v>
      </c>
      <c r="F29" s="55" t="s">
        <v>27</v>
      </c>
      <c r="G29" s="55" t="s">
        <v>29</v>
      </c>
      <c r="H29" s="55" t="s">
        <v>28</v>
      </c>
      <c r="I29" s="55" t="s">
        <v>25</v>
      </c>
      <c r="J29" s="55" t="s">
        <v>24</v>
      </c>
      <c r="K29" s="55" t="s">
        <v>32</v>
      </c>
      <c r="L29" s="56" t="s">
        <v>34</v>
      </c>
      <c r="M29" s="57">
        <v>8.0</v>
      </c>
      <c r="N29" s="64">
        <v>124.0</v>
      </c>
    </row>
    <row r="30">
      <c r="A30" s="63"/>
      <c r="B30" s="52" t="s">
        <v>56</v>
      </c>
      <c r="C30" s="53" t="s">
        <v>13</v>
      </c>
      <c r="D30" s="59" t="s">
        <v>36</v>
      </c>
      <c r="E30" s="60" t="s">
        <v>31</v>
      </c>
      <c r="F30" s="60" t="s">
        <v>27</v>
      </c>
      <c r="G30" s="60" t="s">
        <v>29</v>
      </c>
      <c r="H30" s="60" t="s">
        <v>28</v>
      </c>
      <c r="I30" s="60" t="s">
        <v>25</v>
      </c>
      <c r="J30" s="60" t="s">
        <v>33</v>
      </c>
      <c r="K30" s="60" t="s">
        <v>32</v>
      </c>
      <c r="L30" s="61" t="s">
        <v>34</v>
      </c>
      <c r="M30" s="57">
        <v>6.0</v>
      </c>
      <c r="N30" s="64">
        <v>107.0</v>
      </c>
    </row>
    <row r="31">
      <c r="A31" s="63"/>
      <c r="B31" s="52" t="s">
        <v>58</v>
      </c>
      <c r="C31" s="53" t="s">
        <v>59</v>
      </c>
      <c r="D31" s="54" t="s">
        <v>21</v>
      </c>
      <c r="E31" s="55" t="s">
        <v>31</v>
      </c>
      <c r="F31" s="72" t="s">
        <v>26</v>
      </c>
      <c r="G31" s="55" t="s">
        <v>23</v>
      </c>
      <c r="H31" s="55" t="s">
        <v>54</v>
      </c>
      <c r="I31" s="55" t="s">
        <v>53</v>
      </c>
      <c r="J31" s="55" t="s">
        <v>24</v>
      </c>
      <c r="K31" s="55" t="s">
        <v>32</v>
      </c>
      <c r="L31" s="56" t="s">
        <v>34</v>
      </c>
      <c r="M31" s="57">
        <v>4.0</v>
      </c>
      <c r="N31" s="64">
        <v>66.0</v>
      </c>
    </row>
    <row r="32">
      <c r="A32" s="63"/>
      <c r="B32" s="52" t="s">
        <v>60</v>
      </c>
      <c r="C32" s="53" t="s">
        <v>39</v>
      </c>
      <c r="D32" s="59" t="s">
        <v>36</v>
      </c>
      <c r="E32" s="60" t="s">
        <v>55</v>
      </c>
      <c r="F32" s="70" t="s">
        <v>27</v>
      </c>
      <c r="G32" s="60" t="s">
        <v>29</v>
      </c>
      <c r="H32" s="60" t="s">
        <v>28</v>
      </c>
      <c r="I32" s="60" t="s">
        <v>25</v>
      </c>
      <c r="J32" s="60" t="s">
        <v>24</v>
      </c>
      <c r="K32" s="60" t="s">
        <v>32</v>
      </c>
      <c r="L32" s="61" t="s">
        <v>34</v>
      </c>
      <c r="M32" s="57">
        <v>8.0</v>
      </c>
      <c r="N32" s="64">
        <v>122.0</v>
      </c>
    </row>
    <row r="33">
      <c r="A33" s="39"/>
      <c r="B33" s="52" t="s">
        <v>61</v>
      </c>
      <c r="C33" s="53" t="s">
        <v>39</v>
      </c>
      <c r="D33" s="83" t="s">
        <v>36</v>
      </c>
      <c r="E33" s="84" t="s">
        <v>55</v>
      </c>
      <c r="F33" s="84" t="s">
        <v>27</v>
      </c>
      <c r="G33" s="84" t="s">
        <v>29</v>
      </c>
      <c r="H33" s="84" t="s">
        <v>28</v>
      </c>
      <c r="I33" s="84" t="s">
        <v>25</v>
      </c>
      <c r="J33" s="84" t="s">
        <v>24</v>
      </c>
      <c r="K33" s="84" t="s">
        <v>32</v>
      </c>
      <c r="L33" s="85" t="s">
        <v>22</v>
      </c>
      <c r="M33" s="86">
        <v>7.0</v>
      </c>
      <c r="N33" s="64">
        <v>122.0</v>
      </c>
    </row>
    <row r="34">
      <c r="A34" s="39"/>
      <c r="B34" s="87" t="s">
        <v>62</v>
      </c>
      <c r="C34" s="88" t="s">
        <v>63</v>
      </c>
      <c r="D34" s="89" t="s">
        <v>36</v>
      </c>
      <c r="E34" s="89" t="s">
        <v>55</v>
      </c>
      <c r="F34" s="89" t="s">
        <v>27</v>
      </c>
      <c r="G34" s="89" t="s">
        <v>29</v>
      </c>
      <c r="H34" s="89" t="s">
        <v>28</v>
      </c>
      <c r="I34" s="89" t="s">
        <v>25</v>
      </c>
      <c r="J34" s="89" t="s">
        <v>24</v>
      </c>
      <c r="K34" s="89" t="s">
        <v>32</v>
      </c>
      <c r="L34" s="89" t="s">
        <v>22</v>
      </c>
      <c r="M34" s="90">
        <v>7.0</v>
      </c>
      <c r="N34" s="91">
        <v>119.0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45860.0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19.0</v>
      </c>
      <c r="B2" s="7" t="s">
        <v>134</v>
      </c>
      <c r="C2" s="8"/>
      <c r="D2" s="9" t="s">
        <v>135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45855.8125</v>
      </c>
      <c r="E3" s="15">
        <v>45856.819444444445</v>
      </c>
      <c r="F3" s="15">
        <v>45857.555555555555</v>
      </c>
      <c r="G3" s="15">
        <v>45857.677083333336</v>
      </c>
      <c r="H3" s="15">
        <v>45857.81597222222</v>
      </c>
      <c r="I3" s="15">
        <v>45857.84027777778</v>
      </c>
      <c r="J3" s="15">
        <v>45858.54861111111</v>
      </c>
      <c r="K3" s="15">
        <v>45858.63888888889</v>
      </c>
      <c r="L3" s="15">
        <v>45858.694444444445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45855.8125</v>
      </c>
      <c r="E5" s="25">
        <v>45856.819444444445</v>
      </c>
      <c r="F5" s="25">
        <v>45857.555555555555</v>
      </c>
      <c r="G5" s="25">
        <v>45857.677083333336</v>
      </c>
      <c r="H5" s="25">
        <v>45857.81597222222</v>
      </c>
      <c r="I5" s="25">
        <v>45857.756944444445</v>
      </c>
      <c r="J5" s="25">
        <v>45858.54861111111</v>
      </c>
      <c r="K5" s="25">
        <v>45858.63888888889</v>
      </c>
      <c r="L5" s="25">
        <v>45858.67361111111</v>
      </c>
      <c r="M5" s="26"/>
      <c r="N5" s="27"/>
    </row>
    <row r="6">
      <c r="A6" s="6">
        <v>7.0</v>
      </c>
      <c r="B6" s="28" t="s">
        <v>4</v>
      </c>
      <c r="C6" s="29"/>
      <c r="D6" s="30" t="s">
        <v>31</v>
      </c>
      <c r="E6" s="30" t="s">
        <v>29</v>
      </c>
      <c r="F6" s="30" t="s">
        <v>36</v>
      </c>
      <c r="G6" s="30" t="s">
        <v>26</v>
      </c>
      <c r="H6" s="30" t="s">
        <v>21</v>
      </c>
      <c r="I6" s="30" t="s">
        <v>54</v>
      </c>
      <c r="J6" s="30" t="s">
        <v>25</v>
      </c>
      <c r="K6" s="30" t="s">
        <v>32</v>
      </c>
      <c r="L6" s="30" t="s">
        <v>24</v>
      </c>
      <c r="M6" s="21"/>
      <c r="N6" s="22"/>
    </row>
    <row r="7">
      <c r="A7" s="6">
        <v>8.0</v>
      </c>
      <c r="B7" s="31" t="s">
        <v>5</v>
      </c>
      <c r="C7" s="24"/>
      <c r="D7" s="32" t="s">
        <v>27</v>
      </c>
      <c r="E7" s="32" t="s">
        <v>55</v>
      </c>
      <c r="F7" s="32" t="s">
        <v>33</v>
      </c>
      <c r="G7" s="32" t="s">
        <v>53</v>
      </c>
      <c r="H7" s="32" t="s">
        <v>22</v>
      </c>
      <c r="I7" s="32" t="s">
        <v>47</v>
      </c>
      <c r="J7" s="32" t="s">
        <v>34</v>
      </c>
      <c r="K7" s="32" t="s">
        <v>28</v>
      </c>
      <c r="L7" s="32" t="s">
        <v>23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127</v>
      </c>
      <c r="F8" s="36" t="s">
        <v>136</v>
      </c>
      <c r="G8" s="36" t="s">
        <v>120</v>
      </c>
      <c r="H8" s="36" t="s">
        <v>117</v>
      </c>
      <c r="I8" s="36" t="s">
        <v>115</v>
      </c>
      <c r="J8" s="36" t="s">
        <v>126</v>
      </c>
      <c r="K8" s="36" t="s">
        <v>117</v>
      </c>
      <c r="L8" s="36" t="s">
        <v>118</v>
      </c>
      <c r="M8" s="37"/>
      <c r="N8" s="38"/>
    </row>
    <row r="9">
      <c r="A9" s="39"/>
      <c r="B9" s="40" t="s">
        <v>7</v>
      </c>
      <c r="C9" s="41"/>
      <c r="D9" s="42" t="s">
        <v>27</v>
      </c>
      <c r="E9" s="42" t="s">
        <v>29</v>
      </c>
      <c r="F9" s="42" t="s">
        <v>36</v>
      </c>
      <c r="G9" s="42" t="s">
        <v>26</v>
      </c>
      <c r="H9" s="42" t="s">
        <v>21</v>
      </c>
      <c r="I9" s="42" t="s">
        <v>47</v>
      </c>
      <c r="J9" s="42" t="s">
        <v>25</v>
      </c>
      <c r="K9" s="42" t="s">
        <v>28</v>
      </c>
      <c r="L9" s="42" t="s">
        <v>24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27</v>
      </c>
      <c r="E10" s="47" t="s">
        <v>29</v>
      </c>
      <c r="F10" s="48" t="s">
        <v>36</v>
      </c>
      <c r="G10" s="48" t="s">
        <v>26</v>
      </c>
      <c r="H10" s="48" t="s">
        <v>22</v>
      </c>
      <c r="I10" s="48" t="s">
        <v>54</v>
      </c>
      <c r="J10" s="48" t="s">
        <v>25</v>
      </c>
      <c r="K10" s="48" t="s">
        <v>32</v>
      </c>
      <c r="L10" s="49" t="s">
        <v>24</v>
      </c>
      <c r="M10" s="50">
        <v>6.0</v>
      </c>
      <c r="N10" s="51">
        <v>105.0</v>
      </c>
    </row>
    <row r="11">
      <c r="A11" s="39"/>
      <c r="B11" s="52" t="s">
        <v>12</v>
      </c>
      <c r="C11" s="53" t="s">
        <v>13</v>
      </c>
      <c r="D11" s="54" t="s">
        <v>31</v>
      </c>
      <c r="E11" s="55" t="s">
        <v>29</v>
      </c>
      <c r="F11" s="55" t="s">
        <v>36</v>
      </c>
      <c r="G11" s="55" t="s">
        <v>26</v>
      </c>
      <c r="H11" s="55" t="s">
        <v>21</v>
      </c>
      <c r="I11" s="55" t="s">
        <v>54</v>
      </c>
      <c r="J11" s="55" t="s">
        <v>25</v>
      </c>
      <c r="K11" s="55" t="s">
        <v>32</v>
      </c>
      <c r="L11" s="56" t="s">
        <v>24</v>
      </c>
      <c r="M11" s="57">
        <v>6.0</v>
      </c>
      <c r="N11" s="58">
        <v>92.0</v>
      </c>
    </row>
    <row r="12">
      <c r="A12" s="39"/>
      <c r="B12" s="52" t="s">
        <v>14</v>
      </c>
      <c r="C12" s="53" t="s">
        <v>15</v>
      </c>
      <c r="D12" s="59" t="s">
        <v>27</v>
      </c>
      <c r="E12" s="60" t="s">
        <v>29</v>
      </c>
      <c r="F12" s="60" t="s">
        <v>36</v>
      </c>
      <c r="G12" s="60" t="s">
        <v>26</v>
      </c>
      <c r="H12" s="60" t="s">
        <v>22</v>
      </c>
      <c r="I12" s="60" t="s">
        <v>47</v>
      </c>
      <c r="J12" s="60" t="s">
        <v>25</v>
      </c>
      <c r="K12" s="60" t="s">
        <v>32</v>
      </c>
      <c r="L12" s="61" t="s">
        <v>24</v>
      </c>
      <c r="M12" s="57">
        <v>7.0</v>
      </c>
      <c r="N12" s="62">
        <v>105.0</v>
      </c>
    </row>
    <row r="13">
      <c r="A13" s="63"/>
      <c r="B13" s="52" t="s">
        <v>16</v>
      </c>
      <c r="C13" s="53" t="s">
        <v>11</v>
      </c>
      <c r="D13" s="54" t="s">
        <v>31</v>
      </c>
      <c r="E13" s="55" t="s">
        <v>29</v>
      </c>
      <c r="F13" s="55" t="s">
        <v>36</v>
      </c>
      <c r="G13" s="55" t="s">
        <v>26</v>
      </c>
      <c r="H13" s="55" t="s">
        <v>22</v>
      </c>
      <c r="I13" s="55" t="s">
        <v>47</v>
      </c>
      <c r="J13" s="55" t="s">
        <v>25</v>
      </c>
      <c r="K13" s="55" t="s">
        <v>32</v>
      </c>
      <c r="L13" s="56" t="s">
        <v>24</v>
      </c>
      <c r="M13" s="57">
        <v>6.0</v>
      </c>
      <c r="N13" s="64">
        <v>90.0</v>
      </c>
    </row>
    <row r="14">
      <c r="A14" s="63"/>
      <c r="B14" s="52" t="s">
        <v>17</v>
      </c>
      <c r="C14" s="53" t="s">
        <v>18</v>
      </c>
      <c r="D14" s="59" t="s">
        <v>27</v>
      </c>
      <c r="E14" s="60" t="s">
        <v>55</v>
      </c>
      <c r="F14" s="60" t="s">
        <v>36</v>
      </c>
      <c r="G14" s="60" t="s">
        <v>26</v>
      </c>
      <c r="H14" s="60" t="s">
        <v>21</v>
      </c>
      <c r="I14" s="60" t="s">
        <v>47</v>
      </c>
      <c r="J14" s="60" t="s">
        <v>25</v>
      </c>
      <c r="K14" s="60" t="s">
        <v>32</v>
      </c>
      <c r="L14" s="61" t="s">
        <v>23</v>
      </c>
      <c r="M14" s="57">
        <v>6.0</v>
      </c>
      <c r="N14" s="64">
        <v>91.0</v>
      </c>
    </row>
    <row r="15">
      <c r="A15" s="63"/>
      <c r="B15" s="52" t="s">
        <v>19</v>
      </c>
      <c r="C15" s="53"/>
      <c r="D15" s="54" t="s">
        <v>27</v>
      </c>
      <c r="E15" s="55" t="s">
        <v>29</v>
      </c>
      <c r="F15" s="55" t="s">
        <v>36</v>
      </c>
      <c r="G15" s="55" t="s">
        <v>26</v>
      </c>
      <c r="H15" s="55" t="s">
        <v>22</v>
      </c>
      <c r="I15" s="55" t="s">
        <v>54</v>
      </c>
      <c r="J15" s="55" t="s">
        <v>25</v>
      </c>
      <c r="K15" s="55" t="s">
        <v>32</v>
      </c>
      <c r="L15" s="56" t="s">
        <v>24</v>
      </c>
      <c r="M15" s="57">
        <v>6.0</v>
      </c>
      <c r="N15" s="64">
        <v>76.0</v>
      </c>
    </row>
    <row r="16">
      <c r="A16" s="63"/>
      <c r="B16" s="52" t="s">
        <v>20</v>
      </c>
      <c r="C16" s="65" t="s">
        <v>15</v>
      </c>
      <c r="D16" s="66" t="s">
        <v>27</v>
      </c>
      <c r="E16" s="66" t="s">
        <v>29</v>
      </c>
      <c r="F16" s="67" t="s">
        <v>36</v>
      </c>
      <c r="G16" s="67" t="s">
        <v>26</v>
      </c>
      <c r="H16" s="67" t="s">
        <v>22</v>
      </c>
      <c r="I16" s="67" t="s">
        <v>47</v>
      </c>
      <c r="J16" s="67" t="s">
        <v>25</v>
      </c>
      <c r="K16" s="67" t="s">
        <v>32</v>
      </c>
      <c r="L16" s="67" t="s">
        <v>24</v>
      </c>
      <c r="M16" s="57">
        <v>7.0</v>
      </c>
      <c r="N16" s="64">
        <v>105.0</v>
      </c>
    </row>
    <row r="17">
      <c r="A17" s="63"/>
      <c r="B17" s="52" t="s">
        <v>30</v>
      </c>
      <c r="C17" s="53" t="s">
        <v>13</v>
      </c>
      <c r="D17" s="183" t="s">
        <v>31</v>
      </c>
      <c r="E17" s="184" t="s">
        <v>29</v>
      </c>
      <c r="F17" s="184" t="s">
        <v>36</v>
      </c>
      <c r="G17" s="184" t="s">
        <v>26</v>
      </c>
      <c r="H17" s="55" t="s">
        <v>22</v>
      </c>
      <c r="I17" s="184" t="s">
        <v>54</v>
      </c>
      <c r="J17" s="184" t="s">
        <v>25</v>
      </c>
      <c r="K17" s="184" t="s">
        <v>32</v>
      </c>
      <c r="L17" s="185" t="s">
        <v>24</v>
      </c>
      <c r="M17" s="57">
        <v>5.0</v>
      </c>
      <c r="N17" s="64">
        <v>101.0</v>
      </c>
    </row>
    <row r="18">
      <c r="A18" s="63"/>
      <c r="B18" s="52" t="s">
        <v>35</v>
      </c>
      <c r="C18" s="53" t="s">
        <v>13</v>
      </c>
      <c r="D18" s="69" t="s">
        <v>27</v>
      </c>
      <c r="E18" s="70" t="s">
        <v>29</v>
      </c>
      <c r="F18" s="70" t="s">
        <v>36</v>
      </c>
      <c r="G18" s="70" t="s">
        <v>26</v>
      </c>
      <c r="H18" s="70" t="s">
        <v>22</v>
      </c>
      <c r="I18" s="70" t="s">
        <v>54</v>
      </c>
      <c r="J18" s="70" t="s">
        <v>25</v>
      </c>
      <c r="K18" s="70" t="s">
        <v>32</v>
      </c>
      <c r="L18" s="61" t="s">
        <v>24</v>
      </c>
      <c r="M18" s="57">
        <v>6.0</v>
      </c>
      <c r="N18" s="64">
        <v>105.0</v>
      </c>
    </row>
    <row r="19">
      <c r="A19" s="63"/>
      <c r="B19" s="52" t="s">
        <v>37</v>
      </c>
      <c r="C19" s="65" t="s">
        <v>13</v>
      </c>
      <c r="D19" s="71" t="s">
        <v>27</v>
      </c>
      <c r="E19" s="72" t="s">
        <v>29</v>
      </c>
      <c r="F19" s="72" t="s">
        <v>36</v>
      </c>
      <c r="G19" s="77" t="s">
        <v>26</v>
      </c>
      <c r="H19" s="72" t="s">
        <v>22</v>
      </c>
      <c r="I19" s="72" t="s">
        <v>54</v>
      </c>
      <c r="J19" s="74" t="s">
        <v>25</v>
      </c>
      <c r="K19" s="77" t="s">
        <v>32</v>
      </c>
      <c r="L19" s="56" t="s">
        <v>24</v>
      </c>
      <c r="M19" s="57">
        <v>6.0</v>
      </c>
      <c r="N19" s="64">
        <v>109.0</v>
      </c>
    </row>
    <row r="20">
      <c r="A20" s="63"/>
      <c r="B20" s="52" t="s">
        <v>38</v>
      </c>
      <c r="C20" s="65" t="s">
        <v>39</v>
      </c>
      <c r="D20" s="69" t="s">
        <v>27</v>
      </c>
      <c r="E20" s="70" t="s">
        <v>29</v>
      </c>
      <c r="F20" s="70" t="s">
        <v>36</v>
      </c>
      <c r="G20" s="73" t="s">
        <v>26</v>
      </c>
      <c r="H20" s="70" t="s">
        <v>22</v>
      </c>
      <c r="I20" s="70" t="s">
        <v>54</v>
      </c>
      <c r="J20" s="191" t="s">
        <v>25</v>
      </c>
      <c r="K20" s="73" t="s">
        <v>32</v>
      </c>
      <c r="L20" s="61" t="s">
        <v>24</v>
      </c>
      <c r="M20" s="57">
        <v>6.0</v>
      </c>
      <c r="N20" s="64">
        <v>119.0</v>
      </c>
    </row>
    <row r="21">
      <c r="A21" s="63"/>
      <c r="B21" s="52" t="s">
        <v>40</v>
      </c>
      <c r="C21" s="65" t="s">
        <v>39</v>
      </c>
      <c r="D21" s="54" t="s">
        <v>31</v>
      </c>
      <c r="E21" s="55" t="s">
        <v>55</v>
      </c>
      <c r="F21" s="72" t="s">
        <v>36</v>
      </c>
      <c r="G21" s="55" t="s">
        <v>26</v>
      </c>
      <c r="H21" s="55" t="s">
        <v>22</v>
      </c>
      <c r="I21" s="55" t="s">
        <v>47</v>
      </c>
      <c r="J21" s="55" t="s">
        <v>25</v>
      </c>
      <c r="K21" s="55" t="s">
        <v>28</v>
      </c>
      <c r="L21" s="56" t="s">
        <v>24</v>
      </c>
      <c r="M21" s="57">
        <v>6.0</v>
      </c>
      <c r="N21" s="64">
        <v>84.0</v>
      </c>
    </row>
    <row r="22">
      <c r="A22" s="63"/>
      <c r="B22" s="52" t="s">
        <v>41</v>
      </c>
      <c r="C22" s="53" t="s">
        <v>39</v>
      </c>
      <c r="D22" s="59" t="s">
        <v>27</v>
      </c>
      <c r="E22" s="70" t="s">
        <v>29</v>
      </c>
      <c r="F22" s="70" t="s">
        <v>36</v>
      </c>
      <c r="G22" s="73" t="s">
        <v>26</v>
      </c>
      <c r="H22" s="70" t="s">
        <v>22</v>
      </c>
      <c r="I22" s="70" t="s">
        <v>54</v>
      </c>
      <c r="J22" s="191" t="s">
        <v>25</v>
      </c>
      <c r="K22" s="73" t="s">
        <v>32</v>
      </c>
      <c r="L22" s="61" t="s">
        <v>24</v>
      </c>
      <c r="M22" s="57">
        <v>6.0</v>
      </c>
      <c r="N22" s="64">
        <v>109.0</v>
      </c>
    </row>
    <row r="23">
      <c r="A23" s="63"/>
      <c r="B23" s="52" t="s">
        <v>42</v>
      </c>
      <c r="C23" s="53" t="s">
        <v>39</v>
      </c>
      <c r="D23" s="54" t="s">
        <v>27</v>
      </c>
      <c r="E23" s="55" t="s">
        <v>29</v>
      </c>
      <c r="F23" s="72" t="s">
        <v>36</v>
      </c>
      <c r="G23" s="55" t="s">
        <v>26</v>
      </c>
      <c r="H23" s="55" t="s">
        <v>22</v>
      </c>
      <c r="I23" s="55" t="s">
        <v>54</v>
      </c>
      <c r="J23" s="74" t="s">
        <v>25</v>
      </c>
      <c r="K23" s="55" t="s">
        <v>32</v>
      </c>
      <c r="L23" s="56" t="s">
        <v>24</v>
      </c>
      <c r="M23" s="57">
        <v>6.0</v>
      </c>
      <c r="N23" s="64">
        <v>112.0</v>
      </c>
    </row>
    <row r="24">
      <c r="A24" s="63"/>
      <c r="B24" s="52" t="s">
        <v>43</v>
      </c>
      <c r="C24" s="53" t="s">
        <v>44</v>
      </c>
      <c r="D24" s="59" t="s">
        <v>27</v>
      </c>
      <c r="E24" s="60" t="s">
        <v>29</v>
      </c>
      <c r="F24" s="70" t="s">
        <v>36</v>
      </c>
      <c r="G24" s="75" t="s">
        <v>26</v>
      </c>
      <c r="H24" s="76" t="s">
        <v>22</v>
      </c>
      <c r="I24" s="60" t="s">
        <v>54</v>
      </c>
      <c r="J24" s="75" t="s">
        <v>25</v>
      </c>
      <c r="K24" s="75" t="s">
        <v>32</v>
      </c>
      <c r="L24" s="75" t="s">
        <v>24</v>
      </c>
      <c r="M24" s="57">
        <v>6.0</v>
      </c>
      <c r="N24" s="64">
        <v>98.0</v>
      </c>
    </row>
    <row r="25">
      <c r="A25" s="63"/>
      <c r="B25" s="52" t="s">
        <v>45</v>
      </c>
      <c r="C25" s="53" t="s">
        <v>44</v>
      </c>
      <c r="D25" s="54" t="s">
        <v>27</v>
      </c>
      <c r="E25" s="55" t="s">
        <v>29</v>
      </c>
      <c r="F25" s="72" t="s">
        <v>33</v>
      </c>
      <c r="G25" s="77" t="s">
        <v>26</v>
      </c>
      <c r="H25" s="78" t="s">
        <v>21</v>
      </c>
      <c r="I25" s="55" t="s">
        <v>47</v>
      </c>
      <c r="J25" s="79" t="s">
        <v>25</v>
      </c>
      <c r="K25" s="79" t="s">
        <v>28</v>
      </c>
      <c r="L25" s="79" t="s">
        <v>24</v>
      </c>
      <c r="M25" s="57">
        <v>8.0</v>
      </c>
      <c r="N25" s="64">
        <v>112.0</v>
      </c>
    </row>
    <row r="26">
      <c r="A26" s="63"/>
      <c r="B26" s="52" t="s">
        <v>46</v>
      </c>
      <c r="C26" s="53" t="s">
        <v>18</v>
      </c>
      <c r="D26" s="59" t="s">
        <v>27</v>
      </c>
      <c r="E26" s="76" t="s">
        <v>29</v>
      </c>
      <c r="F26" s="76" t="s">
        <v>36</v>
      </c>
      <c r="G26" s="76" t="s">
        <v>26</v>
      </c>
      <c r="H26" s="76" t="s">
        <v>22</v>
      </c>
      <c r="I26" s="76" t="s">
        <v>47</v>
      </c>
      <c r="J26" s="76" t="s">
        <v>25</v>
      </c>
      <c r="K26" s="76" t="s">
        <v>32</v>
      </c>
      <c r="L26" s="76" t="s">
        <v>23</v>
      </c>
      <c r="M26" s="80">
        <v>6.0</v>
      </c>
      <c r="N26" s="64">
        <v>100.0</v>
      </c>
    </row>
    <row r="27">
      <c r="A27" s="63"/>
      <c r="B27" s="52" t="s">
        <v>48</v>
      </c>
      <c r="C27" s="53" t="s">
        <v>49</v>
      </c>
      <c r="D27" s="54" t="s">
        <v>27</v>
      </c>
      <c r="E27" s="81" t="s">
        <v>29</v>
      </c>
      <c r="F27" s="82" t="s">
        <v>36</v>
      </c>
      <c r="G27" s="82" t="s">
        <v>26</v>
      </c>
      <c r="H27" s="82" t="s">
        <v>22</v>
      </c>
      <c r="I27" s="82" t="s">
        <v>54</v>
      </c>
      <c r="J27" s="82" t="s">
        <v>25</v>
      </c>
      <c r="K27" s="82" t="s">
        <v>32</v>
      </c>
      <c r="L27" s="82" t="s">
        <v>24</v>
      </c>
      <c r="M27" s="57">
        <v>6.0</v>
      </c>
      <c r="N27" s="64">
        <v>106.0</v>
      </c>
    </row>
    <row r="28">
      <c r="A28" s="63"/>
      <c r="B28" s="52" t="s">
        <v>50</v>
      </c>
      <c r="C28" s="53" t="s">
        <v>51</v>
      </c>
      <c r="D28" s="59" t="s">
        <v>27</v>
      </c>
      <c r="E28" s="66" t="s">
        <v>29</v>
      </c>
      <c r="F28" s="67" t="s">
        <v>36</v>
      </c>
      <c r="G28" s="67" t="s">
        <v>26</v>
      </c>
      <c r="H28" s="67" t="s">
        <v>21</v>
      </c>
      <c r="I28" s="67" t="s">
        <v>47</v>
      </c>
      <c r="J28" s="67" t="s">
        <v>25</v>
      </c>
      <c r="K28" s="67" t="s">
        <v>32</v>
      </c>
      <c r="L28" s="67" t="s">
        <v>24</v>
      </c>
      <c r="M28" s="57">
        <v>8.0</v>
      </c>
      <c r="N28" s="64">
        <v>112.0</v>
      </c>
    </row>
    <row r="29">
      <c r="A29" s="63"/>
      <c r="B29" s="52" t="s">
        <v>52</v>
      </c>
      <c r="C29" s="53" t="s">
        <v>13</v>
      </c>
      <c r="D29" s="54" t="s">
        <v>27</v>
      </c>
      <c r="E29" s="55" t="s">
        <v>29</v>
      </c>
      <c r="F29" s="55" t="s">
        <v>36</v>
      </c>
      <c r="G29" s="55" t="s">
        <v>26</v>
      </c>
      <c r="H29" s="55" t="s">
        <v>22</v>
      </c>
      <c r="I29" s="55" t="s">
        <v>54</v>
      </c>
      <c r="J29" s="55" t="s">
        <v>25</v>
      </c>
      <c r="K29" s="55" t="s">
        <v>32</v>
      </c>
      <c r="L29" s="56" t="s">
        <v>24</v>
      </c>
      <c r="M29" s="57">
        <v>6.0</v>
      </c>
      <c r="N29" s="64">
        <v>116.0</v>
      </c>
    </row>
    <row r="30">
      <c r="A30" s="63"/>
      <c r="B30" s="52" t="s">
        <v>56</v>
      </c>
      <c r="C30" s="53" t="s">
        <v>13</v>
      </c>
      <c r="D30" s="59" t="s">
        <v>31</v>
      </c>
      <c r="E30" s="60" t="s">
        <v>29</v>
      </c>
      <c r="F30" s="60" t="s">
        <v>36</v>
      </c>
      <c r="G30" s="60" t="s">
        <v>26</v>
      </c>
      <c r="H30" s="60" t="s">
        <v>22</v>
      </c>
      <c r="I30" s="60" t="s">
        <v>54</v>
      </c>
      <c r="J30" s="60" t="s">
        <v>25</v>
      </c>
      <c r="K30" s="60" t="s">
        <v>32</v>
      </c>
      <c r="L30" s="61" t="s">
        <v>24</v>
      </c>
      <c r="M30" s="57">
        <v>5.0</v>
      </c>
      <c r="N30" s="64">
        <v>101.0</v>
      </c>
    </row>
    <row r="31">
      <c r="A31" s="63"/>
      <c r="B31" s="52" t="s">
        <v>58</v>
      </c>
      <c r="C31" s="53" t="s">
        <v>59</v>
      </c>
      <c r="D31" s="54" t="s">
        <v>31</v>
      </c>
      <c r="E31" s="55" t="s">
        <v>29</v>
      </c>
      <c r="F31" s="72" t="s">
        <v>36</v>
      </c>
      <c r="G31" s="55" t="s">
        <v>53</v>
      </c>
      <c r="H31" s="55" t="s">
        <v>22</v>
      </c>
      <c r="I31" s="55" t="s">
        <v>54</v>
      </c>
      <c r="J31" s="55" t="s">
        <v>34</v>
      </c>
      <c r="K31" s="55" t="s">
        <v>28</v>
      </c>
      <c r="L31" s="56" t="s">
        <v>23</v>
      </c>
      <c r="M31" s="57">
        <v>3.0</v>
      </c>
      <c r="N31" s="64">
        <v>62.0</v>
      </c>
    </row>
    <row r="32">
      <c r="A32" s="63"/>
      <c r="B32" s="52" t="s">
        <v>60</v>
      </c>
      <c r="C32" s="53" t="s">
        <v>39</v>
      </c>
      <c r="D32" s="192" t="s">
        <v>27</v>
      </c>
      <c r="E32" s="60" t="s">
        <v>29</v>
      </c>
      <c r="F32" s="70" t="s">
        <v>36</v>
      </c>
      <c r="G32" s="60" t="s">
        <v>26</v>
      </c>
      <c r="H32" s="60" t="s">
        <v>21</v>
      </c>
      <c r="I32" s="60" t="s">
        <v>54</v>
      </c>
      <c r="J32" s="60" t="s">
        <v>25</v>
      </c>
      <c r="K32" s="60" t="s">
        <v>32</v>
      </c>
      <c r="L32" s="61" t="s">
        <v>24</v>
      </c>
      <c r="M32" s="57">
        <v>7.0</v>
      </c>
      <c r="N32" s="64">
        <v>114.0</v>
      </c>
    </row>
    <row r="33">
      <c r="A33" s="39"/>
      <c r="B33" s="52" t="s">
        <v>61</v>
      </c>
      <c r="C33" s="53" t="s">
        <v>39</v>
      </c>
      <c r="D33" s="193" t="s">
        <v>27</v>
      </c>
      <c r="E33" s="84" t="s">
        <v>29</v>
      </c>
      <c r="F33" s="84" t="s">
        <v>36</v>
      </c>
      <c r="G33" s="84" t="s">
        <v>26</v>
      </c>
      <c r="H33" s="84" t="s">
        <v>22</v>
      </c>
      <c r="I33" s="84" t="s">
        <v>54</v>
      </c>
      <c r="J33" s="84" t="s">
        <v>25</v>
      </c>
      <c r="K33" s="84" t="s">
        <v>32</v>
      </c>
      <c r="L33" s="85" t="s">
        <v>24</v>
      </c>
      <c r="M33" s="86">
        <v>6.0</v>
      </c>
      <c r="N33" s="64">
        <v>115.0</v>
      </c>
    </row>
    <row r="34">
      <c r="A34" s="39"/>
      <c r="B34" s="87" t="s">
        <v>62</v>
      </c>
      <c r="C34" s="88" t="s">
        <v>63</v>
      </c>
      <c r="D34" s="89" t="s">
        <v>27</v>
      </c>
      <c r="E34" s="89" t="s">
        <v>29</v>
      </c>
      <c r="F34" s="89" t="s">
        <v>36</v>
      </c>
      <c r="G34" s="89" t="s">
        <v>26</v>
      </c>
      <c r="H34" s="89" t="s">
        <v>22</v>
      </c>
      <c r="I34" s="89" t="s">
        <v>54</v>
      </c>
      <c r="J34" s="89" t="s">
        <v>25</v>
      </c>
      <c r="K34" s="89" t="s">
        <v>32</v>
      </c>
      <c r="L34" s="89" t="s">
        <v>24</v>
      </c>
      <c r="M34" s="90">
        <v>6.0</v>
      </c>
      <c r="N34" s="91">
        <v>112.0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45854.0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18.0</v>
      </c>
      <c r="B2" s="7" t="s">
        <v>137</v>
      </c>
      <c r="C2" s="8"/>
      <c r="D2" s="9" t="s">
        <v>138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45848.8125</v>
      </c>
      <c r="E3" s="15">
        <v>45849.819444444445</v>
      </c>
      <c r="F3" s="15">
        <v>45850.555555555555</v>
      </c>
      <c r="G3" s="15">
        <v>45850.677083333336</v>
      </c>
      <c r="H3" s="15">
        <v>45850.81597222222</v>
      </c>
      <c r="I3" s="15">
        <v>45850.84027777778</v>
      </c>
      <c r="J3" s="15">
        <v>45851.54861111111</v>
      </c>
      <c r="K3" s="15">
        <v>45851.63888888889</v>
      </c>
      <c r="L3" s="15">
        <v>45851.694444444445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45848.8125</v>
      </c>
      <c r="E5" s="25">
        <v>45849.819444444445</v>
      </c>
      <c r="F5" s="25">
        <v>45850.555555555555</v>
      </c>
      <c r="G5" s="25">
        <v>45850.677083333336</v>
      </c>
      <c r="H5" s="25">
        <v>45850.81597222222</v>
      </c>
      <c r="I5" s="25">
        <v>45850.756944444445</v>
      </c>
      <c r="J5" s="25">
        <v>45851.54861111111</v>
      </c>
      <c r="K5" s="25">
        <v>45851.63888888889</v>
      </c>
      <c r="L5" s="25">
        <v>45851.67361111111</v>
      </c>
      <c r="M5" s="26"/>
      <c r="N5" s="27"/>
    </row>
    <row r="6">
      <c r="A6" s="6">
        <v>7.0</v>
      </c>
      <c r="B6" s="28" t="s">
        <v>4</v>
      </c>
      <c r="C6" s="29"/>
      <c r="D6" s="30" t="s">
        <v>21</v>
      </c>
      <c r="E6" s="30" t="s">
        <v>23</v>
      </c>
      <c r="F6" s="30" t="s">
        <v>55</v>
      </c>
      <c r="G6" s="30" t="s">
        <v>27</v>
      </c>
      <c r="H6" s="30" t="s">
        <v>47</v>
      </c>
      <c r="I6" s="30" t="s">
        <v>28</v>
      </c>
      <c r="J6" s="30" t="s">
        <v>22</v>
      </c>
      <c r="K6" s="30" t="s">
        <v>34</v>
      </c>
      <c r="L6" s="30" t="s">
        <v>33</v>
      </c>
      <c r="M6" s="21"/>
      <c r="N6" s="22"/>
    </row>
    <row r="7">
      <c r="A7" s="6">
        <v>8.0</v>
      </c>
      <c r="B7" s="31" t="s">
        <v>5</v>
      </c>
      <c r="C7" s="24"/>
      <c r="D7" s="32" t="s">
        <v>29</v>
      </c>
      <c r="E7" s="32" t="s">
        <v>32</v>
      </c>
      <c r="F7" s="32" t="s">
        <v>24</v>
      </c>
      <c r="G7" s="32" t="s">
        <v>25</v>
      </c>
      <c r="H7" s="32" t="s">
        <v>31</v>
      </c>
      <c r="I7" s="32" t="s">
        <v>36</v>
      </c>
      <c r="J7" s="32" t="s">
        <v>53</v>
      </c>
      <c r="K7" s="32" t="s">
        <v>26</v>
      </c>
      <c r="L7" s="32" t="s">
        <v>54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116</v>
      </c>
      <c r="F8" s="36" t="s">
        <v>114</v>
      </c>
      <c r="G8" s="36" t="s">
        <v>133</v>
      </c>
      <c r="H8" s="36" t="s">
        <v>117</v>
      </c>
      <c r="I8" s="36" t="s">
        <v>115</v>
      </c>
      <c r="J8" s="36" t="s">
        <v>117</v>
      </c>
      <c r="K8" s="36" t="s">
        <v>114</v>
      </c>
      <c r="L8" s="36" t="s">
        <v>118</v>
      </c>
      <c r="M8" s="37"/>
      <c r="N8" s="38"/>
    </row>
    <row r="9">
      <c r="A9" s="39"/>
      <c r="B9" s="40" t="s">
        <v>7</v>
      </c>
      <c r="C9" s="41"/>
      <c r="D9" s="42" t="s">
        <v>29</v>
      </c>
      <c r="E9" s="42" t="s">
        <v>23</v>
      </c>
      <c r="F9" s="42" t="s">
        <v>24</v>
      </c>
      <c r="G9" s="42" t="s">
        <v>27</v>
      </c>
      <c r="H9" s="42" t="s">
        <v>47</v>
      </c>
      <c r="I9" s="194" t="s">
        <v>28</v>
      </c>
      <c r="J9" s="42" t="s">
        <v>22</v>
      </c>
      <c r="K9" s="42" t="s">
        <v>26</v>
      </c>
      <c r="L9" s="42" t="s">
        <v>33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29</v>
      </c>
      <c r="E10" s="47" t="s">
        <v>32</v>
      </c>
      <c r="F10" s="48" t="s">
        <v>24</v>
      </c>
      <c r="G10" s="48" t="s">
        <v>25</v>
      </c>
      <c r="H10" s="48" t="s">
        <v>31</v>
      </c>
      <c r="I10" s="48" t="s">
        <v>36</v>
      </c>
      <c r="J10" s="48" t="s">
        <v>22</v>
      </c>
      <c r="K10" s="48" t="s">
        <v>26</v>
      </c>
      <c r="L10" s="49" t="s">
        <v>33</v>
      </c>
      <c r="M10" s="50">
        <v>5.0</v>
      </c>
      <c r="N10" s="51">
        <v>104.0</v>
      </c>
    </row>
    <row r="11">
      <c r="A11" s="39"/>
      <c r="B11" s="52" t="s">
        <v>12</v>
      </c>
      <c r="C11" s="53" t="s">
        <v>13</v>
      </c>
      <c r="D11" s="54" t="s">
        <v>29</v>
      </c>
      <c r="E11" s="55" t="s">
        <v>32</v>
      </c>
      <c r="F11" s="55" t="s">
        <v>24</v>
      </c>
      <c r="G11" s="55" t="s">
        <v>27</v>
      </c>
      <c r="H11" s="55" t="s">
        <v>31</v>
      </c>
      <c r="I11" s="55" t="s">
        <v>28</v>
      </c>
      <c r="J11" s="55" t="s">
        <v>22</v>
      </c>
      <c r="K11" s="55" t="s">
        <v>26</v>
      </c>
      <c r="L11" s="56" t="s">
        <v>33</v>
      </c>
      <c r="M11" s="57">
        <v>7.0</v>
      </c>
      <c r="N11" s="58">
        <v>93.0</v>
      </c>
    </row>
    <row r="12">
      <c r="A12" s="39"/>
      <c r="B12" s="52" t="s">
        <v>14</v>
      </c>
      <c r="C12" s="53" t="s">
        <v>15</v>
      </c>
      <c r="D12" s="59" t="s">
        <v>29</v>
      </c>
      <c r="E12" s="60" t="s">
        <v>23</v>
      </c>
      <c r="F12" s="60" t="s">
        <v>55</v>
      </c>
      <c r="G12" s="60" t="s">
        <v>25</v>
      </c>
      <c r="H12" s="60" t="s">
        <v>31</v>
      </c>
      <c r="I12" s="60" t="s">
        <v>36</v>
      </c>
      <c r="J12" s="60" t="s">
        <v>22</v>
      </c>
      <c r="K12" s="60" t="s">
        <v>26</v>
      </c>
      <c r="L12" s="61" t="s">
        <v>33</v>
      </c>
      <c r="M12" s="57">
        <v>5.0</v>
      </c>
      <c r="N12" s="62">
        <v>103.0</v>
      </c>
    </row>
    <row r="13">
      <c r="A13" s="63"/>
      <c r="B13" s="52" t="s">
        <v>16</v>
      </c>
      <c r="C13" s="53" t="s">
        <v>11</v>
      </c>
      <c r="D13" s="54" t="s">
        <v>21</v>
      </c>
      <c r="E13" s="55" t="s">
        <v>23</v>
      </c>
      <c r="F13" s="55" t="s">
        <v>55</v>
      </c>
      <c r="G13" s="55" t="s">
        <v>27</v>
      </c>
      <c r="H13" s="55" t="s">
        <v>47</v>
      </c>
      <c r="I13" s="55" t="s">
        <v>36</v>
      </c>
      <c r="J13" s="55" t="s">
        <v>22</v>
      </c>
      <c r="K13" s="55" t="s">
        <v>26</v>
      </c>
      <c r="L13" s="56" t="s">
        <v>33</v>
      </c>
      <c r="M13" s="57">
        <v>6.0</v>
      </c>
      <c r="N13" s="181">
        <v>90.0</v>
      </c>
    </row>
    <row r="14">
      <c r="A14" s="63"/>
      <c r="B14" s="52" t="s">
        <v>17</v>
      </c>
      <c r="C14" s="53" t="s">
        <v>18</v>
      </c>
      <c r="D14" s="59" t="s">
        <v>29</v>
      </c>
      <c r="E14" s="60" t="s">
        <v>23</v>
      </c>
      <c r="F14" s="60" t="s">
        <v>55</v>
      </c>
      <c r="G14" s="60" t="s">
        <v>25</v>
      </c>
      <c r="H14" s="60" t="s">
        <v>47</v>
      </c>
      <c r="I14" s="60" t="s">
        <v>28</v>
      </c>
      <c r="J14" s="60" t="s">
        <v>22</v>
      </c>
      <c r="K14" s="60" t="s">
        <v>34</v>
      </c>
      <c r="L14" s="61" t="s">
        <v>33</v>
      </c>
      <c r="M14" s="57">
        <v>6.0</v>
      </c>
      <c r="N14" s="181">
        <v>91.0</v>
      </c>
    </row>
    <row r="15">
      <c r="A15" s="63"/>
      <c r="B15" s="52" t="s">
        <v>19</v>
      </c>
      <c r="C15" s="53"/>
      <c r="D15" s="54" t="s">
        <v>29</v>
      </c>
      <c r="E15" s="55" t="s">
        <v>32</v>
      </c>
      <c r="F15" s="55" t="s">
        <v>55</v>
      </c>
      <c r="G15" s="55" t="s">
        <v>25</v>
      </c>
      <c r="H15" s="55" t="s">
        <v>31</v>
      </c>
      <c r="I15" s="55" t="s">
        <v>36</v>
      </c>
      <c r="J15" s="55" t="s">
        <v>22</v>
      </c>
      <c r="K15" s="55" t="s">
        <v>26</v>
      </c>
      <c r="L15" s="56" t="s">
        <v>33</v>
      </c>
      <c r="M15" s="57">
        <v>4.0</v>
      </c>
      <c r="N15" s="181">
        <v>74.0</v>
      </c>
    </row>
    <row r="16">
      <c r="A16" s="63"/>
      <c r="B16" s="52" t="s">
        <v>20</v>
      </c>
      <c r="C16" s="65" t="s">
        <v>15</v>
      </c>
      <c r="D16" s="66" t="s">
        <v>29</v>
      </c>
      <c r="E16" s="66" t="s">
        <v>32</v>
      </c>
      <c r="F16" s="67" t="s">
        <v>24</v>
      </c>
      <c r="G16" s="67" t="s">
        <v>25</v>
      </c>
      <c r="H16" s="67" t="s">
        <v>31</v>
      </c>
      <c r="I16" s="67" t="s">
        <v>28</v>
      </c>
      <c r="J16" s="67" t="s">
        <v>22</v>
      </c>
      <c r="K16" s="67" t="s">
        <v>26</v>
      </c>
      <c r="L16" s="67" t="s">
        <v>33</v>
      </c>
      <c r="M16" s="57">
        <v>6.0</v>
      </c>
      <c r="N16" s="181">
        <v>104.0</v>
      </c>
    </row>
    <row r="17">
      <c r="A17" s="63"/>
      <c r="B17" s="52" t="s">
        <v>30</v>
      </c>
      <c r="C17" s="53" t="s">
        <v>13</v>
      </c>
      <c r="D17" s="183" t="s">
        <v>29</v>
      </c>
      <c r="E17" s="55" t="s">
        <v>23</v>
      </c>
      <c r="F17" s="55" t="s">
        <v>55</v>
      </c>
      <c r="G17" s="55" t="s">
        <v>27</v>
      </c>
      <c r="H17" s="55" t="s">
        <v>31</v>
      </c>
      <c r="I17" s="55" t="s">
        <v>28</v>
      </c>
      <c r="J17" s="184" t="s">
        <v>22</v>
      </c>
      <c r="K17" s="184" t="s">
        <v>26</v>
      </c>
      <c r="L17" s="185" t="s">
        <v>33</v>
      </c>
      <c r="M17" s="57">
        <v>7.0</v>
      </c>
      <c r="N17" s="181">
        <v>103.0</v>
      </c>
    </row>
    <row r="18">
      <c r="A18" s="63"/>
      <c r="B18" s="52" t="s">
        <v>35</v>
      </c>
      <c r="C18" s="53" t="s">
        <v>13</v>
      </c>
      <c r="D18" s="186" t="s">
        <v>29</v>
      </c>
      <c r="E18" s="70" t="s">
        <v>23</v>
      </c>
      <c r="F18" s="70" t="s">
        <v>55</v>
      </c>
      <c r="G18" s="70" t="s">
        <v>27</v>
      </c>
      <c r="H18" s="70" t="s">
        <v>31</v>
      </c>
      <c r="I18" s="70" t="s">
        <v>28</v>
      </c>
      <c r="J18" s="187" t="s">
        <v>22</v>
      </c>
      <c r="K18" s="187" t="s">
        <v>26</v>
      </c>
      <c r="L18" s="188" t="s">
        <v>33</v>
      </c>
      <c r="M18" s="57">
        <v>7.0</v>
      </c>
      <c r="N18" s="181">
        <v>106.0</v>
      </c>
    </row>
    <row r="19">
      <c r="A19" s="63"/>
      <c r="B19" s="52" t="s">
        <v>37</v>
      </c>
      <c r="C19" s="65" t="s">
        <v>13</v>
      </c>
      <c r="D19" s="195" t="s">
        <v>29</v>
      </c>
      <c r="E19" s="72" t="s">
        <v>23</v>
      </c>
      <c r="F19" s="72" t="s">
        <v>55</v>
      </c>
      <c r="G19" s="77" t="s">
        <v>25</v>
      </c>
      <c r="H19" s="72" t="s">
        <v>31</v>
      </c>
      <c r="I19" s="72" t="s">
        <v>28</v>
      </c>
      <c r="J19" s="196" t="s">
        <v>22</v>
      </c>
      <c r="K19" s="197" t="s">
        <v>26</v>
      </c>
      <c r="L19" s="185" t="s">
        <v>33</v>
      </c>
      <c r="M19" s="57">
        <v>6.0</v>
      </c>
      <c r="N19" s="181">
        <v>109.0</v>
      </c>
    </row>
    <row r="20">
      <c r="A20" s="63"/>
      <c r="B20" s="52" t="s">
        <v>38</v>
      </c>
      <c r="C20" s="65" t="s">
        <v>39</v>
      </c>
      <c r="D20" s="186" t="s">
        <v>29</v>
      </c>
      <c r="E20" s="70" t="s">
        <v>23</v>
      </c>
      <c r="F20" s="70" t="s">
        <v>55</v>
      </c>
      <c r="G20" s="73" t="s">
        <v>25</v>
      </c>
      <c r="H20" s="70" t="s">
        <v>31</v>
      </c>
      <c r="I20" s="70" t="s">
        <v>28</v>
      </c>
      <c r="J20" s="198" t="s">
        <v>22</v>
      </c>
      <c r="K20" s="199" t="s">
        <v>26</v>
      </c>
      <c r="L20" s="188" t="s">
        <v>33</v>
      </c>
      <c r="M20" s="57">
        <v>6.0</v>
      </c>
      <c r="N20" s="181">
        <v>119.0</v>
      </c>
    </row>
    <row r="21">
      <c r="A21" s="63"/>
      <c r="B21" s="52" t="s">
        <v>40</v>
      </c>
      <c r="C21" s="65" t="s">
        <v>39</v>
      </c>
      <c r="D21" s="54" t="s">
        <v>21</v>
      </c>
      <c r="E21" s="55" t="s">
        <v>23</v>
      </c>
      <c r="F21" s="72" t="s">
        <v>55</v>
      </c>
      <c r="G21" s="55" t="s">
        <v>27</v>
      </c>
      <c r="H21" s="55" t="s">
        <v>31</v>
      </c>
      <c r="I21" s="55" t="s">
        <v>36</v>
      </c>
      <c r="J21" s="55" t="s">
        <v>53</v>
      </c>
      <c r="K21" s="55" t="s">
        <v>34</v>
      </c>
      <c r="L21" s="56" t="s">
        <v>33</v>
      </c>
      <c r="M21" s="57">
        <v>3.0</v>
      </c>
      <c r="N21" s="181">
        <v>81.0</v>
      </c>
    </row>
    <row r="22">
      <c r="A22" s="63"/>
      <c r="B22" s="52" t="s">
        <v>41</v>
      </c>
      <c r="C22" s="53" t="s">
        <v>39</v>
      </c>
      <c r="D22" s="186" t="s">
        <v>29</v>
      </c>
      <c r="E22" s="70" t="s">
        <v>32</v>
      </c>
      <c r="F22" s="70" t="s">
        <v>24</v>
      </c>
      <c r="G22" s="73" t="s">
        <v>25</v>
      </c>
      <c r="H22" s="70" t="s">
        <v>31</v>
      </c>
      <c r="I22" s="70" t="s">
        <v>36</v>
      </c>
      <c r="J22" s="198" t="s">
        <v>22</v>
      </c>
      <c r="K22" s="199" t="s">
        <v>26</v>
      </c>
      <c r="L22" s="188" t="s">
        <v>33</v>
      </c>
      <c r="M22" s="57">
        <v>5.0</v>
      </c>
      <c r="N22" s="181">
        <v>108.0</v>
      </c>
    </row>
    <row r="23">
      <c r="A23" s="63"/>
      <c r="B23" s="52" t="s">
        <v>42</v>
      </c>
      <c r="C23" s="53" t="s">
        <v>39</v>
      </c>
      <c r="D23" s="54" t="s">
        <v>29</v>
      </c>
      <c r="E23" s="55" t="s">
        <v>32</v>
      </c>
      <c r="F23" s="72" t="s">
        <v>55</v>
      </c>
      <c r="G23" s="55" t="s">
        <v>25</v>
      </c>
      <c r="H23" s="55" t="s">
        <v>31</v>
      </c>
      <c r="I23" s="55" t="s">
        <v>36</v>
      </c>
      <c r="J23" s="74" t="s">
        <v>22</v>
      </c>
      <c r="K23" s="55" t="s">
        <v>26</v>
      </c>
      <c r="L23" s="56" t="s">
        <v>33</v>
      </c>
      <c r="M23" s="57">
        <v>4.0</v>
      </c>
      <c r="N23" s="181">
        <v>110.0</v>
      </c>
    </row>
    <row r="24">
      <c r="A24" s="63"/>
      <c r="B24" s="52" t="s">
        <v>43</v>
      </c>
      <c r="C24" s="53" t="s">
        <v>44</v>
      </c>
      <c r="D24" s="75" t="s">
        <v>29</v>
      </c>
      <c r="E24" s="60" t="s">
        <v>23</v>
      </c>
      <c r="F24" s="70" t="s">
        <v>24</v>
      </c>
      <c r="G24" s="30" t="s">
        <v>27</v>
      </c>
      <c r="H24" s="76" t="s">
        <v>31</v>
      </c>
      <c r="I24" s="60" t="s">
        <v>28</v>
      </c>
      <c r="J24" s="30" t="s">
        <v>22</v>
      </c>
      <c r="K24" s="30" t="s">
        <v>26</v>
      </c>
      <c r="L24" s="30" t="s">
        <v>33</v>
      </c>
      <c r="M24" s="57">
        <v>8.0</v>
      </c>
      <c r="N24" s="181">
        <v>100.0</v>
      </c>
    </row>
    <row r="25">
      <c r="A25" s="63"/>
      <c r="B25" s="52" t="s">
        <v>45</v>
      </c>
      <c r="C25" s="53" t="s">
        <v>44</v>
      </c>
      <c r="D25" s="79" t="s">
        <v>29</v>
      </c>
      <c r="E25" s="55" t="s">
        <v>32</v>
      </c>
      <c r="F25" s="72" t="s">
        <v>24</v>
      </c>
      <c r="G25" s="77" t="s">
        <v>25</v>
      </c>
      <c r="H25" s="78" t="s">
        <v>31</v>
      </c>
      <c r="I25" s="55" t="s">
        <v>28</v>
      </c>
      <c r="J25" s="32" t="s">
        <v>22</v>
      </c>
      <c r="K25" s="32" t="s">
        <v>26</v>
      </c>
      <c r="L25" s="32" t="s">
        <v>33</v>
      </c>
      <c r="M25" s="57">
        <v>6.0</v>
      </c>
      <c r="N25" s="181">
        <v>110.0</v>
      </c>
    </row>
    <row r="26">
      <c r="A26" s="63"/>
      <c r="B26" s="52" t="s">
        <v>46</v>
      </c>
      <c r="C26" s="53" t="s">
        <v>18</v>
      </c>
      <c r="D26" s="200" t="s">
        <v>29</v>
      </c>
      <c r="E26" s="76" t="s">
        <v>32</v>
      </c>
      <c r="F26" s="76" t="s">
        <v>55</v>
      </c>
      <c r="G26" s="76" t="s">
        <v>25</v>
      </c>
      <c r="H26" s="76" t="s">
        <v>47</v>
      </c>
      <c r="I26" s="76" t="s">
        <v>36</v>
      </c>
      <c r="J26" s="76" t="s">
        <v>22</v>
      </c>
      <c r="K26" s="76" t="s">
        <v>26</v>
      </c>
      <c r="L26" s="76" t="s">
        <v>33</v>
      </c>
      <c r="M26" s="80">
        <v>5.0</v>
      </c>
      <c r="N26" s="181">
        <v>99.0</v>
      </c>
    </row>
    <row r="27">
      <c r="A27" s="63"/>
      <c r="B27" s="52" t="s">
        <v>48</v>
      </c>
      <c r="C27" s="53" t="s">
        <v>49</v>
      </c>
      <c r="D27" s="201" t="s">
        <v>29</v>
      </c>
      <c r="E27" s="81" t="s">
        <v>23</v>
      </c>
      <c r="F27" s="82" t="s">
        <v>55</v>
      </c>
      <c r="G27" s="82" t="s">
        <v>27</v>
      </c>
      <c r="H27" s="82" t="s">
        <v>31</v>
      </c>
      <c r="I27" s="82" t="s">
        <v>28</v>
      </c>
      <c r="J27" s="82" t="s">
        <v>22</v>
      </c>
      <c r="K27" s="82" t="s">
        <v>26</v>
      </c>
      <c r="L27" s="82" t="s">
        <v>33</v>
      </c>
      <c r="M27" s="57">
        <v>7.0</v>
      </c>
      <c r="N27" s="181">
        <v>107.0</v>
      </c>
    </row>
    <row r="28">
      <c r="A28" s="63"/>
      <c r="B28" s="52" t="s">
        <v>50</v>
      </c>
      <c r="C28" s="53" t="s">
        <v>51</v>
      </c>
      <c r="D28" s="202" t="s">
        <v>29</v>
      </c>
      <c r="E28" s="66" t="s">
        <v>32</v>
      </c>
      <c r="F28" s="67" t="s">
        <v>24</v>
      </c>
      <c r="G28" s="67" t="s">
        <v>25</v>
      </c>
      <c r="H28" s="67" t="s">
        <v>31</v>
      </c>
      <c r="I28" s="67" t="s">
        <v>28</v>
      </c>
      <c r="J28" s="67" t="s">
        <v>22</v>
      </c>
      <c r="K28" s="67" t="s">
        <v>26</v>
      </c>
      <c r="L28" s="67" t="s">
        <v>33</v>
      </c>
      <c r="M28" s="57">
        <v>6.0</v>
      </c>
      <c r="N28" s="181">
        <v>110.0</v>
      </c>
    </row>
    <row r="29">
      <c r="A29" s="63"/>
      <c r="B29" s="52" t="s">
        <v>52</v>
      </c>
      <c r="C29" s="53" t="s">
        <v>13</v>
      </c>
      <c r="D29" s="68" t="s">
        <v>29</v>
      </c>
      <c r="E29" s="55" t="s">
        <v>23</v>
      </c>
      <c r="F29" s="55" t="s">
        <v>24</v>
      </c>
      <c r="G29" s="55" t="s">
        <v>25</v>
      </c>
      <c r="H29" s="55" t="s">
        <v>31</v>
      </c>
      <c r="I29" s="55" t="s">
        <v>36</v>
      </c>
      <c r="J29" s="55" t="s">
        <v>22</v>
      </c>
      <c r="K29" s="55" t="s">
        <v>26</v>
      </c>
      <c r="L29" s="56" t="s">
        <v>33</v>
      </c>
      <c r="M29" s="57">
        <v>6.0</v>
      </c>
      <c r="N29" s="181">
        <v>116.0</v>
      </c>
    </row>
    <row r="30">
      <c r="A30" s="63"/>
      <c r="B30" s="52" t="s">
        <v>56</v>
      </c>
      <c r="C30" s="53" t="s">
        <v>13</v>
      </c>
      <c r="D30" s="203" t="s">
        <v>29</v>
      </c>
      <c r="E30" s="60" t="s">
        <v>32</v>
      </c>
      <c r="F30" s="60" t="s">
        <v>24</v>
      </c>
      <c r="G30" s="60" t="s">
        <v>25</v>
      </c>
      <c r="H30" s="60" t="s">
        <v>31</v>
      </c>
      <c r="I30" s="60" t="s">
        <v>36</v>
      </c>
      <c r="J30" s="60" t="s">
        <v>22</v>
      </c>
      <c r="K30" s="60" t="s">
        <v>26</v>
      </c>
      <c r="L30" s="61" t="s">
        <v>33</v>
      </c>
      <c r="M30" s="57">
        <v>5.0</v>
      </c>
      <c r="N30" s="181">
        <v>101.0</v>
      </c>
    </row>
    <row r="31">
      <c r="A31" s="63"/>
      <c r="B31" s="52" t="s">
        <v>58</v>
      </c>
      <c r="C31" s="53" t="s">
        <v>59</v>
      </c>
      <c r="D31" s="54" t="s">
        <v>21</v>
      </c>
      <c r="E31" s="55" t="s">
        <v>23</v>
      </c>
      <c r="F31" s="72" t="s">
        <v>55</v>
      </c>
      <c r="G31" s="55" t="s">
        <v>25</v>
      </c>
      <c r="H31" s="55" t="s">
        <v>31</v>
      </c>
      <c r="I31" s="55" t="s">
        <v>36</v>
      </c>
      <c r="J31" s="55" t="s">
        <v>53</v>
      </c>
      <c r="K31" s="55" t="s">
        <v>26</v>
      </c>
      <c r="L31" s="56" t="s">
        <v>54</v>
      </c>
      <c r="M31" s="57">
        <v>2.0</v>
      </c>
      <c r="N31" s="181">
        <v>61.0</v>
      </c>
    </row>
    <row r="32">
      <c r="A32" s="63"/>
      <c r="B32" s="52" t="s">
        <v>60</v>
      </c>
      <c r="C32" s="53" t="s">
        <v>39</v>
      </c>
      <c r="D32" s="59" t="s">
        <v>29</v>
      </c>
      <c r="E32" s="60" t="s">
        <v>32</v>
      </c>
      <c r="F32" s="70" t="s">
        <v>55</v>
      </c>
      <c r="G32" s="60" t="s">
        <v>25</v>
      </c>
      <c r="H32" s="60" t="s">
        <v>31</v>
      </c>
      <c r="I32" s="60" t="s">
        <v>28</v>
      </c>
      <c r="J32" s="60" t="s">
        <v>22</v>
      </c>
      <c r="K32" s="60" t="s">
        <v>26</v>
      </c>
      <c r="L32" s="61" t="s">
        <v>33</v>
      </c>
      <c r="M32" s="57">
        <v>5.0</v>
      </c>
      <c r="N32" s="181">
        <v>112.0</v>
      </c>
    </row>
    <row r="33">
      <c r="A33" s="39"/>
      <c r="B33" s="52" t="s">
        <v>61</v>
      </c>
      <c r="C33" s="53" t="s">
        <v>39</v>
      </c>
      <c r="D33" s="83" t="s">
        <v>29</v>
      </c>
      <c r="E33" s="84" t="s">
        <v>32</v>
      </c>
      <c r="F33" s="84" t="s">
        <v>24</v>
      </c>
      <c r="G33" s="84" t="s">
        <v>25</v>
      </c>
      <c r="H33" s="84" t="s">
        <v>31</v>
      </c>
      <c r="I33" s="84" t="s">
        <v>36</v>
      </c>
      <c r="J33" s="84" t="s">
        <v>22</v>
      </c>
      <c r="K33" s="84" t="s">
        <v>26</v>
      </c>
      <c r="L33" s="85" t="s">
        <v>33</v>
      </c>
      <c r="M33" s="86">
        <v>5.0</v>
      </c>
      <c r="N33" s="181">
        <v>114.0</v>
      </c>
    </row>
    <row r="34">
      <c r="A34" s="39"/>
      <c r="B34" s="87" t="s">
        <v>62</v>
      </c>
      <c r="C34" s="88" t="s">
        <v>63</v>
      </c>
      <c r="D34" s="89" t="s">
        <v>29</v>
      </c>
      <c r="E34" s="89" t="s">
        <v>139</v>
      </c>
      <c r="F34" s="89" t="s">
        <v>55</v>
      </c>
      <c r="G34" s="89" t="s">
        <v>25</v>
      </c>
      <c r="H34" s="89" t="s">
        <v>31</v>
      </c>
      <c r="I34" s="89" t="s">
        <v>139</v>
      </c>
      <c r="J34" s="89" t="s">
        <v>22</v>
      </c>
      <c r="K34" s="89" t="s">
        <v>26</v>
      </c>
      <c r="L34" s="89" t="s">
        <v>33</v>
      </c>
      <c r="M34" s="90">
        <v>4.0</v>
      </c>
      <c r="N34" s="182">
        <v>110.0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D34 E10:F34 G10:G34 H10:H34 I10:I34 J10:J34 K10:K34 L10:L34">
    <cfRule type="containsBlanks" dxfId="0" priority="1">
      <formula>LEN(TRIM(D10))=0</formula>
    </cfRule>
  </conditionalFormatting>
  <conditionalFormatting sqref="D10:D34 E10:F34 G10:G34 H10:H34 I10:I34 J10:J34 K10:K34 L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conditionalFormatting sqref="D25">
    <cfRule type="notContainsBlanks" dxfId="1" priority="7">
      <formula>LEN(TRIM(D25))&gt;0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45847.0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17.0</v>
      </c>
      <c r="B2" s="7" t="s">
        <v>140</v>
      </c>
      <c r="C2" s="8"/>
      <c r="D2" s="9" t="s">
        <v>141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45841.8125</v>
      </c>
      <c r="E3" s="15">
        <v>45842.805555555555</v>
      </c>
      <c r="F3" s="15">
        <v>45842.84722222222</v>
      </c>
      <c r="G3" s="15">
        <v>45843.524305555555</v>
      </c>
      <c r="H3" s="15">
        <v>45843.677083333336</v>
      </c>
      <c r="I3" s="15">
        <v>45843.81597222222</v>
      </c>
      <c r="J3" s="15">
        <v>45843.819444444445</v>
      </c>
      <c r="K3" s="15">
        <v>45844.54861111111</v>
      </c>
      <c r="L3" s="15">
        <v>45844.63888888889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111</v>
      </c>
      <c r="G4" s="20" t="s">
        <v>112</v>
      </c>
      <c r="H4" s="20" t="s">
        <v>112</v>
      </c>
      <c r="I4" s="20" t="s">
        <v>112</v>
      </c>
      <c r="J4" s="20" t="s">
        <v>112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45841.8125</v>
      </c>
      <c r="E5" s="25">
        <v>45842.805555555555</v>
      </c>
      <c r="F5" s="25">
        <v>45842.76388888889</v>
      </c>
      <c r="G5" s="25">
        <v>45843.524305555555</v>
      </c>
      <c r="H5" s="25">
        <v>45843.677083333336</v>
      </c>
      <c r="I5" s="25">
        <v>45843.81597222222</v>
      </c>
      <c r="J5" s="25">
        <v>45843.819444444445</v>
      </c>
      <c r="K5" s="25">
        <v>45844.54861111111</v>
      </c>
      <c r="L5" s="25">
        <v>45844.618055555555</v>
      </c>
      <c r="M5" s="26"/>
      <c r="N5" s="27"/>
    </row>
    <row r="6">
      <c r="A6" s="6">
        <v>7.0</v>
      </c>
      <c r="B6" s="28" t="s">
        <v>4</v>
      </c>
      <c r="C6" s="29"/>
      <c r="D6" s="30" t="s">
        <v>53</v>
      </c>
      <c r="E6" s="30" t="s">
        <v>21</v>
      </c>
      <c r="F6" s="30" t="s">
        <v>54</v>
      </c>
      <c r="G6" s="30" t="s">
        <v>31</v>
      </c>
      <c r="H6" s="30" t="s">
        <v>25</v>
      </c>
      <c r="I6" s="30" t="s">
        <v>29</v>
      </c>
      <c r="J6" s="30" t="s">
        <v>34</v>
      </c>
      <c r="K6" s="30" t="s">
        <v>26</v>
      </c>
      <c r="L6" s="30" t="s">
        <v>24</v>
      </c>
      <c r="M6" s="21"/>
      <c r="N6" s="22"/>
    </row>
    <row r="7">
      <c r="A7" s="6">
        <v>8.0</v>
      </c>
      <c r="B7" s="31" t="s">
        <v>5</v>
      </c>
      <c r="C7" s="24"/>
      <c r="D7" s="32" t="s">
        <v>55</v>
      </c>
      <c r="E7" s="32" t="s">
        <v>32</v>
      </c>
      <c r="F7" s="32" t="s">
        <v>27</v>
      </c>
      <c r="G7" s="32" t="s">
        <v>23</v>
      </c>
      <c r="H7" s="32" t="s">
        <v>47</v>
      </c>
      <c r="I7" s="32" t="s">
        <v>33</v>
      </c>
      <c r="J7" s="32" t="s">
        <v>36</v>
      </c>
      <c r="K7" s="32" t="s">
        <v>28</v>
      </c>
      <c r="L7" s="32" t="s">
        <v>22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117</v>
      </c>
      <c r="F8" s="36" t="s">
        <v>115</v>
      </c>
      <c r="G8" s="36" t="s">
        <v>114</v>
      </c>
      <c r="H8" s="36" t="s">
        <v>126</v>
      </c>
      <c r="I8" s="36" t="s">
        <v>127</v>
      </c>
      <c r="J8" s="36" t="s">
        <v>114</v>
      </c>
      <c r="K8" s="36" t="s">
        <v>120</v>
      </c>
      <c r="L8" s="36" t="s">
        <v>118</v>
      </c>
      <c r="M8" s="37"/>
      <c r="N8" s="38"/>
    </row>
    <row r="9">
      <c r="A9" s="39"/>
      <c r="B9" s="40" t="s">
        <v>7</v>
      </c>
      <c r="C9" s="41"/>
      <c r="D9" s="42" t="s">
        <v>55</v>
      </c>
      <c r="E9" s="42" t="s">
        <v>32</v>
      </c>
      <c r="F9" s="42" t="s">
        <v>27</v>
      </c>
      <c r="G9" s="42" t="s">
        <v>23</v>
      </c>
      <c r="H9" s="42" t="s">
        <v>25</v>
      </c>
      <c r="I9" s="42" t="s">
        <v>29</v>
      </c>
      <c r="J9" s="42" t="s">
        <v>36</v>
      </c>
      <c r="K9" s="42" t="s">
        <v>26</v>
      </c>
      <c r="L9" s="42" t="s">
        <v>24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55</v>
      </c>
      <c r="E10" s="47" t="s">
        <v>32</v>
      </c>
      <c r="F10" s="48" t="s">
        <v>27</v>
      </c>
      <c r="G10" s="48" t="s">
        <v>23</v>
      </c>
      <c r="H10" s="48" t="s">
        <v>25</v>
      </c>
      <c r="I10" s="48" t="s">
        <v>29</v>
      </c>
      <c r="J10" s="48" t="s">
        <v>36</v>
      </c>
      <c r="K10" s="48" t="s">
        <v>28</v>
      </c>
      <c r="L10" s="49" t="s">
        <v>24</v>
      </c>
      <c r="M10" s="50">
        <v>8.0</v>
      </c>
      <c r="N10" s="51">
        <v>102.0</v>
      </c>
    </row>
    <row r="11">
      <c r="A11" s="39"/>
      <c r="B11" s="52" t="s">
        <v>12</v>
      </c>
      <c r="C11" s="53" t="s">
        <v>13</v>
      </c>
      <c r="D11" s="54" t="s">
        <v>55</v>
      </c>
      <c r="E11" s="55" t="s">
        <v>32</v>
      </c>
      <c r="F11" s="55" t="s">
        <v>27</v>
      </c>
      <c r="G11" s="55" t="s">
        <v>31</v>
      </c>
      <c r="H11" s="55" t="s">
        <v>25</v>
      </c>
      <c r="I11" s="55" t="s">
        <v>29</v>
      </c>
      <c r="J11" s="55" t="s">
        <v>36</v>
      </c>
      <c r="K11" s="55" t="s">
        <v>26</v>
      </c>
      <c r="L11" s="56" t="s">
        <v>24</v>
      </c>
      <c r="M11" s="57">
        <v>8.0</v>
      </c>
      <c r="N11" s="58">
        <v>87.0</v>
      </c>
    </row>
    <row r="12">
      <c r="A12" s="39"/>
      <c r="B12" s="52" t="s">
        <v>14</v>
      </c>
      <c r="C12" s="53" t="s">
        <v>15</v>
      </c>
      <c r="D12" s="59" t="s">
        <v>55</v>
      </c>
      <c r="E12" s="60" t="s">
        <v>32</v>
      </c>
      <c r="F12" s="60" t="s">
        <v>27</v>
      </c>
      <c r="G12" s="60" t="s">
        <v>23</v>
      </c>
      <c r="H12" s="60" t="s">
        <v>25</v>
      </c>
      <c r="I12" s="60" t="s">
        <v>29</v>
      </c>
      <c r="J12" s="60" t="s">
        <v>36</v>
      </c>
      <c r="K12" s="60" t="s">
        <v>28</v>
      </c>
      <c r="L12" s="61" t="s">
        <v>22</v>
      </c>
      <c r="M12" s="57">
        <v>7.0</v>
      </c>
      <c r="N12" s="62">
        <v>100.0</v>
      </c>
    </row>
    <row r="13">
      <c r="A13" s="63"/>
      <c r="B13" s="52" t="s">
        <v>16</v>
      </c>
      <c r="C13" s="53" t="s">
        <v>11</v>
      </c>
      <c r="D13" s="54" t="s">
        <v>55</v>
      </c>
      <c r="E13" s="55" t="s">
        <v>21</v>
      </c>
      <c r="F13" s="55" t="s">
        <v>27</v>
      </c>
      <c r="G13" s="55" t="s">
        <v>31</v>
      </c>
      <c r="H13" s="55" t="s">
        <v>47</v>
      </c>
      <c r="I13" s="55" t="s">
        <v>29</v>
      </c>
      <c r="J13" s="55" t="s">
        <v>36</v>
      </c>
      <c r="K13" s="55" t="s">
        <v>26</v>
      </c>
      <c r="L13" s="56" t="s">
        <v>24</v>
      </c>
      <c r="M13" s="57">
        <v>6.0</v>
      </c>
      <c r="N13" s="181">
        <v>84.0</v>
      </c>
    </row>
    <row r="14">
      <c r="A14" s="63"/>
      <c r="B14" s="52" t="s">
        <v>17</v>
      </c>
      <c r="C14" s="53" t="s">
        <v>18</v>
      </c>
      <c r="D14" s="59" t="s">
        <v>55</v>
      </c>
      <c r="E14" s="60" t="s">
        <v>32</v>
      </c>
      <c r="F14" s="60" t="s">
        <v>27</v>
      </c>
      <c r="G14" s="60" t="s">
        <v>23</v>
      </c>
      <c r="H14" s="60" t="s">
        <v>47</v>
      </c>
      <c r="I14" s="60" t="s">
        <v>29</v>
      </c>
      <c r="J14" s="60" t="s">
        <v>36</v>
      </c>
      <c r="K14" s="60" t="s">
        <v>26</v>
      </c>
      <c r="L14" s="61" t="s">
        <v>24</v>
      </c>
      <c r="M14" s="57">
        <v>8.0</v>
      </c>
      <c r="N14" s="181">
        <v>87.0</v>
      </c>
    </row>
    <row r="15">
      <c r="A15" s="63"/>
      <c r="B15" s="52" t="s">
        <v>19</v>
      </c>
      <c r="C15" s="53"/>
      <c r="D15" s="54" t="s">
        <v>53</v>
      </c>
      <c r="E15" s="55" t="s">
        <v>32</v>
      </c>
      <c r="F15" s="55" t="s">
        <v>54</v>
      </c>
      <c r="G15" s="55" t="s">
        <v>31</v>
      </c>
      <c r="H15" s="55" t="s">
        <v>47</v>
      </c>
      <c r="I15" s="55" t="s">
        <v>33</v>
      </c>
      <c r="J15" s="55" t="s">
        <v>36</v>
      </c>
      <c r="K15" s="55" t="s">
        <v>26</v>
      </c>
      <c r="L15" s="56" t="s">
        <v>24</v>
      </c>
      <c r="M15" s="57">
        <v>4.0</v>
      </c>
      <c r="N15" s="181">
        <v>70.0</v>
      </c>
    </row>
    <row r="16">
      <c r="A16" s="63"/>
      <c r="B16" s="52" t="s">
        <v>20</v>
      </c>
      <c r="C16" s="65" t="s">
        <v>15</v>
      </c>
      <c r="D16" s="66" t="s">
        <v>55</v>
      </c>
      <c r="E16" s="66" t="s">
        <v>32</v>
      </c>
      <c r="F16" s="67" t="s">
        <v>27</v>
      </c>
      <c r="G16" s="67" t="s">
        <v>23</v>
      </c>
      <c r="H16" s="67" t="s">
        <v>25</v>
      </c>
      <c r="I16" s="67" t="s">
        <v>29</v>
      </c>
      <c r="J16" s="67" t="s">
        <v>36</v>
      </c>
      <c r="K16" s="67" t="s">
        <v>28</v>
      </c>
      <c r="L16" s="67" t="s">
        <v>22</v>
      </c>
      <c r="M16" s="57">
        <v>7.0</v>
      </c>
      <c r="N16" s="181">
        <v>99.0</v>
      </c>
    </row>
    <row r="17">
      <c r="A17" s="63"/>
      <c r="B17" s="52" t="s">
        <v>30</v>
      </c>
      <c r="C17" s="53" t="s">
        <v>13</v>
      </c>
      <c r="D17" s="68" t="s">
        <v>55</v>
      </c>
      <c r="E17" s="55" t="s">
        <v>32</v>
      </c>
      <c r="F17" s="55" t="s">
        <v>27</v>
      </c>
      <c r="G17" s="55" t="s">
        <v>31</v>
      </c>
      <c r="H17" s="55" t="s">
        <v>25</v>
      </c>
      <c r="I17" s="55" t="s">
        <v>29</v>
      </c>
      <c r="J17" s="55" t="s">
        <v>34</v>
      </c>
      <c r="K17" s="55" t="s">
        <v>26</v>
      </c>
      <c r="L17" s="56" t="s">
        <v>24</v>
      </c>
      <c r="M17" s="57">
        <v>7.0</v>
      </c>
      <c r="N17" s="181">
        <v>96.0</v>
      </c>
    </row>
    <row r="18">
      <c r="A18" s="63"/>
      <c r="B18" s="52" t="s">
        <v>35</v>
      </c>
      <c r="C18" s="53" t="s">
        <v>13</v>
      </c>
      <c r="D18" s="69" t="s">
        <v>55</v>
      </c>
      <c r="E18" s="70" t="s">
        <v>32</v>
      </c>
      <c r="F18" s="70" t="s">
        <v>27</v>
      </c>
      <c r="G18" s="70" t="s">
        <v>31</v>
      </c>
      <c r="H18" s="70" t="s">
        <v>25</v>
      </c>
      <c r="I18" s="70" t="s">
        <v>29</v>
      </c>
      <c r="J18" s="70" t="s">
        <v>36</v>
      </c>
      <c r="K18" s="70" t="s">
        <v>28</v>
      </c>
      <c r="L18" s="61" t="s">
        <v>24</v>
      </c>
      <c r="M18" s="57">
        <v>7.0</v>
      </c>
      <c r="N18" s="181">
        <v>99.0</v>
      </c>
    </row>
    <row r="19">
      <c r="A19" s="63"/>
      <c r="B19" s="52" t="s">
        <v>37</v>
      </c>
      <c r="C19" s="65" t="s">
        <v>13</v>
      </c>
      <c r="D19" s="71" t="s">
        <v>55</v>
      </c>
      <c r="E19" s="72" t="s">
        <v>32</v>
      </c>
      <c r="F19" s="72" t="s">
        <v>27</v>
      </c>
      <c r="G19" s="77" t="s">
        <v>23</v>
      </c>
      <c r="H19" s="72" t="s">
        <v>25</v>
      </c>
      <c r="I19" s="72" t="s">
        <v>29</v>
      </c>
      <c r="J19" s="74" t="s">
        <v>36</v>
      </c>
      <c r="K19" s="77" t="s">
        <v>26</v>
      </c>
      <c r="L19" s="56" t="s">
        <v>24</v>
      </c>
      <c r="M19" s="57">
        <v>9.0</v>
      </c>
      <c r="N19" s="181">
        <v>106.0</v>
      </c>
    </row>
    <row r="20">
      <c r="A20" s="63"/>
      <c r="B20" s="52" t="s">
        <v>38</v>
      </c>
      <c r="C20" s="65" t="s">
        <v>39</v>
      </c>
      <c r="D20" s="69" t="s">
        <v>55</v>
      </c>
      <c r="E20" s="70" t="s">
        <v>32</v>
      </c>
      <c r="F20" s="70" t="s">
        <v>27</v>
      </c>
      <c r="G20" s="73" t="s">
        <v>23</v>
      </c>
      <c r="H20" s="70" t="s">
        <v>25</v>
      </c>
      <c r="I20" s="70" t="s">
        <v>29</v>
      </c>
      <c r="J20" s="191" t="s">
        <v>36</v>
      </c>
      <c r="K20" s="73" t="s">
        <v>26</v>
      </c>
      <c r="L20" s="61" t="s">
        <v>24</v>
      </c>
      <c r="M20" s="57">
        <v>9.0</v>
      </c>
      <c r="N20" s="181">
        <v>116.0</v>
      </c>
    </row>
    <row r="21">
      <c r="A21" s="63"/>
      <c r="B21" s="52" t="s">
        <v>40</v>
      </c>
      <c r="C21" s="65" t="s">
        <v>39</v>
      </c>
      <c r="D21" s="71" t="s">
        <v>53</v>
      </c>
      <c r="E21" s="72" t="s">
        <v>21</v>
      </c>
      <c r="F21" s="72" t="s">
        <v>54</v>
      </c>
      <c r="G21" s="77" t="s">
        <v>23</v>
      </c>
      <c r="H21" s="72" t="s">
        <v>25</v>
      </c>
      <c r="I21" s="72" t="s">
        <v>29</v>
      </c>
      <c r="J21" s="74" t="s">
        <v>36</v>
      </c>
      <c r="K21" s="77" t="s">
        <v>28</v>
      </c>
      <c r="L21" s="56" t="s">
        <v>24</v>
      </c>
      <c r="M21" s="57">
        <v>5.0</v>
      </c>
      <c r="N21" s="181">
        <v>80.0</v>
      </c>
    </row>
    <row r="22">
      <c r="A22" s="63"/>
      <c r="B22" s="52" t="s">
        <v>41</v>
      </c>
      <c r="C22" s="53" t="s">
        <v>39</v>
      </c>
      <c r="D22" s="69" t="s">
        <v>55</v>
      </c>
      <c r="E22" s="70" t="s">
        <v>32</v>
      </c>
      <c r="F22" s="70" t="s">
        <v>27</v>
      </c>
      <c r="G22" s="73" t="s">
        <v>23</v>
      </c>
      <c r="H22" s="70" t="s">
        <v>25</v>
      </c>
      <c r="I22" s="70" t="s">
        <v>29</v>
      </c>
      <c r="J22" s="191" t="s">
        <v>36</v>
      </c>
      <c r="K22" s="73" t="s">
        <v>28</v>
      </c>
      <c r="L22" s="61" t="s">
        <v>24</v>
      </c>
      <c r="M22" s="57">
        <v>8.0</v>
      </c>
      <c r="N22" s="181">
        <v>106.0</v>
      </c>
    </row>
    <row r="23">
      <c r="A23" s="63"/>
      <c r="B23" s="52" t="s">
        <v>42</v>
      </c>
      <c r="C23" s="53" t="s">
        <v>39</v>
      </c>
      <c r="D23" s="54" t="s">
        <v>55</v>
      </c>
      <c r="E23" s="55" t="s">
        <v>32</v>
      </c>
      <c r="F23" s="55" t="s">
        <v>27</v>
      </c>
      <c r="G23" s="55" t="s">
        <v>23</v>
      </c>
      <c r="H23" s="55" t="s">
        <v>25</v>
      </c>
      <c r="I23" s="55" t="s">
        <v>29</v>
      </c>
      <c r="J23" s="74" t="s">
        <v>36</v>
      </c>
      <c r="K23" s="55" t="s">
        <v>28</v>
      </c>
      <c r="L23" s="56" t="s">
        <v>24</v>
      </c>
      <c r="M23" s="57">
        <v>8.0</v>
      </c>
      <c r="N23" s="181">
        <v>110.0</v>
      </c>
    </row>
    <row r="24">
      <c r="A24" s="63"/>
      <c r="B24" s="52" t="s">
        <v>43</v>
      </c>
      <c r="C24" s="53" t="s">
        <v>44</v>
      </c>
      <c r="D24" s="203" t="s">
        <v>55</v>
      </c>
      <c r="E24" s="60" t="s">
        <v>32</v>
      </c>
      <c r="F24" s="70" t="s">
        <v>27</v>
      </c>
      <c r="G24" s="73" t="s">
        <v>31</v>
      </c>
      <c r="H24" s="76" t="s">
        <v>25</v>
      </c>
      <c r="I24" s="60" t="s">
        <v>29</v>
      </c>
      <c r="J24" s="191" t="s">
        <v>34</v>
      </c>
      <c r="K24" s="60" t="s">
        <v>26</v>
      </c>
      <c r="L24" s="61" t="s">
        <v>24</v>
      </c>
      <c r="M24" s="57">
        <v>7.0</v>
      </c>
      <c r="N24" s="181">
        <v>91.0</v>
      </c>
    </row>
    <row r="25">
      <c r="A25" s="63"/>
      <c r="B25" s="52" t="s">
        <v>45</v>
      </c>
      <c r="C25" s="53" t="s">
        <v>44</v>
      </c>
      <c r="D25" s="68" t="s">
        <v>55</v>
      </c>
      <c r="E25" s="55" t="s">
        <v>32</v>
      </c>
      <c r="F25" s="72" t="s">
        <v>27</v>
      </c>
      <c r="G25" s="77" t="s">
        <v>23</v>
      </c>
      <c r="H25" s="78" t="s">
        <v>25</v>
      </c>
      <c r="I25" s="55" t="s">
        <v>29</v>
      </c>
      <c r="J25" s="74" t="s">
        <v>36</v>
      </c>
      <c r="K25" s="55" t="s">
        <v>28</v>
      </c>
      <c r="L25" s="56" t="s">
        <v>24</v>
      </c>
      <c r="M25" s="57">
        <v>8.0</v>
      </c>
      <c r="N25" s="181">
        <v>106.0</v>
      </c>
    </row>
    <row r="26">
      <c r="A26" s="63"/>
      <c r="B26" s="52" t="s">
        <v>46</v>
      </c>
      <c r="C26" s="53" t="s">
        <v>18</v>
      </c>
      <c r="D26" s="200" t="s">
        <v>55</v>
      </c>
      <c r="E26" s="76" t="s">
        <v>32</v>
      </c>
      <c r="F26" s="76" t="s">
        <v>27</v>
      </c>
      <c r="G26" s="76" t="s">
        <v>23</v>
      </c>
      <c r="H26" s="76" t="s">
        <v>25</v>
      </c>
      <c r="I26" s="76" t="s">
        <v>29</v>
      </c>
      <c r="J26" s="76" t="s">
        <v>36</v>
      </c>
      <c r="K26" s="76" t="s">
        <v>28</v>
      </c>
      <c r="L26" s="76" t="s">
        <v>24</v>
      </c>
      <c r="M26" s="80">
        <v>8.0</v>
      </c>
      <c r="N26" s="181">
        <v>97.0</v>
      </c>
    </row>
    <row r="27">
      <c r="A27" s="63"/>
      <c r="B27" s="52" t="s">
        <v>48</v>
      </c>
      <c r="C27" s="53" t="s">
        <v>49</v>
      </c>
      <c r="D27" s="201" t="s">
        <v>55</v>
      </c>
      <c r="E27" s="81" t="s">
        <v>32</v>
      </c>
      <c r="F27" s="82" t="s">
        <v>54</v>
      </c>
      <c r="G27" s="82" t="s">
        <v>23</v>
      </c>
      <c r="H27" s="82" t="s">
        <v>25</v>
      </c>
      <c r="I27" s="82" t="s">
        <v>29</v>
      </c>
      <c r="J27" s="82" t="s">
        <v>36</v>
      </c>
      <c r="K27" s="82" t="s">
        <v>26</v>
      </c>
      <c r="L27" s="82" t="s">
        <v>24</v>
      </c>
      <c r="M27" s="57">
        <v>8.0</v>
      </c>
      <c r="N27" s="181">
        <v>101.0</v>
      </c>
    </row>
    <row r="28">
      <c r="A28" s="63"/>
      <c r="B28" s="52" t="s">
        <v>50</v>
      </c>
      <c r="C28" s="53" t="s">
        <v>51</v>
      </c>
      <c r="D28" s="202" t="s">
        <v>55</v>
      </c>
      <c r="E28" s="66" t="s">
        <v>32</v>
      </c>
      <c r="F28" s="67" t="s">
        <v>27</v>
      </c>
      <c r="G28" s="67" t="s">
        <v>23</v>
      </c>
      <c r="H28" s="67" t="s">
        <v>25</v>
      </c>
      <c r="I28" s="67" t="s">
        <v>29</v>
      </c>
      <c r="J28" s="67" t="s">
        <v>36</v>
      </c>
      <c r="K28" s="67" t="s">
        <v>28</v>
      </c>
      <c r="L28" s="67" t="s">
        <v>24</v>
      </c>
      <c r="M28" s="57">
        <v>8.0</v>
      </c>
      <c r="N28" s="181">
        <v>106.0</v>
      </c>
    </row>
    <row r="29">
      <c r="A29" s="63"/>
      <c r="B29" s="52" t="s">
        <v>52</v>
      </c>
      <c r="C29" s="53" t="s">
        <v>13</v>
      </c>
      <c r="D29" s="68" t="s">
        <v>55</v>
      </c>
      <c r="E29" s="55" t="s">
        <v>32</v>
      </c>
      <c r="F29" s="55" t="s">
        <v>57</v>
      </c>
      <c r="G29" s="55" t="s">
        <v>23</v>
      </c>
      <c r="H29" s="55" t="s">
        <v>25</v>
      </c>
      <c r="I29" s="55" t="s">
        <v>29</v>
      </c>
      <c r="J29" s="55" t="s">
        <v>36</v>
      </c>
      <c r="K29" s="55" t="s">
        <v>28</v>
      </c>
      <c r="L29" s="56" t="s">
        <v>24</v>
      </c>
      <c r="M29" s="57">
        <v>8.0</v>
      </c>
      <c r="N29" s="181">
        <v>112.0</v>
      </c>
    </row>
    <row r="30">
      <c r="A30" s="63"/>
      <c r="B30" s="52" t="s">
        <v>56</v>
      </c>
      <c r="C30" s="53" t="s">
        <v>13</v>
      </c>
      <c r="D30" s="203" t="s">
        <v>55</v>
      </c>
      <c r="E30" s="60" t="s">
        <v>32</v>
      </c>
      <c r="F30" s="60" t="s">
        <v>57</v>
      </c>
      <c r="G30" s="60" t="s">
        <v>23</v>
      </c>
      <c r="H30" s="60" t="s">
        <v>25</v>
      </c>
      <c r="I30" s="60" t="s">
        <v>29</v>
      </c>
      <c r="J30" s="60" t="s">
        <v>36</v>
      </c>
      <c r="K30" s="60" t="s">
        <v>26</v>
      </c>
      <c r="L30" s="61" t="s">
        <v>24</v>
      </c>
      <c r="M30" s="57">
        <v>9.0</v>
      </c>
      <c r="N30" s="181">
        <v>100.0</v>
      </c>
    </row>
    <row r="31">
      <c r="A31" s="63"/>
      <c r="B31" s="52" t="s">
        <v>58</v>
      </c>
      <c r="C31" s="53" t="s">
        <v>59</v>
      </c>
      <c r="D31" s="54" t="s">
        <v>53</v>
      </c>
      <c r="E31" s="55" t="s">
        <v>32</v>
      </c>
      <c r="F31" s="72" t="s">
        <v>54</v>
      </c>
      <c r="G31" s="55" t="s">
        <v>31</v>
      </c>
      <c r="H31" s="55" t="s">
        <v>47</v>
      </c>
      <c r="I31" s="55" t="s">
        <v>29</v>
      </c>
      <c r="J31" s="55" t="s">
        <v>36</v>
      </c>
      <c r="K31" s="55" t="s">
        <v>26</v>
      </c>
      <c r="L31" s="56" t="s">
        <v>22</v>
      </c>
      <c r="M31" s="57">
        <v>4.0</v>
      </c>
      <c r="N31" s="181">
        <v>61.0</v>
      </c>
    </row>
    <row r="32">
      <c r="A32" s="63"/>
      <c r="B32" s="52" t="s">
        <v>60</v>
      </c>
      <c r="C32" s="53" t="s">
        <v>39</v>
      </c>
      <c r="D32" s="59" t="s">
        <v>55</v>
      </c>
      <c r="E32" s="60" t="s">
        <v>32</v>
      </c>
      <c r="F32" s="70" t="s">
        <v>57</v>
      </c>
      <c r="G32" s="60" t="s">
        <v>23</v>
      </c>
      <c r="H32" s="60" t="s">
        <v>25</v>
      </c>
      <c r="I32" s="60" t="s">
        <v>29</v>
      </c>
      <c r="J32" s="60" t="s">
        <v>36</v>
      </c>
      <c r="K32" s="60" t="s">
        <v>26</v>
      </c>
      <c r="L32" s="61" t="s">
        <v>24</v>
      </c>
      <c r="M32" s="57">
        <v>9.0</v>
      </c>
      <c r="N32" s="181">
        <v>111.0</v>
      </c>
    </row>
    <row r="33">
      <c r="A33" s="39"/>
      <c r="B33" s="52" t="s">
        <v>61</v>
      </c>
      <c r="C33" s="53" t="s">
        <v>39</v>
      </c>
      <c r="D33" s="83" t="s">
        <v>55</v>
      </c>
      <c r="E33" s="84" t="s">
        <v>32</v>
      </c>
      <c r="F33" s="84" t="s">
        <v>57</v>
      </c>
      <c r="G33" s="84" t="s">
        <v>23</v>
      </c>
      <c r="H33" s="84" t="s">
        <v>25</v>
      </c>
      <c r="I33" s="84" t="s">
        <v>29</v>
      </c>
      <c r="J33" s="84" t="s">
        <v>36</v>
      </c>
      <c r="K33" s="84" t="s">
        <v>26</v>
      </c>
      <c r="L33" s="85" t="s">
        <v>24</v>
      </c>
      <c r="M33" s="86">
        <v>9.0</v>
      </c>
      <c r="N33" s="181">
        <v>113.0</v>
      </c>
    </row>
    <row r="34">
      <c r="A34" s="39"/>
      <c r="B34" s="87" t="s">
        <v>62</v>
      </c>
      <c r="C34" s="88" t="s">
        <v>63</v>
      </c>
      <c r="D34" s="89" t="s">
        <v>55</v>
      </c>
      <c r="E34" s="89" t="s">
        <v>32</v>
      </c>
      <c r="F34" s="89" t="s">
        <v>27</v>
      </c>
      <c r="G34" s="89" t="s">
        <v>23</v>
      </c>
      <c r="H34" s="89" t="s">
        <v>25</v>
      </c>
      <c r="I34" s="89" t="s">
        <v>29</v>
      </c>
      <c r="J34" s="89" t="s">
        <v>36</v>
      </c>
      <c r="K34" s="89" t="s">
        <v>26</v>
      </c>
      <c r="L34" s="89" t="s">
        <v>24</v>
      </c>
      <c r="M34" s="90">
        <v>9.0</v>
      </c>
      <c r="N34" s="182">
        <v>111.0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45840.0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16.0</v>
      </c>
      <c r="B2" s="7" t="s">
        <v>142</v>
      </c>
      <c r="C2" s="8"/>
      <c r="D2" s="9" t="s">
        <v>143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45834.8125</v>
      </c>
      <c r="E3" s="15">
        <v>45835.819444444445</v>
      </c>
      <c r="F3" s="15">
        <v>45836.555555555555</v>
      </c>
      <c r="G3" s="15">
        <v>45836.677083333336</v>
      </c>
      <c r="H3" s="15">
        <v>45836.81597222222</v>
      </c>
      <c r="I3" s="15">
        <v>45837.63888888889</v>
      </c>
      <c r="J3" s="15">
        <v>45837.71527777778</v>
      </c>
      <c r="K3" s="15" t="s">
        <v>144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144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45834.791666666664</v>
      </c>
      <c r="E5" s="25">
        <v>45835.819444444445</v>
      </c>
      <c r="F5" s="25">
        <v>45836.555555555555</v>
      </c>
      <c r="G5" s="25">
        <v>45836.677083333336</v>
      </c>
      <c r="H5" s="25">
        <v>45836.81597222222</v>
      </c>
      <c r="I5" s="25">
        <v>45837.63888888889</v>
      </c>
      <c r="J5" s="25">
        <v>45837.631944444445</v>
      </c>
      <c r="K5" s="25" t="s">
        <v>144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33</v>
      </c>
      <c r="E6" s="30" t="s">
        <v>26</v>
      </c>
      <c r="F6" s="30" t="s">
        <v>23</v>
      </c>
      <c r="G6" s="30" t="s">
        <v>36</v>
      </c>
      <c r="H6" s="30" t="s">
        <v>32</v>
      </c>
      <c r="I6" s="30" t="s">
        <v>47</v>
      </c>
      <c r="J6" s="30" t="s">
        <v>28</v>
      </c>
      <c r="K6" s="30" t="s">
        <v>144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21</v>
      </c>
      <c r="E7" s="32" t="s">
        <v>55</v>
      </c>
      <c r="F7" s="32" t="s">
        <v>22</v>
      </c>
      <c r="G7" s="32" t="s">
        <v>53</v>
      </c>
      <c r="H7" s="32" t="s">
        <v>54</v>
      </c>
      <c r="I7" s="32" t="s">
        <v>24</v>
      </c>
      <c r="J7" s="32" t="s">
        <v>34</v>
      </c>
      <c r="K7" s="32" t="s">
        <v>144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118</v>
      </c>
      <c r="E8" s="36" t="s">
        <v>120</v>
      </c>
      <c r="F8" s="36" t="s">
        <v>116</v>
      </c>
      <c r="G8" s="36" t="s">
        <v>136</v>
      </c>
      <c r="H8" s="36" t="s">
        <v>114</v>
      </c>
      <c r="I8" s="36" t="s">
        <v>117</v>
      </c>
      <c r="J8" s="36" t="s">
        <v>115</v>
      </c>
      <c r="K8" s="36" t="s">
        <v>144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33</v>
      </c>
      <c r="E9" s="42" t="s">
        <v>55</v>
      </c>
      <c r="F9" s="42" t="s">
        <v>23</v>
      </c>
      <c r="G9" s="42" t="s">
        <v>36</v>
      </c>
      <c r="H9" s="42" t="s">
        <v>32</v>
      </c>
      <c r="I9" s="42" t="s">
        <v>24</v>
      </c>
      <c r="J9" s="42" t="s">
        <v>28</v>
      </c>
      <c r="K9" s="42" t="s">
        <v>144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33</v>
      </c>
      <c r="E10" s="47" t="s">
        <v>55</v>
      </c>
      <c r="F10" s="204" t="s">
        <v>23</v>
      </c>
      <c r="G10" s="204" t="s">
        <v>36</v>
      </c>
      <c r="H10" s="204" t="s">
        <v>32</v>
      </c>
      <c r="I10" s="48" t="s">
        <v>24</v>
      </c>
      <c r="J10" s="204" t="s">
        <v>28</v>
      </c>
      <c r="K10" s="48"/>
      <c r="L10" s="49"/>
      <c r="M10" s="50">
        <v>7.0</v>
      </c>
      <c r="N10" s="51">
        <v>93.0</v>
      </c>
    </row>
    <row r="11">
      <c r="A11" s="39"/>
      <c r="B11" s="52" t="s">
        <v>12</v>
      </c>
      <c r="C11" s="53" t="s">
        <v>13</v>
      </c>
      <c r="D11" s="54" t="s">
        <v>21</v>
      </c>
      <c r="E11" s="184" t="s">
        <v>26</v>
      </c>
      <c r="F11" s="184" t="s">
        <v>23</v>
      </c>
      <c r="G11" s="184" t="s">
        <v>36</v>
      </c>
      <c r="H11" s="184" t="s">
        <v>32</v>
      </c>
      <c r="I11" s="55" t="s">
        <v>24</v>
      </c>
      <c r="J11" s="184" t="s">
        <v>28</v>
      </c>
      <c r="K11" s="55"/>
      <c r="L11" s="56"/>
      <c r="M11" s="57">
        <v>5.0</v>
      </c>
      <c r="N11" s="58">
        <v>76.0</v>
      </c>
    </row>
    <row r="12">
      <c r="A12" s="39"/>
      <c r="B12" s="52" t="s">
        <v>14</v>
      </c>
      <c r="C12" s="53" t="s">
        <v>15</v>
      </c>
      <c r="D12" s="59" t="s">
        <v>33</v>
      </c>
      <c r="E12" s="60" t="s">
        <v>55</v>
      </c>
      <c r="F12" s="60" t="s">
        <v>22</v>
      </c>
      <c r="G12" s="60" t="s">
        <v>36</v>
      </c>
      <c r="H12" s="60" t="s">
        <v>32</v>
      </c>
      <c r="I12" s="60" t="s">
        <v>24</v>
      </c>
      <c r="J12" s="60" t="s">
        <v>28</v>
      </c>
      <c r="K12" s="60"/>
      <c r="L12" s="61"/>
      <c r="M12" s="57">
        <v>6.0</v>
      </c>
      <c r="N12" s="62">
        <v>92.0</v>
      </c>
    </row>
    <row r="13">
      <c r="A13" s="63"/>
      <c r="B13" s="52" t="s">
        <v>16</v>
      </c>
      <c r="C13" s="53" t="s">
        <v>11</v>
      </c>
      <c r="D13" s="54" t="s">
        <v>33</v>
      </c>
      <c r="E13" s="55" t="s">
        <v>26</v>
      </c>
      <c r="F13" s="55" t="s">
        <v>23</v>
      </c>
      <c r="G13" s="55" t="s">
        <v>36</v>
      </c>
      <c r="H13" s="55" t="s">
        <v>32</v>
      </c>
      <c r="I13" s="55" t="s">
        <v>47</v>
      </c>
      <c r="J13" s="55" t="s">
        <v>28</v>
      </c>
      <c r="K13" s="55"/>
      <c r="L13" s="56"/>
      <c r="M13" s="57">
        <v>5.0</v>
      </c>
      <c r="N13" s="181">
        <v>77.0</v>
      </c>
    </row>
    <row r="14">
      <c r="A14" s="63"/>
      <c r="B14" s="52" t="s">
        <v>17</v>
      </c>
      <c r="C14" s="53" t="s">
        <v>18</v>
      </c>
      <c r="D14" s="59" t="s">
        <v>33</v>
      </c>
      <c r="E14" s="60" t="s">
        <v>55</v>
      </c>
      <c r="F14" s="60" t="s">
        <v>23</v>
      </c>
      <c r="G14" s="60" t="s">
        <v>36</v>
      </c>
      <c r="H14" s="60" t="s">
        <v>32</v>
      </c>
      <c r="I14" s="60" t="s">
        <v>47</v>
      </c>
      <c r="J14" s="60" t="s">
        <v>34</v>
      </c>
      <c r="K14" s="60"/>
      <c r="L14" s="61"/>
      <c r="M14" s="57">
        <v>5.0</v>
      </c>
      <c r="N14" s="181">
        <v>76.0</v>
      </c>
    </row>
    <row r="15">
      <c r="A15" s="63"/>
      <c r="B15" s="52" t="s">
        <v>19</v>
      </c>
      <c r="C15" s="53"/>
      <c r="D15" s="54" t="s">
        <v>33</v>
      </c>
      <c r="E15" s="55" t="s">
        <v>26</v>
      </c>
      <c r="F15" s="55" t="s">
        <v>23</v>
      </c>
      <c r="G15" s="55" t="s">
        <v>36</v>
      </c>
      <c r="H15" s="55" t="s">
        <v>32</v>
      </c>
      <c r="I15" s="55" t="s">
        <v>47</v>
      </c>
      <c r="J15" s="55" t="s">
        <v>28</v>
      </c>
      <c r="K15" s="55"/>
      <c r="L15" s="56"/>
      <c r="M15" s="57">
        <v>5.0</v>
      </c>
      <c r="N15" s="181">
        <v>67.0</v>
      </c>
    </row>
    <row r="16">
      <c r="A16" s="63"/>
      <c r="B16" s="52" t="s">
        <v>20</v>
      </c>
      <c r="C16" s="65" t="s">
        <v>15</v>
      </c>
      <c r="D16" s="66" t="s">
        <v>21</v>
      </c>
      <c r="E16" s="66" t="s">
        <v>55</v>
      </c>
      <c r="F16" s="67" t="s">
        <v>22</v>
      </c>
      <c r="G16" s="67" t="s">
        <v>36</v>
      </c>
      <c r="H16" s="67" t="s">
        <v>32</v>
      </c>
      <c r="I16" s="67" t="s">
        <v>24</v>
      </c>
      <c r="J16" s="67" t="s">
        <v>28</v>
      </c>
      <c r="K16" s="67"/>
      <c r="L16" s="67"/>
      <c r="M16" s="57">
        <v>5.0</v>
      </c>
      <c r="N16" s="181">
        <v>90.0</v>
      </c>
    </row>
    <row r="17">
      <c r="A17" s="63"/>
      <c r="B17" s="52" t="s">
        <v>30</v>
      </c>
      <c r="C17" s="53" t="s">
        <v>13</v>
      </c>
      <c r="D17" s="68" t="s">
        <v>21</v>
      </c>
      <c r="E17" s="184" t="s">
        <v>26</v>
      </c>
      <c r="F17" s="184" t="s">
        <v>23</v>
      </c>
      <c r="G17" s="184" t="s">
        <v>36</v>
      </c>
      <c r="H17" s="184" t="s">
        <v>32</v>
      </c>
      <c r="I17" s="55" t="s">
        <v>24</v>
      </c>
      <c r="J17" s="184" t="s">
        <v>28</v>
      </c>
      <c r="K17" s="55"/>
      <c r="L17" s="56"/>
      <c r="M17" s="57">
        <v>5.0</v>
      </c>
      <c r="N17" s="181">
        <v>87.0</v>
      </c>
    </row>
    <row r="18">
      <c r="A18" s="63"/>
      <c r="B18" s="52" t="s">
        <v>35</v>
      </c>
      <c r="C18" s="53" t="s">
        <v>13</v>
      </c>
      <c r="D18" s="69" t="s">
        <v>33</v>
      </c>
      <c r="E18" s="70" t="s">
        <v>55</v>
      </c>
      <c r="F18" s="187" t="s">
        <v>23</v>
      </c>
      <c r="G18" s="187" t="s">
        <v>36</v>
      </c>
      <c r="H18" s="187" t="s">
        <v>32</v>
      </c>
      <c r="I18" s="70" t="s">
        <v>24</v>
      </c>
      <c r="J18" s="187" t="s">
        <v>28</v>
      </c>
      <c r="K18" s="70"/>
      <c r="L18" s="205"/>
      <c r="M18" s="57">
        <v>7.0</v>
      </c>
      <c r="N18" s="181">
        <v>92.0</v>
      </c>
    </row>
    <row r="19">
      <c r="A19" s="63"/>
      <c r="B19" s="52" t="s">
        <v>37</v>
      </c>
      <c r="C19" s="65" t="s">
        <v>13</v>
      </c>
      <c r="D19" s="195" t="s">
        <v>33</v>
      </c>
      <c r="E19" s="72" t="s">
        <v>55</v>
      </c>
      <c r="F19" s="206" t="s">
        <v>23</v>
      </c>
      <c r="G19" s="197" t="s">
        <v>36</v>
      </c>
      <c r="H19" s="184" t="s">
        <v>32</v>
      </c>
      <c r="I19" s="72" t="s">
        <v>47</v>
      </c>
      <c r="J19" s="196" t="s">
        <v>28</v>
      </c>
      <c r="K19" s="77"/>
      <c r="L19" s="77"/>
      <c r="M19" s="57">
        <v>6.0</v>
      </c>
      <c r="N19" s="181">
        <v>94.0</v>
      </c>
    </row>
    <row r="20">
      <c r="A20" s="63"/>
      <c r="B20" s="52" t="s">
        <v>38</v>
      </c>
      <c r="C20" s="65" t="s">
        <v>39</v>
      </c>
      <c r="D20" s="69" t="s">
        <v>33</v>
      </c>
      <c r="E20" s="70" t="s">
        <v>55</v>
      </c>
      <c r="F20" s="187" t="s">
        <v>23</v>
      </c>
      <c r="G20" s="73" t="s">
        <v>36</v>
      </c>
      <c r="H20" s="70" t="s">
        <v>32</v>
      </c>
      <c r="I20" s="70" t="s">
        <v>24</v>
      </c>
      <c r="J20" s="191" t="s">
        <v>28</v>
      </c>
      <c r="K20" s="73"/>
      <c r="L20" s="73"/>
      <c r="M20" s="57">
        <v>7.0</v>
      </c>
      <c r="N20" s="181">
        <v>105.0</v>
      </c>
    </row>
    <row r="21">
      <c r="A21" s="63"/>
      <c r="B21" s="52" t="s">
        <v>40</v>
      </c>
      <c r="C21" s="65" t="s">
        <v>39</v>
      </c>
      <c r="D21" s="195" t="s">
        <v>33</v>
      </c>
      <c r="E21" s="206" t="s">
        <v>26</v>
      </c>
      <c r="F21" s="206" t="s">
        <v>23</v>
      </c>
      <c r="G21" s="197" t="s">
        <v>36</v>
      </c>
      <c r="H21" s="206" t="s">
        <v>32</v>
      </c>
      <c r="I21" s="72" t="s">
        <v>47</v>
      </c>
      <c r="J21" s="74" t="s">
        <v>34</v>
      </c>
      <c r="K21" s="77"/>
      <c r="L21" s="77"/>
      <c r="M21" s="57">
        <v>4.0</v>
      </c>
      <c r="N21" s="181">
        <v>74.0</v>
      </c>
    </row>
    <row r="22">
      <c r="A22" s="63"/>
      <c r="B22" s="52" t="s">
        <v>41</v>
      </c>
      <c r="C22" s="53" t="s">
        <v>39</v>
      </c>
      <c r="D22" s="69" t="s">
        <v>33</v>
      </c>
      <c r="E22" s="70" t="s">
        <v>55</v>
      </c>
      <c r="F22" s="187" t="s">
        <v>23</v>
      </c>
      <c r="G22" s="73" t="s">
        <v>36</v>
      </c>
      <c r="H22" s="70" t="s">
        <v>32</v>
      </c>
      <c r="I22" s="70" t="s">
        <v>24</v>
      </c>
      <c r="J22" s="191" t="s">
        <v>28</v>
      </c>
      <c r="K22" s="73"/>
      <c r="L22" s="61"/>
      <c r="M22" s="57">
        <v>7.0</v>
      </c>
      <c r="N22" s="181">
        <v>97.0</v>
      </c>
    </row>
    <row r="23">
      <c r="A23" s="63"/>
      <c r="B23" s="52" t="s">
        <v>42</v>
      </c>
      <c r="C23" s="53" t="s">
        <v>39</v>
      </c>
      <c r="D23" s="54" t="s">
        <v>33</v>
      </c>
      <c r="E23" s="55" t="s">
        <v>55</v>
      </c>
      <c r="F23" s="184" t="s">
        <v>23</v>
      </c>
      <c r="G23" s="55" t="s">
        <v>36</v>
      </c>
      <c r="H23" s="55" t="s">
        <v>32</v>
      </c>
      <c r="I23" s="55" t="s">
        <v>24</v>
      </c>
      <c r="J23" s="74" t="s">
        <v>28</v>
      </c>
      <c r="K23" s="55"/>
      <c r="L23" s="56"/>
      <c r="M23" s="57">
        <v>7.0</v>
      </c>
      <c r="N23" s="181">
        <v>101.0</v>
      </c>
    </row>
    <row r="24">
      <c r="A24" s="63"/>
      <c r="B24" s="52" t="s">
        <v>43</v>
      </c>
      <c r="C24" s="53" t="s">
        <v>44</v>
      </c>
      <c r="D24" s="203" t="s">
        <v>21</v>
      </c>
      <c r="E24" s="60" t="s">
        <v>26</v>
      </c>
      <c r="F24" s="60" t="s">
        <v>23</v>
      </c>
      <c r="G24" s="73" t="s">
        <v>36</v>
      </c>
      <c r="H24" s="76" t="s">
        <v>32</v>
      </c>
      <c r="I24" s="76" t="s">
        <v>24</v>
      </c>
      <c r="J24" s="191" t="s">
        <v>28</v>
      </c>
      <c r="K24" s="60"/>
      <c r="L24" s="61"/>
      <c r="M24" s="57">
        <v>5.0</v>
      </c>
      <c r="N24" s="181">
        <v>82.0</v>
      </c>
    </row>
    <row r="25">
      <c r="A25" s="63"/>
      <c r="B25" s="52" t="s">
        <v>45</v>
      </c>
      <c r="C25" s="53" t="s">
        <v>44</v>
      </c>
      <c r="D25" s="68" t="s">
        <v>21</v>
      </c>
      <c r="E25" s="55" t="s">
        <v>55</v>
      </c>
      <c r="F25" s="55" t="s">
        <v>23</v>
      </c>
      <c r="G25" s="77" t="s">
        <v>36</v>
      </c>
      <c r="H25" s="78" t="s">
        <v>32</v>
      </c>
      <c r="I25" s="55" t="s">
        <v>24</v>
      </c>
      <c r="J25" s="74" t="s">
        <v>28</v>
      </c>
      <c r="K25" s="55"/>
      <c r="L25" s="56"/>
      <c r="M25" s="57">
        <v>6.0</v>
      </c>
      <c r="N25" s="181">
        <v>96.0</v>
      </c>
    </row>
    <row r="26">
      <c r="A26" s="63"/>
      <c r="B26" s="52" t="s">
        <v>46</v>
      </c>
      <c r="C26" s="53" t="s">
        <v>18</v>
      </c>
      <c r="D26" s="200" t="s">
        <v>33</v>
      </c>
      <c r="E26" s="76" t="s">
        <v>55</v>
      </c>
      <c r="F26" s="76" t="s">
        <v>23</v>
      </c>
      <c r="G26" s="76" t="s">
        <v>36</v>
      </c>
      <c r="H26" s="76" t="s">
        <v>32</v>
      </c>
      <c r="I26" s="76" t="s">
        <v>47</v>
      </c>
      <c r="J26" s="76" t="s">
        <v>34</v>
      </c>
      <c r="K26" s="76"/>
      <c r="L26" s="76"/>
      <c r="M26" s="80">
        <v>5.0</v>
      </c>
      <c r="N26" s="181">
        <v>86.0</v>
      </c>
    </row>
    <row r="27">
      <c r="A27" s="63"/>
      <c r="B27" s="52" t="s">
        <v>48</v>
      </c>
      <c r="C27" s="53" t="s">
        <v>49</v>
      </c>
      <c r="D27" s="201" t="s">
        <v>33</v>
      </c>
      <c r="E27" s="81" t="s">
        <v>55</v>
      </c>
      <c r="F27" s="82" t="s">
        <v>23</v>
      </c>
      <c r="G27" s="82" t="s">
        <v>36</v>
      </c>
      <c r="H27" s="82" t="s">
        <v>32</v>
      </c>
      <c r="I27" s="82" t="s">
        <v>24</v>
      </c>
      <c r="J27" s="82" t="s">
        <v>28</v>
      </c>
      <c r="K27" s="82"/>
      <c r="L27" s="82"/>
      <c r="M27" s="57">
        <v>7.0</v>
      </c>
      <c r="N27" s="181">
        <v>92.0</v>
      </c>
    </row>
    <row r="28">
      <c r="A28" s="63"/>
      <c r="B28" s="52" t="s">
        <v>50</v>
      </c>
      <c r="C28" s="53" t="s">
        <v>51</v>
      </c>
      <c r="D28" s="202" t="s">
        <v>33</v>
      </c>
      <c r="E28" s="66" t="s">
        <v>55</v>
      </c>
      <c r="F28" s="67" t="s">
        <v>23</v>
      </c>
      <c r="G28" s="67" t="s">
        <v>36</v>
      </c>
      <c r="H28" s="67" t="s">
        <v>32</v>
      </c>
      <c r="I28" s="67" t="s">
        <v>24</v>
      </c>
      <c r="J28" s="67" t="s">
        <v>28</v>
      </c>
      <c r="K28" s="67"/>
      <c r="L28" s="67"/>
      <c r="M28" s="57">
        <v>7.0</v>
      </c>
      <c r="N28" s="181">
        <v>97.0</v>
      </c>
    </row>
    <row r="29">
      <c r="A29" s="63"/>
      <c r="B29" s="52" t="s">
        <v>52</v>
      </c>
      <c r="C29" s="53" t="s">
        <v>13</v>
      </c>
      <c r="D29" s="68" t="s">
        <v>33</v>
      </c>
      <c r="E29" s="55" t="s">
        <v>55</v>
      </c>
      <c r="F29" s="55" t="s">
        <v>23</v>
      </c>
      <c r="G29" s="55" t="s">
        <v>36</v>
      </c>
      <c r="H29" s="55" t="s">
        <v>32</v>
      </c>
      <c r="I29" s="55" t="s">
        <v>24</v>
      </c>
      <c r="J29" s="55" t="s">
        <v>28</v>
      </c>
      <c r="K29" s="55"/>
      <c r="L29" s="56"/>
      <c r="M29" s="57">
        <v>7.0</v>
      </c>
      <c r="N29" s="181">
        <v>103.0</v>
      </c>
    </row>
    <row r="30">
      <c r="A30" s="63"/>
      <c r="B30" s="52" t="s">
        <v>56</v>
      </c>
      <c r="C30" s="53" t="s">
        <v>13</v>
      </c>
      <c r="D30" s="203" t="s">
        <v>33</v>
      </c>
      <c r="E30" s="60" t="s">
        <v>26</v>
      </c>
      <c r="F30" s="60" t="s">
        <v>23</v>
      </c>
      <c r="G30" s="60" t="s">
        <v>36</v>
      </c>
      <c r="H30" s="60" t="s">
        <v>32</v>
      </c>
      <c r="I30" s="60" t="s">
        <v>47</v>
      </c>
      <c r="J30" s="60" t="s">
        <v>28</v>
      </c>
      <c r="K30" s="60"/>
      <c r="L30" s="61"/>
      <c r="M30" s="57">
        <v>5.0</v>
      </c>
      <c r="N30" s="181">
        <v>87.0</v>
      </c>
    </row>
    <row r="31">
      <c r="A31" s="63"/>
      <c r="B31" s="52" t="s">
        <v>58</v>
      </c>
      <c r="C31" s="53" t="s">
        <v>59</v>
      </c>
      <c r="D31" s="54" t="s">
        <v>33</v>
      </c>
      <c r="E31" s="55" t="s">
        <v>26</v>
      </c>
      <c r="F31" s="72" t="s">
        <v>23</v>
      </c>
      <c r="G31" s="55" t="s">
        <v>53</v>
      </c>
      <c r="H31" s="55" t="s">
        <v>54</v>
      </c>
      <c r="I31" s="55" t="s">
        <v>47</v>
      </c>
      <c r="J31" s="55" t="s">
        <v>34</v>
      </c>
      <c r="K31" s="55"/>
      <c r="L31" s="56"/>
      <c r="M31" s="57">
        <v>2.0</v>
      </c>
      <c r="N31" s="181">
        <v>55.0</v>
      </c>
    </row>
    <row r="32">
      <c r="A32" s="63"/>
      <c r="B32" s="52" t="s">
        <v>60</v>
      </c>
      <c r="C32" s="53" t="s">
        <v>39</v>
      </c>
      <c r="D32" s="192" t="s">
        <v>33</v>
      </c>
      <c r="E32" s="60" t="s">
        <v>55</v>
      </c>
      <c r="F32" s="187" t="s">
        <v>23</v>
      </c>
      <c r="G32" s="189" t="s">
        <v>36</v>
      </c>
      <c r="H32" s="189" t="s">
        <v>32</v>
      </c>
      <c r="I32" s="60" t="s">
        <v>24</v>
      </c>
      <c r="J32" s="189" t="s">
        <v>28</v>
      </c>
      <c r="K32" s="60"/>
      <c r="L32" s="61"/>
      <c r="M32" s="57">
        <v>7.0</v>
      </c>
      <c r="N32" s="181">
        <v>100.0</v>
      </c>
    </row>
    <row r="33">
      <c r="A33" s="39"/>
      <c r="B33" s="52" t="s">
        <v>61</v>
      </c>
      <c r="C33" s="53" t="s">
        <v>39</v>
      </c>
      <c r="D33" s="83" t="s">
        <v>33</v>
      </c>
      <c r="E33" s="84" t="s">
        <v>55</v>
      </c>
      <c r="F33" s="84" t="s">
        <v>23</v>
      </c>
      <c r="G33" s="84" t="s">
        <v>36</v>
      </c>
      <c r="H33" s="84" t="s">
        <v>32</v>
      </c>
      <c r="I33" s="84" t="s">
        <v>24</v>
      </c>
      <c r="J33" s="84" t="s">
        <v>28</v>
      </c>
      <c r="K33" s="84"/>
      <c r="L33" s="85"/>
      <c r="M33" s="86">
        <v>7.0</v>
      </c>
      <c r="N33" s="181">
        <v>102.0</v>
      </c>
    </row>
    <row r="34">
      <c r="A34" s="39"/>
      <c r="B34" s="87" t="s">
        <v>62</v>
      </c>
      <c r="C34" s="88" t="s">
        <v>63</v>
      </c>
      <c r="D34" s="89" t="s">
        <v>33</v>
      </c>
      <c r="E34" s="89" t="s">
        <v>55</v>
      </c>
      <c r="F34" s="89" t="s">
        <v>23</v>
      </c>
      <c r="G34" s="89" t="s">
        <v>36</v>
      </c>
      <c r="H34" s="89" t="s">
        <v>32</v>
      </c>
      <c r="I34" s="89" t="s">
        <v>24</v>
      </c>
      <c r="J34" s="89" t="s">
        <v>28</v>
      </c>
      <c r="K34" s="89" t="s">
        <v>139</v>
      </c>
      <c r="L34" s="89" t="s">
        <v>139</v>
      </c>
      <c r="M34" s="90">
        <v>7.0</v>
      </c>
      <c r="N34" s="182">
        <v>100.0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45833.0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15.0</v>
      </c>
      <c r="B2" s="7" t="s">
        <v>145</v>
      </c>
      <c r="C2" s="8"/>
      <c r="D2" s="9" t="s">
        <v>146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45827.84027777778</v>
      </c>
      <c r="E3" s="15">
        <v>45828.819444444445</v>
      </c>
      <c r="F3" s="15">
        <v>45829.555555555555</v>
      </c>
      <c r="G3" s="15">
        <v>45829.677083333336</v>
      </c>
      <c r="H3" s="15">
        <v>45829.81597222222</v>
      </c>
      <c r="I3" s="15">
        <v>45830.54861111111</v>
      </c>
      <c r="J3" s="15">
        <v>45830.63888888889</v>
      </c>
      <c r="K3" s="15" t="s">
        <v>144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144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45827.756944444445</v>
      </c>
      <c r="E5" s="25">
        <v>45828.819444444445</v>
      </c>
      <c r="F5" s="25">
        <v>45829.555555555555</v>
      </c>
      <c r="G5" s="25">
        <v>45829.65625</v>
      </c>
      <c r="H5" s="25">
        <v>45829.81597222222</v>
      </c>
      <c r="I5" s="25">
        <v>45830.54861111111</v>
      </c>
      <c r="J5" s="25">
        <v>45830.63888888889</v>
      </c>
      <c r="K5" s="25" t="s">
        <v>144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28</v>
      </c>
      <c r="E6" s="30" t="s">
        <v>25</v>
      </c>
      <c r="F6" s="30" t="s">
        <v>21</v>
      </c>
      <c r="G6" s="30" t="s">
        <v>33</v>
      </c>
      <c r="H6" s="30" t="s">
        <v>32</v>
      </c>
      <c r="I6" s="30" t="s">
        <v>27</v>
      </c>
      <c r="J6" s="30" t="s">
        <v>55</v>
      </c>
      <c r="K6" s="30" t="s">
        <v>144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31</v>
      </c>
      <c r="E7" s="32" t="s">
        <v>29</v>
      </c>
      <c r="F7" s="32" t="s">
        <v>53</v>
      </c>
      <c r="G7" s="32" t="s">
        <v>26</v>
      </c>
      <c r="H7" s="32" t="s">
        <v>34</v>
      </c>
      <c r="I7" s="32" t="s">
        <v>23</v>
      </c>
      <c r="J7" s="32" t="s">
        <v>47</v>
      </c>
      <c r="K7" s="32" t="s">
        <v>144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115</v>
      </c>
      <c r="E8" s="36" t="s">
        <v>126</v>
      </c>
      <c r="F8" s="36" t="s">
        <v>117</v>
      </c>
      <c r="G8" s="36" t="s">
        <v>118</v>
      </c>
      <c r="H8" s="36" t="s">
        <v>114</v>
      </c>
      <c r="I8" s="36" t="s">
        <v>133</v>
      </c>
      <c r="J8" s="36" t="s">
        <v>114</v>
      </c>
      <c r="K8" s="36" t="s">
        <v>144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28</v>
      </c>
      <c r="E9" s="42" t="s">
        <v>29</v>
      </c>
      <c r="F9" s="42" t="s">
        <v>53</v>
      </c>
      <c r="G9" s="42" t="s">
        <v>26</v>
      </c>
      <c r="H9" s="42" t="s">
        <v>32</v>
      </c>
      <c r="I9" s="42" t="s">
        <v>27</v>
      </c>
      <c r="J9" s="42" t="s">
        <v>55</v>
      </c>
      <c r="K9" s="42" t="s">
        <v>144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28</v>
      </c>
      <c r="E10" s="48" t="s">
        <v>25</v>
      </c>
      <c r="F10" s="48" t="s">
        <v>21</v>
      </c>
      <c r="G10" s="48" t="s">
        <v>33</v>
      </c>
      <c r="H10" s="48" t="s">
        <v>32</v>
      </c>
      <c r="I10" s="48" t="s">
        <v>27</v>
      </c>
      <c r="J10" s="48" t="s">
        <v>55</v>
      </c>
      <c r="K10" s="48"/>
      <c r="L10" s="49"/>
      <c r="M10" s="50">
        <v>4.0</v>
      </c>
      <c r="N10" s="51">
        <v>83.0</v>
      </c>
    </row>
    <row r="11">
      <c r="A11" s="39"/>
      <c r="B11" s="52" t="s">
        <v>12</v>
      </c>
      <c r="C11" s="53" t="s">
        <v>13</v>
      </c>
      <c r="D11" s="54" t="s">
        <v>31</v>
      </c>
      <c r="E11" s="55" t="s">
        <v>25</v>
      </c>
      <c r="F11" s="55" t="s">
        <v>53</v>
      </c>
      <c r="G11" s="55" t="s">
        <v>26</v>
      </c>
      <c r="H11" s="55" t="s">
        <v>32</v>
      </c>
      <c r="I11" s="55" t="s">
        <v>23</v>
      </c>
      <c r="J11" s="55" t="s">
        <v>55</v>
      </c>
      <c r="K11" s="55"/>
      <c r="L11" s="56"/>
      <c r="M11" s="57">
        <v>4.0</v>
      </c>
      <c r="N11" s="58">
        <v>70.0</v>
      </c>
    </row>
    <row r="12">
      <c r="A12" s="39"/>
      <c r="B12" s="52" t="s">
        <v>14</v>
      </c>
      <c r="C12" s="53" t="s">
        <v>15</v>
      </c>
      <c r="D12" s="59" t="s">
        <v>28</v>
      </c>
      <c r="E12" s="60" t="s">
        <v>25</v>
      </c>
      <c r="F12" s="60" t="s">
        <v>21</v>
      </c>
      <c r="G12" s="60" t="s">
        <v>33</v>
      </c>
      <c r="H12" s="60" t="s">
        <v>32</v>
      </c>
      <c r="I12" s="60" t="s">
        <v>27</v>
      </c>
      <c r="J12" s="60" t="s">
        <v>55</v>
      </c>
      <c r="K12" s="60"/>
      <c r="L12" s="61"/>
      <c r="M12" s="57">
        <v>4.0</v>
      </c>
      <c r="N12" s="62">
        <v>84.0</v>
      </c>
    </row>
    <row r="13">
      <c r="A13" s="63"/>
      <c r="B13" s="52" t="s">
        <v>16</v>
      </c>
      <c r="C13" s="53" t="s">
        <v>11</v>
      </c>
      <c r="D13" s="54" t="s">
        <v>31</v>
      </c>
      <c r="E13" s="55" t="s">
        <v>25</v>
      </c>
      <c r="F13" s="55" t="s">
        <v>21</v>
      </c>
      <c r="G13" s="55" t="s">
        <v>33</v>
      </c>
      <c r="H13" s="55" t="s">
        <v>32</v>
      </c>
      <c r="I13" s="55" t="s">
        <v>27</v>
      </c>
      <c r="J13" s="55" t="s">
        <v>47</v>
      </c>
      <c r="K13" s="55"/>
      <c r="L13" s="56"/>
      <c r="M13" s="57">
        <v>2.0</v>
      </c>
      <c r="N13" s="181">
        <v>69.0</v>
      </c>
    </row>
    <row r="14">
      <c r="A14" s="63"/>
      <c r="B14" s="52" t="s">
        <v>17</v>
      </c>
      <c r="C14" s="53" t="s">
        <v>18</v>
      </c>
      <c r="D14" s="59" t="s">
        <v>28</v>
      </c>
      <c r="E14" s="60" t="s">
        <v>29</v>
      </c>
      <c r="F14" s="60" t="s">
        <v>21</v>
      </c>
      <c r="G14" s="60" t="s">
        <v>26</v>
      </c>
      <c r="H14" s="60" t="s">
        <v>34</v>
      </c>
      <c r="I14" s="60" t="s">
        <v>23</v>
      </c>
      <c r="J14" s="60" t="s">
        <v>47</v>
      </c>
      <c r="K14" s="60"/>
      <c r="L14" s="61"/>
      <c r="M14" s="57">
        <v>3.0</v>
      </c>
      <c r="N14" s="181">
        <v>69.0</v>
      </c>
    </row>
    <row r="15">
      <c r="A15" s="63"/>
      <c r="B15" s="52" t="s">
        <v>19</v>
      </c>
      <c r="C15" s="53"/>
      <c r="D15" s="54" t="s">
        <v>28</v>
      </c>
      <c r="E15" s="55" t="s">
        <v>25</v>
      </c>
      <c r="F15" s="55" t="s">
        <v>21</v>
      </c>
      <c r="G15" s="55" t="s">
        <v>33</v>
      </c>
      <c r="H15" s="55" t="s">
        <v>32</v>
      </c>
      <c r="I15" s="55" t="s">
        <v>27</v>
      </c>
      <c r="J15" s="55" t="s">
        <v>55</v>
      </c>
      <c r="K15" s="55"/>
      <c r="L15" s="56"/>
      <c r="M15" s="57">
        <v>4.0</v>
      </c>
      <c r="N15" s="181">
        <v>61.0</v>
      </c>
    </row>
    <row r="16">
      <c r="A16" s="63"/>
      <c r="B16" s="52" t="s">
        <v>20</v>
      </c>
      <c r="C16" s="65" t="s">
        <v>15</v>
      </c>
      <c r="D16" s="66" t="s">
        <v>28</v>
      </c>
      <c r="E16" s="66" t="s">
        <v>25</v>
      </c>
      <c r="F16" s="67" t="s">
        <v>21</v>
      </c>
      <c r="G16" s="67" t="s">
        <v>33</v>
      </c>
      <c r="H16" s="67" t="s">
        <v>32</v>
      </c>
      <c r="I16" s="67" t="s">
        <v>27</v>
      </c>
      <c r="J16" s="67" t="s">
        <v>55</v>
      </c>
      <c r="K16" s="67"/>
      <c r="L16" s="67"/>
      <c r="M16" s="57">
        <v>4.0</v>
      </c>
      <c r="N16" s="181">
        <v>84.0</v>
      </c>
    </row>
    <row r="17">
      <c r="A17" s="63"/>
      <c r="B17" s="52" t="s">
        <v>30</v>
      </c>
      <c r="C17" s="53" t="s">
        <v>13</v>
      </c>
      <c r="D17" s="68" t="s">
        <v>31</v>
      </c>
      <c r="E17" s="55" t="s">
        <v>25</v>
      </c>
      <c r="F17" s="55" t="s">
        <v>21</v>
      </c>
      <c r="G17" s="55" t="s">
        <v>26</v>
      </c>
      <c r="H17" s="55" t="s">
        <v>32</v>
      </c>
      <c r="I17" s="55" t="s">
        <v>27</v>
      </c>
      <c r="J17" s="55" t="s">
        <v>55</v>
      </c>
      <c r="K17" s="55"/>
      <c r="L17" s="56"/>
      <c r="M17" s="57">
        <v>4.0</v>
      </c>
      <c r="N17" s="181">
        <v>81.0</v>
      </c>
    </row>
    <row r="18">
      <c r="A18" s="63"/>
      <c r="B18" s="52" t="s">
        <v>35</v>
      </c>
      <c r="C18" s="53" t="s">
        <v>13</v>
      </c>
      <c r="D18" s="69" t="s">
        <v>31</v>
      </c>
      <c r="E18" s="70" t="s">
        <v>25</v>
      </c>
      <c r="F18" s="70" t="s">
        <v>21</v>
      </c>
      <c r="G18" s="70" t="s">
        <v>33</v>
      </c>
      <c r="H18" s="70" t="s">
        <v>32</v>
      </c>
      <c r="I18" s="70" t="s">
        <v>27</v>
      </c>
      <c r="J18" s="70" t="s">
        <v>55</v>
      </c>
      <c r="K18" s="70"/>
      <c r="L18" s="205"/>
      <c r="M18" s="57">
        <v>3.0</v>
      </c>
      <c r="N18" s="181">
        <v>81.0</v>
      </c>
    </row>
    <row r="19">
      <c r="A19" s="63"/>
      <c r="B19" s="52" t="s">
        <v>37</v>
      </c>
      <c r="C19" s="65" t="s">
        <v>13</v>
      </c>
      <c r="D19" s="71" t="s">
        <v>31</v>
      </c>
      <c r="E19" s="72" t="s">
        <v>25</v>
      </c>
      <c r="F19" s="72" t="s">
        <v>21</v>
      </c>
      <c r="G19" s="77" t="s">
        <v>33</v>
      </c>
      <c r="H19" s="55" t="s">
        <v>32</v>
      </c>
      <c r="I19" s="72" t="s">
        <v>27</v>
      </c>
      <c r="J19" s="74" t="s">
        <v>55</v>
      </c>
      <c r="K19" s="77"/>
      <c r="L19" s="77"/>
      <c r="M19" s="57">
        <v>3.0</v>
      </c>
      <c r="N19" s="181">
        <v>85.0</v>
      </c>
    </row>
    <row r="20">
      <c r="A20" s="63"/>
      <c r="B20" s="52" t="s">
        <v>38</v>
      </c>
      <c r="C20" s="65" t="s">
        <v>39</v>
      </c>
      <c r="D20" s="69" t="s">
        <v>28</v>
      </c>
      <c r="E20" s="70" t="s">
        <v>25</v>
      </c>
      <c r="F20" s="70" t="s">
        <v>21</v>
      </c>
      <c r="G20" s="73" t="s">
        <v>33</v>
      </c>
      <c r="H20" s="70" t="s">
        <v>32</v>
      </c>
      <c r="I20" s="70" t="s">
        <v>27</v>
      </c>
      <c r="J20" s="191" t="s">
        <v>55</v>
      </c>
      <c r="K20" s="73"/>
      <c r="L20" s="73"/>
      <c r="M20" s="57">
        <v>4.0</v>
      </c>
      <c r="N20" s="181">
        <v>95.0</v>
      </c>
    </row>
    <row r="21">
      <c r="A21" s="63"/>
      <c r="B21" s="52" t="s">
        <v>40</v>
      </c>
      <c r="C21" s="65" t="s">
        <v>39</v>
      </c>
      <c r="D21" s="71" t="s">
        <v>28</v>
      </c>
      <c r="E21" s="72" t="s">
        <v>25</v>
      </c>
      <c r="F21" s="72" t="s">
        <v>21</v>
      </c>
      <c r="G21" s="77" t="s">
        <v>33</v>
      </c>
      <c r="H21" s="72" t="s">
        <v>32</v>
      </c>
      <c r="I21" s="72" t="s">
        <v>23</v>
      </c>
      <c r="J21" s="74" t="s">
        <v>47</v>
      </c>
      <c r="K21" s="77"/>
      <c r="L21" s="77"/>
      <c r="M21" s="57">
        <v>2.0</v>
      </c>
      <c r="N21" s="181">
        <v>68.0</v>
      </c>
    </row>
    <row r="22">
      <c r="A22" s="63"/>
      <c r="B22" s="52" t="s">
        <v>41</v>
      </c>
      <c r="C22" s="53" t="s">
        <v>39</v>
      </c>
      <c r="D22" s="69" t="s">
        <v>28</v>
      </c>
      <c r="E22" s="70" t="s">
        <v>25</v>
      </c>
      <c r="F22" s="70" t="s">
        <v>21</v>
      </c>
      <c r="G22" s="73" t="s">
        <v>33</v>
      </c>
      <c r="H22" s="70" t="s">
        <v>32</v>
      </c>
      <c r="I22" s="70" t="s">
        <v>23</v>
      </c>
      <c r="J22" s="191" t="s">
        <v>55</v>
      </c>
      <c r="K22" s="73"/>
      <c r="L22" s="61"/>
      <c r="M22" s="57">
        <v>3.0</v>
      </c>
      <c r="N22" s="181">
        <v>86.0</v>
      </c>
    </row>
    <row r="23">
      <c r="A23" s="63"/>
      <c r="B23" s="52" t="s">
        <v>42</v>
      </c>
      <c r="C23" s="53" t="s">
        <v>39</v>
      </c>
      <c r="D23" s="54" t="s">
        <v>28</v>
      </c>
      <c r="E23" s="55" t="s">
        <v>25</v>
      </c>
      <c r="F23" s="55" t="s">
        <v>21</v>
      </c>
      <c r="G23" s="55" t="s">
        <v>33</v>
      </c>
      <c r="H23" s="55" t="s">
        <v>32</v>
      </c>
      <c r="I23" s="55" t="s">
        <v>27</v>
      </c>
      <c r="J23" s="74" t="s">
        <v>55</v>
      </c>
      <c r="K23" s="55"/>
      <c r="L23" s="56"/>
      <c r="M23" s="57">
        <v>4.0</v>
      </c>
      <c r="N23" s="181">
        <v>91.0</v>
      </c>
    </row>
    <row r="24">
      <c r="A24" s="63"/>
      <c r="B24" s="52" t="s">
        <v>43</v>
      </c>
      <c r="C24" s="53" t="s">
        <v>44</v>
      </c>
      <c r="D24" s="203" t="s">
        <v>31</v>
      </c>
      <c r="E24" s="60" t="s">
        <v>29</v>
      </c>
      <c r="F24" s="60" t="s">
        <v>21</v>
      </c>
      <c r="G24" s="73" t="s">
        <v>26</v>
      </c>
      <c r="H24" s="76" t="s">
        <v>32</v>
      </c>
      <c r="I24" s="76" t="s">
        <v>23</v>
      </c>
      <c r="J24" s="191" t="s">
        <v>55</v>
      </c>
      <c r="K24" s="60"/>
      <c r="L24" s="61"/>
      <c r="M24" s="57">
        <v>4.0</v>
      </c>
      <c r="N24" s="181">
        <v>76.0</v>
      </c>
    </row>
    <row r="25">
      <c r="A25" s="63"/>
      <c r="B25" s="52" t="s">
        <v>45</v>
      </c>
      <c r="C25" s="53" t="s">
        <v>44</v>
      </c>
      <c r="D25" s="68" t="s">
        <v>28</v>
      </c>
      <c r="E25" s="55" t="s">
        <v>29</v>
      </c>
      <c r="F25" s="55" t="s">
        <v>21</v>
      </c>
      <c r="G25" s="77" t="s">
        <v>33</v>
      </c>
      <c r="H25" s="78" t="s">
        <v>32</v>
      </c>
      <c r="I25" s="55" t="s">
        <v>27</v>
      </c>
      <c r="J25" s="74" t="s">
        <v>55</v>
      </c>
      <c r="K25" s="55"/>
      <c r="L25" s="56"/>
      <c r="M25" s="57">
        <v>5.0</v>
      </c>
      <c r="N25" s="181">
        <v>89.0</v>
      </c>
    </row>
    <row r="26">
      <c r="A26" s="63"/>
      <c r="B26" s="52" t="s">
        <v>46</v>
      </c>
      <c r="C26" s="53" t="s">
        <v>18</v>
      </c>
      <c r="D26" s="200"/>
      <c r="E26" s="76"/>
      <c r="F26" s="76"/>
      <c r="G26" s="76"/>
      <c r="H26" s="76"/>
      <c r="I26" s="76"/>
      <c r="J26" s="76"/>
      <c r="K26" s="76"/>
      <c r="L26" s="76"/>
      <c r="M26" s="80">
        <v>0.0</v>
      </c>
      <c r="N26" s="181">
        <v>74.0</v>
      </c>
    </row>
    <row r="27">
      <c r="A27" s="63"/>
      <c r="B27" s="52" t="s">
        <v>48</v>
      </c>
      <c r="C27" s="53" t="s">
        <v>49</v>
      </c>
      <c r="D27" s="201" t="s">
        <v>28</v>
      </c>
      <c r="E27" s="81" t="s">
        <v>25</v>
      </c>
      <c r="F27" s="82" t="s">
        <v>21</v>
      </c>
      <c r="G27" s="82" t="s">
        <v>33</v>
      </c>
      <c r="H27" s="82" t="s">
        <v>32</v>
      </c>
      <c r="I27" s="82" t="s">
        <v>27</v>
      </c>
      <c r="J27" s="82" t="s">
        <v>55</v>
      </c>
      <c r="K27" s="82"/>
      <c r="L27" s="82"/>
      <c r="M27" s="57">
        <v>4.0</v>
      </c>
      <c r="N27" s="181">
        <v>82.0</v>
      </c>
    </row>
    <row r="28">
      <c r="A28" s="63"/>
      <c r="B28" s="52" t="s">
        <v>50</v>
      </c>
      <c r="C28" s="53" t="s">
        <v>51</v>
      </c>
      <c r="D28" s="202" t="s">
        <v>28</v>
      </c>
      <c r="E28" s="66" t="s">
        <v>25</v>
      </c>
      <c r="F28" s="67" t="s">
        <v>21</v>
      </c>
      <c r="G28" s="67" t="s">
        <v>33</v>
      </c>
      <c r="H28" s="67" t="s">
        <v>32</v>
      </c>
      <c r="I28" s="67" t="s">
        <v>27</v>
      </c>
      <c r="J28" s="67" t="s">
        <v>55</v>
      </c>
      <c r="K28" s="67"/>
      <c r="L28" s="67"/>
      <c r="M28" s="57">
        <v>4.0</v>
      </c>
      <c r="N28" s="181">
        <v>87.0</v>
      </c>
    </row>
    <row r="29">
      <c r="A29" s="63"/>
      <c r="B29" s="52" t="s">
        <v>52</v>
      </c>
      <c r="C29" s="53" t="s">
        <v>13</v>
      </c>
      <c r="D29" s="68" t="s">
        <v>28</v>
      </c>
      <c r="E29" s="55" t="s">
        <v>25</v>
      </c>
      <c r="F29" s="55" t="s">
        <v>21</v>
      </c>
      <c r="G29" s="55" t="s">
        <v>33</v>
      </c>
      <c r="H29" s="55" t="s">
        <v>32</v>
      </c>
      <c r="I29" s="55" t="s">
        <v>57</v>
      </c>
      <c r="J29" s="55" t="s">
        <v>55</v>
      </c>
      <c r="K29" s="55"/>
      <c r="L29" s="56"/>
      <c r="M29" s="57">
        <v>4.0</v>
      </c>
      <c r="N29" s="181">
        <v>93.0</v>
      </c>
    </row>
    <row r="30">
      <c r="A30" s="63"/>
      <c r="B30" s="52" t="s">
        <v>56</v>
      </c>
      <c r="C30" s="53" t="s">
        <v>13</v>
      </c>
      <c r="D30" s="203" t="s">
        <v>28</v>
      </c>
      <c r="E30" s="60" t="s">
        <v>25</v>
      </c>
      <c r="F30" s="60" t="s">
        <v>21</v>
      </c>
      <c r="G30" s="60" t="s">
        <v>33</v>
      </c>
      <c r="H30" s="60" t="s">
        <v>32</v>
      </c>
      <c r="I30" s="60" t="s">
        <v>57</v>
      </c>
      <c r="J30" s="60" t="s">
        <v>47</v>
      </c>
      <c r="K30" s="60"/>
      <c r="L30" s="61"/>
      <c r="M30" s="57">
        <v>3.0</v>
      </c>
      <c r="N30" s="181">
        <v>80.0</v>
      </c>
    </row>
    <row r="31">
      <c r="A31" s="63"/>
      <c r="B31" s="52" t="s">
        <v>58</v>
      </c>
      <c r="C31" s="53" t="s">
        <v>59</v>
      </c>
      <c r="D31" s="54" t="s">
        <v>31</v>
      </c>
      <c r="E31" s="55" t="s">
        <v>25</v>
      </c>
      <c r="F31" s="72" t="s">
        <v>53</v>
      </c>
      <c r="G31" s="55" t="s">
        <v>26</v>
      </c>
      <c r="H31" s="55" t="s">
        <v>32</v>
      </c>
      <c r="I31" s="55" t="s">
        <v>23</v>
      </c>
      <c r="J31" s="55" t="s">
        <v>47</v>
      </c>
      <c r="K31" s="55"/>
      <c r="L31" s="56"/>
      <c r="M31" s="57">
        <v>3.0</v>
      </c>
      <c r="N31" s="181">
        <v>54.0</v>
      </c>
    </row>
    <row r="32">
      <c r="A32" s="63"/>
      <c r="B32" s="52" t="s">
        <v>60</v>
      </c>
      <c r="C32" s="53" t="s">
        <v>39</v>
      </c>
      <c r="D32" s="59" t="s">
        <v>28</v>
      </c>
      <c r="E32" s="60" t="s">
        <v>25</v>
      </c>
      <c r="F32" s="70" t="s">
        <v>21</v>
      </c>
      <c r="G32" s="60" t="s">
        <v>33</v>
      </c>
      <c r="H32" s="60" t="s">
        <v>32</v>
      </c>
      <c r="I32" s="60" t="s">
        <v>23</v>
      </c>
      <c r="J32" s="60" t="s">
        <v>55</v>
      </c>
      <c r="K32" s="60"/>
      <c r="L32" s="61"/>
      <c r="M32" s="57">
        <v>3.0</v>
      </c>
      <c r="N32" s="181">
        <v>89.0</v>
      </c>
    </row>
    <row r="33">
      <c r="A33" s="39"/>
      <c r="B33" s="52" t="s">
        <v>61</v>
      </c>
      <c r="C33" s="53" t="s">
        <v>39</v>
      </c>
      <c r="D33" s="83" t="s">
        <v>28</v>
      </c>
      <c r="E33" s="84" t="s">
        <v>25</v>
      </c>
      <c r="F33" s="84" t="s">
        <v>21</v>
      </c>
      <c r="G33" s="84" t="s">
        <v>33</v>
      </c>
      <c r="H33" s="84" t="s">
        <v>32</v>
      </c>
      <c r="I33" s="84" t="s">
        <v>57</v>
      </c>
      <c r="J33" s="84" t="s">
        <v>55</v>
      </c>
      <c r="K33" s="84"/>
      <c r="L33" s="85"/>
      <c r="M33" s="86">
        <v>4.0</v>
      </c>
      <c r="N33" s="181">
        <v>92.0</v>
      </c>
    </row>
    <row r="34">
      <c r="A34" s="39"/>
      <c r="B34" s="87" t="s">
        <v>62</v>
      </c>
      <c r="C34" s="88" t="s">
        <v>63</v>
      </c>
      <c r="D34" s="89" t="s">
        <v>28</v>
      </c>
      <c r="E34" s="89" t="s">
        <v>25</v>
      </c>
      <c r="F34" s="89" t="s">
        <v>21</v>
      </c>
      <c r="G34" s="89" t="s">
        <v>33</v>
      </c>
      <c r="H34" s="89" t="s">
        <v>32</v>
      </c>
      <c r="I34" s="89" t="s">
        <v>27</v>
      </c>
      <c r="J34" s="89" t="s">
        <v>55</v>
      </c>
      <c r="K34" s="89" t="s">
        <v>139</v>
      </c>
      <c r="L34" s="89" t="s">
        <v>139</v>
      </c>
      <c r="M34" s="90">
        <v>4.0</v>
      </c>
      <c r="N34" s="182">
        <v>90.0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45824.0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14.0</v>
      </c>
      <c r="B2" s="7" t="s">
        <v>147</v>
      </c>
      <c r="C2" s="8"/>
      <c r="D2" s="9" t="s">
        <v>148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45820.8125</v>
      </c>
      <c r="E3" s="15">
        <v>45821.819444444445</v>
      </c>
      <c r="F3" s="15">
        <v>45822.555555555555</v>
      </c>
      <c r="G3" s="15">
        <v>45822.677083333336</v>
      </c>
      <c r="H3" s="15">
        <v>45822.81597222222</v>
      </c>
      <c r="I3" s="15">
        <v>45823.63888888889</v>
      </c>
      <c r="J3" s="15">
        <v>45823.756944444445</v>
      </c>
      <c r="K3" s="15" t="s">
        <v>144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144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45820.8125</v>
      </c>
      <c r="E5" s="25">
        <v>45821.819444444445</v>
      </c>
      <c r="F5" s="25">
        <v>45822.555555555555</v>
      </c>
      <c r="G5" s="25">
        <v>45822.677083333336</v>
      </c>
      <c r="H5" s="25">
        <v>45822.73263888889</v>
      </c>
      <c r="I5" s="25">
        <v>45823.618055555555</v>
      </c>
      <c r="J5" s="25">
        <v>45823.67361111111</v>
      </c>
      <c r="K5" s="25" t="s">
        <v>144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34</v>
      </c>
      <c r="E6" s="30" t="s">
        <v>36</v>
      </c>
      <c r="F6" s="30" t="s">
        <v>29</v>
      </c>
      <c r="G6" s="30" t="s">
        <v>31</v>
      </c>
      <c r="H6" s="30" t="s">
        <v>53</v>
      </c>
      <c r="I6" s="30" t="s">
        <v>33</v>
      </c>
      <c r="J6" s="30" t="s">
        <v>54</v>
      </c>
      <c r="K6" s="30" t="s">
        <v>144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55</v>
      </c>
      <c r="E7" s="32" t="s">
        <v>24</v>
      </c>
      <c r="F7" s="32" t="s">
        <v>27</v>
      </c>
      <c r="G7" s="32" t="s">
        <v>25</v>
      </c>
      <c r="H7" s="32" t="s">
        <v>28</v>
      </c>
      <c r="I7" s="32" t="s">
        <v>22</v>
      </c>
      <c r="J7" s="32" t="s">
        <v>21</v>
      </c>
      <c r="K7" s="32" t="s">
        <v>144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136</v>
      </c>
      <c r="F8" s="36" t="s">
        <v>127</v>
      </c>
      <c r="G8" s="36" t="s">
        <v>117</v>
      </c>
      <c r="H8" s="36" t="s">
        <v>115</v>
      </c>
      <c r="I8" s="36" t="s">
        <v>118</v>
      </c>
      <c r="J8" s="36" t="s">
        <v>115</v>
      </c>
      <c r="K8" s="36" t="s">
        <v>144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55</v>
      </c>
      <c r="E9" s="42" t="s">
        <v>36</v>
      </c>
      <c r="F9" s="42" t="s">
        <v>27</v>
      </c>
      <c r="G9" s="42" t="s">
        <v>25</v>
      </c>
      <c r="H9" s="42" t="s">
        <v>28</v>
      </c>
      <c r="I9" s="42" t="s">
        <v>33</v>
      </c>
      <c r="J9" s="42" t="s">
        <v>21</v>
      </c>
      <c r="K9" s="42" t="s">
        <v>144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34</v>
      </c>
      <c r="E10" s="48" t="s">
        <v>36</v>
      </c>
      <c r="F10" s="48" t="s">
        <v>29</v>
      </c>
      <c r="G10" s="48" t="s">
        <v>25</v>
      </c>
      <c r="H10" s="48" t="s">
        <v>28</v>
      </c>
      <c r="I10" s="48" t="s">
        <v>33</v>
      </c>
      <c r="J10" s="48" t="s">
        <v>21</v>
      </c>
      <c r="K10" s="48"/>
      <c r="L10" s="49"/>
      <c r="M10" s="50">
        <v>5.0</v>
      </c>
      <c r="N10" s="51">
        <v>80.0</v>
      </c>
    </row>
    <row r="11">
      <c r="A11" s="39"/>
      <c r="B11" s="52" t="s">
        <v>12</v>
      </c>
      <c r="C11" s="53" t="s">
        <v>13</v>
      </c>
      <c r="D11" s="54" t="s">
        <v>55</v>
      </c>
      <c r="E11" s="55" t="s">
        <v>24</v>
      </c>
      <c r="F11" s="55" t="s">
        <v>29</v>
      </c>
      <c r="G11" s="55" t="s">
        <v>31</v>
      </c>
      <c r="H11" s="55" t="s">
        <v>28</v>
      </c>
      <c r="I11" s="55" t="s">
        <v>22</v>
      </c>
      <c r="J11" s="55" t="s">
        <v>21</v>
      </c>
      <c r="K11" s="55"/>
      <c r="L11" s="56"/>
      <c r="M11" s="57">
        <v>3.0</v>
      </c>
      <c r="N11" s="58">
        <v>65.0</v>
      </c>
    </row>
    <row r="12">
      <c r="A12" s="39"/>
      <c r="B12" s="52" t="s">
        <v>14</v>
      </c>
      <c r="C12" s="53" t="s">
        <v>15</v>
      </c>
      <c r="D12" s="59" t="s">
        <v>55</v>
      </c>
      <c r="E12" s="60" t="s">
        <v>36</v>
      </c>
      <c r="F12" s="60" t="s">
        <v>29</v>
      </c>
      <c r="G12" s="60" t="s">
        <v>25</v>
      </c>
      <c r="H12" s="60" t="s">
        <v>28</v>
      </c>
      <c r="I12" s="60" t="s">
        <v>22</v>
      </c>
      <c r="J12" s="60" t="s">
        <v>21</v>
      </c>
      <c r="K12" s="60"/>
      <c r="L12" s="61"/>
      <c r="M12" s="57">
        <v>5.0</v>
      </c>
      <c r="N12" s="62">
        <v>81.0</v>
      </c>
    </row>
    <row r="13">
      <c r="A13" s="63"/>
      <c r="B13" s="52" t="s">
        <v>16</v>
      </c>
      <c r="C13" s="53" t="s">
        <v>11</v>
      </c>
      <c r="D13" s="54" t="s">
        <v>55</v>
      </c>
      <c r="E13" s="55" t="s">
        <v>36</v>
      </c>
      <c r="F13" s="55" t="s">
        <v>29</v>
      </c>
      <c r="G13" s="55" t="s">
        <v>31</v>
      </c>
      <c r="H13" s="55" t="s">
        <v>28</v>
      </c>
      <c r="I13" s="55" t="s">
        <v>33</v>
      </c>
      <c r="J13" s="55" t="s">
        <v>21</v>
      </c>
      <c r="K13" s="55"/>
      <c r="L13" s="56"/>
      <c r="M13" s="57">
        <v>5.0</v>
      </c>
      <c r="N13" s="181">
        <v>70.0</v>
      </c>
    </row>
    <row r="14">
      <c r="A14" s="63"/>
      <c r="B14" s="52" t="s">
        <v>17</v>
      </c>
      <c r="C14" s="53" t="s">
        <v>18</v>
      </c>
      <c r="D14" s="59" t="s">
        <v>55</v>
      </c>
      <c r="E14" s="60" t="s">
        <v>24</v>
      </c>
      <c r="F14" s="60" t="s">
        <v>29</v>
      </c>
      <c r="G14" s="60" t="s">
        <v>25</v>
      </c>
      <c r="H14" s="60" t="s">
        <v>28</v>
      </c>
      <c r="I14" s="60" t="s">
        <v>33</v>
      </c>
      <c r="J14" s="60" t="s">
        <v>21</v>
      </c>
      <c r="K14" s="60"/>
      <c r="L14" s="61"/>
      <c r="M14" s="57">
        <v>5.0</v>
      </c>
      <c r="N14" s="181">
        <v>68.0</v>
      </c>
    </row>
    <row r="15">
      <c r="A15" s="63"/>
      <c r="B15" s="52" t="s">
        <v>19</v>
      </c>
      <c r="C15" s="53"/>
      <c r="D15" s="54" t="s">
        <v>55</v>
      </c>
      <c r="E15" s="55" t="s">
        <v>36</v>
      </c>
      <c r="F15" s="55" t="s">
        <v>29</v>
      </c>
      <c r="G15" s="55" t="s">
        <v>31</v>
      </c>
      <c r="H15" s="55" t="s">
        <v>53</v>
      </c>
      <c r="I15" s="55" t="s">
        <v>33</v>
      </c>
      <c r="J15" s="55" t="s">
        <v>54</v>
      </c>
      <c r="K15" s="55"/>
      <c r="L15" s="56"/>
      <c r="M15" s="57">
        <v>3.0</v>
      </c>
      <c r="N15" s="181">
        <v>56.0</v>
      </c>
    </row>
    <row r="16">
      <c r="A16" s="63"/>
      <c r="B16" s="52" t="s">
        <v>20</v>
      </c>
      <c r="C16" s="65" t="s">
        <v>15</v>
      </c>
      <c r="D16" s="66" t="s">
        <v>55</v>
      </c>
      <c r="E16" s="66" t="s">
        <v>36</v>
      </c>
      <c r="F16" s="67" t="s">
        <v>29</v>
      </c>
      <c r="G16" s="67" t="s">
        <v>25</v>
      </c>
      <c r="H16" s="67" t="s">
        <v>28</v>
      </c>
      <c r="I16" s="67" t="s">
        <v>22</v>
      </c>
      <c r="J16" s="67" t="s">
        <v>21</v>
      </c>
      <c r="K16" s="67"/>
      <c r="L16" s="67"/>
      <c r="M16" s="57">
        <v>5.0</v>
      </c>
      <c r="N16" s="181">
        <v>81.0</v>
      </c>
    </row>
    <row r="17">
      <c r="A17" s="63"/>
      <c r="B17" s="52" t="s">
        <v>30</v>
      </c>
      <c r="C17" s="53" t="s">
        <v>13</v>
      </c>
      <c r="D17" s="68" t="s">
        <v>55</v>
      </c>
      <c r="E17" s="55" t="s">
        <v>24</v>
      </c>
      <c r="F17" s="55" t="s">
        <v>29</v>
      </c>
      <c r="G17" s="55" t="s">
        <v>31</v>
      </c>
      <c r="H17" s="55" t="s">
        <v>28</v>
      </c>
      <c r="I17" s="55" t="s">
        <v>33</v>
      </c>
      <c r="J17" s="55" t="s">
        <v>21</v>
      </c>
      <c r="K17" s="55"/>
      <c r="L17" s="56"/>
      <c r="M17" s="57">
        <v>4.0</v>
      </c>
      <c r="N17" s="181">
        <v>77.0</v>
      </c>
    </row>
    <row r="18">
      <c r="A18" s="63"/>
      <c r="B18" s="52" t="s">
        <v>35</v>
      </c>
      <c r="C18" s="53" t="s">
        <v>13</v>
      </c>
      <c r="D18" s="69" t="s">
        <v>55</v>
      </c>
      <c r="E18" s="70" t="s">
        <v>24</v>
      </c>
      <c r="F18" s="70" t="s">
        <v>29</v>
      </c>
      <c r="G18" s="70" t="s">
        <v>31</v>
      </c>
      <c r="H18" s="70" t="s">
        <v>28</v>
      </c>
      <c r="I18" s="70" t="s">
        <v>33</v>
      </c>
      <c r="J18" s="70" t="s">
        <v>21</v>
      </c>
      <c r="K18" s="70"/>
      <c r="L18" s="205"/>
      <c r="M18" s="57">
        <v>4.0</v>
      </c>
      <c r="N18" s="181">
        <v>79.0</v>
      </c>
    </row>
    <row r="19">
      <c r="A19" s="63"/>
      <c r="B19" s="52" t="s">
        <v>37</v>
      </c>
      <c r="C19" s="65" t="s">
        <v>13</v>
      </c>
      <c r="D19" s="71" t="s">
        <v>55</v>
      </c>
      <c r="E19" s="72" t="s">
        <v>36</v>
      </c>
      <c r="F19" s="72" t="s">
        <v>29</v>
      </c>
      <c r="G19" s="77" t="s">
        <v>25</v>
      </c>
      <c r="H19" s="55" t="s">
        <v>28</v>
      </c>
      <c r="I19" s="72" t="s">
        <v>33</v>
      </c>
      <c r="J19" s="74" t="s">
        <v>21</v>
      </c>
      <c r="K19" s="77"/>
      <c r="L19" s="77"/>
      <c r="M19" s="57">
        <v>6.0</v>
      </c>
      <c r="N19" s="181">
        <v>85.0</v>
      </c>
    </row>
    <row r="20">
      <c r="A20" s="63"/>
      <c r="B20" s="52" t="s">
        <v>38</v>
      </c>
      <c r="C20" s="65" t="s">
        <v>39</v>
      </c>
      <c r="D20" s="69" t="s">
        <v>55</v>
      </c>
      <c r="E20" s="70" t="s">
        <v>36</v>
      </c>
      <c r="F20" s="70" t="s">
        <v>29</v>
      </c>
      <c r="G20" s="73" t="s">
        <v>25</v>
      </c>
      <c r="H20" s="70" t="s">
        <v>28</v>
      </c>
      <c r="I20" s="70" t="s">
        <v>33</v>
      </c>
      <c r="J20" s="191" t="s">
        <v>21</v>
      </c>
      <c r="K20" s="73"/>
      <c r="L20" s="73"/>
      <c r="M20" s="57">
        <v>6.0</v>
      </c>
      <c r="N20" s="181">
        <v>93.0</v>
      </c>
    </row>
    <row r="21">
      <c r="A21" s="63"/>
      <c r="B21" s="52" t="s">
        <v>40</v>
      </c>
      <c r="C21" s="65" t="s">
        <v>39</v>
      </c>
      <c r="D21" s="71" t="s">
        <v>55</v>
      </c>
      <c r="E21" s="72" t="s">
        <v>36</v>
      </c>
      <c r="F21" s="72" t="s">
        <v>29</v>
      </c>
      <c r="G21" s="77" t="s">
        <v>31</v>
      </c>
      <c r="H21" s="72" t="s">
        <v>53</v>
      </c>
      <c r="I21" s="72" t="s">
        <v>33</v>
      </c>
      <c r="J21" s="74" t="s">
        <v>21</v>
      </c>
      <c r="K21" s="77"/>
      <c r="L21" s="77"/>
      <c r="M21" s="57">
        <v>4.0</v>
      </c>
      <c r="N21" s="181">
        <v>68.0</v>
      </c>
    </row>
    <row r="22">
      <c r="A22" s="63"/>
      <c r="B22" s="52" t="s">
        <v>41</v>
      </c>
      <c r="C22" s="53" t="s">
        <v>39</v>
      </c>
      <c r="D22" s="69" t="s">
        <v>55</v>
      </c>
      <c r="E22" s="70" t="s">
        <v>36</v>
      </c>
      <c r="F22" s="70" t="s">
        <v>29</v>
      </c>
      <c r="G22" s="73" t="s">
        <v>25</v>
      </c>
      <c r="H22" s="70" t="s">
        <v>28</v>
      </c>
      <c r="I22" s="70" t="s">
        <v>22</v>
      </c>
      <c r="J22" s="191" t="s">
        <v>21</v>
      </c>
      <c r="K22" s="73"/>
      <c r="L22" s="61"/>
      <c r="M22" s="57">
        <v>5.0</v>
      </c>
      <c r="N22" s="181">
        <v>85.0</v>
      </c>
    </row>
    <row r="23">
      <c r="A23" s="63"/>
      <c r="B23" s="52" t="s">
        <v>42</v>
      </c>
      <c r="C23" s="53" t="s">
        <v>39</v>
      </c>
      <c r="D23" s="54" t="s">
        <v>55</v>
      </c>
      <c r="E23" s="55" t="s">
        <v>36</v>
      </c>
      <c r="F23" s="55" t="s">
        <v>29</v>
      </c>
      <c r="G23" s="55" t="s">
        <v>25</v>
      </c>
      <c r="H23" s="55" t="s">
        <v>28</v>
      </c>
      <c r="I23" s="55" t="s">
        <v>33</v>
      </c>
      <c r="J23" s="74" t="s">
        <v>21</v>
      </c>
      <c r="K23" s="55"/>
      <c r="L23" s="56"/>
      <c r="M23" s="57">
        <v>6.0</v>
      </c>
      <c r="N23" s="181">
        <v>89.0</v>
      </c>
    </row>
    <row r="24">
      <c r="A24" s="63"/>
      <c r="B24" s="52" t="s">
        <v>43</v>
      </c>
      <c r="C24" s="53" t="s">
        <v>44</v>
      </c>
      <c r="D24" s="203" t="s">
        <v>55</v>
      </c>
      <c r="E24" s="60" t="s">
        <v>24</v>
      </c>
      <c r="F24" s="60" t="s">
        <v>29</v>
      </c>
      <c r="G24" s="73" t="s">
        <v>31</v>
      </c>
      <c r="H24" s="76" t="s">
        <v>28</v>
      </c>
      <c r="I24" s="76" t="s">
        <v>22</v>
      </c>
      <c r="J24" s="76" t="s">
        <v>21</v>
      </c>
      <c r="K24" s="60"/>
      <c r="L24" s="61"/>
      <c r="M24" s="80">
        <v>3.0</v>
      </c>
      <c r="N24" s="181">
        <v>69.0</v>
      </c>
    </row>
    <row r="25">
      <c r="A25" s="63"/>
      <c r="B25" s="52" t="s">
        <v>45</v>
      </c>
      <c r="C25" s="53" t="s">
        <v>44</v>
      </c>
      <c r="D25" s="68" t="s">
        <v>55</v>
      </c>
      <c r="E25" s="55" t="s">
        <v>36</v>
      </c>
      <c r="F25" s="55" t="s">
        <v>29</v>
      </c>
      <c r="G25" s="77" t="s">
        <v>25</v>
      </c>
      <c r="H25" s="78" t="s">
        <v>28</v>
      </c>
      <c r="I25" s="78" t="s">
        <v>22</v>
      </c>
      <c r="J25" s="78" t="s">
        <v>21</v>
      </c>
      <c r="K25" s="55"/>
      <c r="L25" s="56"/>
      <c r="M25" s="57">
        <v>5.0</v>
      </c>
      <c r="N25" s="181">
        <v>84.0</v>
      </c>
    </row>
    <row r="26">
      <c r="A26" s="63"/>
      <c r="B26" s="52" t="s">
        <v>46</v>
      </c>
      <c r="C26" s="53" t="s">
        <v>18</v>
      </c>
      <c r="D26" s="200" t="s">
        <v>55</v>
      </c>
      <c r="E26" s="76" t="s">
        <v>24</v>
      </c>
      <c r="F26" s="76" t="s">
        <v>121</v>
      </c>
      <c r="G26" s="76" t="s">
        <v>25</v>
      </c>
      <c r="H26" s="76" t="s">
        <v>28</v>
      </c>
      <c r="I26" s="76" t="s">
        <v>33</v>
      </c>
      <c r="J26" s="76" t="s">
        <v>21</v>
      </c>
      <c r="K26" s="76"/>
      <c r="L26" s="76"/>
      <c r="M26" s="80">
        <v>5.0</v>
      </c>
      <c r="N26" s="181">
        <v>79.0</v>
      </c>
    </row>
    <row r="27">
      <c r="A27" s="63"/>
      <c r="B27" s="52" t="s">
        <v>48</v>
      </c>
      <c r="C27" s="53" t="s">
        <v>49</v>
      </c>
      <c r="D27" s="201" t="s">
        <v>55</v>
      </c>
      <c r="E27" s="81" t="s">
        <v>36</v>
      </c>
      <c r="F27" s="82" t="s">
        <v>29</v>
      </c>
      <c r="G27" s="82" t="s">
        <v>25</v>
      </c>
      <c r="H27" s="82" t="s">
        <v>28</v>
      </c>
      <c r="I27" s="82" t="s">
        <v>33</v>
      </c>
      <c r="J27" s="82" t="s">
        <v>54</v>
      </c>
      <c r="K27" s="82"/>
      <c r="L27" s="82"/>
      <c r="M27" s="57">
        <v>5.0</v>
      </c>
      <c r="N27" s="181">
        <v>79.0</v>
      </c>
    </row>
    <row r="28">
      <c r="A28" s="63"/>
      <c r="B28" s="52" t="s">
        <v>50</v>
      </c>
      <c r="C28" s="53" t="s">
        <v>51</v>
      </c>
      <c r="D28" s="202" t="s">
        <v>55</v>
      </c>
      <c r="E28" s="66" t="s">
        <v>24</v>
      </c>
      <c r="F28" s="67" t="s">
        <v>29</v>
      </c>
      <c r="G28" s="67" t="s">
        <v>25</v>
      </c>
      <c r="H28" s="67" t="s">
        <v>28</v>
      </c>
      <c r="I28" s="67" t="s">
        <v>33</v>
      </c>
      <c r="J28" s="67" t="s">
        <v>21</v>
      </c>
      <c r="K28" s="67"/>
      <c r="L28" s="67"/>
      <c r="M28" s="57">
        <v>5.0</v>
      </c>
      <c r="N28" s="181">
        <v>84.0</v>
      </c>
    </row>
    <row r="29">
      <c r="A29" s="63"/>
      <c r="B29" s="52" t="s">
        <v>52</v>
      </c>
      <c r="C29" s="53" t="s">
        <v>13</v>
      </c>
      <c r="D29" s="68" t="s">
        <v>55</v>
      </c>
      <c r="E29" s="55" t="s">
        <v>36</v>
      </c>
      <c r="F29" s="55" t="s">
        <v>29</v>
      </c>
      <c r="G29" s="55" t="s">
        <v>25</v>
      </c>
      <c r="H29" s="55" t="s">
        <v>28</v>
      </c>
      <c r="I29" s="55" t="s">
        <v>22</v>
      </c>
      <c r="J29" s="55" t="s">
        <v>21</v>
      </c>
      <c r="K29" s="55"/>
      <c r="L29" s="56"/>
      <c r="M29" s="57">
        <v>5.0</v>
      </c>
      <c r="N29" s="181">
        <v>90.0</v>
      </c>
    </row>
    <row r="30">
      <c r="A30" s="63"/>
      <c r="B30" s="52" t="s">
        <v>56</v>
      </c>
      <c r="C30" s="53" t="s">
        <v>13</v>
      </c>
      <c r="D30" s="203" t="s">
        <v>55</v>
      </c>
      <c r="E30" s="60" t="s">
        <v>36</v>
      </c>
      <c r="F30" s="60" t="s">
        <v>29</v>
      </c>
      <c r="G30" s="60" t="s">
        <v>25</v>
      </c>
      <c r="H30" s="60" t="s">
        <v>28</v>
      </c>
      <c r="I30" s="60" t="s">
        <v>33</v>
      </c>
      <c r="J30" s="60" t="s">
        <v>21</v>
      </c>
      <c r="K30" s="60"/>
      <c r="L30" s="61"/>
      <c r="M30" s="57">
        <v>6.0</v>
      </c>
      <c r="N30" s="181">
        <v>80.0</v>
      </c>
    </row>
    <row r="31">
      <c r="A31" s="63"/>
      <c r="B31" s="52" t="s">
        <v>58</v>
      </c>
      <c r="C31" s="53" t="s">
        <v>59</v>
      </c>
      <c r="D31" s="54" t="s">
        <v>34</v>
      </c>
      <c r="E31" s="55" t="s">
        <v>36</v>
      </c>
      <c r="F31" s="72" t="s">
        <v>29</v>
      </c>
      <c r="G31" s="55" t="s">
        <v>31</v>
      </c>
      <c r="H31" s="55" t="s">
        <v>53</v>
      </c>
      <c r="I31" s="55" t="s">
        <v>22</v>
      </c>
      <c r="J31" s="55" t="s">
        <v>54</v>
      </c>
      <c r="K31" s="55"/>
      <c r="L31" s="56"/>
      <c r="M31" s="57">
        <v>1.0</v>
      </c>
      <c r="N31" s="181">
        <v>49.0</v>
      </c>
    </row>
    <row r="32">
      <c r="A32" s="63"/>
      <c r="B32" s="52" t="s">
        <v>60</v>
      </c>
      <c r="C32" s="53" t="s">
        <v>39</v>
      </c>
      <c r="D32" s="59" t="s">
        <v>55</v>
      </c>
      <c r="E32" s="60" t="s">
        <v>36</v>
      </c>
      <c r="F32" s="70" t="s">
        <v>29</v>
      </c>
      <c r="G32" s="60" t="s">
        <v>25</v>
      </c>
      <c r="H32" s="60" t="s">
        <v>28</v>
      </c>
      <c r="I32" s="60" t="s">
        <v>22</v>
      </c>
      <c r="J32" s="60" t="s">
        <v>21</v>
      </c>
      <c r="K32" s="60"/>
      <c r="L32" s="61"/>
      <c r="M32" s="57">
        <v>5.0</v>
      </c>
      <c r="N32" s="181">
        <v>88.0</v>
      </c>
    </row>
    <row r="33">
      <c r="A33" s="39"/>
      <c r="B33" s="52" t="s">
        <v>61</v>
      </c>
      <c r="C33" s="53" t="s">
        <v>39</v>
      </c>
      <c r="D33" s="83" t="s">
        <v>55</v>
      </c>
      <c r="E33" s="84" t="s">
        <v>36</v>
      </c>
      <c r="F33" s="84" t="s">
        <v>29</v>
      </c>
      <c r="G33" s="84" t="s">
        <v>25</v>
      </c>
      <c r="H33" s="84" t="s">
        <v>28</v>
      </c>
      <c r="I33" s="84" t="s">
        <v>33</v>
      </c>
      <c r="J33" s="84" t="s">
        <v>21</v>
      </c>
      <c r="K33" s="84"/>
      <c r="L33" s="85"/>
      <c r="M33" s="86">
        <v>6.0</v>
      </c>
      <c r="N33" s="181">
        <v>90.0</v>
      </c>
    </row>
    <row r="34">
      <c r="A34" s="39"/>
      <c r="B34" s="87" t="s">
        <v>62</v>
      </c>
      <c r="C34" s="88" t="s">
        <v>63</v>
      </c>
      <c r="D34" s="89" t="s">
        <v>55</v>
      </c>
      <c r="E34" s="89" t="s">
        <v>36</v>
      </c>
      <c r="F34" s="89" t="s">
        <v>29</v>
      </c>
      <c r="G34" s="89" t="s">
        <v>25</v>
      </c>
      <c r="H34" s="89" t="s">
        <v>28</v>
      </c>
      <c r="I34" s="89" t="s">
        <v>33</v>
      </c>
      <c r="J34" s="89" t="s">
        <v>21</v>
      </c>
      <c r="K34" s="89" t="s">
        <v>139</v>
      </c>
      <c r="L34" s="89" t="s">
        <v>139</v>
      </c>
      <c r="M34" s="90">
        <v>6.0</v>
      </c>
      <c r="N34" s="182">
        <v>88.0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45818.0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13.0</v>
      </c>
      <c r="B2" s="7" t="s">
        <v>149</v>
      </c>
      <c r="C2" s="8"/>
      <c r="D2" s="9" t="s">
        <v>150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45813.8125</v>
      </c>
      <c r="E3" s="15">
        <v>45814.819444444445</v>
      </c>
      <c r="F3" s="15">
        <v>45815.555555555555</v>
      </c>
      <c r="G3" s="15">
        <v>45815.677083333336</v>
      </c>
      <c r="H3" s="15">
        <v>45815.81597222222</v>
      </c>
      <c r="I3" s="15">
        <v>45816.63888888889</v>
      </c>
      <c r="J3" s="15">
        <v>45816.805555555555</v>
      </c>
      <c r="K3" s="15">
        <v>45817.63888888889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151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45813.8125</v>
      </c>
      <c r="E5" s="25">
        <v>45814.79861111111</v>
      </c>
      <c r="F5" s="25">
        <v>45815.555555555555</v>
      </c>
      <c r="G5" s="25">
        <v>45815.677083333336</v>
      </c>
      <c r="H5" s="25">
        <v>45815.81597222222</v>
      </c>
      <c r="I5" s="25">
        <v>45816.555555555555</v>
      </c>
      <c r="J5" s="25">
        <v>45816.805555555555</v>
      </c>
      <c r="K5" s="25">
        <v>45817.63888888889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55</v>
      </c>
      <c r="E6" s="30" t="s">
        <v>24</v>
      </c>
      <c r="F6" s="30" t="s">
        <v>47</v>
      </c>
      <c r="G6" s="30" t="s">
        <v>25</v>
      </c>
      <c r="H6" s="30" t="s">
        <v>27</v>
      </c>
      <c r="I6" s="30" t="s">
        <v>53</v>
      </c>
      <c r="J6" s="30" t="s">
        <v>21</v>
      </c>
      <c r="K6" s="30" t="s">
        <v>22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36</v>
      </c>
      <c r="E7" s="32" t="s">
        <v>29</v>
      </c>
      <c r="F7" s="32" t="s">
        <v>26</v>
      </c>
      <c r="G7" s="32" t="s">
        <v>23</v>
      </c>
      <c r="H7" s="32" t="s">
        <v>33</v>
      </c>
      <c r="I7" s="32" t="s">
        <v>54</v>
      </c>
      <c r="J7" s="32" t="s">
        <v>31</v>
      </c>
      <c r="K7" s="32" t="s">
        <v>32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118</v>
      </c>
      <c r="F8" s="36" t="s">
        <v>117</v>
      </c>
      <c r="G8" s="36" t="s">
        <v>126</v>
      </c>
      <c r="H8" s="36" t="s">
        <v>128</v>
      </c>
      <c r="I8" s="36" t="s">
        <v>152</v>
      </c>
      <c r="J8" s="36" t="s">
        <v>117</v>
      </c>
      <c r="K8" s="36" t="s">
        <v>117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36</v>
      </c>
      <c r="E9" s="42" t="s">
        <v>24</v>
      </c>
      <c r="F9" s="42" t="s">
        <v>26</v>
      </c>
      <c r="G9" s="42" t="s">
        <v>25</v>
      </c>
      <c r="H9" s="42" t="s">
        <v>33</v>
      </c>
      <c r="I9" s="42" t="s">
        <v>53</v>
      </c>
      <c r="J9" s="42" t="s">
        <v>21</v>
      </c>
      <c r="K9" s="42" t="s">
        <v>32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36</v>
      </c>
      <c r="E10" s="48" t="s">
        <v>29</v>
      </c>
      <c r="F10" s="48" t="s">
        <v>47</v>
      </c>
      <c r="G10" s="48" t="s">
        <v>25</v>
      </c>
      <c r="H10" s="48" t="s">
        <v>27</v>
      </c>
      <c r="I10" s="48" t="s">
        <v>53</v>
      </c>
      <c r="J10" s="48" t="s">
        <v>31</v>
      </c>
      <c r="K10" s="48" t="s">
        <v>32</v>
      </c>
      <c r="L10" s="49"/>
      <c r="M10" s="50">
        <v>4.0</v>
      </c>
      <c r="N10" s="51">
        <v>74.0</v>
      </c>
    </row>
    <row r="11">
      <c r="A11" s="39"/>
      <c r="B11" s="52" t="s">
        <v>12</v>
      </c>
      <c r="C11" s="53" t="s">
        <v>13</v>
      </c>
      <c r="D11" s="54" t="s">
        <v>36</v>
      </c>
      <c r="E11" s="55" t="s">
        <v>29</v>
      </c>
      <c r="F11" s="55" t="s">
        <v>26</v>
      </c>
      <c r="G11" s="55" t="s">
        <v>23</v>
      </c>
      <c r="H11" s="55" t="s">
        <v>27</v>
      </c>
      <c r="I11" s="55" t="s">
        <v>53</v>
      </c>
      <c r="J11" s="55" t="s">
        <v>31</v>
      </c>
      <c r="K11" s="55" t="s">
        <v>32</v>
      </c>
      <c r="L11" s="56"/>
      <c r="M11" s="57">
        <v>4.0</v>
      </c>
      <c r="N11" s="58">
        <v>63.0</v>
      </c>
    </row>
    <row r="12">
      <c r="A12" s="39"/>
      <c r="B12" s="52" t="s">
        <v>14</v>
      </c>
      <c r="C12" s="53" t="s">
        <v>15</v>
      </c>
      <c r="D12" s="59" t="s">
        <v>55</v>
      </c>
      <c r="E12" s="60" t="s">
        <v>24</v>
      </c>
      <c r="F12" s="60" t="s">
        <v>47</v>
      </c>
      <c r="G12" s="60" t="s">
        <v>25</v>
      </c>
      <c r="H12" s="60" t="s">
        <v>27</v>
      </c>
      <c r="I12" s="60" t="s">
        <v>53</v>
      </c>
      <c r="J12" s="60" t="s">
        <v>21</v>
      </c>
      <c r="K12" s="60" t="s">
        <v>22</v>
      </c>
      <c r="L12" s="61"/>
      <c r="M12" s="57">
        <v>4.0</v>
      </c>
      <c r="N12" s="62">
        <v>75.0</v>
      </c>
    </row>
    <row r="13">
      <c r="A13" s="63"/>
      <c r="B13" s="52" t="s">
        <v>16</v>
      </c>
      <c r="C13" s="53" t="s">
        <v>11</v>
      </c>
      <c r="D13" s="54" t="s">
        <v>36</v>
      </c>
      <c r="E13" s="55" t="s">
        <v>24</v>
      </c>
      <c r="F13" s="55" t="s">
        <v>47</v>
      </c>
      <c r="G13" s="55" t="s">
        <v>25</v>
      </c>
      <c r="H13" s="55" t="s">
        <v>27</v>
      </c>
      <c r="I13" s="55" t="s">
        <v>54</v>
      </c>
      <c r="J13" s="55" t="s">
        <v>31</v>
      </c>
      <c r="K13" s="55" t="s">
        <v>32</v>
      </c>
      <c r="L13" s="56"/>
      <c r="M13" s="57">
        <v>4.0</v>
      </c>
      <c r="N13" s="181">
        <v>64.0</v>
      </c>
    </row>
    <row r="14">
      <c r="A14" s="63"/>
      <c r="B14" s="52" t="s">
        <v>17</v>
      </c>
      <c r="C14" s="53" t="s">
        <v>18</v>
      </c>
      <c r="D14" s="59" t="s">
        <v>55</v>
      </c>
      <c r="E14" s="60" t="s">
        <v>29</v>
      </c>
      <c r="F14" s="60" t="s">
        <v>47</v>
      </c>
      <c r="G14" s="60" t="s">
        <v>23</v>
      </c>
      <c r="H14" s="60" t="s">
        <v>27</v>
      </c>
      <c r="I14" s="60" t="s">
        <v>54</v>
      </c>
      <c r="J14" s="60" t="s">
        <v>31</v>
      </c>
      <c r="K14" s="60" t="s">
        <v>32</v>
      </c>
      <c r="L14" s="61"/>
      <c r="M14" s="57">
        <v>1.0</v>
      </c>
      <c r="N14" s="181">
        <v>59.0</v>
      </c>
    </row>
    <row r="15">
      <c r="A15" s="63"/>
      <c r="B15" s="52" t="s">
        <v>19</v>
      </c>
      <c r="C15" s="53"/>
      <c r="D15" s="54" t="s">
        <v>55</v>
      </c>
      <c r="E15" s="55" t="s">
        <v>24</v>
      </c>
      <c r="F15" s="55" t="s">
        <v>47</v>
      </c>
      <c r="G15" s="55" t="s">
        <v>25</v>
      </c>
      <c r="H15" s="55" t="s">
        <v>27</v>
      </c>
      <c r="I15" s="55" t="s">
        <v>53</v>
      </c>
      <c r="J15" s="55" t="s">
        <v>21</v>
      </c>
      <c r="K15" s="55" t="s">
        <v>32</v>
      </c>
      <c r="L15" s="56"/>
      <c r="M15" s="57">
        <v>5.0</v>
      </c>
      <c r="N15" s="181">
        <v>55.0</v>
      </c>
    </row>
    <row r="16">
      <c r="A16" s="63"/>
      <c r="B16" s="52" t="s">
        <v>20</v>
      </c>
      <c r="C16" s="65" t="s">
        <v>15</v>
      </c>
      <c r="D16" s="66" t="s">
        <v>55</v>
      </c>
      <c r="E16" s="66" t="s">
        <v>24</v>
      </c>
      <c r="F16" s="67" t="s">
        <v>26</v>
      </c>
      <c r="G16" s="67" t="s">
        <v>25</v>
      </c>
      <c r="H16" s="67" t="s">
        <v>27</v>
      </c>
      <c r="I16" s="67" t="s">
        <v>53</v>
      </c>
      <c r="J16" s="67" t="s">
        <v>21</v>
      </c>
      <c r="K16" s="67" t="s">
        <v>22</v>
      </c>
      <c r="L16" s="67"/>
      <c r="M16" s="57">
        <v>5.0</v>
      </c>
      <c r="N16" s="181">
        <v>76.0</v>
      </c>
    </row>
    <row r="17">
      <c r="A17" s="63"/>
      <c r="B17" s="52" t="s">
        <v>30</v>
      </c>
      <c r="C17" s="53" t="s">
        <v>13</v>
      </c>
      <c r="D17" s="68" t="s">
        <v>55</v>
      </c>
      <c r="E17" s="55" t="s">
        <v>24</v>
      </c>
      <c r="F17" s="55" t="s">
        <v>26</v>
      </c>
      <c r="G17" s="55" t="s">
        <v>25</v>
      </c>
      <c r="H17" s="55" t="s">
        <v>27</v>
      </c>
      <c r="I17" s="55" t="s">
        <v>54</v>
      </c>
      <c r="J17" s="55" t="s">
        <v>31</v>
      </c>
      <c r="K17" s="55" t="s">
        <v>32</v>
      </c>
      <c r="L17" s="56"/>
      <c r="M17" s="57">
        <v>4.0</v>
      </c>
      <c r="N17" s="181">
        <v>73.0</v>
      </c>
    </row>
    <row r="18">
      <c r="A18" s="63"/>
      <c r="B18" s="52" t="s">
        <v>35</v>
      </c>
      <c r="C18" s="53" t="s">
        <v>13</v>
      </c>
      <c r="D18" s="69" t="s">
        <v>55</v>
      </c>
      <c r="E18" s="70" t="s">
        <v>24</v>
      </c>
      <c r="F18" s="70" t="s">
        <v>26</v>
      </c>
      <c r="G18" s="70" t="s">
        <v>25</v>
      </c>
      <c r="H18" s="70" t="s">
        <v>27</v>
      </c>
      <c r="I18" s="70" t="s">
        <v>53</v>
      </c>
      <c r="J18" s="70" t="s">
        <v>31</v>
      </c>
      <c r="K18" s="70" t="s">
        <v>32</v>
      </c>
      <c r="L18" s="205"/>
      <c r="M18" s="57">
        <v>5.0</v>
      </c>
      <c r="N18" s="181">
        <v>76.0</v>
      </c>
    </row>
    <row r="19">
      <c r="A19" s="63"/>
      <c r="B19" s="52" t="s">
        <v>37</v>
      </c>
      <c r="C19" s="65" t="s">
        <v>13</v>
      </c>
      <c r="D19" s="71" t="s">
        <v>55</v>
      </c>
      <c r="E19" s="72" t="s">
        <v>24</v>
      </c>
      <c r="F19" s="72" t="s">
        <v>47</v>
      </c>
      <c r="G19" s="77" t="s">
        <v>25</v>
      </c>
      <c r="H19" s="55" t="s">
        <v>27</v>
      </c>
      <c r="I19" s="72" t="s">
        <v>53</v>
      </c>
      <c r="J19" s="74" t="s">
        <v>31</v>
      </c>
      <c r="K19" s="77" t="s">
        <v>32</v>
      </c>
      <c r="L19" s="77"/>
      <c r="M19" s="57">
        <v>4.0</v>
      </c>
      <c r="N19" s="181">
        <v>77.0</v>
      </c>
    </row>
    <row r="20">
      <c r="A20" s="63"/>
      <c r="B20" s="52" t="s">
        <v>38</v>
      </c>
      <c r="C20" s="65" t="s">
        <v>39</v>
      </c>
      <c r="D20" s="69" t="s">
        <v>55</v>
      </c>
      <c r="E20" s="70" t="s">
        <v>24</v>
      </c>
      <c r="F20" s="70" t="s">
        <v>26</v>
      </c>
      <c r="G20" s="73" t="s">
        <v>25</v>
      </c>
      <c r="H20" s="70" t="s">
        <v>27</v>
      </c>
      <c r="I20" s="70" t="s">
        <v>53</v>
      </c>
      <c r="J20" s="191" t="s">
        <v>21</v>
      </c>
      <c r="K20" s="73" t="s">
        <v>32</v>
      </c>
      <c r="L20" s="73"/>
      <c r="M20" s="57">
        <v>6.0</v>
      </c>
      <c r="N20" s="181">
        <v>87.0</v>
      </c>
    </row>
    <row r="21">
      <c r="A21" s="63"/>
      <c r="B21" s="52" t="s">
        <v>40</v>
      </c>
      <c r="C21" s="65" t="s">
        <v>39</v>
      </c>
      <c r="D21" s="71" t="s">
        <v>55</v>
      </c>
      <c r="E21" s="72" t="s">
        <v>24</v>
      </c>
      <c r="F21" s="72" t="s">
        <v>26</v>
      </c>
      <c r="G21" s="77" t="s">
        <v>25</v>
      </c>
      <c r="H21" s="72" t="s">
        <v>33</v>
      </c>
      <c r="I21" s="72" t="s">
        <v>153</v>
      </c>
      <c r="J21" s="74" t="s">
        <v>154</v>
      </c>
      <c r="K21" s="77" t="s">
        <v>32</v>
      </c>
      <c r="L21" s="77"/>
      <c r="M21" s="57">
        <v>6.0</v>
      </c>
      <c r="N21" s="181">
        <v>66.0</v>
      </c>
    </row>
    <row r="22">
      <c r="A22" s="63"/>
      <c r="B22" s="52" t="s">
        <v>41</v>
      </c>
      <c r="C22" s="53" t="s">
        <v>39</v>
      </c>
      <c r="D22" s="69" t="s">
        <v>55</v>
      </c>
      <c r="E22" s="70" t="s">
        <v>24</v>
      </c>
      <c r="F22" s="70" t="s">
        <v>26</v>
      </c>
      <c r="G22" s="73" t="s">
        <v>25</v>
      </c>
      <c r="H22" s="70" t="s">
        <v>27</v>
      </c>
      <c r="I22" s="70" t="s">
        <v>54</v>
      </c>
      <c r="J22" s="191" t="s">
        <v>21</v>
      </c>
      <c r="K22" s="73" t="s">
        <v>32</v>
      </c>
      <c r="L22" s="61"/>
      <c r="M22" s="57">
        <v>5.0</v>
      </c>
      <c r="N22" s="181">
        <v>80.0</v>
      </c>
    </row>
    <row r="23">
      <c r="A23" s="63"/>
      <c r="B23" s="52" t="s">
        <v>42</v>
      </c>
      <c r="C23" s="53" t="s">
        <v>39</v>
      </c>
      <c r="D23" s="54" t="s">
        <v>55</v>
      </c>
      <c r="E23" s="55" t="s">
        <v>24</v>
      </c>
      <c r="F23" s="55" t="s">
        <v>47</v>
      </c>
      <c r="G23" s="55" t="s">
        <v>25</v>
      </c>
      <c r="H23" s="55" t="s">
        <v>27</v>
      </c>
      <c r="I23" s="55" t="s">
        <v>53</v>
      </c>
      <c r="J23" s="74" t="s">
        <v>21</v>
      </c>
      <c r="K23" s="55" t="s">
        <v>32</v>
      </c>
      <c r="L23" s="56"/>
      <c r="M23" s="57">
        <v>5.0</v>
      </c>
      <c r="N23" s="181">
        <v>82.0</v>
      </c>
    </row>
    <row r="24">
      <c r="A24" s="63"/>
      <c r="B24" s="52" t="s">
        <v>43</v>
      </c>
      <c r="C24" s="53" t="s">
        <v>44</v>
      </c>
      <c r="D24" s="203" t="s">
        <v>55</v>
      </c>
      <c r="E24" s="60" t="s">
        <v>24</v>
      </c>
      <c r="F24" s="60" t="s">
        <v>26</v>
      </c>
      <c r="G24" s="73" t="s">
        <v>23</v>
      </c>
      <c r="H24" s="76" t="s">
        <v>27</v>
      </c>
      <c r="I24" s="76" t="s">
        <v>53</v>
      </c>
      <c r="J24" s="76" t="s">
        <v>21</v>
      </c>
      <c r="K24" s="60" t="s">
        <v>32</v>
      </c>
      <c r="L24" s="61"/>
      <c r="M24" s="57">
        <v>5.0</v>
      </c>
      <c r="N24" s="181">
        <v>70.0</v>
      </c>
    </row>
    <row r="25">
      <c r="A25" s="63"/>
      <c r="B25" s="52" t="s">
        <v>45</v>
      </c>
      <c r="C25" s="53" t="s">
        <v>44</v>
      </c>
      <c r="D25" s="68" t="s">
        <v>55</v>
      </c>
      <c r="E25" s="55" t="s">
        <v>29</v>
      </c>
      <c r="F25" s="55" t="s">
        <v>26</v>
      </c>
      <c r="G25" s="77" t="s">
        <v>25</v>
      </c>
      <c r="H25" s="78" t="s">
        <v>27</v>
      </c>
      <c r="I25" s="78" t="s">
        <v>53</v>
      </c>
      <c r="J25" s="78" t="s">
        <v>21</v>
      </c>
      <c r="K25" s="55" t="s">
        <v>32</v>
      </c>
      <c r="L25" s="56"/>
      <c r="M25" s="57">
        <v>5.0</v>
      </c>
      <c r="N25" s="181">
        <v>79.0</v>
      </c>
    </row>
    <row r="26">
      <c r="A26" s="63"/>
      <c r="B26" s="52" t="s">
        <v>46</v>
      </c>
      <c r="C26" s="53" t="s">
        <v>18</v>
      </c>
      <c r="D26" s="200" t="s">
        <v>55</v>
      </c>
      <c r="E26" s="76" t="s">
        <v>24</v>
      </c>
      <c r="F26" s="76" t="s">
        <v>47</v>
      </c>
      <c r="G26" s="76" t="s">
        <v>25</v>
      </c>
      <c r="H26" s="76" t="s">
        <v>27</v>
      </c>
      <c r="I26" s="76" t="s">
        <v>53</v>
      </c>
      <c r="J26" s="76" t="s">
        <v>31</v>
      </c>
      <c r="K26" s="76" t="s">
        <v>32</v>
      </c>
      <c r="L26" s="76"/>
      <c r="M26" s="80">
        <v>4.0</v>
      </c>
      <c r="N26" s="181">
        <v>73.0</v>
      </c>
    </row>
    <row r="27">
      <c r="A27" s="63"/>
      <c r="B27" s="52" t="s">
        <v>48</v>
      </c>
      <c r="C27" s="53" t="s">
        <v>49</v>
      </c>
      <c r="D27" s="201" t="s">
        <v>55</v>
      </c>
      <c r="E27" s="81" t="s">
        <v>24</v>
      </c>
      <c r="F27" s="82" t="s">
        <v>47</v>
      </c>
      <c r="G27" s="82" t="s">
        <v>25</v>
      </c>
      <c r="H27" s="82" t="s">
        <v>27</v>
      </c>
      <c r="I27" s="82" t="s">
        <v>54</v>
      </c>
      <c r="J27" s="82" t="s">
        <v>21</v>
      </c>
      <c r="K27" s="82" t="s">
        <v>32</v>
      </c>
      <c r="L27" s="82"/>
      <c r="M27" s="57">
        <v>4.0</v>
      </c>
      <c r="N27" s="181">
        <v>73.0</v>
      </c>
    </row>
    <row r="28">
      <c r="A28" s="63"/>
      <c r="B28" s="52" t="s">
        <v>50</v>
      </c>
      <c r="C28" s="53" t="s">
        <v>51</v>
      </c>
      <c r="D28" s="202" t="s">
        <v>36</v>
      </c>
      <c r="E28" s="66" t="s">
        <v>24</v>
      </c>
      <c r="F28" s="67" t="s">
        <v>26</v>
      </c>
      <c r="G28" s="67" t="s">
        <v>25</v>
      </c>
      <c r="H28" s="67" t="s">
        <v>27</v>
      </c>
      <c r="I28" s="67" t="s">
        <v>53</v>
      </c>
      <c r="J28" s="67" t="s">
        <v>31</v>
      </c>
      <c r="K28" s="67" t="s">
        <v>32</v>
      </c>
      <c r="L28" s="67"/>
      <c r="M28" s="57">
        <v>6.0</v>
      </c>
      <c r="N28" s="181">
        <v>80.0</v>
      </c>
    </row>
    <row r="29">
      <c r="A29" s="63"/>
      <c r="B29" s="52" t="s">
        <v>52</v>
      </c>
      <c r="C29" s="53" t="s">
        <v>13</v>
      </c>
      <c r="D29" s="68" t="s">
        <v>55</v>
      </c>
      <c r="E29" s="55" t="s">
        <v>24</v>
      </c>
      <c r="F29" s="55" t="s">
        <v>26</v>
      </c>
      <c r="G29" s="55" t="s">
        <v>25</v>
      </c>
      <c r="H29" s="55" t="s">
        <v>27</v>
      </c>
      <c r="I29" s="55" t="s">
        <v>53</v>
      </c>
      <c r="J29" s="55" t="s">
        <v>21</v>
      </c>
      <c r="K29" s="55" t="s">
        <v>32</v>
      </c>
      <c r="L29" s="56"/>
      <c r="M29" s="57">
        <v>6.0</v>
      </c>
      <c r="N29" s="181">
        <v>86.0</v>
      </c>
    </row>
    <row r="30">
      <c r="A30" s="63"/>
      <c r="B30" s="52" t="s">
        <v>56</v>
      </c>
      <c r="C30" s="53" t="s">
        <v>13</v>
      </c>
      <c r="D30" s="203" t="s">
        <v>55</v>
      </c>
      <c r="E30" s="60" t="s">
        <v>29</v>
      </c>
      <c r="F30" s="60" t="s">
        <v>26</v>
      </c>
      <c r="G30" s="60" t="s">
        <v>25</v>
      </c>
      <c r="H30" s="60" t="s">
        <v>27</v>
      </c>
      <c r="I30" s="60" t="s">
        <v>54</v>
      </c>
      <c r="J30" s="60" t="s">
        <v>21</v>
      </c>
      <c r="K30" s="60" t="s">
        <v>32</v>
      </c>
      <c r="L30" s="61"/>
      <c r="M30" s="57">
        <v>4.0</v>
      </c>
      <c r="N30" s="181">
        <v>72.0</v>
      </c>
    </row>
    <row r="31">
      <c r="A31" s="63"/>
      <c r="B31" s="52" t="s">
        <v>58</v>
      </c>
      <c r="C31" s="53" t="s">
        <v>59</v>
      </c>
      <c r="D31" s="54" t="s">
        <v>36</v>
      </c>
      <c r="E31" s="55" t="s">
        <v>29</v>
      </c>
      <c r="F31" s="72" t="s">
        <v>26</v>
      </c>
      <c r="G31" s="55" t="s">
        <v>23</v>
      </c>
      <c r="H31" s="55" t="s">
        <v>33</v>
      </c>
      <c r="I31" s="55" t="s">
        <v>53</v>
      </c>
      <c r="J31" s="55" t="s">
        <v>31</v>
      </c>
      <c r="K31" s="55" t="s">
        <v>32</v>
      </c>
      <c r="L31" s="56"/>
      <c r="M31" s="57">
        <v>5.0</v>
      </c>
      <c r="N31" s="181">
        <v>52.0</v>
      </c>
    </row>
    <row r="32">
      <c r="A32" s="63"/>
      <c r="B32" s="52" t="s">
        <v>60</v>
      </c>
      <c r="C32" s="53" t="s">
        <v>39</v>
      </c>
      <c r="D32" s="59" t="s">
        <v>36</v>
      </c>
      <c r="E32" s="60" t="s">
        <v>24</v>
      </c>
      <c r="F32" s="70" t="s">
        <v>26</v>
      </c>
      <c r="G32" s="60" t="s">
        <v>25</v>
      </c>
      <c r="H32" s="60" t="s">
        <v>27</v>
      </c>
      <c r="I32" s="60" t="s">
        <v>53</v>
      </c>
      <c r="J32" s="60" t="s">
        <v>21</v>
      </c>
      <c r="K32" s="60" t="s">
        <v>32</v>
      </c>
      <c r="L32" s="61"/>
      <c r="M32" s="57">
        <v>7.0</v>
      </c>
      <c r="N32" s="181">
        <v>85.0</v>
      </c>
    </row>
    <row r="33">
      <c r="A33" s="39"/>
      <c r="B33" s="52" t="s">
        <v>61</v>
      </c>
      <c r="C33" s="53" t="s">
        <v>39</v>
      </c>
      <c r="D33" s="83" t="s">
        <v>36</v>
      </c>
      <c r="E33" s="84" t="s">
        <v>24</v>
      </c>
      <c r="F33" s="84" t="s">
        <v>26</v>
      </c>
      <c r="G33" s="84" t="s">
        <v>25</v>
      </c>
      <c r="H33" s="84" t="s">
        <v>27</v>
      </c>
      <c r="I33" s="84" t="s">
        <v>53</v>
      </c>
      <c r="J33" s="84" t="s">
        <v>21</v>
      </c>
      <c r="K33" s="84" t="s">
        <v>32</v>
      </c>
      <c r="L33" s="85"/>
      <c r="M33" s="86">
        <v>7.0</v>
      </c>
      <c r="N33" s="181">
        <v>85.0</v>
      </c>
    </row>
    <row r="34">
      <c r="A34" s="39"/>
      <c r="B34" s="87" t="s">
        <v>62</v>
      </c>
      <c r="C34" s="88" t="s">
        <v>63</v>
      </c>
      <c r="D34" s="89" t="s">
        <v>55</v>
      </c>
      <c r="E34" s="89" t="s">
        <v>24</v>
      </c>
      <c r="F34" s="89" t="s">
        <v>26</v>
      </c>
      <c r="G34" s="89" t="s">
        <v>25</v>
      </c>
      <c r="H34" s="89" t="s">
        <v>27</v>
      </c>
      <c r="I34" s="89" t="s">
        <v>53</v>
      </c>
      <c r="J34" s="89" t="s">
        <v>21</v>
      </c>
      <c r="K34" s="89" t="s">
        <v>32</v>
      </c>
      <c r="L34" s="89" t="s">
        <v>139</v>
      </c>
      <c r="M34" s="90">
        <v>6.0</v>
      </c>
      <c r="N34" s="182">
        <v>82.0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45810.0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12.0</v>
      </c>
      <c r="B2" s="7" t="s">
        <v>155</v>
      </c>
      <c r="C2" s="8"/>
      <c r="D2" s="9" t="s">
        <v>156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45806.8125</v>
      </c>
      <c r="E3" s="15">
        <v>45807.819444444445</v>
      </c>
      <c r="F3" s="15">
        <v>45808.555555555555</v>
      </c>
      <c r="G3" s="15">
        <v>45808.677083333336</v>
      </c>
      <c r="H3" s="15">
        <v>45808.81597222222</v>
      </c>
      <c r="I3" s="15">
        <v>45809.63888888889</v>
      </c>
      <c r="J3" s="15">
        <v>45809.805555555555</v>
      </c>
      <c r="K3" s="15" t="s">
        <v>144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144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45806.8125</v>
      </c>
      <c r="E5" s="25">
        <v>45807.819444444445</v>
      </c>
      <c r="F5" s="25">
        <v>45808.555555555555</v>
      </c>
      <c r="G5" s="25">
        <v>45808.677083333336</v>
      </c>
      <c r="H5" s="25">
        <v>45808.81597222222</v>
      </c>
      <c r="I5" s="25">
        <v>45809.618055555555</v>
      </c>
      <c r="J5" s="25">
        <v>45809.72222222222</v>
      </c>
      <c r="K5" s="25" t="s">
        <v>144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29</v>
      </c>
      <c r="E6" s="30" t="s">
        <v>32</v>
      </c>
      <c r="F6" s="30" t="s">
        <v>23</v>
      </c>
      <c r="G6" s="30" t="s">
        <v>27</v>
      </c>
      <c r="H6" s="30" t="s">
        <v>26</v>
      </c>
      <c r="I6" s="30" t="s">
        <v>22</v>
      </c>
      <c r="J6" s="30" t="s">
        <v>54</v>
      </c>
      <c r="K6" s="30" t="s">
        <v>144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31</v>
      </c>
      <c r="E7" s="32" t="s">
        <v>36</v>
      </c>
      <c r="F7" s="32" t="s">
        <v>28</v>
      </c>
      <c r="G7" s="32" t="s">
        <v>47</v>
      </c>
      <c r="H7" s="32" t="s">
        <v>24</v>
      </c>
      <c r="I7" s="32" t="s">
        <v>34</v>
      </c>
      <c r="J7" s="32" t="s">
        <v>25</v>
      </c>
      <c r="K7" s="32" t="s">
        <v>144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127</v>
      </c>
      <c r="E8" s="36" t="s">
        <v>117</v>
      </c>
      <c r="F8" s="36" t="s">
        <v>116</v>
      </c>
      <c r="G8" s="36" t="s">
        <v>133</v>
      </c>
      <c r="H8" s="36" t="s">
        <v>120</v>
      </c>
      <c r="I8" s="36" t="s">
        <v>157</v>
      </c>
      <c r="J8" s="36" t="s">
        <v>115</v>
      </c>
      <c r="K8" s="36" t="s">
        <v>144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29</v>
      </c>
      <c r="E9" s="42" t="s">
        <v>32</v>
      </c>
      <c r="F9" s="42" t="s">
        <v>28</v>
      </c>
      <c r="G9" s="42" t="s">
        <v>27</v>
      </c>
      <c r="H9" s="42" t="s">
        <v>24</v>
      </c>
      <c r="I9" s="42" t="s">
        <v>34</v>
      </c>
      <c r="J9" s="42" t="s">
        <v>25</v>
      </c>
      <c r="K9" s="42" t="s">
        <v>144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29</v>
      </c>
      <c r="E10" s="48" t="s">
        <v>32</v>
      </c>
      <c r="F10" s="48" t="s">
        <v>23</v>
      </c>
      <c r="G10" s="48" t="s">
        <v>27</v>
      </c>
      <c r="H10" s="48" t="s">
        <v>24</v>
      </c>
      <c r="I10" s="48" t="s">
        <v>22</v>
      </c>
      <c r="J10" s="48" t="s">
        <v>25</v>
      </c>
      <c r="K10" s="48"/>
      <c r="L10" s="49"/>
      <c r="M10" s="50">
        <v>5.0</v>
      </c>
      <c r="N10" s="51">
        <v>71.0</v>
      </c>
    </row>
    <row r="11">
      <c r="A11" s="39"/>
      <c r="B11" s="52" t="s">
        <v>12</v>
      </c>
      <c r="C11" s="53" t="s">
        <v>13</v>
      </c>
      <c r="D11" s="54" t="s">
        <v>31</v>
      </c>
      <c r="E11" s="55" t="s">
        <v>32</v>
      </c>
      <c r="F11" s="55" t="s">
        <v>23</v>
      </c>
      <c r="G11" s="55" t="s">
        <v>27</v>
      </c>
      <c r="H11" s="55" t="s">
        <v>26</v>
      </c>
      <c r="I11" s="55" t="s">
        <v>22</v>
      </c>
      <c r="J11" s="55" t="s">
        <v>25</v>
      </c>
      <c r="K11" s="55"/>
      <c r="L11" s="56"/>
      <c r="M11" s="57">
        <v>3.0</v>
      </c>
      <c r="N11" s="58">
        <v>58.0</v>
      </c>
    </row>
    <row r="12">
      <c r="A12" s="39"/>
      <c r="B12" s="52" t="s">
        <v>14</v>
      </c>
      <c r="C12" s="53" t="s">
        <v>15</v>
      </c>
      <c r="D12" s="59" t="s">
        <v>29</v>
      </c>
      <c r="E12" s="60" t="s">
        <v>32</v>
      </c>
      <c r="F12" s="60" t="s">
        <v>23</v>
      </c>
      <c r="G12" s="60" t="s">
        <v>27</v>
      </c>
      <c r="H12" s="60" t="s">
        <v>24</v>
      </c>
      <c r="I12" s="60" t="s">
        <v>22</v>
      </c>
      <c r="J12" s="60" t="s">
        <v>25</v>
      </c>
      <c r="K12" s="60"/>
      <c r="L12" s="61"/>
      <c r="M12" s="57">
        <v>5.0</v>
      </c>
      <c r="N12" s="62">
        <v>72.0</v>
      </c>
    </row>
    <row r="13">
      <c r="A13" s="63"/>
      <c r="B13" s="52" t="s">
        <v>16</v>
      </c>
      <c r="C13" s="53" t="s">
        <v>11</v>
      </c>
      <c r="D13" s="54" t="s">
        <v>29</v>
      </c>
      <c r="E13" s="55" t="s">
        <v>36</v>
      </c>
      <c r="F13" s="55" t="s">
        <v>23</v>
      </c>
      <c r="G13" s="55" t="s">
        <v>47</v>
      </c>
      <c r="H13" s="55" t="s">
        <v>26</v>
      </c>
      <c r="I13" s="55" t="s">
        <v>22</v>
      </c>
      <c r="J13" s="55" t="s">
        <v>25</v>
      </c>
      <c r="K13" s="55"/>
      <c r="L13" s="56"/>
      <c r="M13" s="57">
        <v>2.0</v>
      </c>
      <c r="N13" s="181">
        <v>58.0</v>
      </c>
    </row>
    <row r="14">
      <c r="A14" s="63"/>
      <c r="B14" s="52" t="s">
        <v>17</v>
      </c>
      <c r="C14" s="53" t="s">
        <v>18</v>
      </c>
      <c r="D14" s="59" t="s">
        <v>29</v>
      </c>
      <c r="E14" s="60" t="s">
        <v>32</v>
      </c>
      <c r="F14" s="60" t="s">
        <v>23</v>
      </c>
      <c r="G14" s="60" t="s">
        <v>47</v>
      </c>
      <c r="H14" s="60" t="s">
        <v>24</v>
      </c>
      <c r="I14" s="60" t="s">
        <v>34</v>
      </c>
      <c r="J14" s="60" t="s">
        <v>25</v>
      </c>
      <c r="K14" s="60"/>
      <c r="L14" s="61"/>
      <c r="M14" s="57">
        <v>5.0</v>
      </c>
      <c r="N14" s="181">
        <v>62.0</v>
      </c>
    </row>
    <row r="15">
      <c r="A15" s="63"/>
      <c r="B15" s="52" t="s">
        <v>19</v>
      </c>
      <c r="C15" s="53"/>
      <c r="D15" s="54" t="s">
        <v>29</v>
      </c>
      <c r="E15" s="55" t="s">
        <v>32</v>
      </c>
      <c r="F15" s="55" t="s">
        <v>28</v>
      </c>
      <c r="G15" s="55" t="s">
        <v>27</v>
      </c>
      <c r="H15" s="55" t="s">
        <v>26</v>
      </c>
      <c r="I15" s="55" t="s">
        <v>34</v>
      </c>
      <c r="J15" s="55" t="s">
        <v>54</v>
      </c>
      <c r="K15" s="55"/>
      <c r="L15" s="56"/>
      <c r="M15" s="57">
        <v>5.0</v>
      </c>
      <c r="N15" s="181">
        <v>50.0</v>
      </c>
    </row>
    <row r="16">
      <c r="A16" s="63"/>
      <c r="B16" s="52" t="s">
        <v>20</v>
      </c>
      <c r="C16" s="65" t="s">
        <v>15</v>
      </c>
      <c r="D16" s="66" t="s">
        <v>29</v>
      </c>
      <c r="E16" s="66" t="s">
        <v>32</v>
      </c>
      <c r="F16" s="67" t="s">
        <v>23</v>
      </c>
      <c r="G16" s="67" t="s">
        <v>27</v>
      </c>
      <c r="H16" s="67" t="s">
        <v>24</v>
      </c>
      <c r="I16" s="67" t="s">
        <v>22</v>
      </c>
      <c r="J16" s="67" t="s">
        <v>25</v>
      </c>
      <c r="K16" s="67"/>
      <c r="L16" s="67"/>
      <c r="M16" s="57">
        <v>5.0</v>
      </c>
      <c r="N16" s="181">
        <v>71.0</v>
      </c>
    </row>
    <row r="17">
      <c r="A17" s="63"/>
      <c r="B17" s="52" t="s">
        <v>30</v>
      </c>
      <c r="C17" s="53" t="s">
        <v>13</v>
      </c>
      <c r="D17" s="68" t="s">
        <v>31</v>
      </c>
      <c r="E17" s="55" t="s">
        <v>32</v>
      </c>
      <c r="F17" s="55" t="s">
        <v>23</v>
      </c>
      <c r="G17" s="55" t="s">
        <v>27</v>
      </c>
      <c r="H17" s="55" t="s">
        <v>26</v>
      </c>
      <c r="I17" s="55" t="s">
        <v>22</v>
      </c>
      <c r="J17" s="55" t="s">
        <v>25</v>
      </c>
      <c r="K17" s="55"/>
      <c r="L17" s="56"/>
      <c r="M17" s="57">
        <v>3.0</v>
      </c>
      <c r="N17" s="181">
        <v>68.0</v>
      </c>
    </row>
    <row r="18">
      <c r="A18" s="63"/>
      <c r="B18" s="52" t="s">
        <v>35</v>
      </c>
      <c r="C18" s="53" t="s">
        <v>13</v>
      </c>
      <c r="D18" s="69" t="s">
        <v>31</v>
      </c>
      <c r="E18" s="70" t="s">
        <v>32</v>
      </c>
      <c r="F18" s="70" t="s">
        <v>23</v>
      </c>
      <c r="G18" s="70" t="s">
        <v>27</v>
      </c>
      <c r="H18" s="70" t="s">
        <v>26</v>
      </c>
      <c r="I18" s="70" t="s">
        <v>22</v>
      </c>
      <c r="J18" s="70" t="s">
        <v>25</v>
      </c>
      <c r="K18" s="70"/>
      <c r="L18" s="205"/>
      <c r="M18" s="57">
        <v>3.0</v>
      </c>
      <c r="N18" s="181">
        <v>69.0</v>
      </c>
    </row>
    <row r="19">
      <c r="A19" s="63"/>
      <c r="B19" s="52" t="s">
        <v>37</v>
      </c>
      <c r="C19" s="65" t="s">
        <v>13</v>
      </c>
      <c r="D19" s="71" t="s">
        <v>29</v>
      </c>
      <c r="E19" s="72" t="s">
        <v>32</v>
      </c>
      <c r="F19" s="72" t="s">
        <v>23</v>
      </c>
      <c r="G19" s="77" t="s">
        <v>27</v>
      </c>
      <c r="H19" s="55" t="s">
        <v>24</v>
      </c>
      <c r="I19" s="72" t="s">
        <v>22</v>
      </c>
      <c r="J19" s="74" t="s">
        <v>25</v>
      </c>
      <c r="K19" s="77"/>
      <c r="L19" s="77"/>
      <c r="M19" s="57">
        <v>5.0</v>
      </c>
      <c r="N19" s="181">
        <v>74.0</v>
      </c>
    </row>
    <row r="20">
      <c r="A20" s="63"/>
      <c r="B20" s="52" t="s">
        <v>38</v>
      </c>
      <c r="C20" s="65" t="s">
        <v>39</v>
      </c>
      <c r="D20" s="69" t="s">
        <v>29</v>
      </c>
      <c r="E20" s="70" t="s">
        <v>32</v>
      </c>
      <c r="F20" s="70" t="s">
        <v>23</v>
      </c>
      <c r="G20" s="73" t="s">
        <v>27</v>
      </c>
      <c r="H20" s="70" t="s">
        <v>24</v>
      </c>
      <c r="I20" s="70" t="s">
        <v>22</v>
      </c>
      <c r="J20" s="191" t="s">
        <v>25</v>
      </c>
      <c r="K20" s="73"/>
      <c r="L20" s="73"/>
      <c r="M20" s="57">
        <v>5.0</v>
      </c>
      <c r="N20" s="181">
        <v>80.0</v>
      </c>
    </row>
    <row r="21">
      <c r="A21" s="63"/>
      <c r="B21" s="52" t="s">
        <v>40</v>
      </c>
      <c r="C21" s="65" t="s">
        <v>39</v>
      </c>
      <c r="D21" s="71" t="s">
        <v>29</v>
      </c>
      <c r="E21" s="72" t="s">
        <v>36</v>
      </c>
      <c r="F21" s="72" t="s">
        <v>23</v>
      </c>
      <c r="G21" s="77" t="s">
        <v>27</v>
      </c>
      <c r="H21" s="72" t="s">
        <v>26</v>
      </c>
      <c r="I21" s="72" t="s">
        <v>22</v>
      </c>
      <c r="J21" s="74" t="s">
        <v>54</v>
      </c>
      <c r="K21" s="77"/>
      <c r="L21" s="77"/>
      <c r="M21" s="57">
        <v>2.0</v>
      </c>
      <c r="N21" s="181">
        <v>56.0</v>
      </c>
    </row>
    <row r="22">
      <c r="A22" s="63"/>
      <c r="B22" s="52" t="s">
        <v>41</v>
      </c>
      <c r="C22" s="53" t="s">
        <v>39</v>
      </c>
      <c r="D22" s="69" t="s">
        <v>29</v>
      </c>
      <c r="E22" s="70" t="s">
        <v>32</v>
      </c>
      <c r="F22" s="70" t="s">
        <v>23</v>
      </c>
      <c r="G22" s="73" t="s">
        <v>27</v>
      </c>
      <c r="H22" s="70" t="s">
        <v>26</v>
      </c>
      <c r="I22" s="70" t="s">
        <v>22</v>
      </c>
      <c r="J22" s="191" t="s">
        <v>25</v>
      </c>
      <c r="K22" s="73"/>
      <c r="L22" s="61"/>
      <c r="M22" s="57">
        <v>4.0</v>
      </c>
      <c r="N22" s="181">
        <v>74.0</v>
      </c>
    </row>
    <row r="23">
      <c r="A23" s="63"/>
      <c r="B23" s="52" t="s">
        <v>42</v>
      </c>
      <c r="C23" s="53" t="s">
        <v>39</v>
      </c>
      <c r="D23" s="54" t="s">
        <v>29</v>
      </c>
      <c r="E23" s="55" t="s">
        <v>32</v>
      </c>
      <c r="F23" s="55" t="s">
        <v>23</v>
      </c>
      <c r="G23" s="55" t="s">
        <v>27</v>
      </c>
      <c r="H23" s="55" t="s">
        <v>24</v>
      </c>
      <c r="I23" s="55" t="s">
        <v>22</v>
      </c>
      <c r="J23" s="74" t="s">
        <v>25</v>
      </c>
      <c r="K23" s="55"/>
      <c r="L23" s="56"/>
      <c r="M23" s="57">
        <v>5.0</v>
      </c>
      <c r="N23" s="181">
        <v>77.0</v>
      </c>
    </row>
    <row r="24">
      <c r="A24" s="63"/>
      <c r="B24" s="52" t="s">
        <v>43</v>
      </c>
      <c r="C24" s="53" t="s">
        <v>44</v>
      </c>
      <c r="D24" s="203" t="s">
        <v>29</v>
      </c>
      <c r="E24" s="60" t="s">
        <v>32</v>
      </c>
      <c r="F24" s="60" t="s">
        <v>23</v>
      </c>
      <c r="G24" s="73" t="s">
        <v>27</v>
      </c>
      <c r="H24" s="60" t="s">
        <v>26</v>
      </c>
      <c r="I24" s="76" t="s">
        <v>22</v>
      </c>
      <c r="J24" s="76" t="s">
        <v>25</v>
      </c>
      <c r="K24" s="60"/>
      <c r="L24" s="61"/>
      <c r="M24" s="57">
        <v>4.0</v>
      </c>
      <c r="N24" s="181">
        <v>64.0</v>
      </c>
    </row>
    <row r="25">
      <c r="A25" s="63"/>
      <c r="B25" s="52" t="s">
        <v>45</v>
      </c>
      <c r="C25" s="53" t="s">
        <v>44</v>
      </c>
      <c r="D25" s="68" t="s">
        <v>29</v>
      </c>
      <c r="E25" s="55" t="s">
        <v>32</v>
      </c>
      <c r="F25" s="55" t="s">
        <v>23</v>
      </c>
      <c r="G25" s="77" t="s">
        <v>27</v>
      </c>
      <c r="H25" s="55" t="s">
        <v>26</v>
      </c>
      <c r="I25" s="78" t="s">
        <v>34</v>
      </c>
      <c r="J25" s="78" t="s">
        <v>25</v>
      </c>
      <c r="K25" s="55"/>
      <c r="L25" s="56"/>
      <c r="M25" s="57">
        <v>5.0</v>
      </c>
      <c r="N25" s="181">
        <v>74.0</v>
      </c>
    </row>
    <row r="26">
      <c r="A26" s="63"/>
      <c r="B26" s="52" t="s">
        <v>46</v>
      </c>
      <c r="C26" s="53" t="s">
        <v>18</v>
      </c>
      <c r="D26" s="200" t="s">
        <v>29</v>
      </c>
      <c r="E26" s="76" t="s">
        <v>32</v>
      </c>
      <c r="F26" s="76" t="s">
        <v>23</v>
      </c>
      <c r="G26" s="76" t="s">
        <v>27</v>
      </c>
      <c r="H26" s="76" t="s">
        <v>24</v>
      </c>
      <c r="I26" s="76" t="s">
        <v>22</v>
      </c>
      <c r="J26" s="76" t="s">
        <v>25</v>
      </c>
      <c r="K26" s="76"/>
      <c r="L26" s="76"/>
      <c r="M26" s="80">
        <v>5.0</v>
      </c>
      <c r="N26" s="181">
        <v>70.0</v>
      </c>
    </row>
    <row r="27">
      <c r="A27" s="63"/>
      <c r="B27" s="52" t="s">
        <v>48</v>
      </c>
      <c r="C27" s="53" t="s">
        <v>49</v>
      </c>
      <c r="D27" s="201" t="s">
        <v>29</v>
      </c>
      <c r="E27" s="81" t="s">
        <v>32</v>
      </c>
      <c r="F27" s="82" t="s">
        <v>23</v>
      </c>
      <c r="G27" s="82" t="s">
        <v>27</v>
      </c>
      <c r="H27" s="82" t="s">
        <v>24</v>
      </c>
      <c r="I27" s="82" t="s">
        <v>22</v>
      </c>
      <c r="J27" s="82" t="s">
        <v>25</v>
      </c>
      <c r="K27" s="82"/>
      <c r="L27" s="82"/>
      <c r="M27" s="57">
        <v>5.0</v>
      </c>
      <c r="N27" s="181">
        <v>70.0</v>
      </c>
    </row>
    <row r="28">
      <c r="A28" s="63"/>
      <c r="B28" s="52" t="s">
        <v>50</v>
      </c>
      <c r="C28" s="53" t="s">
        <v>51</v>
      </c>
      <c r="D28" s="202" t="s">
        <v>29</v>
      </c>
      <c r="E28" s="66" t="s">
        <v>32</v>
      </c>
      <c r="F28" s="67" t="s">
        <v>23</v>
      </c>
      <c r="G28" s="67" t="s">
        <v>27</v>
      </c>
      <c r="H28" s="67" t="s">
        <v>24</v>
      </c>
      <c r="I28" s="67" t="s">
        <v>22</v>
      </c>
      <c r="J28" s="67" t="s">
        <v>25</v>
      </c>
      <c r="K28" s="67"/>
      <c r="L28" s="67"/>
      <c r="M28" s="57">
        <v>5.0</v>
      </c>
      <c r="N28" s="181">
        <v>73.0</v>
      </c>
    </row>
    <row r="29">
      <c r="A29" s="63"/>
      <c r="B29" s="52" t="s">
        <v>52</v>
      </c>
      <c r="C29" s="53" t="s">
        <v>13</v>
      </c>
      <c r="D29" s="68" t="s">
        <v>29</v>
      </c>
      <c r="E29" s="55" t="s">
        <v>32</v>
      </c>
      <c r="F29" s="55" t="s">
        <v>23</v>
      </c>
      <c r="G29" s="55" t="s">
        <v>57</v>
      </c>
      <c r="H29" s="55" t="s">
        <v>24</v>
      </c>
      <c r="I29" s="55" t="s">
        <v>22</v>
      </c>
      <c r="J29" s="55" t="s">
        <v>25</v>
      </c>
      <c r="K29" s="55"/>
      <c r="L29" s="56"/>
      <c r="M29" s="57">
        <v>5.0</v>
      </c>
      <c r="N29" s="181">
        <v>79.0</v>
      </c>
    </row>
    <row r="30">
      <c r="A30" s="63"/>
      <c r="B30" s="52" t="s">
        <v>56</v>
      </c>
      <c r="C30" s="53" t="s">
        <v>13</v>
      </c>
      <c r="D30" s="203" t="s">
        <v>31</v>
      </c>
      <c r="E30" s="60" t="s">
        <v>32</v>
      </c>
      <c r="F30" s="60" t="s">
        <v>23</v>
      </c>
      <c r="G30" s="60" t="s">
        <v>27</v>
      </c>
      <c r="H30" s="60" t="s">
        <v>26</v>
      </c>
      <c r="I30" s="60" t="s">
        <v>22</v>
      </c>
      <c r="J30" s="60" t="s">
        <v>25</v>
      </c>
      <c r="K30" s="60"/>
      <c r="L30" s="61"/>
      <c r="M30" s="57">
        <v>3.0</v>
      </c>
      <c r="N30" s="181">
        <v>67.0</v>
      </c>
    </row>
    <row r="31">
      <c r="A31" s="63"/>
      <c r="B31" s="52" t="s">
        <v>58</v>
      </c>
      <c r="C31" s="53" t="s">
        <v>59</v>
      </c>
      <c r="D31" s="54" t="s">
        <v>31</v>
      </c>
      <c r="E31" s="55" t="s">
        <v>32</v>
      </c>
      <c r="F31" s="72" t="s">
        <v>23</v>
      </c>
      <c r="G31" s="55" t="s">
        <v>47</v>
      </c>
      <c r="H31" s="55" t="s">
        <v>26</v>
      </c>
      <c r="I31" s="55" t="s">
        <v>22</v>
      </c>
      <c r="J31" s="55" t="s">
        <v>54</v>
      </c>
      <c r="K31" s="55"/>
      <c r="L31" s="56"/>
      <c r="M31" s="57">
        <v>1.0</v>
      </c>
      <c r="N31" s="181">
        <v>43.0</v>
      </c>
    </row>
    <row r="32">
      <c r="A32" s="63"/>
      <c r="B32" s="52" t="s">
        <v>60</v>
      </c>
      <c r="C32" s="53" t="s">
        <v>39</v>
      </c>
      <c r="D32" s="59" t="s">
        <v>29</v>
      </c>
      <c r="E32" s="60" t="s">
        <v>32</v>
      </c>
      <c r="F32" s="70" t="s">
        <v>23</v>
      </c>
      <c r="G32" s="60" t="s">
        <v>27</v>
      </c>
      <c r="H32" s="60" t="s">
        <v>24</v>
      </c>
      <c r="I32" s="60" t="s">
        <v>22</v>
      </c>
      <c r="J32" s="60" t="s">
        <v>25</v>
      </c>
      <c r="K32" s="60"/>
      <c r="L32" s="61"/>
      <c r="M32" s="57">
        <v>5.0</v>
      </c>
      <c r="N32" s="181">
        <v>76.0</v>
      </c>
    </row>
    <row r="33">
      <c r="A33" s="39"/>
      <c r="B33" s="52" t="s">
        <v>61</v>
      </c>
      <c r="C33" s="53" t="s">
        <v>39</v>
      </c>
      <c r="D33" s="83" t="s">
        <v>29</v>
      </c>
      <c r="E33" s="84" t="s">
        <v>32</v>
      </c>
      <c r="F33" s="84" t="s">
        <v>23</v>
      </c>
      <c r="G33" s="84" t="s">
        <v>27</v>
      </c>
      <c r="H33" s="84" t="s">
        <v>24</v>
      </c>
      <c r="I33" s="84" t="s">
        <v>22</v>
      </c>
      <c r="J33" s="84" t="s">
        <v>25</v>
      </c>
      <c r="K33" s="84"/>
      <c r="L33" s="85"/>
      <c r="M33" s="86">
        <v>5.0</v>
      </c>
      <c r="N33" s="181">
        <v>76.0</v>
      </c>
    </row>
    <row r="34">
      <c r="A34" s="39"/>
      <c r="B34" s="87" t="s">
        <v>62</v>
      </c>
      <c r="C34" s="88" t="s">
        <v>63</v>
      </c>
      <c r="D34" s="89" t="s">
        <v>29</v>
      </c>
      <c r="E34" s="89" t="s">
        <v>32</v>
      </c>
      <c r="F34" s="89" t="s">
        <v>23</v>
      </c>
      <c r="G34" s="89" t="s">
        <v>27</v>
      </c>
      <c r="H34" s="89" t="s">
        <v>24</v>
      </c>
      <c r="I34" s="89" t="s">
        <v>22</v>
      </c>
      <c r="J34" s="89" t="s">
        <v>25</v>
      </c>
      <c r="K34" s="89" t="s">
        <v>139</v>
      </c>
      <c r="L34" s="89" t="s">
        <v>139</v>
      </c>
      <c r="M34" s="90">
        <v>5.0</v>
      </c>
      <c r="N34" s="182">
        <v>75.0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45803.0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11.0</v>
      </c>
      <c r="B2" s="7" t="s">
        <v>158</v>
      </c>
      <c r="C2" s="8"/>
      <c r="D2" s="9" t="s">
        <v>159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45799.8125</v>
      </c>
      <c r="E3" s="15">
        <v>45800.819444444445</v>
      </c>
      <c r="F3" s="15">
        <v>45801.524305555555</v>
      </c>
      <c r="G3" s="15">
        <v>45801.677083333336</v>
      </c>
      <c r="H3" s="15">
        <v>45801.81597222222</v>
      </c>
      <c r="I3" s="15">
        <v>45801.84027777778</v>
      </c>
      <c r="J3" s="15">
        <v>45802.54861111111</v>
      </c>
      <c r="K3" s="15">
        <v>45802.63888888889</v>
      </c>
      <c r="L3" s="15">
        <v>45802.694444444445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45799.8125</v>
      </c>
      <c r="E5" s="25">
        <v>45800.819444444445</v>
      </c>
      <c r="F5" s="25">
        <v>45801.524305555555</v>
      </c>
      <c r="G5" s="25">
        <v>45801.677083333336</v>
      </c>
      <c r="H5" s="25">
        <v>45801.81597222222</v>
      </c>
      <c r="I5" s="25">
        <v>45801.756944444445</v>
      </c>
      <c r="J5" s="25">
        <v>45802.52777777778</v>
      </c>
      <c r="K5" s="25">
        <v>45802.63888888889</v>
      </c>
      <c r="L5" s="25">
        <v>45802.694444444445</v>
      </c>
      <c r="M5" s="26"/>
      <c r="N5" s="27"/>
    </row>
    <row r="6">
      <c r="A6" s="6">
        <v>7.0</v>
      </c>
      <c r="B6" s="28" t="s">
        <v>4</v>
      </c>
      <c r="C6" s="29"/>
      <c r="D6" s="30" t="s">
        <v>25</v>
      </c>
      <c r="E6" s="30" t="s">
        <v>31</v>
      </c>
      <c r="F6" s="30" t="s">
        <v>21</v>
      </c>
      <c r="G6" s="30" t="s">
        <v>36</v>
      </c>
      <c r="H6" s="30" t="s">
        <v>53</v>
      </c>
      <c r="I6" s="30" t="s">
        <v>28</v>
      </c>
      <c r="J6" s="30" t="s">
        <v>24</v>
      </c>
      <c r="K6" s="30" t="s">
        <v>22</v>
      </c>
      <c r="L6" s="30" t="s">
        <v>34</v>
      </c>
      <c r="M6" s="21"/>
      <c r="N6" s="22"/>
    </row>
    <row r="7">
      <c r="A7" s="6">
        <v>8.0</v>
      </c>
      <c r="B7" s="31" t="s">
        <v>5</v>
      </c>
      <c r="C7" s="24"/>
      <c r="D7" s="32" t="s">
        <v>55</v>
      </c>
      <c r="E7" s="32" t="s">
        <v>47</v>
      </c>
      <c r="F7" s="32" t="s">
        <v>27</v>
      </c>
      <c r="G7" s="32" t="s">
        <v>29</v>
      </c>
      <c r="H7" s="32" t="s">
        <v>32</v>
      </c>
      <c r="I7" s="32" t="s">
        <v>33</v>
      </c>
      <c r="J7" s="32" t="s">
        <v>54</v>
      </c>
      <c r="K7" s="32" t="s">
        <v>26</v>
      </c>
      <c r="L7" s="32" t="s">
        <v>23</v>
      </c>
      <c r="M7" s="26"/>
      <c r="N7" s="27"/>
    </row>
    <row r="8">
      <c r="A8" s="33">
        <v>9.0</v>
      </c>
      <c r="B8" s="34" t="s">
        <v>6</v>
      </c>
      <c r="C8" s="35"/>
      <c r="D8" s="36" t="s">
        <v>126</v>
      </c>
      <c r="E8" s="36" t="s">
        <v>117</v>
      </c>
      <c r="F8" s="36" t="s">
        <v>114</v>
      </c>
      <c r="G8" s="36" t="s">
        <v>117</v>
      </c>
      <c r="H8" s="36" t="s">
        <v>114</v>
      </c>
      <c r="I8" s="36" t="s">
        <v>115</v>
      </c>
      <c r="J8" s="36" t="s">
        <v>118</v>
      </c>
      <c r="K8" s="36" t="s">
        <v>117</v>
      </c>
      <c r="L8" s="36" t="s">
        <v>114</v>
      </c>
      <c r="M8" s="37"/>
      <c r="N8" s="38"/>
    </row>
    <row r="9">
      <c r="A9" s="39"/>
      <c r="B9" s="40" t="s">
        <v>7</v>
      </c>
      <c r="C9" s="41"/>
      <c r="D9" s="42" t="s">
        <v>25</v>
      </c>
      <c r="E9" s="42" t="s">
        <v>31</v>
      </c>
      <c r="F9" s="42" t="s">
        <v>27</v>
      </c>
      <c r="G9" s="42" t="s">
        <v>29</v>
      </c>
      <c r="H9" s="42" t="s">
        <v>32</v>
      </c>
      <c r="I9" s="42" t="s">
        <v>28</v>
      </c>
      <c r="J9" s="42" t="s">
        <v>24</v>
      </c>
      <c r="K9" s="42" t="s">
        <v>22</v>
      </c>
      <c r="L9" s="42" t="s">
        <v>23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25</v>
      </c>
      <c r="E10" s="48" t="s">
        <v>31</v>
      </c>
      <c r="F10" s="48" t="s">
        <v>27</v>
      </c>
      <c r="G10" s="48" t="s">
        <v>36</v>
      </c>
      <c r="H10" s="48" t="s">
        <v>32</v>
      </c>
      <c r="I10" s="48" t="s">
        <v>28</v>
      </c>
      <c r="J10" s="48" t="s">
        <v>24</v>
      </c>
      <c r="K10" s="48" t="s">
        <v>26</v>
      </c>
      <c r="L10" s="49" t="s">
        <v>23</v>
      </c>
      <c r="M10" s="50">
        <v>7.0</v>
      </c>
      <c r="N10" s="51">
        <v>68.0</v>
      </c>
    </row>
    <row r="11">
      <c r="A11" s="39"/>
      <c r="B11" s="52" t="s">
        <v>12</v>
      </c>
      <c r="C11" s="53" t="s">
        <v>13</v>
      </c>
      <c r="D11" s="54" t="s">
        <v>55</v>
      </c>
      <c r="E11" s="55" t="s">
        <v>31</v>
      </c>
      <c r="F11" s="55" t="s">
        <v>21</v>
      </c>
      <c r="G11" s="55" t="s">
        <v>29</v>
      </c>
      <c r="H11" s="55" t="s">
        <v>32</v>
      </c>
      <c r="I11" s="55" t="s">
        <v>28</v>
      </c>
      <c r="J11" s="55" t="s">
        <v>24</v>
      </c>
      <c r="K11" s="55" t="s">
        <v>26</v>
      </c>
      <c r="L11" s="56" t="s">
        <v>23</v>
      </c>
      <c r="M11" s="57">
        <v>6.0</v>
      </c>
      <c r="N11" s="58">
        <v>58.0</v>
      </c>
    </row>
    <row r="12">
      <c r="A12" s="39"/>
      <c r="B12" s="52" t="s">
        <v>14</v>
      </c>
      <c r="C12" s="53" t="s">
        <v>15</v>
      </c>
      <c r="D12" s="59" t="s">
        <v>55</v>
      </c>
      <c r="E12" s="60" t="s">
        <v>31</v>
      </c>
      <c r="F12" s="60" t="s">
        <v>21</v>
      </c>
      <c r="G12" s="60" t="s">
        <v>36</v>
      </c>
      <c r="H12" s="60" t="s">
        <v>32</v>
      </c>
      <c r="I12" s="60" t="s">
        <v>28</v>
      </c>
      <c r="J12" s="60" t="s">
        <v>24</v>
      </c>
      <c r="K12" s="60" t="s">
        <v>22</v>
      </c>
      <c r="L12" s="61" t="s">
        <v>23</v>
      </c>
      <c r="M12" s="57">
        <v>6.0</v>
      </c>
      <c r="N12" s="62">
        <v>68.0</v>
      </c>
    </row>
    <row r="13">
      <c r="A13" s="63"/>
      <c r="B13" s="52" t="s">
        <v>16</v>
      </c>
      <c r="C13" s="53" t="s">
        <v>11</v>
      </c>
      <c r="D13" s="54" t="s">
        <v>25</v>
      </c>
      <c r="E13" s="55" t="s">
        <v>47</v>
      </c>
      <c r="F13" s="55" t="s">
        <v>21</v>
      </c>
      <c r="G13" s="55" t="s">
        <v>36</v>
      </c>
      <c r="H13" s="55" t="s">
        <v>32</v>
      </c>
      <c r="I13" s="55" t="s">
        <v>28</v>
      </c>
      <c r="J13" s="55" t="s">
        <v>24</v>
      </c>
      <c r="K13" s="55" t="s">
        <v>22</v>
      </c>
      <c r="L13" s="56" t="s">
        <v>23</v>
      </c>
      <c r="M13" s="57">
        <v>6.0</v>
      </c>
      <c r="N13" s="181">
        <v>60.0</v>
      </c>
    </row>
    <row r="14">
      <c r="A14" s="63"/>
      <c r="B14" s="52" t="s">
        <v>17</v>
      </c>
      <c r="C14" s="53" t="s">
        <v>18</v>
      </c>
      <c r="D14" s="59" t="s">
        <v>25</v>
      </c>
      <c r="E14" s="60" t="s">
        <v>47</v>
      </c>
      <c r="F14" s="60" t="s">
        <v>27</v>
      </c>
      <c r="G14" s="60" t="s">
        <v>29</v>
      </c>
      <c r="H14" s="60" t="s">
        <v>32</v>
      </c>
      <c r="I14" s="60" t="s">
        <v>33</v>
      </c>
      <c r="J14" s="60" t="s">
        <v>24</v>
      </c>
      <c r="K14" s="60" t="s">
        <v>26</v>
      </c>
      <c r="L14" s="61" t="s">
        <v>23</v>
      </c>
      <c r="M14" s="57">
        <v>6.0</v>
      </c>
      <c r="N14" s="181">
        <v>58.0</v>
      </c>
    </row>
    <row r="15">
      <c r="A15" s="63"/>
      <c r="B15" s="52" t="s">
        <v>19</v>
      </c>
      <c r="C15" s="53"/>
      <c r="D15" s="54" t="s">
        <v>55</v>
      </c>
      <c r="E15" s="55" t="s">
        <v>47</v>
      </c>
      <c r="F15" s="55" t="s">
        <v>27</v>
      </c>
      <c r="G15" s="55" t="s">
        <v>36</v>
      </c>
      <c r="H15" s="55" t="s">
        <v>32</v>
      </c>
      <c r="I15" s="55" t="s">
        <v>28</v>
      </c>
      <c r="J15" s="55" t="s">
        <v>24</v>
      </c>
      <c r="K15" s="55" t="s">
        <v>22</v>
      </c>
      <c r="L15" s="56" t="s">
        <v>34</v>
      </c>
      <c r="M15" s="57">
        <v>5.0</v>
      </c>
      <c r="N15" s="181">
        <v>45.0</v>
      </c>
    </row>
    <row r="16">
      <c r="A16" s="63"/>
      <c r="B16" s="52" t="s">
        <v>20</v>
      </c>
      <c r="C16" s="65" t="s">
        <v>15</v>
      </c>
      <c r="D16" s="66" t="s">
        <v>25</v>
      </c>
      <c r="E16" s="66" t="s">
        <v>31</v>
      </c>
      <c r="F16" s="67" t="s">
        <v>21</v>
      </c>
      <c r="G16" s="67" t="s">
        <v>36</v>
      </c>
      <c r="H16" s="67" t="s">
        <v>32</v>
      </c>
      <c r="I16" s="67" t="s">
        <v>28</v>
      </c>
      <c r="J16" s="67" t="s">
        <v>24</v>
      </c>
      <c r="K16" s="67" t="s">
        <v>22</v>
      </c>
      <c r="L16" s="67" t="s">
        <v>23</v>
      </c>
      <c r="M16" s="57">
        <v>7.0</v>
      </c>
      <c r="N16" s="181">
        <v>68.0</v>
      </c>
    </row>
    <row r="17">
      <c r="A17" s="63"/>
      <c r="B17" s="52" t="s">
        <v>30</v>
      </c>
      <c r="C17" s="53" t="s">
        <v>13</v>
      </c>
      <c r="D17" s="68" t="s">
        <v>25</v>
      </c>
      <c r="E17" s="55" t="s">
        <v>31</v>
      </c>
      <c r="F17" s="55" t="s">
        <v>27</v>
      </c>
      <c r="G17" s="55" t="s">
        <v>29</v>
      </c>
      <c r="H17" s="55" t="s">
        <v>32</v>
      </c>
      <c r="I17" s="55" t="s">
        <v>28</v>
      </c>
      <c r="J17" s="55" t="s">
        <v>24</v>
      </c>
      <c r="K17" s="55" t="s">
        <v>26</v>
      </c>
      <c r="L17" s="56" t="s">
        <v>23</v>
      </c>
      <c r="M17" s="57">
        <v>8.0</v>
      </c>
      <c r="N17" s="181">
        <v>70.0</v>
      </c>
    </row>
    <row r="18">
      <c r="A18" s="63"/>
      <c r="B18" s="52" t="s">
        <v>35</v>
      </c>
      <c r="C18" s="53" t="s">
        <v>13</v>
      </c>
      <c r="D18" s="69" t="s">
        <v>25</v>
      </c>
      <c r="E18" s="70" t="s">
        <v>31</v>
      </c>
      <c r="F18" s="70" t="s">
        <v>21</v>
      </c>
      <c r="G18" s="70" t="s">
        <v>36</v>
      </c>
      <c r="H18" s="70" t="s">
        <v>32</v>
      </c>
      <c r="I18" s="70" t="s">
        <v>28</v>
      </c>
      <c r="J18" s="70" t="s">
        <v>24</v>
      </c>
      <c r="K18" s="70" t="s">
        <v>22</v>
      </c>
      <c r="L18" s="205" t="s">
        <v>23</v>
      </c>
      <c r="M18" s="57">
        <v>7.0</v>
      </c>
      <c r="N18" s="181">
        <v>70.0</v>
      </c>
    </row>
    <row r="19">
      <c r="A19" s="63"/>
      <c r="B19" s="52" t="s">
        <v>37</v>
      </c>
      <c r="C19" s="65" t="s">
        <v>13</v>
      </c>
      <c r="D19" s="71" t="s">
        <v>55</v>
      </c>
      <c r="E19" s="72" t="s">
        <v>31</v>
      </c>
      <c r="F19" s="72" t="s">
        <v>21</v>
      </c>
      <c r="G19" s="77" t="s">
        <v>36</v>
      </c>
      <c r="H19" s="72" t="s">
        <v>32</v>
      </c>
      <c r="I19" s="72" t="s">
        <v>28</v>
      </c>
      <c r="J19" s="74" t="s">
        <v>24</v>
      </c>
      <c r="K19" s="77" t="s">
        <v>26</v>
      </c>
      <c r="L19" s="77" t="s">
        <v>23</v>
      </c>
      <c r="M19" s="57">
        <v>5.0</v>
      </c>
      <c r="N19" s="181">
        <v>69.0</v>
      </c>
    </row>
    <row r="20">
      <c r="A20" s="63"/>
      <c r="B20" s="52" t="s">
        <v>38</v>
      </c>
      <c r="C20" s="65" t="s">
        <v>39</v>
      </c>
      <c r="D20" s="69" t="s">
        <v>25</v>
      </c>
      <c r="E20" s="70" t="s">
        <v>31</v>
      </c>
      <c r="F20" s="70" t="s">
        <v>21</v>
      </c>
      <c r="G20" s="73" t="s">
        <v>36</v>
      </c>
      <c r="H20" s="70" t="s">
        <v>32</v>
      </c>
      <c r="I20" s="70" t="s">
        <v>28</v>
      </c>
      <c r="J20" s="191" t="s">
        <v>24</v>
      </c>
      <c r="K20" s="73" t="s">
        <v>26</v>
      </c>
      <c r="L20" s="73" t="s">
        <v>23</v>
      </c>
      <c r="M20" s="57">
        <v>6.0</v>
      </c>
      <c r="N20" s="181">
        <v>76.0</v>
      </c>
    </row>
    <row r="21">
      <c r="A21" s="63"/>
      <c r="B21" s="52" t="s">
        <v>40</v>
      </c>
      <c r="C21" s="65" t="s">
        <v>39</v>
      </c>
      <c r="D21" s="71" t="s">
        <v>55</v>
      </c>
      <c r="E21" s="72" t="s">
        <v>31</v>
      </c>
      <c r="F21" s="72" t="s">
        <v>27</v>
      </c>
      <c r="G21" s="77" t="s">
        <v>36</v>
      </c>
      <c r="H21" s="72" t="s">
        <v>53</v>
      </c>
      <c r="I21" s="72" t="s">
        <v>33</v>
      </c>
      <c r="J21" s="74" t="s">
        <v>24</v>
      </c>
      <c r="K21" s="77" t="s">
        <v>26</v>
      </c>
      <c r="L21" s="77" t="s">
        <v>34</v>
      </c>
      <c r="M21" s="57">
        <v>3.0</v>
      </c>
      <c r="N21" s="181">
        <v>55.0</v>
      </c>
    </row>
    <row r="22">
      <c r="A22" s="63"/>
      <c r="B22" s="52" t="s">
        <v>41</v>
      </c>
      <c r="C22" s="53" t="s">
        <v>39</v>
      </c>
      <c r="D22" s="69" t="s">
        <v>25</v>
      </c>
      <c r="E22" s="70" t="s">
        <v>31</v>
      </c>
      <c r="F22" s="70" t="s">
        <v>27</v>
      </c>
      <c r="G22" s="73" t="s">
        <v>36</v>
      </c>
      <c r="H22" s="70" t="s">
        <v>32</v>
      </c>
      <c r="I22" s="70" t="s">
        <v>28</v>
      </c>
      <c r="J22" s="191" t="s">
        <v>24</v>
      </c>
      <c r="K22" s="73" t="s">
        <v>22</v>
      </c>
      <c r="L22" s="61" t="s">
        <v>23</v>
      </c>
      <c r="M22" s="57">
        <v>8.0</v>
      </c>
      <c r="N22" s="181">
        <v>74.0</v>
      </c>
    </row>
    <row r="23">
      <c r="A23" s="63"/>
      <c r="B23" s="52" t="s">
        <v>42</v>
      </c>
      <c r="C23" s="53" t="s">
        <v>39</v>
      </c>
      <c r="D23" s="54" t="s">
        <v>25</v>
      </c>
      <c r="E23" s="55" t="s">
        <v>31</v>
      </c>
      <c r="F23" s="55" t="s">
        <v>27</v>
      </c>
      <c r="G23" s="55" t="s">
        <v>36</v>
      </c>
      <c r="H23" s="55" t="s">
        <v>32</v>
      </c>
      <c r="I23" s="55" t="s">
        <v>28</v>
      </c>
      <c r="J23" s="74" t="s">
        <v>24</v>
      </c>
      <c r="K23" s="55" t="s">
        <v>26</v>
      </c>
      <c r="L23" s="56" t="s">
        <v>23</v>
      </c>
      <c r="M23" s="57">
        <v>7.0</v>
      </c>
      <c r="N23" s="181">
        <v>74.0</v>
      </c>
    </row>
    <row r="24">
      <c r="A24" s="63"/>
      <c r="B24" s="52" t="s">
        <v>43</v>
      </c>
      <c r="C24" s="53" t="s">
        <v>44</v>
      </c>
      <c r="D24" s="203" t="s">
        <v>25</v>
      </c>
      <c r="E24" s="60" t="s">
        <v>31</v>
      </c>
      <c r="F24" s="60" t="s">
        <v>160</v>
      </c>
      <c r="G24" s="60" t="s">
        <v>36</v>
      </c>
      <c r="H24" s="60" t="s">
        <v>32</v>
      </c>
      <c r="I24" s="76" t="s">
        <v>28</v>
      </c>
      <c r="J24" s="60" t="s">
        <v>24</v>
      </c>
      <c r="K24" s="60" t="s">
        <v>26</v>
      </c>
      <c r="L24" s="61" t="s">
        <v>23</v>
      </c>
      <c r="M24" s="57">
        <v>6.0</v>
      </c>
      <c r="N24" s="181">
        <v>62.0</v>
      </c>
    </row>
    <row r="25">
      <c r="A25" s="63"/>
      <c r="B25" s="52" t="s">
        <v>45</v>
      </c>
      <c r="C25" s="53" t="s">
        <v>44</v>
      </c>
      <c r="D25" s="68" t="s">
        <v>25</v>
      </c>
      <c r="E25" s="55" t="s">
        <v>31</v>
      </c>
      <c r="F25" s="55" t="s">
        <v>160</v>
      </c>
      <c r="G25" s="55" t="s">
        <v>29</v>
      </c>
      <c r="H25" s="55" t="s">
        <v>32</v>
      </c>
      <c r="I25" s="78" t="s">
        <v>28</v>
      </c>
      <c r="J25" s="55" t="s">
        <v>24</v>
      </c>
      <c r="K25" s="55" t="s">
        <v>26</v>
      </c>
      <c r="L25" s="56" t="s">
        <v>23</v>
      </c>
      <c r="M25" s="57">
        <v>7.0</v>
      </c>
      <c r="N25" s="181">
        <v>71.0</v>
      </c>
    </row>
    <row r="26">
      <c r="A26" s="63"/>
      <c r="B26" s="52" t="s">
        <v>46</v>
      </c>
      <c r="C26" s="53" t="s">
        <v>18</v>
      </c>
      <c r="D26" s="200" t="s">
        <v>55</v>
      </c>
      <c r="E26" s="76" t="s">
        <v>47</v>
      </c>
      <c r="F26" s="76" t="s">
        <v>27</v>
      </c>
      <c r="G26" s="76" t="s">
        <v>29</v>
      </c>
      <c r="H26" s="76" t="s">
        <v>32</v>
      </c>
      <c r="I26" s="76" t="s">
        <v>28</v>
      </c>
      <c r="J26" s="76" t="s">
        <v>24</v>
      </c>
      <c r="K26" s="76" t="s">
        <v>26</v>
      </c>
      <c r="L26" s="76" t="s">
        <v>23</v>
      </c>
      <c r="M26" s="80">
        <v>6.0</v>
      </c>
      <c r="N26" s="181">
        <v>66.0</v>
      </c>
    </row>
    <row r="27">
      <c r="A27" s="63"/>
      <c r="B27" s="52" t="s">
        <v>48</v>
      </c>
      <c r="C27" s="53" t="s">
        <v>49</v>
      </c>
      <c r="D27" s="201" t="s">
        <v>25</v>
      </c>
      <c r="E27" s="81" t="s">
        <v>31</v>
      </c>
      <c r="F27" s="82" t="s">
        <v>21</v>
      </c>
      <c r="G27" s="82" t="s">
        <v>36</v>
      </c>
      <c r="H27" s="82" t="s">
        <v>32</v>
      </c>
      <c r="I27" s="82" t="s">
        <v>28</v>
      </c>
      <c r="J27" s="82" t="s">
        <v>24</v>
      </c>
      <c r="K27" s="82" t="s">
        <v>22</v>
      </c>
      <c r="L27" s="82" t="s">
        <v>23</v>
      </c>
      <c r="M27" s="57">
        <v>7.0</v>
      </c>
      <c r="N27" s="181">
        <v>67.0</v>
      </c>
    </row>
    <row r="28">
      <c r="A28" s="63"/>
      <c r="B28" s="52" t="s">
        <v>50</v>
      </c>
      <c r="C28" s="53" t="s">
        <v>51</v>
      </c>
      <c r="D28" s="202" t="s">
        <v>25</v>
      </c>
      <c r="E28" s="66" t="s">
        <v>31</v>
      </c>
      <c r="F28" s="67" t="s">
        <v>27</v>
      </c>
      <c r="G28" s="67" t="s">
        <v>36</v>
      </c>
      <c r="H28" s="67" t="s">
        <v>32</v>
      </c>
      <c r="I28" s="67" t="s">
        <v>28</v>
      </c>
      <c r="J28" s="67" t="s">
        <v>24</v>
      </c>
      <c r="K28" s="67" t="s">
        <v>26</v>
      </c>
      <c r="L28" s="67" t="s">
        <v>23</v>
      </c>
      <c r="M28" s="57">
        <v>7.0</v>
      </c>
      <c r="N28" s="181">
        <v>70.0</v>
      </c>
    </row>
    <row r="29">
      <c r="A29" s="63"/>
      <c r="B29" s="52" t="s">
        <v>52</v>
      </c>
      <c r="C29" s="53" t="s">
        <v>13</v>
      </c>
      <c r="D29" s="68" t="s">
        <v>25</v>
      </c>
      <c r="E29" s="55" t="s">
        <v>31</v>
      </c>
      <c r="F29" s="55" t="s">
        <v>21</v>
      </c>
      <c r="G29" s="55" t="s">
        <v>36</v>
      </c>
      <c r="H29" s="55" t="s">
        <v>32</v>
      </c>
      <c r="I29" s="55" t="s">
        <v>28</v>
      </c>
      <c r="J29" s="55" t="s">
        <v>24</v>
      </c>
      <c r="K29" s="55" t="s">
        <v>22</v>
      </c>
      <c r="L29" s="56" t="s">
        <v>23</v>
      </c>
      <c r="M29" s="57">
        <v>7.0</v>
      </c>
      <c r="N29" s="181">
        <v>76.0</v>
      </c>
    </row>
    <row r="30">
      <c r="A30" s="63"/>
      <c r="B30" s="52" t="s">
        <v>56</v>
      </c>
      <c r="C30" s="53" t="s">
        <v>13</v>
      </c>
      <c r="D30" s="203" t="s">
        <v>25</v>
      </c>
      <c r="E30" s="60" t="s">
        <v>31</v>
      </c>
      <c r="F30" s="60" t="s">
        <v>57</v>
      </c>
      <c r="G30" s="60" t="s">
        <v>36</v>
      </c>
      <c r="H30" s="60" t="s">
        <v>32</v>
      </c>
      <c r="I30" s="60" t="s">
        <v>33</v>
      </c>
      <c r="J30" s="60" t="s">
        <v>24</v>
      </c>
      <c r="K30" s="60" t="s">
        <v>22</v>
      </c>
      <c r="L30" s="61" t="s">
        <v>34</v>
      </c>
      <c r="M30" s="80">
        <v>6.0</v>
      </c>
      <c r="N30" s="207">
        <v>63.0</v>
      </c>
    </row>
    <row r="31">
      <c r="A31" s="63"/>
      <c r="B31" s="52" t="s">
        <v>58</v>
      </c>
      <c r="C31" s="53" t="s">
        <v>59</v>
      </c>
      <c r="D31" s="54" t="s">
        <v>55</v>
      </c>
      <c r="E31" s="55" t="s">
        <v>31</v>
      </c>
      <c r="F31" s="72" t="s">
        <v>21</v>
      </c>
      <c r="G31" s="55" t="s">
        <v>36</v>
      </c>
      <c r="H31" s="55" t="s">
        <v>53</v>
      </c>
      <c r="I31" s="55" t="s">
        <v>33</v>
      </c>
      <c r="J31" s="55" t="s">
        <v>54</v>
      </c>
      <c r="K31" s="55" t="s">
        <v>26</v>
      </c>
      <c r="L31" s="56" t="s">
        <v>23</v>
      </c>
      <c r="M31" s="80">
        <v>2.0</v>
      </c>
      <c r="N31" s="207">
        <v>47.0</v>
      </c>
    </row>
    <row r="32">
      <c r="A32" s="63"/>
      <c r="B32" s="52" t="s">
        <v>60</v>
      </c>
      <c r="C32" s="53" t="s">
        <v>39</v>
      </c>
      <c r="D32" s="59" t="s">
        <v>55</v>
      </c>
      <c r="E32" s="60" t="s">
        <v>31</v>
      </c>
      <c r="F32" s="70" t="s">
        <v>57</v>
      </c>
      <c r="G32" s="60" t="s">
        <v>36</v>
      </c>
      <c r="H32" s="60" t="s">
        <v>32</v>
      </c>
      <c r="I32" s="60" t="s">
        <v>28</v>
      </c>
      <c r="J32" s="60" t="s">
        <v>24</v>
      </c>
      <c r="K32" s="60" t="s">
        <v>22</v>
      </c>
      <c r="L32" s="61" t="s">
        <v>23</v>
      </c>
      <c r="M32" s="57">
        <v>7.0</v>
      </c>
      <c r="N32" s="181">
        <v>73.0</v>
      </c>
    </row>
    <row r="33">
      <c r="A33" s="39"/>
      <c r="B33" s="52" t="s">
        <v>61</v>
      </c>
      <c r="C33" s="53" t="s">
        <v>39</v>
      </c>
      <c r="D33" s="83" t="s">
        <v>25</v>
      </c>
      <c r="E33" s="84" t="s">
        <v>31</v>
      </c>
      <c r="F33" s="84" t="s">
        <v>21</v>
      </c>
      <c r="G33" s="84" t="s">
        <v>36</v>
      </c>
      <c r="H33" s="84" t="s">
        <v>32</v>
      </c>
      <c r="I33" s="84" t="s">
        <v>28</v>
      </c>
      <c r="J33" s="84" t="s">
        <v>24</v>
      </c>
      <c r="K33" s="84" t="s">
        <v>26</v>
      </c>
      <c r="L33" s="85" t="s">
        <v>23</v>
      </c>
      <c r="M33" s="86">
        <v>6.0</v>
      </c>
      <c r="N33" s="181">
        <v>72.0</v>
      </c>
    </row>
    <row r="34">
      <c r="A34" s="39"/>
      <c r="B34" s="87" t="s">
        <v>62</v>
      </c>
      <c r="C34" s="88" t="s">
        <v>63</v>
      </c>
      <c r="D34" s="89" t="s">
        <v>25</v>
      </c>
      <c r="E34" s="89" t="s">
        <v>31</v>
      </c>
      <c r="F34" s="89" t="s">
        <v>139</v>
      </c>
      <c r="G34" s="89" t="s">
        <v>36</v>
      </c>
      <c r="H34" s="89" t="s">
        <v>32</v>
      </c>
      <c r="I34" s="89" t="s">
        <v>28</v>
      </c>
      <c r="J34" s="89" t="s">
        <v>24</v>
      </c>
      <c r="K34" s="89" t="s">
        <v>26</v>
      </c>
      <c r="L34" s="89" t="s">
        <v>23</v>
      </c>
      <c r="M34" s="90">
        <v>6.0</v>
      </c>
      <c r="N34" s="182">
        <v>71.0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208" t="s">
        <v>55</v>
      </c>
      <c r="E36" s="209" t="s">
        <v>31</v>
      </c>
      <c r="F36" s="209" t="s">
        <v>21</v>
      </c>
      <c r="G36" s="209" t="s">
        <v>36</v>
      </c>
      <c r="H36" s="209" t="s">
        <v>53</v>
      </c>
      <c r="I36" s="209" t="s">
        <v>33</v>
      </c>
      <c r="J36" s="209" t="s">
        <v>54</v>
      </c>
      <c r="K36" s="209" t="s">
        <v>26</v>
      </c>
      <c r="L36" s="210" t="s">
        <v>23</v>
      </c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 D36:L36">
    <cfRule type="containsBlanks" dxfId="0" priority="1">
      <formula>LEN(TRIM(D10))=0</formula>
    </cfRule>
  </conditionalFormatting>
  <conditionalFormatting sqref="D10:L34 D36:L36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45796.0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10.0</v>
      </c>
      <c r="B2" s="7" t="s">
        <v>161</v>
      </c>
      <c r="C2" s="8"/>
      <c r="D2" s="9" t="s">
        <v>162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45792.8125</v>
      </c>
      <c r="E3" s="15">
        <v>45793.819444444445</v>
      </c>
      <c r="F3" s="15">
        <v>45794.555555555555</v>
      </c>
      <c r="G3" s="15">
        <v>45794.677083333336</v>
      </c>
      <c r="H3" s="15">
        <v>45794.677083333336</v>
      </c>
      <c r="I3" s="15">
        <v>45794.81597222222</v>
      </c>
      <c r="J3" s="15">
        <v>45795.54861111111</v>
      </c>
      <c r="K3" s="15">
        <v>45795.63888888889</v>
      </c>
      <c r="L3" s="15">
        <v>45795.694444444445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45792.791666666664</v>
      </c>
      <c r="E5" s="25">
        <v>45793.819444444445</v>
      </c>
      <c r="F5" s="25">
        <v>45794.555555555555</v>
      </c>
      <c r="G5" s="25">
        <v>45794.677083333336</v>
      </c>
      <c r="H5" s="25">
        <v>45794.65625</v>
      </c>
      <c r="I5" s="25">
        <v>45794.81597222222</v>
      </c>
      <c r="J5" s="25">
        <v>45795.54861111111</v>
      </c>
      <c r="K5" s="25">
        <v>45795.63888888889</v>
      </c>
      <c r="L5" s="25">
        <v>45795.61111111111</v>
      </c>
      <c r="M5" s="26"/>
      <c r="N5" s="27"/>
    </row>
    <row r="6">
      <c r="A6" s="6">
        <v>7.0</v>
      </c>
      <c r="B6" s="28" t="s">
        <v>4</v>
      </c>
      <c r="C6" s="29"/>
      <c r="D6" s="30" t="s">
        <v>23</v>
      </c>
      <c r="E6" s="30" t="s">
        <v>26</v>
      </c>
      <c r="F6" s="30" t="s">
        <v>32</v>
      </c>
      <c r="G6" s="30" t="s">
        <v>27</v>
      </c>
      <c r="H6" s="30" t="s">
        <v>33</v>
      </c>
      <c r="I6" s="30" t="s">
        <v>55</v>
      </c>
      <c r="J6" s="30" t="s">
        <v>47</v>
      </c>
      <c r="K6" s="30" t="s">
        <v>29</v>
      </c>
      <c r="L6" s="30" t="s">
        <v>54</v>
      </c>
      <c r="M6" s="21"/>
      <c r="N6" s="22"/>
    </row>
    <row r="7">
      <c r="A7" s="6">
        <v>8.0</v>
      </c>
      <c r="B7" s="31" t="s">
        <v>5</v>
      </c>
      <c r="C7" s="24"/>
      <c r="D7" s="32" t="s">
        <v>36</v>
      </c>
      <c r="E7" s="32" t="s">
        <v>21</v>
      </c>
      <c r="F7" s="32" t="s">
        <v>24</v>
      </c>
      <c r="G7" s="32" t="s">
        <v>28</v>
      </c>
      <c r="H7" s="32" t="s">
        <v>25</v>
      </c>
      <c r="I7" s="32" t="s">
        <v>31</v>
      </c>
      <c r="J7" s="32" t="s">
        <v>53</v>
      </c>
      <c r="K7" s="32" t="s">
        <v>22</v>
      </c>
      <c r="L7" s="32" t="s">
        <v>34</v>
      </c>
      <c r="M7" s="26"/>
      <c r="N7" s="27"/>
    </row>
    <row r="8">
      <c r="A8" s="33">
        <v>9.0</v>
      </c>
      <c r="B8" s="34" t="s">
        <v>6</v>
      </c>
      <c r="C8" s="35"/>
      <c r="D8" s="36" t="s">
        <v>163</v>
      </c>
      <c r="E8" s="36" t="s">
        <v>120</v>
      </c>
      <c r="F8" s="36" t="s">
        <v>117</v>
      </c>
      <c r="G8" s="36" t="s">
        <v>133</v>
      </c>
      <c r="H8" s="36" t="s">
        <v>118</v>
      </c>
      <c r="I8" s="36" t="s">
        <v>114</v>
      </c>
      <c r="J8" s="36" t="s">
        <v>117</v>
      </c>
      <c r="K8" s="36" t="s">
        <v>127</v>
      </c>
      <c r="L8" s="36" t="s">
        <v>115</v>
      </c>
      <c r="M8" s="37"/>
      <c r="N8" s="38"/>
    </row>
    <row r="9">
      <c r="A9" s="39"/>
      <c r="B9" s="40" t="s">
        <v>7</v>
      </c>
      <c r="C9" s="41"/>
      <c r="D9" s="42" t="s">
        <v>23</v>
      </c>
      <c r="E9" s="42" t="s">
        <v>26</v>
      </c>
      <c r="F9" s="42" t="s">
        <v>32</v>
      </c>
      <c r="G9" s="42" t="s">
        <v>28</v>
      </c>
      <c r="H9" s="42" t="s">
        <v>25</v>
      </c>
      <c r="I9" s="42" t="s">
        <v>55</v>
      </c>
      <c r="J9" s="42" t="s">
        <v>53</v>
      </c>
      <c r="K9" s="42" t="s">
        <v>22</v>
      </c>
      <c r="L9" s="42" t="s">
        <v>54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36</v>
      </c>
      <c r="E10" s="48" t="s">
        <v>26</v>
      </c>
      <c r="F10" s="48" t="s">
        <v>32</v>
      </c>
      <c r="G10" s="48" t="s">
        <v>27</v>
      </c>
      <c r="H10" s="48" t="s">
        <v>25</v>
      </c>
      <c r="I10" s="48" t="s">
        <v>55</v>
      </c>
      <c r="J10" s="48" t="s">
        <v>53</v>
      </c>
      <c r="K10" s="48" t="s">
        <v>29</v>
      </c>
      <c r="L10" s="49" t="s">
        <v>34</v>
      </c>
      <c r="M10" s="50">
        <v>5.0</v>
      </c>
      <c r="N10" s="51">
        <v>59.0</v>
      </c>
    </row>
    <row r="11">
      <c r="A11" s="39"/>
      <c r="B11" s="52" t="s">
        <v>12</v>
      </c>
      <c r="C11" s="53" t="s">
        <v>13</v>
      </c>
      <c r="D11" s="54" t="s">
        <v>36</v>
      </c>
      <c r="E11" s="55" t="s">
        <v>26</v>
      </c>
      <c r="F11" s="55" t="s">
        <v>32</v>
      </c>
      <c r="G11" s="55" t="s">
        <v>27</v>
      </c>
      <c r="H11" s="55" t="s">
        <v>25</v>
      </c>
      <c r="I11" s="55" t="s">
        <v>31</v>
      </c>
      <c r="J11" s="55" t="s">
        <v>47</v>
      </c>
      <c r="K11" s="55" t="s">
        <v>29</v>
      </c>
      <c r="L11" s="56" t="s">
        <v>34</v>
      </c>
      <c r="M11" s="57">
        <v>3.0</v>
      </c>
      <c r="N11" s="58">
        <v>49.0</v>
      </c>
    </row>
    <row r="12">
      <c r="A12" s="39"/>
      <c r="B12" s="52" t="s">
        <v>14</v>
      </c>
      <c r="C12" s="53" t="s">
        <v>15</v>
      </c>
      <c r="D12" s="59" t="s">
        <v>23</v>
      </c>
      <c r="E12" s="60" t="s">
        <v>21</v>
      </c>
      <c r="F12" s="60" t="s">
        <v>32</v>
      </c>
      <c r="G12" s="60" t="s">
        <v>27</v>
      </c>
      <c r="H12" s="60" t="s">
        <v>25</v>
      </c>
      <c r="I12" s="60" t="s">
        <v>55</v>
      </c>
      <c r="J12" s="60" t="s">
        <v>47</v>
      </c>
      <c r="K12" s="60" t="s">
        <v>29</v>
      </c>
      <c r="L12" s="61" t="s">
        <v>34</v>
      </c>
      <c r="M12" s="57">
        <v>4.0</v>
      </c>
      <c r="N12" s="62">
        <v>60.0</v>
      </c>
    </row>
    <row r="13">
      <c r="A13" s="63"/>
      <c r="B13" s="52" t="s">
        <v>16</v>
      </c>
      <c r="C13" s="53" t="s">
        <v>11</v>
      </c>
      <c r="D13" s="54" t="s">
        <v>36</v>
      </c>
      <c r="E13" s="55" t="s">
        <v>21</v>
      </c>
      <c r="F13" s="55" t="s">
        <v>32</v>
      </c>
      <c r="G13" s="55" t="s">
        <v>27</v>
      </c>
      <c r="H13" s="55" t="s">
        <v>33</v>
      </c>
      <c r="I13" s="55" t="s">
        <v>31</v>
      </c>
      <c r="J13" s="55" t="s">
        <v>47</v>
      </c>
      <c r="K13" s="55" t="s">
        <v>29</v>
      </c>
      <c r="L13" s="56" t="s">
        <v>34</v>
      </c>
      <c r="M13" s="57">
        <v>1.0</v>
      </c>
      <c r="N13" s="181">
        <v>49.0</v>
      </c>
    </row>
    <row r="14">
      <c r="A14" s="63"/>
      <c r="B14" s="52" t="s">
        <v>17</v>
      </c>
      <c r="C14" s="53" t="s">
        <v>18</v>
      </c>
      <c r="D14" s="59" t="s">
        <v>23</v>
      </c>
      <c r="E14" s="60" t="s">
        <v>21</v>
      </c>
      <c r="F14" s="60" t="s">
        <v>32</v>
      </c>
      <c r="G14" s="60" t="s">
        <v>27</v>
      </c>
      <c r="H14" s="60" t="s">
        <v>25</v>
      </c>
      <c r="I14" s="60" t="s">
        <v>55</v>
      </c>
      <c r="J14" s="60" t="s">
        <v>47</v>
      </c>
      <c r="K14" s="60" t="s">
        <v>29</v>
      </c>
      <c r="L14" s="61" t="s">
        <v>34</v>
      </c>
      <c r="M14" s="57">
        <v>4.0</v>
      </c>
      <c r="N14" s="181">
        <v>50.0</v>
      </c>
    </row>
    <row r="15">
      <c r="A15" s="63"/>
      <c r="B15" s="52" t="s">
        <v>19</v>
      </c>
      <c r="C15" s="53"/>
      <c r="D15" s="54" t="s">
        <v>36</v>
      </c>
      <c r="E15" s="55" t="s">
        <v>21</v>
      </c>
      <c r="F15" s="55" t="s">
        <v>32</v>
      </c>
      <c r="G15" s="55" t="s">
        <v>27</v>
      </c>
      <c r="H15" s="55" t="s">
        <v>25</v>
      </c>
      <c r="I15" s="55" t="s">
        <v>55</v>
      </c>
      <c r="J15" s="55" t="s">
        <v>47</v>
      </c>
      <c r="K15" s="55" t="s">
        <v>29</v>
      </c>
      <c r="L15" s="56" t="s">
        <v>34</v>
      </c>
      <c r="M15" s="57">
        <v>3.0</v>
      </c>
      <c r="N15" s="181">
        <v>38.0</v>
      </c>
    </row>
    <row r="16">
      <c r="A16" s="63"/>
      <c r="B16" s="52" t="s">
        <v>20</v>
      </c>
      <c r="C16" s="65" t="s">
        <v>15</v>
      </c>
      <c r="D16" s="66" t="s">
        <v>36</v>
      </c>
      <c r="E16" s="66" t="s">
        <v>26</v>
      </c>
      <c r="F16" s="67" t="s">
        <v>32</v>
      </c>
      <c r="G16" s="67" t="s">
        <v>27</v>
      </c>
      <c r="H16" s="67" t="s">
        <v>25</v>
      </c>
      <c r="I16" s="67" t="s">
        <v>55</v>
      </c>
      <c r="J16" s="67" t="s">
        <v>53</v>
      </c>
      <c r="K16" s="67" t="s">
        <v>29</v>
      </c>
      <c r="L16" s="67" t="s">
        <v>34</v>
      </c>
      <c r="M16" s="57">
        <v>5.0</v>
      </c>
      <c r="N16" s="181">
        <v>59.0</v>
      </c>
    </row>
    <row r="17">
      <c r="A17" s="63"/>
      <c r="B17" s="52" t="s">
        <v>30</v>
      </c>
      <c r="C17" s="53" t="s">
        <v>13</v>
      </c>
      <c r="D17" s="68" t="s">
        <v>23</v>
      </c>
      <c r="E17" s="55" t="s">
        <v>26</v>
      </c>
      <c r="F17" s="55" t="s">
        <v>32</v>
      </c>
      <c r="G17" s="55" t="s">
        <v>27</v>
      </c>
      <c r="H17" s="55" t="s">
        <v>25</v>
      </c>
      <c r="I17" s="55" t="s">
        <v>31</v>
      </c>
      <c r="J17" s="55" t="s">
        <v>47</v>
      </c>
      <c r="K17" s="55" t="s">
        <v>29</v>
      </c>
      <c r="L17" s="56" t="s">
        <v>34</v>
      </c>
      <c r="M17" s="57">
        <v>4.0</v>
      </c>
      <c r="N17" s="181">
        <v>58.0</v>
      </c>
    </row>
    <row r="18">
      <c r="A18" s="63"/>
      <c r="B18" s="52" t="s">
        <v>35</v>
      </c>
      <c r="C18" s="53" t="s">
        <v>13</v>
      </c>
      <c r="D18" s="69" t="s">
        <v>23</v>
      </c>
      <c r="E18" s="70" t="s">
        <v>26</v>
      </c>
      <c r="F18" s="70" t="s">
        <v>32</v>
      </c>
      <c r="G18" s="70" t="s">
        <v>27</v>
      </c>
      <c r="H18" s="70" t="s">
        <v>25</v>
      </c>
      <c r="I18" s="70" t="s">
        <v>31</v>
      </c>
      <c r="J18" s="70" t="s">
        <v>47</v>
      </c>
      <c r="K18" s="70" t="s">
        <v>29</v>
      </c>
      <c r="L18" s="205" t="s">
        <v>34</v>
      </c>
      <c r="M18" s="57">
        <v>4.0</v>
      </c>
      <c r="N18" s="181">
        <v>60.0</v>
      </c>
    </row>
    <row r="19">
      <c r="A19" s="63"/>
      <c r="B19" s="52" t="s">
        <v>37</v>
      </c>
      <c r="C19" s="65" t="s">
        <v>13</v>
      </c>
      <c r="D19" s="71" t="s">
        <v>23</v>
      </c>
      <c r="E19" s="72" t="s">
        <v>26</v>
      </c>
      <c r="F19" s="72" t="s">
        <v>32</v>
      </c>
      <c r="G19" s="77" t="s">
        <v>27</v>
      </c>
      <c r="H19" s="72" t="s">
        <v>25</v>
      </c>
      <c r="I19" s="72" t="s">
        <v>55</v>
      </c>
      <c r="J19" s="74" t="s">
        <v>53</v>
      </c>
      <c r="K19" s="77" t="s">
        <v>29</v>
      </c>
      <c r="L19" s="77" t="s">
        <v>34</v>
      </c>
      <c r="M19" s="57">
        <v>6.0</v>
      </c>
      <c r="N19" s="181">
        <v>65.0</v>
      </c>
    </row>
    <row r="20">
      <c r="A20" s="63"/>
      <c r="B20" s="52" t="s">
        <v>38</v>
      </c>
      <c r="C20" s="65" t="s">
        <v>39</v>
      </c>
      <c r="D20" s="69" t="s">
        <v>23</v>
      </c>
      <c r="E20" s="70" t="s">
        <v>26</v>
      </c>
      <c r="F20" s="70" t="s">
        <v>32</v>
      </c>
      <c r="G20" s="73" t="s">
        <v>27</v>
      </c>
      <c r="H20" s="70" t="s">
        <v>25</v>
      </c>
      <c r="I20" s="70" t="s">
        <v>55</v>
      </c>
      <c r="J20" s="191" t="s">
        <v>53</v>
      </c>
      <c r="K20" s="73" t="s">
        <v>29</v>
      </c>
      <c r="L20" s="73" t="s">
        <v>34</v>
      </c>
      <c r="M20" s="57">
        <v>6.0</v>
      </c>
      <c r="N20" s="181">
        <v>70.0</v>
      </c>
    </row>
    <row r="21">
      <c r="A21" s="63"/>
      <c r="B21" s="52" t="s">
        <v>40</v>
      </c>
      <c r="C21" s="65" t="s">
        <v>39</v>
      </c>
      <c r="D21" s="71" t="s">
        <v>36</v>
      </c>
      <c r="E21" s="72" t="s">
        <v>26</v>
      </c>
      <c r="F21" s="72" t="s">
        <v>32</v>
      </c>
      <c r="G21" s="77" t="s">
        <v>27</v>
      </c>
      <c r="H21" s="72" t="s">
        <v>25</v>
      </c>
      <c r="I21" s="72" t="s">
        <v>31</v>
      </c>
      <c r="J21" s="74" t="s">
        <v>47</v>
      </c>
      <c r="K21" s="77" t="s">
        <v>29</v>
      </c>
      <c r="L21" s="77" t="s">
        <v>54</v>
      </c>
      <c r="M21" s="57">
        <v>4.0</v>
      </c>
      <c r="N21" s="181">
        <v>53.0</v>
      </c>
    </row>
    <row r="22">
      <c r="A22" s="63"/>
      <c r="B22" s="52" t="s">
        <v>41</v>
      </c>
      <c r="C22" s="53" t="s">
        <v>39</v>
      </c>
      <c r="D22" s="69" t="s">
        <v>23</v>
      </c>
      <c r="E22" s="70" t="s">
        <v>26</v>
      </c>
      <c r="F22" s="70" t="s">
        <v>32</v>
      </c>
      <c r="G22" s="73" t="s">
        <v>27</v>
      </c>
      <c r="H22" s="70" t="s">
        <v>25</v>
      </c>
      <c r="I22" s="70" t="s">
        <v>55</v>
      </c>
      <c r="J22" s="191" t="s">
        <v>53</v>
      </c>
      <c r="K22" s="73" t="s">
        <v>29</v>
      </c>
      <c r="L22" s="61" t="s">
        <v>34</v>
      </c>
      <c r="M22" s="57">
        <v>6.0</v>
      </c>
      <c r="N22" s="181">
        <v>64.0</v>
      </c>
    </row>
    <row r="23">
      <c r="A23" s="63"/>
      <c r="B23" s="52" t="s">
        <v>42</v>
      </c>
      <c r="C23" s="53" t="s">
        <v>39</v>
      </c>
      <c r="D23" s="54" t="s">
        <v>23</v>
      </c>
      <c r="E23" s="55" t="s">
        <v>26</v>
      </c>
      <c r="F23" s="55" t="s">
        <v>32</v>
      </c>
      <c r="G23" s="55" t="s">
        <v>27</v>
      </c>
      <c r="H23" s="55" t="s">
        <v>25</v>
      </c>
      <c r="I23" s="55" t="s">
        <v>55</v>
      </c>
      <c r="J23" s="74" t="s">
        <v>47</v>
      </c>
      <c r="K23" s="55" t="s">
        <v>29</v>
      </c>
      <c r="L23" s="56" t="s">
        <v>34</v>
      </c>
      <c r="M23" s="57">
        <v>5.0</v>
      </c>
      <c r="N23" s="181">
        <v>65.0</v>
      </c>
    </row>
    <row r="24">
      <c r="A24" s="63"/>
      <c r="B24" s="52" t="s">
        <v>43</v>
      </c>
      <c r="C24" s="53" t="s">
        <v>44</v>
      </c>
      <c r="D24" s="203" t="s">
        <v>23</v>
      </c>
      <c r="E24" s="60" t="s">
        <v>26</v>
      </c>
      <c r="F24" s="60" t="s">
        <v>32</v>
      </c>
      <c r="G24" s="60" t="s">
        <v>27</v>
      </c>
      <c r="H24" s="60" t="s">
        <v>25</v>
      </c>
      <c r="I24" s="76" t="s">
        <v>55</v>
      </c>
      <c r="J24" s="60" t="s">
        <v>53</v>
      </c>
      <c r="K24" s="60" t="s">
        <v>29</v>
      </c>
      <c r="L24" s="61" t="s">
        <v>34</v>
      </c>
      <c r="M24" s="57">
        <v>6.0</v>
      </c>
      <c r="N24" s="181">
        <v>56.0</v>
      </c>
    </row>
    <row r="25">
      <c r="A25" s="63"/>
      <c r="B25" s="52" t="s">
        <v>45</v>
      </c>
      <c r="C25" s="53" t="s">
        <v>44</v>
      </c>
      <c r="D25" s="68" t="s">
        <v>23</v>
      </c>
      <c r="E25" s="55" t="s">
        <v>26</v>
      </c>
      <c r="F25" s="55" t="s">
        <v>24</v>
      </c>
      <c r="G25" s="55" t="s">
        <v>28</v>
      </c>
      <c r="H25" s="55" t="s">
        <v>25</v>
      </c>
      <c r="I25" s="78" t="s">
        <v>55</v>
      </c>
      <c r="J25" s="55" t="s">
        <v>53</v>
      </c>
      <c r="K25" s="55" t="s">
        <v>29</v>
      </c>
      <c r="L25" s="56" t="s">
        <v>34</v>
      </c>
      <c r="M25" s="57">
        <v>6.0</v>
      </c>
      <c r="N25" s="181">
        <v>63.0</v>
      </c>
    </row>
    <row r="26">
      <c r="A26" s="63"/>
      <c r="B26" s="52" t="s">
        <v>46</v>
      </c>
      <c r="C26" s="53" t="s">
        <v>18</v>
      </c>
      <c r="D26" s="200" t="s">
        <v>36</v>
      </c>
      <c r="E26" s="76" t="s">
        <v>26</v>
      </c>
      <c r="F26" s="76" t="s">
        <v>32</v>
      </c>
      <c r="G26" s="76" t="s">
        <v>27</v>
      </c>
      <c r="H26" s="76" t="s">
        <v>25</v>
      </c>
      <c r="I26" s="76" t="s">
        <v>55</v>
      </c>
      <c r="J26" s="76" t="s">
        <v>47</v>
      </c>
      <c r="K26" s="76" t="s">
        <v>29</v>
      </c>
      <c r="L26" s="76" t="s">
        <v>34</v>
      </c>
      <c r="M26" s="80">
        <v>4.0</v>
      </c>
      <c r="N26" s="181">
        <v>58.0</v>
      </c>
    </row>
    <row r="27">
      <c r="A27" s="63"/>
      <c r="B27" s="52" t="s">
        <v>48</v>
      </c>
      <c r="C27" s="53" t="s">
        <v>49</v>
      </c>
      <c r="D27" s="201" t="s">
        <v>23</v>
      </c>
      <c r="E27" s="81" t="s">
        <v>26</v>
      </c>
      <c r="F27" s="82" t="s">
        <v>32</v>
      </c>
      <c r="G27" s="82" t="s">
        <v>27</v>
      </c>
      <c r="H27" s="82" t="s">
        <v>33</v>
      </c>
      <c r="I27" s="82" t="s">
        <v>55</v>
      </c>
      <c r="J27" s="82" t="s">
        <v>47</v>
      </c>
      <c r="K27" s="82" t="s">
        <v>29</v>
      </c>
      <c r="L27" s="82" t="s">
        <v>54</v>
      </c>
      <c r="M27" s="57">
        <v>5.0</v>
      </c>
      <c r="N27" s="181">
        <v>58.0</v>
      </c>
    </row>
    <row r="28">
      <c r="A28" s="63"/>
      <c r="B28" s="52" t="s">
        <v>50</v>
      </c>
      <c r="C28" s="53" t="s">
        <v>51</v>
      </c>
      <c r="D28" s="202" t="s">
        <v>23</v>
      </c>
      <c r="E28" s="66" t="s">
        <v>21</v>
      </c>
      <c r="F28" s="67" t="s">
        <v>32</v>
      </c>
      <c r="G28" s="67" t="s">
        <v>27</v>
      </c>
      <c r="H28" s="67" t="s">
        <v>25</v>
      </c>
      <c r="I28" s="67" t="s">
        <v>55</v>
      </c>
      <c r="J28" s="67" t="s">
        <v>47</v>
      </c>
      <c r="K28" s="67" t="s">
        <v>29</v>
      </c>
      <c r="L28" s="67" t="s">
        <v>34</v>
      </c>
      <c r="M28" s="57">
        <v>4.0</v>
      </c>
      <c r="N28" s="181">
        <v>60.0</v>
      </c>
    </row>
    <row r="29">
      <c r="A29" s="63"/>
      <c r="B29" s="52" t="s">
        <v>52</v>
      </c>
      <c r="C29" s="53" t="s">
        <v>13</v>
      </c>
      <c r="D29" s="68" t="s">
        <v>36</v>
      </c>
      <c r="E29" s="55" t="s">
        <v>26</v>
      </c>
      <c r="F29" s="55" t="s">
        <v>32</v>
      </c>
      <c r="G29" s="55" t="s">
        <v>27</v>
      </c>
      <c r="H29" s="55" t="s">
        <v>25</v>
      </c>
      <c r="I29" s="55" t="s">
        <v>55</v>
      </c>
      <c r="J29" s="55" t="s">
        <v>53</v>
      </c>
      <c r="K29" s="55" t="s">
        <v>29</v>
      </c>
      <c r="L29" s="56" t="s">
        <v>34</v>
      </c>
      <c r="M29" s="57">
        <v>5.0</v>
      </c>
      <c r="N29" s="181">
        <v>67.0</v>
      </c>
    </row>
    <row r="30">
      <c r="A30" s="63"/>
      <c r="B30" s="52" t="s">
        <v>56</v>
      </c>
      <c r="C30" s="53" t="s">
        <v>13</v>
      </c>
      <c r="D30" s="203" t="s">
        <v>36</v>
      </c>
      <c r="E30" s="60" t="s">
        <v>26</v>
      </c>
      <c r="F30" s="60" t="s">
        <v>32</v>
      </c>
      <c r="G30" s="60" t="s">
        <v>27</v>
      </c>
      <c r="H30" s="60" t="s">
        <v>25</v>
      </c>
      <c r="I30" s="60" t="s">
        <v>31</v>
      </c>
      <c r="J30" s="60" t="s">
        <v>47</v>
      </c>
      <c r="K30" s="60" t="s">
        <v>29</v>
      </c>
      <c r="L30" s="61" t="s">
        <v>54</v>
      </c>
      <c r="M30" s="57">
        <v>4.0</v>
      </c>
      <c r="N30" s="181">
        <v>59.0</v>
      </c>
    </row>
    <row r="31">
      <c r="A31" s="63"/>
      <c r="B31" s="52" t="s">
        <v>58</v>
      </c>
      <c r="C31" s="53" t="s">
        <v>59</v>
      </c>
      <c r="D31" s="54" t="s">
        <v>36</v>
      </c>
      <c r="E31" s="55" t="s">
        <v>26</v>
      </c>
      <c r="F31" s="72" t="s">
        <v>32</v>
      </c>
      <c r="G31" s="55" t="s">
        <v>27</v>
      </c>
      <c r="H31" s="55" t="s">
        <v>25</v>
      </c>
      <c r="I31" s="55" t="s">
        <v>31</v>
      </c>
      <c r="J31" s="55" t="s">
        <v>53</v>
      </c>
      <c r="K31" s="55" t="s">
        <v>22</v>
      </c>
      <c r="L31" s="56" t="s">
        <v>54</v>
      </c>
      <c r="M31" s="57">
        <v>6.0</v>
      </c>
      <c r="N31" s="181">
        <v>45.0</v>
      </c>
    </row>
    <row r="32">
      <c r="A32" s="63"/>
      <c r="B32" s="52" t="s">
        <v>60</v>
      </c>
      <c r="C32" s="53" t="s">
        <v>39</v>
      </c>
      <c r="D32" s="59" t="s">
        <v>36</v>
      </c>
      <c r="E32" s="60" t="s">
        <v>26</v>
      </c>
      <c r="F32" s="70" t="s">
        <v>32</v>
      </c>
      <c r="G32" s="60" t="s">
        <v>27</v>
      </c>
      <c r="H32" s="60" t="s">
        <v>25</v>
      </c>
      <c r="I32" s="60" t="s">
        <v>55</v>
      </c>
      <c r="J32" s="60" t="s">
        <v>53</v>
      </c>
      <c r="K32" s="60" t="s">
        <v>29</v>
      </c>
      <c r="L32" s="61" t="s">
        <v>34</v>
      </c>
      <c r="M32" s="57">
        <v>5.0</v>
      </c>
      <c r="N32" s="181">
        <v>64.0</v>
      </c>
    </row>
    <row r="33">
      <c r="A33" s="39"/>
      <c r="B33" s="52" t="s">
        <v>61</v>
      </c>
      <c r="C33" s="53" t="s">
        <v>39</v>
      </c>
      <c r="D33" s="83" t="s">
        <v>36</v>
      </c>
      <c r="E33" s="84" t="s">
        <v>26</v>
      </c>
      <c r="F33" s="84" t="s">
        <v>32</v>
      </c>
      <c r="G33" s="84" t="s">
        <v>27</v>
      </c>
      <c r="H33" s="84" t="s">
        <v>25</v>
      </c>
      <c r="I33" s="84" t="s">
        <v>55</v>
      </c>
      <c r="J33" s="84" t="s">
        <v>53</v>
      </c>
      <c r="K33" s="84" t="s">
        <v>29</v>
      </c>
      <c r="L33" s="85" t="s">
        <v>34</v>
      </c>
      <c r="M33" s="86">
        <v>5.0</v>
      </c>
      <c r="N33" s="181">
        <v>65.0</v>
      </c>
    </row>
    <row r="34">
      <c r="A34" s="39"/>
      <c r="B34" s="87" t="s">
        <v>62</v>
      </c>
      <c r="C34" s="88" t="s">
        <v>63</v>
      </c>
      <c r="D34" s="89" t="s">
        <v>139</v>
      </c>
      <c r="E34" s="89" t="s">
        <v>26</v>
      </c>
      <c r="F34" s="89" t="s">
        <v>32</v>
      </c>
      <c r="G34" s="89" t="s">
        <v>27</v>
      </c>
      <c r="H34" s="89" t="s">
        <v>25</v>
      </c>
      <c r="I34" s="89" t="s">
        <v>55</v>
      </c>
      <c r="J34" s="89" t="s">
        <v>47</v>
      </c>
      <c r="K34" s="89" t="s">
        <v>29</v>
      </c>
      <c r="L34" s="89" t="s">
        <v>34</v>
      </c>
      <c r="M34" s="90">
        <v>4.0</v>
      </c>
      <c r="N34" s="182">
        <v>63.0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45789.0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9.0</v>
      </c>
      <c r="B2" s="7" t="s">
        <v>164</v>
      </c>
      <c r="C2" s="8"/>
      <c r="D2" s="9" t="s">
        <v>165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45785.84027777778</v>
      </c>
      <c r="E3" s="15">
        <v>45786.819444444445</v>
      </c>
      <c r="F3" s="15">
        <v>45787.555555555555</v>
      </c>
      <c r="G3" s="15">
        <v>45787.677083333336</v>
      </c>
      <c r="H3" s="15">
        <v>45787.81597222222</v>
      </c>
      <c r="I3" s="15">
        <v>45787.84027777778</v>
      </c>
      <c r="J3" s="15">
        <v>45788.54861111111</v>
      </c>
      <c r="K3" s="15">
        <v>45788.63888888889</v>
      </c>
      <c r="L3" s="15">
        <v>45788.694444444445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45785.756944444445</v>
      </c>
      <c r="E5" s="25">
        <v>45786.819444444445</v>
      </c>
      <c r="F5" s="25">
        <v>45787.555555555555</v>
      </c>
      <c r="G5" s="25">
        <v>45787.677083333336</v>
      </c>
      <c r="H5" s="25">
        <v>45787.79513888889</v>
      </c>
      <c r="I5" s="25">
        <v>45787.819444444445</v>
      </c>
      <c r="J5" s="25">
        <v>45788.54861111111</v>
      </c>
      <c r="K5" s="25">
        <v>45788.63888888889</v>
      </c>
      <c r="L5" s="25">
        <v>45788.694444444445</v>
      </c>
      <c r="M5" s="26"/>
      <c r="N5" s="27"/>
    </row>
    <row r="6">
      <c r="A6" s="6">
        <v>7.0</v>
      </c>
      <c r="B6" s="28" t="s">
        <v>4</v>
      </c>
      <c r="C6" s="29"/>
      <c r="D6" s="30" t="s">
        <v>28</v>
      </c>
      <c r="E6" s="30" t="s">
        <v>34</v>
      </c>
      <c r="F6" s="30" t="s">
        <v>22</v>
      </c>
      <c r="G6" s="30" t="s">
        <v>31</v>
      </c>
      <c r="H6" s="30" t="s">
        <v>23</v>
      </c>
      <c r="I6" s="30" t="s">
        <v>33</v>
      </c>
      <c r="J6" s="30" t="s">
        <v>47</v>
      </c>
      <c r="K6" s="30" t="s">
        <v>25</v>
      </c>
      <c r="L6" s="30" t="s">
        <v>53</v>
      </c>
      <c r="M6" s="21"/>
      <c r="N6" s="22"/>
    </row>
    <row r="7">
      <c r="A7" s="6">
        <v>8.0</v>
      </c>
      <c r="B7" s="31" t="s">
        <v>5</v>
      </c>
      <c r="C7" s="24"/>
      <c r="D7" s="32" t="s">
        <v>32</v>
      </c>
      <c r="E7" s="32" t="s">
        <v>21</v>
      </c>
      <c r="F7" s="32" t="s">
        <v>36</v>
      </c>
      <c r="G7" s="32" t="s">
        <v>26</v>
      </c>
      <c r="H7" s="32" t="s">
        <v>55</v>
      </c>
      <c r="I7" s="32" t="s">
        <v>24</v>
      </c>
      <c r="J7" s="32" t="s">
        <v>54</v>
      </c>
      <c r="K7" s="32" t="s">
        <v>27</v>
      </c>
      <c r="L7" s="32" t="s">
        <v>29</v>
      </c>
      <c r="M7" s="26"/>
      <c r="N7" s="27"/>
    </row>
    <row r="8">
      <c r="A8" s="33">
        <v>9.0</v>
      </c>
      <c r="B8" s="34" t="s">
        <v>6</v>
      </c>
      <c r="C8" s="35"/>
      <c r="D8" s="36" t="s">
        <v>115</v>
      </c>
      <c r="E8" s="36" t="s">
        <v>117</v>
      </c>
      <c r="F8" s="36" t="s">
        <v>117</v>
      </c>
      <c r="G8" s="36" t="s">
        <v>114</v>
      </c>
      <c r="H8" s="36" t="s">
        <v>163</v>
      </c>
      <c r="I8" s="36" t="s">
        <v>118</v>
      </c>
      <c r="J8" s="36" t="s">
        <v>117</v>
      </c>
      <c r="K8" s="36" t="s">
        <v>126</v>
      </c>
      <c r="L8" s="36" t="s">
        <v>119</v>
      </c>
      <c r="M8" s="37"/>
      <c r="N8" s="38"/>
    </row>
    <row r="9">
      <c r="A9" s="39"/>
      <c r="B9" s="40" t="s">
        <v>7</v>
      </c>
      <c r="C9" s="41"/>
      <c r="D9" s="42" t="s">
        <v>32</v>
      </c>
      <c r="E9" s="42" t="s">
        <v>21</v>
      </c>
      <c r="F9" s="42" t="s">
        <v>36</v>
      </c>
      <c r="G9" s="42" t="s">
        <v>31</v>
      </c>
      <c r="H9" s="42" t="s">
        <v>23</v>
      </c>
      <c r="I9" s="42" t="s">
        <v>24</v>
      </c>
      <c r="J9" s="42" t="s">
        <v>47</v>
      </c>
      <c r="K9" s="42" t="s">
        <v>27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32</v>
      </c>
      <c r="E10" s="48" t="s">
        <v>34</v>
      </c>
      <c r="F10" s="48" t="s">
        <v>36</v>
      </c>
      <c r="G10" s="48" t="s">
        <v>31</v>
      </c>
      <c r="H10" s="48" t="s">
        <v>55</v>
      </c>
      <c r="I10" s="48" t="s">
        <v>24</v>
      </c>
      <c r="J10" s="48" t="s">
        <v>47</v>
      </c>
      <c r="K10" s="48" t="s">
        <v>25</v>
      </c>
      <c r="L10" s="49" t="s">
        <v>29</v>
      </c>
      <c r="M10" s="50">
        <v>5.0</v>
      </c>
      <c r="N10" s="51">
        <v>54.0</v>
      </c>
    </row>
    <row r="11">
      <c r="A11" s="39"/>
      <c r="B11" s="52" t="s">
        <v>12</v>
      </c>
      <c r="C11" s="53" t="s">
        <v>13</v>
      </c>
      <c r="D11" s="54" t="s">
        <v>32</v>
      </c>
      <c r="E11" s="55" t="s">
        <v>21</v>
      </c>
      <c r="F11" s="55" t="s">
        <v>36</v>
      </c>
      <c r="G11" s="55" t="s">
        <v>31</v>
      </c>
      <c r="H11" s="55" t="s">
        <v>23</v>
      </c>
      <c r="I11" s="55" t="s">
        <v>24</v>
      </c>
      <c r="J11" s="55" t="s">
        <v>47</v>
      </c>
      <c r="K11" s="55" t="s">
        <v>27</v>
      </c>
      <c r="L11" s="56" t="s">
        <v>29</v>
      </c>
      <c r="M11" s="57">
        <v>8.0</v>
      </c>
      <c r="N11" s="58">
        <v>51.0</v>
      </c>
    </row>
    <row r="12">
      <c r="A12" s="39"/>
      <c r="B12" s="52" t="s">
        <v>14</v>
      </c>
      <c r="C12" s="53" t="s">
        <v>15</v>
      </c>
      <c r="D12" s="59" t="s">
        <v>28</v>
      </c>
      <c r="E12" s="60" t="s">
        <v>21</v>
      </c>
      <c r="F12" s="60" t="s">
        <v>36</v>
      </c>
      <c r="G12" s="60" t="s">
        <v>26</v>
      </c>
      <c r="H12" s="60" t="s">
        <v>23</v>
      </c>
      <c r="I12" s="60" t="s">
        <v>24</v>
      </c>
      <c r="J12" s="60" t="s">
        <v>47</v>
      </c>
      <c r="K12" s="60" t="s">
        <v>25</v>
      </c>
      <c r="L12" s="61" t="s">
        <v>29</v>
      </c>
      <c r="M12" s="57">
        <v>5.0</v>
      </c>
      <c r="N12" s="62">
        <v>57.0</v>
      </c>
    </row>
    <row r="13">
      <c r="A13" s="63"/>
      <c r="B13" s="52" t="s">
        <v>16</v>
      </c>
      <c r="C13" s="53" t="s">
        <v>11</v>
      </c>
      <c r="D13" s="54" t="s">
        <v>32</v>
      </c>
      <c r="E13" s="55" t="s">
        <v>21</v>
      </c>
      <c r="F13" s="55" t="s">
        <v>36</v>
      </c>
      <c r="G13" s="55" t="s">
        <v>31</v>
      </c>
      <c r="H13" s="55" t="s">
        <v>23</v>
      </c>
      <c r="I13" s="55" t="s">
        <v>24</v>
      </c>
      <c r="J13" s="55" t="s">
        <v>47</v>
      </c>
      <c r="K13" s="55" t="s">
        <v>25</v>
      </c>
      <c r="L13" s="56" t="s">
        <v>29</v>
      </c>
      <c r="M13" s="57">
        <v>7.0</v>
      </c>
      <c r="N13" s="181">
        <v>54.0</v>
      </c>
    </row>
    <row r="14">
      <c r="A14" s="63"/>
      <c r="B14" s="52" t="s">
        <v>17</v>
      </c>
      <c r="C14" s="53" t="s">
        <v>18</v>
      </c>
      <c r="D14" s="59" t="s">
        <v>28</v>
      </c>
      <c r="E14" s="60" t="s">
        <v>34</v>
      </c>
      <c r="F14" s="60" t="s">
        <v>36</v>
      </c>
      <c r="G14" s="60" t="s">
        <v>26</v>
      </c>
      <c r="H14" s="60" t="s">
        <v>23</v>
      </c>
      <c r="I14" s="60" t="s">
        <v>24</v>
      </c>
      <c r="J14" s="60" t="s">
        <v>47</v>
      </c>
      <c r="K14" s="60" t="s">
        <v>27</v>
      </c>
      <c r="L14" s="61" t="s">
        <v>29</v>
      </c>
      <c r="M14" s="57">
        <v>5.0</v>
      </c>
      <c r="N14" s="181">
        <v>47.0</v>
      </c>
    </row>
    <row r="15">
      <c r="A15" s="63"/>
      <c r="B15" s="52" t="s">
        <v>19</v>
      </c>
      <c r="C15" s="53"/>
      <c r="D15" s="54" t="s">
        <v>32</v>
      </c>
      <c r="E15" s="55" t="s">
        <v>34</v>
      </c>
      <c r="F15" s="55" t="s">
        <v>36</v>
      </c>
      <c r="G15" s="55" t="s">
        <v>26</v>
      </c>
      <c r="H15" s="55" t="s">
        <v>23</v>
      </c>
      <c r="I15" s="55" t="s">
        <v>24</v>
      </c>
      <c r="J15" s="55" t="s">
        <v>47</v>
      </c>
      <c r="K15" s="55" t="s">
        <v>27</v>
      </c>
      <c r="L15" s="56" t="s">
        <v>29</v>
      </c>
      <c r="M15" s="57">
        <v>6.0</v>
      </c>
      <c r="N15" s="181">
        <v>38.0</v>
      </c>
    </row>
    <row r="16">
      <c r="A16" s="63"/>
      <c r="B16" s="52" t="s">
        <v>20</v>
      </c>
      <c r="C16" s="65" t="s">
        <v>15</v>
      </c>
      <c r="D16" s="66" t="s">
        <v>28</v>
      </c>
      <c r="E16" s="66" t="s">
        <v>21</v>
      </c>
      <c r="F16" s="67" t="s">
        <v>22</v>
      </c>
      <c r="G16" s="67" t="s">
        <v>31</v>
      </c>
      <c r="H16" s="67" t="s">
        <v>23</v>
      </c>
      <c r="I16" s="67" t="s">
        <v>24</v>
      </c>
      <c r="J16" s="67" t="s">
        <v>47</v>
      </c>
      <c r="K16" s="67" t="s">
        <v>25</v>
      </c>
      <c r="L16" s="67" t="s">
        <v>29</v>
      </c>
      <c r="M16" s="57">
        <v>5.0</v>
      </c>
      <c r="N16" s="181">
        <v>54.0</v>
      </c>
    </row>
    <row r="17">
      <c r="A17" s="63"/>
      <c r="B17" s="52" t="s">
        <v>30</v>
      </c>
      <c r="C17" s="53" t="s">
        <v>13</v>
      </c>
      <c r="D17" s="68" t="s">
        <v>28</v>
      </c>
      <c r="E17" s="55" t="s">
        <v>21</v>
      </c>
      <c r="F17" s="55" t="s">
        <v>36</v>
      </c>
      <c r="G17" s="55" t="s">
        <v>31</v>
      </c>
      <c r="H17" s="55" t="s">
        <v>55</v>
      </c>
      <c r="I17" s="55" t="s">
        <v>33</v>
      </c>
      <c r="J17" s="55" t="s">
        <v>47</v>
      </c>
      <c r="K17" s="55" t="s">
        <v>25</v>
      </c>
      <c r="L17" s="56" t="s">
        <v>29</v>
      </c>
      <c r="M17" s="57">
        <v>4.0</v>
      </c>
      <c r="N17" s="181">
        <v>54.0</v>
      </c>
    </row>
    <row r="18">
      <c r="A18" s="63"/>
      <c r="B18" s="52" t="s">
        <v>35</v>
      </c>
      <c r="C18" s="53" t="s">
        <v>13</v>
      </c>
      <c r="D18" s="69" t="s">
        <v>32</v>
      </c>
      <c r="E18" s="70" t="s">
        <v>34</v>
      </c>
      <c r="F18" s="70" t="s">
        <v>36</v>
      </c>
      <c r="G18" s="70" t="s">
        <v>31</v>
      </c>
      <c r="H18" s="70" t="s">
        <v>23</v>
      </c>
      <c r="I18" s="70" t="s">
        <v>24</v>
      </c>
      <c r="J18" s="70" t="s">
        <v>47</v>
      </c>
      <c r="K18" s="70" t="s">
        <v>25</v>
      </c>
      <c r="L18" s="205" t="s">
        <v>29</v>
      </c>
      <c r="M18" s="57">
        <v>6.0</v>
      </c>
      <c r="N18" s="181">
        <v>58.0</v>
      </c>
    </row>
    <row r="19">
      <c r="A19" s="63"/>
      <c r="B19" s="52" t="s">
        <v>37</v>
      </c>
      <c r="C19" s="65" t="s">
        <v>13</v>
      </c>
      <c r="D19" s="71" t="s">
        <v>32</v>
      </c>
      <c r="E19" s="72" t="s">
        <v>21</v>
      </c>
      <c r="F19" s="72" t="s">
        <v>36</v>
      </c>
      <c r="G19" s="77" t="s">
        <v>26</v>
      </c>
      <c r="H19" s="72" t="s">
        <v>23</v>
      </c>
      <c r="I19" s="72" t="s">
        <v>24</v>
      </c>
      <c r="J19" s="74" t="s">
        <v>47</v>
      </c>
      <c r="K19" s="77" t="s">
        <v>25</v>
      </c>
      <c r="L19" s="77" t="s">
        <v>29</v>
      </c>
      <c r="M19" s="57">
        <v>6.0</v>
      </c>
      <c r="N19" s="181">
        <v>59.0</v>
      </c>
    </row>
    <row r="20">
      <c r="A20" s="63"/>
      <c r="B20" s="52" t="s">
        <v>38</v>
      </c>
      <c r="C20" s="65" t="s">
        <v>39</v>
      </c>
      <c r="D20" s="69" t="s">
        <v>32</v>
      </c>
      <c r="E20" s="70" t="s">
        <v>21</v>
      </c>
      <c r="F20" s="70" t="s">
        <v>36</v>
      </c>
      <c r="G20" s="73" t="s">
        <v>26</v>
      </c>
      <c r="H20" s="70" t="s">
        <v>23</v>
      </c>
      <c r="I20" s="70" t="s">
        <v>24</v>
      </c>
      <c r="J20" s="191" t="s">
        <v>47</v>
      </c>
      <c r="K20" s="73" t="s">
        <v>25</v>
      </c>
      <c r="L20" s="73" t="s">
        <v>29</v>
      </c>
      <c r="M20" s="57">
        <v>6.0</v>
      </c>
      <c r="N20" s="181">
        <v>64.0</v>
      </c>
    </row>
    <row r="21">
      <c r="A21" s="63"/>
      <c r="B21" s="52" t="s">
        <v>40</v>
      </c>
      <c r="C21" s="65" t="s">
        <v>39</v>
      </c>
      <c r="D21" s="71" t="s">
        <v>28</v>
      </c>
      <c r="E21" s="72" t="s">
        <v>34</v>
      </c>
      <c r="F21" s="72" t="s">
        <v>36</v>
      </c>
      <c r="G21" s="77" t="s">
        <v>31</v>
      </c>
      <c r="H21" s="72" t="s">
        <v>23</v>
      </c>
      <c r="I21" s="72" t="s">
        <v>33</v>
      </c>
      <c r="J21" s="74" t="s">
        <v>47</v>
      </c>
      <c r="K21" s="77" t="s">
        <v>25</v>
      </c>
      <c r="L21" s="77" t="s">
        <v>29</v>
      </c>
      <c r="M21" s="57">
        <v>4.0</v>
      </c>
      <c r="N21" s="181">
        <v>49.0</v>
      </c>
    </row>
    <row r="22">
      <c r="A22" s="63"/>
      <c r="B22" s="52" t="s">
        <v>41</v>
      </c>
      <c r="C22" s="53" t="s">
        <v>39</v>
      </c>
      <c r="D22" s="69" t="s">
        <v>32</v>
      </c>
      <c r="E22" s="70" t="s">
        <v>34</v>
      </c>
      <c r="F22" s="70" t="s">
        <v>36</v>
      </c>
      <c r="G22" s="73" t="s">
        <v>26</v>
      </c>
      <c r="H22" s="70" t="s">
        <v>55</v>
      </c>
      <c r="I22" s="70" t="s">
        <v>24</v>
      </c>
      <c r="J22" s="191" t="s">
        <v>47</v>
      </c>
      <c r="K22" s="73" t="s">
        <v>25</v>
      </c>
      <c r="L22" s="61" t="s">
        <v>29</v>
      </c>
      <c r="M22" s="57">
        <v>4.0</v>
      </c>
      <c r="N22" s="181">
        <v>56.0</v>
      </c>
    </row>
    <row r="23">
      <c r="A23" s="63"/>
      <c r="B23" s="52" t="s">
        <v>42</v>
      </c>
      <c r="C23" s="53" t="s">
        <v>39</v>
      </c>
      <c r="D23" s="54" t="s">
        <v>32</v>
      </c>
      <c r="E23" s="55" t="s">
        <v>34</v>
      </c>
      <c r="F23" s="55" t="s">
        <v>36</v>
      </c>
      <c r="G23" s="55" t="s">
        <v>26</v>
      </c>
      <c r="H23" s="55" t="s">
        <v>23</v>
      </c>
      <c r="I23" s="55" t="s">
        <v>24</v>
      </c>
      <c r="J23" s="74" t="s">
        <v>47</v>
      </c>
      <c r="K23" s="55" t="s">
        <v>25</v>
      </c>
      <c r="L23" s="56" t="s">
        <v>29</v>
      </c>
      <c r="M23" s="57">
        <v>5.0</v>
      </c>
      <c r="N23" s="181">
        <v>60.0</v>
      </c>
    </row>
    <row r="24">
      <c r="A24" s="63"/>
      <c r="B24" s="52" t="s">
        <v>43</v>
      </c>
      <c r="C24" s="53" t="s">
        <v>44</v>
      </c>
      <c r="D24" s="203" t="s">
        <v>32</v>
      </c>
      <c r="E24" s="60" t="s">
        <v>21</v>
      </c>
      <c r="F24" s="60" t="s">
        <v>22</v>
      </c>
      <c r="G24" s="60" t="s">
        <v>26</v>
      </c>
      <c r="H24" s="60" t="s">
        <v>55</v>
      </c>
      <c r="I24" s="60" t="s">
        <v>24</v>
      </c>
      <c r="J24" s="60" t="s">
        <v>47</v>
      </c>
      <c r="K24" s="60" t="s">
        <v>25</v>
      </c>
      <c r="L24" s="61" t="s">
        <v>29</v>
      </c>
      <c r="M24" s="57">
        <v>4.0</v>
      </c>
      <c r="N24" s="181">
        <v>48.0</v>
      </c>
    </row>
    <row r="25">
      <c r="A25" s="63"/>
      <c r="B25" s="52" t="s">
        <v>45</v>
      </c>
      <c r="C25" s="53" t="s">
        <v>44</v>
      </c>
      <c r="D25" s="68" t="s">
        <v>32</v>
      </c>
      <c r="E25" s="55" t="s">
        <v>21</v>
      </c>
      <c r="F25" s="55" t="s">
        <v>36</v>
      </c>
      <c r="G25" s="55" t="s">
        <v>26</v>
      </c>
      <c r="H25" s="55" t="s">
        <v>23</v>
      </c>
      <c r="I25" s="55" t="s">
        <v>24</v>
      </c>
      <c r="J25" s="55" t="s">
        <v>47</v>
      </c>
      <c r="K25" s="55" t="s">
        <v>25</v>
      </c>
      <c r="L25" s="56" t="s">
        <v>29</v>
      </c>
      <c r="M25" s="57">
        <v>6.0</v>
      </c>
      <c r="N25" s="181">
        <v>57.0</v>
      </c>
    </row>
    <row r="26">
      <c r="A26" s="63"/>
      <c r="B26" s="52" t="s">
        <v>46</v>
      </c>
      <c r="C26" s="53" t="s">
        <v>18</v>
      </c>
      <c r="D26" s="200" t="s">
        <v>32</v>
      </c>
      <c r="E26" s="76" t="s">
        <v>34</v>
      </c>
      <c r="F26" s="76" t="s">
        <v>36</v>
      </c>
      <c r="G26" s="76" t="s">
        <v>31</v>
      </c>
      <c r="H26" s="76" t="s">
        <v>23</v>
      </c>
      <c r="I26" s="76" t="s">
        <v>24</v>
      </c>
      <c r="J26" s="76" t="s">
        <v>47</v>
      </c>
      <c r="K26" s="76" t="s">
        <v>25</v>
      </c>
      <c r="L26" s="76" t="s">
        <v>29</v>
      </c>
      <c r="M26" s="80">
        <v>6.0</v>
      </c>
      <c r="N26" s="207">
        <v>29.0</v>
      </c>
    </row>
    <row r="27">
      <c r="A27" s="63"/>
      <c r="B27" s="52" t="s">
        <v>48</v>
      </c>
      <c r="C27" s="53" t="s">
        <v>49</v>
      </c>
      <c r="D27" s="201" t="s">
        <v>32</v>
      </c>
      <c r="E27" s="81" t="s">
        <v>21</v>
      </c>
      <c r="F27" s="82" t="s">
        <v>36</v>
      </c>
      <c r="G27" s="82" t="s">
        <v>26</v>
      </c>
      <c r="H27" s="82" t="s">
        <v>23</v>
      </c>
      <c r="I27" s="82" t="s">
        <v>24</v>
      </c>
      <c r="J27" s="82" t="s">
        <v>47</v>
      </c>
      <c r="K27" s="82" t="s">
        <v>25</v>
      </c>
      <c r="L27" s="82" t="s">
        <v>29</v>
      </c>
      <c r="M27" s="57">
        <v>6.0</v>
      </c>
      <c r="N27" s="181">
        <v>54.0</v>
      </c>
    </row>
    <row r="28">
      <c r="A28" s="63"/>
      <c r="B28" s="52" t="s">
        <v>50</v>
      </c>
      <c r="C28" s="53" t="s">
        <v>51</v>
      </c>
      <c r="D28" s="202" t="s">
        <v>32</v>
      </c>
      <c r="E28" s="66" t="s">
        <v>21</v>
      </c>
      <c r="F28" s="67" t="s">
        <v>36</v>
      </c>
      <c r="G28" s="67" t="s">
        <v>31</v>
      </c>
      <c r="H28" s="67" t="s">
        <v>23</v>
      </c>
      <c r="I28" s="67" t="s">
        <v>24</v>
      </c>
      <c r="J28" s="67" t="s">
        <v>47</v>
      </c>
      <c r="K28" s="67" t="s">
        <v>25</v>
      </c>
      <c r="L28" s="67" t="s">
        <v>29</v>
      </c>
      <c r="M28" s="57">
        <v>7.0</v>
      </c>
      <c r="N28" s="181">
        <v>59.0</v>
      </c>
    </row>
    <row r="29">
      <c r="A29" s="63"/>
      <c r="B29" s="52" t="s">
        <v>52</v>
      </c>
      <c r="C29" s="53" t="s">
        <v>13</v>
      </c>
      <c r="D29" s="68" t="s">
        <v>32</v>
      </c>
      <c r="E29" s="55" t="s">
        <v>21</v>
      </c>
      <c r="F29" s="55" t="s">
        <v>36</v>
      </c>
      <c r="G29" s="55" t="s">
        <v>26</v>
      </c>
      <c r="H29" s="55" t="s">
        <v>55</v>
      </c>
      <c r="I29" s="55" t="s">
        <v>24</v>
      </c>
      <c r="J29" s="55" t="s">
        <v>47</v>
      </c>
      <c r="K29" s="55" t="s">
        <v>25</v>
      </c>
      <c r="L29" s="56" t="s">
        <v>29</v>
      </c>
      <c r="M29" s="57">
        <v>5.0</v>
      </c>
      <c r="N29" s="181">
        <v>62.0</v>
      </c>
    </row>
    <row r="30">
      <c r="A30" s="63"/>
      <c r="B30" s="52" t="s">
        <v>56</v>
      </c>
      <c r="C30" s="53" t="s">
        <v>13</v>
      </c>
      <c r="D30" s="203" t="s">
        <v>32</v>
      </c>
      <c r="E30" s="60" t="s">
        <v>21</v>
      </c>
      <c r="F30" s="60" t="s">
        <v>36</v>
      </c>
      <c r="G30" s="60" t="s">
        <v>31</v>
      </c>
      <c r="H30" s="60" t="s">
        <v>23</v>
      </c>
      <c r="I30" s="60" t="s">
        <v>33</v>
      </c>
      <c r="J30" s="60" t="s">
        <v>47</v>
      </c>
      <c r="K30" s="60" t="s">
        <v>25</v>
      </c>
      <c r="L30" s="61" t="s">
        <v>29</v>
      </c>
      <c r="M30" s="57">
        <v>6.0</v>
      </c>
      <c r="N30" s="181">
        <v>57.0</v>
      </c>
    </row>
    <row r="31">
      <c r="A31" s="63"/>
      <c r="B31" s="52" t="s">
        <v>58</v>
      </c>
      <c r="C31" s="53" t="s">
        <v>59</v>
      </c>
      <c r="D31" s="54" t="s">
        <v>32</v>
      </c>
      <c r="E31" s="55" t="s">
        <v>21</v>
      </c>
      <c r="F31" s="72" t="s">
        <v>22</v>
      </c>
      <c r="G31" s="55" t="s">
        <v>31</v>
      </c>
      <c r="H31" s="55" t="s">
        <v>55</v>
      </c>
      <c r="I31" s="55" t="s">
        <v>24</v>
      </c>
      <c r="J31" s="55" t="s">
        <v>54</v>
      </c>
      <c r="K31" s="55" t="s">
        <v>25</v>
      </c>
      <c r="L31" s="56" t="s">
        <v>53</v>
      </c>
      <c r="M31" s="57">
        <v>4.0</v>
      </c>
      <c r="N31" s="181">
        <v>37.0</v>
      </c>
    </row>
    <row r="32">
      <c r="A32" s="63"/>
      <c r="B32" s="52" t="s">
        <v>60</v>
      </c>
      <c r="C32" s="53" t="s">
        <v>39</v>
      </c>
      <c r="D32" s="59" t="s">
        <v>32</v>
      </c>
      <c r="E32" s="60" t="s">
        <v>34</v>
      </c>
      <c r="F32" s="70" t="s">
        <v>36</v>
      </c>
      <c r="G32" s="60" t="s">
        <v>26</v>
      </c>
      <c r="H32" s="60" t="s">
        <v>23</v>
      </c>
      <c r="I32" s="60" t="s">
        <v>24</v>
      </c>
      <c r="J32" s="60" t="s">
        <v>47</v>
      </c>
      <c r="K32" s="60" t="s">
        <v>27</v>
      </c>
      <c r="L32" s="61" t="s">
        <v>29</v>
      </c>
      <c r="M32" s="57">
        <v>6.0</v>
      </c>
      <c r="N32" s="181">
        <v>60.0</v>
      </c>
    </row>
    <row r="33">
      <c r="A33" s="39"/>
      <c r="B33" s="52" t="s">
        <v>61</v>
      </c>
      <c r="C33" s="53" t="s">
        <v>39</v>
      </c>
      <c r="D33" s="83" t="s">
        <v>32</v>
      </c>
      <c r="E33" s="84" t="s">
        <v>21</v>
      </c>
      <c r="F33" s="84" t="s">
        <v>36</v>
      </c>
      <c r="G33" s="84" t="s">
        <v>26</v>
      </c>
      <c r="H33" s="84" t="s">
        <v>23</v>
      </c>
      <c r="I33" s="84" t="s">
        <v>24</v>
      </c>
      <c r="J33" s="84" t="s">
        <v>47</v>
      </c>
      <c r="K33" s="84" t="s">
        <v>25</v>
      </c>
      <c r="L33" s="85" t="s">
        <v>29</v>
      </c>
      <c r="M33" s="86">
        <v>6.0</v>
      </c>
      <c r="N33" s="181">
        <v>61.0</v>
      </c>
    </row>
    <row r="34">
      <c r="A34" s="39"/>
      <c r="B34" s="87" t="s">
        <v>62</v>
      </c>
      <c r="C34" s="88" t="s">
        <v>63</v>
      </c>
      <c r="D34" s="89" t="s">
        <v>32</v>
      </c>
      <c r="E34" s="89" t="s">
        <v>21</v>
      </c>
      <c r="F34" s="89" t="s">
        <v>36</v>
      </c>
      <c r="G34" s="89" t="s">
        <v>26</v>
      </c>
      <c r="H34" s="89" t="s">
        <v>23</v>
      </c>
      <c r="I34" s="89" t="s">
        <v>24</v>
      </c>
      <c r="J34" s="89" t="s">
        <v>47</v>
      </c>
      <c r="K34" s="89" t="s">
        <v>25</v>
      </c>
      <c r="L34" s="89" t="s">
        <v>29</v>
      </c>
      <c r="M34" s="90">
        <v>6.0</v>
      </c>
      <c r="N34" s="182">
        <v>61.0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211">
        <v>45782.0</v>
      </c>
      <c r="C1" s="3"/>
      <c r="D1" s="212">
        <v>1.0</v>
      </c>
      <c r="E1" s="212">
        <v>2.0</v>
      </c>
      <c r="F1" s="212">
        <v>3.0</v>
      </c>
      <c r="G1" s="212">
        <v>4.0</v>
      </c>
      <c r="H1" s="212">
        <v>5.0</v>
      </c>
      <c r="I1" s="212">
        <v>6.0</v>
      </c>
      <c r="J1" s="212">
        <v>7.0</v>
      </c>
      <c r="K1" s="212">
        <v>8.0</v>
      </c>
      <c r="L1" s="212">
        <v>9.0</v>
      </c>
      <c r="M1" s="212" t="s">
        <v>0</v>
      </c>
      <c r="N1" s="5"/>
    </row>
    <row r="2" ht="33.75" customHeight="1">
      <c r="A2" s="213">
        <v>8.0</v>
      </c>
      <c r="B2" s="214" t="s">
        <v>166</v>
      </c>
      <c r="C2" s="215" t="s">
        <v>167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11"/>
      <c r="P2" s="12"/>
    </row>
    <row r="3">
      <c r="A3" s="213">
        <v>4.0</v>
      </c>
      <c r="B3" s="217" t="s">
        <v>1</v>
      </c>
      <c r="C3" s="218"/>
      <c r="D3" s="219">
        <v>45778.0</v>
      </c>
      <c r="E3" s="220">
        <v>45779.0</v>
      </c>
      <c r="F3" s="220">
        <v>45780.0</v>
      </c>
      <c r="G3" s="220">
        <v>45780.0</v>
      </c>
      <c r="H3" s="220">
        <v>45780.0</v>
      </c>
      <c r="I3" s="220">
        <v>45780.0</v>
      </c>
      <c r="J3" s="220">
        <v>45781.0</v>
      </c>
      <c r="K3" s="220">
        <v>45781.0</v>
      </c>
      <c r="L3" s="220">
        <v>45781.0</v>
      </c>
      <c r="M3" s="221"/>
      <c r="N3" s="222"/>
    </row>
    <row r="4">
      <c r="A4" s="6"/>
      <c r="B4" s="223" t="s">
        <v>2</v>
      </c>
      <c r="C4" s="224"/>
      <c r="D4" s="225" t="s">
        <v>125</v>
      </c>
      <c r="E4" s="225" t="s">
        <v>111</v>
      </c>
      <c r="F4" s="225" t="s">
        <v>112</v>
      </c>
      <c r="G4" s="225" t="s">
        <v>112</v>
      </c>
      <c r="H4" s="225" t="s">
        <v>112</v>
      </c>
      <c r="I4" s="225" t="s">
        <v>112</v>
      </c>
      <c r="J4" s="225" t="s">
        <v>113</v>
      </c>
      <c r="K4" s="225" t="s">
        <v>113</v>
      </c>
      <c r="L4" s="225" t="s">
        <v>113</v>
      </c>
      <c r="M4" s="226"/>
      <c r="N4" s="227"/>
    </row>
    <row r="5">
      <c r="A5" s="213">
        <v>5.0</v>
      </c>
      <c r="B5" s="228" t="s">
        <v>3</v>
      </c>
      <c r="C5" s="229"/>
      <c r="D5" s="230">
        <v>0.8125</v>
      </c>
      <c r="E5" s="231">
        <v>0.8194444444444444</v>
      </c>
      <c r="F5" s="231">
        <v>0.5555555555555556</v>
      </c>
      <c r="G5" s="231">
        <v>0.65625</v>
      </c>
      <c r="H5" s="231">
        <v>0.8159722222222222</v>
      </c>
      <c r="I5" s="231">
        <v>0.7326388888888888</v>
      </c>
      <c r="J5" s="231">
        <v>0.5486111111111112</v>
      </c>
      <c r="K5" s="231">
        <v>0.6388888888888888</v>
      </c>
      <c r="L5" s="231">
        <v>0.8055555555555556</v>
      </c>
      <c r="M5" s="226"/>
      <c r="N5" s="227"/>
    </row>
    <row r="6">
      <c r="A6" s="213">
        <v>7.0</v>
      </c>
      <c r="B6" s="232" t="s">
        <v>4</v>
      </c>
      <c r="C6" s="233"/>
      <c r="D6" s="234" t="s">
        <v>31</v>
      </c>
      <c r="E6" s="235" t="s">
        <v>34</v>
      </c>
      <c r="F6" s="235" t="s">
        <v>55</v>
      </c>
      <c r="G6" s="235" t="s">
        <v>24</v>
      </c>
      <c r="H6" s="235" t="s">
        <v>32</v>
      </c>
      <c r="I6" s="235" t="s">
        <v>54</v>
      </c>
      <c r="J6" s="235" t="s">
        <v>26</v>
      </c>
      <c r="K6" s="235" t="s">
        <v>36</v>
      </c>
      <c r="L6" s="235" t="s">
        <v>29</v>
      </c>
      <c r="M6" s="226"/>
      <c r="N6" s="227"/>
    </row>
    <row r="7">
      <c r="A7" s="213">
        <v>8.0</v>
      </c>
      <c r="B7" s="232" t="s">
        <v>5</v>
      </c>
      <c r="C7" s="233"/>
      <c r="D7" s="234" t="s">
        <v>53</v>
      </c>
      <c r="E7" s="235" t="s">
        <v>28</v>
      </c>
      <c r="F7" s="235" t="s">
        <v>33</v>
      </c>
      <c r="G7" s="235" t="s">
        <v>21</v>
      </c>
      <c r="H7" s="235" t="s">
        <v>25</v>
      </c>
      <c r="I7" s="235" t="s">
        <v>22</v>
      </c>
      <c r="J7" s="235" t="s">
        <v>27</v>
      </c>
      <c r="K7" s="235" t="s">
        <v>47</v>
      </c>
      <c r="L7" s="235" t="s">
        <v>23</v>
      </c>
      <c r="M7" s="226"/>
      <c r="N7" s="227"/>
    </row>
    <row r="8">
      <c r="A8" s="236">
        <v>9.0</v>
      </c>
      <c r="B8" s="237" t="s">
        <v>6</v>
      </c>
      <c r="C8" s="238"/>
      <c r="D8" s="239" t="s">
        <v>114</v>
      </c>
      <c r="E8" s="240" t="s">
        <v>114</v>
      </c>
      <c r="F8" s="240" t="s">
        <v>168</v>
      </c>
      <c r="G8" s="240" t="s">
        <v>118</v>
      </c>
      <c r="H8" s="240" t="s">
        <v>117</v>
      </c>
      <c r="I8" s="240" t="s">
        <v>115</v>
      </c>
      <c r="J8" s="240" t="s">
        <v>120</v>
      </c>
      <c r="K8" s="240" t="s">
        <v>117</v>
      </c>
      <c r="L8" s="240" t="s">
        <v>127</v>
      </c>
      <c r="M8" s="241"/>
      <c r="N8" s="242"/>
    </row>
    <row r="9">
      <c r="A9" s="39"/>
      <c r="B9" s="243" t="s">
        <v>7</v>
      </c>
      <c r="C9" s="244"/>
      <c r="D9" s="245" t="s">
        <v>31</v>
      </c>
      <c r="E9" s="246" t="s">
        <v>34</v>
      </c>
      <c r="F9" s="246" t="s">
        <v>55</v>
      </c>
      <c r="G9" s="246" t="s">
        <v>24</v>
      </c>
      <c r="H9" s="246" t="s">
        <v>25</v>
      </c>
      <c r="I9" s="246" t="s">
        <v>22</v>
      </c>
      <c r="J9" s="246" t="s">
        <v>26</v>
      </c>
      <c r="K9" s="246" t="s">
        <v>36</v>
      </c>
      <c r="L9" s="246" t="s">
        <v>29</v>
      </c>
      <c r="M9" s="247" t="s">
        <v>8</v>
      </c>
      <c r="N9" s="248" t="s">
        <v>9</v>
      </c>
    </row>
    <row r="10">
      <c r="A10" s="39"/>
      <c r="B10" s="45" t="s">
        <v>10</v>
      </c>
      <c r="C10" s="46" t="s">
        <v>11</v>
      </c>
      <c r="D10" s="249" t="s">
        <v>31</v>
      </c>
      <c r="E10" s="250" t="s">
        <v>34</v>
      </c>
      <c r="F10" s="250" t="s">
        <v>33</v>
      </c>
      <c r="G10" s="250" t="s">
        <v>24</v>
      </c>
      <c r="H10" s="250" t="s">
        <v>32</v>
      </c>
      <c r="I10" s="250" t="s">
        <v>22</v>
      </c>
      <c r="J10" s="250" t="s">
        <v>27</v>
      </c>
      <c r="K10" s="250" t="s">
        <v>36</v>
      </c>
      <c r="L10" s="251" t="s">
        <v>29</v>
      </c>
      <c r="M10" s="252">
        <v>6.0</v>
      </c>
      <c r="N10" s="253">
        <v>44.0</v>
      </c>
    </row>
    <row r="11">
      <c r="A11" s="39"/>
      <c r="B11" s="52" t="s">
        <v>12</v>
      </c>
      <c r="C11" s="53" t="s">
        <v>13</v>
      </c>
      <c r="D11" s="254" t="s">
        <v>31</v>
      </c>
      <c r="E11" s="209" t="s">
        <v>34</v>
      </c>
      <c r="F11" s="209" t="s">
        <v>55</v>
      </c>
      <c r="G11" s="209" t="s">
        <v>24</v>
      </c>
      <c r="H11" s="209" t="s">
        <v>32</v>
      </c>
      <c r="I11" s="209" t="s">
        <v>22</v>
      </c>
      <c r="J11" s="209" t="s">
        <v>26</v>
      </c>
      <c r="K11" s="209" t="s">
        <v>36</v>
      </c>
      <c r="L11" s="210" t="s">
        <v>29</v>
      </c>
      <c r="M11" s="80">
        <v>8.0</v>
      </c>
      <c r="N11" s="255">
        <v>35.0</v>
      </c>
    </row>
    <row r="12">
      <c r="A12" s="39"/>
      <c r="B12" s="52" t="s">
        <v>14</v>
      </c>
      <c r="C12" s="53" t="s">
        <v>15</v>
      </c>
      <c r="D12" s="254" t="s">
        <v>31</v>
      </c>
      <c r="E12" s="209" t="s">
        <v>34</v>
      </c>
      <c r="F12" s="209" t="s">
        <v>55</v>
      </c>
      <c r="G12" s="209" t="s">
        <v>24</v>
      </c>
      <c r="H12" s="209" t="s">
        <v>32</v>
      </c>
      <c r="I12" s="209" t="s">
        <v>22</v>
      </c>
      <c r="J12" s="209" t="s">
        <v>27</v>
      </c>
      <c r="K12" s="209" t="s">
        <v>36</v>
      </c>
      <c r="L12" s="210" t="s">
        <v>29</v>
      </c>
      <c r="M12" s="80">
        <v>7.0</v>
      </c>
      <c r="N12" s="256">
        <v>47.0</v>
      </c>
    </row>
    <row r="13">
      <c r="A13" s="63"/>
      <c r="B13" s="52" t="s">
        <v>16</v>
      </c>
      <c r="C13" s="53" t="s">
        <v>11</v>
      </c>
      <c r="D13" s="254" t="s">
        <v>31</v>
      </c>
      <c r="E13" s="209" t="s">
        <v>34</v>
      </c>
      <c r="F13" s="209" t="s">
        <v>55</v>
      </c>
      <c r="G13" s="209" t="s">
        <v>24</v>
      </c>
      <c r="H13" s="209" t="s">
        <v>32</v>
      </c>
      <c r="I13" s="209" t="s">
        <v>54</v>
      </c>
      <c r="J13" s="209" t="s">
        <v>27</v>
      </c>
      <c r="K13" s="209" t="s">
        <v>36</v>
      </c>
      <c r="L13" s="210" t="s">
        <v>29</v>
      </c>
      <c r="M13" s="80">
        <v>6.0</v>
      </c>
      <c r="N13" s="207">
        <v>40.0</v>
      </c>
    </row>
    <row r="14">
      <c r="A14" s="63"/>
      <c r="B14" s="52" t="s">
        <v>17</v>
      </c>
      <c r="C14" s="53" t="s">
        <v>18</v>
      </c>
      <c r="D14" s="254" t="s">
        <v>31</v>
      </c>
      <c r="E14" s="209" t="s">
        <v>34</v>
      </c>
      <c r="F14" s="209" t="s">
        <v>55</v>
      </c>
      <c r="G14" s="209" t="s">
        <v>21</v>
      </c>
      <c r="H14" s="209" t="s">
        <v>25</v>
      </c>
      <c r="I14" s="209" t="s">
        <v>22</v>
      </c>
      <c r="J14" s="209" t="s">
        <v>27</v>
      </c>
      <c r="K14" s="209" t="s">
        <v>47</v>
      </c>
      <c r="L14" s="210" t="s">
        <v>23</v>
      </c>
      <c r="M14" s="80">
        <v>5.0</v>
      </c>
      <c r="N14" s="207">
        <v>37.0</v>
      </c>
    </row>
    <row r="15">
      <c r="A15" s="63"/>
      <c r="B15" s="52" t="s">
        <v>19</v>
      </c>
      <c r="C15" s="53"/>
      <c r="D15" s="254" t="s">
        <v>31</v>
      </c>
      <c r="E15" s="209" t="s">
        <v>28</v>
      </c>
      <c r="F15" s="209" t="s">
        <v>33</v>
      </c>
      <c r="G15" s="209" t="s">
        <v>21</v>
      </c>
      <c r="H15" s="209" t="s">
        <v>32</v>
      </c>
      <c r="I15" s="209" t="s">
        <v>22</v>
      </c>
      <c r="J15" s="209" t="s">
        <v>27</v>
      </c>
      <c r="K15" s="209" t="s">
        <v>47</v>
      </c>
      <c r="L15" s="210" t="s">
        <v>23</v>
      </c>
      <c r="M15" s="80">
        <v>2.0</v>
      </c>
      <c r="N15" s="207">
        <v>26.0</v>
      </c>
    </row>
    <row r="16">
      <c r="A16" s="63"/>
      <c r="B16" s="52" t="s">
        <v>20</v>
      </c>
      <c r="C16" s="65" t="s">
        <v>15</v>
      </c>
      <c r="D16" s="257" t="s">
        <v>31</v>
      </c>
      <c r="E16" s="257" t="s">
        <v>28</v>
      </c>
      <c r="F16" s="258" t="s">
        <v>55</v>
      </c>
      <c r="G16" s="258" t="s">
        <v>24</v>
      </c>
      <c r="H16" s="258" t="s">
        <v>32</v>
      </c>
      <c r="I16" s="258" t="s">
        <v>22</v>
      </c>
      <c r="J16" s="258" t="s">
        <v>27</v>
      </c>
      <c r="K16" s="258" t="s">
        <v>36</v>
      </c>
      <c r="L16" s="258" t="s">
        <v>29</v>
      </c>
      <c r="M16" s="80">
        <v>6.0</v>
      </c>
      <c r="N16" s="207">
        <v>44.0</v>
      </c>
    </row>
    <row r="17">
      <c r="A17" s="63"/>
      <c r="B17" s="52" t="s">
        <v>30</v>
      </c>
      <c r="C17" s="53" t="s">
        <v>13</v>
      </c>
      <c r="D17" s="208" t="s">
        <v>31</v>
      </c>
      <c r="E17" s="209" t="s">
        <v>34</v>
      </c>
      <c r="F17" s="209" t="s">
        <v>33</v>
      </c>
      <c r="G17" s="209" t="s">
        <v>24</v>
      </c>
      <c r="H17" s="209" t="s">
        <v>25</v>
      </c>
      <c r="I17" s="209" t="s">
        <v>22</v>
      </c>
      <c r="J17" s="209" t="s">
        <v>26</v>
      </c>
      <c r="K17" s="209" t="s">
        <v>36</v>
      </c>
      <c r="L17" s="210" t="s">
        <v>29</v>
      </c>
      <c r="M17" s="80">
        <v>8.0</v>
      </c>
      <c r="N17" s="207">
        <v>46.0</v>
      </c>
    </row>
    <row r="18">
      <c r="A18" s="63"/>
      <c r="B18" s="52" t="s">
        <v>35</v>
      </c>
      <c r="C18" s="53" t="s">
        <v>13</v>
      </c>
      <c r="D18" s="259" t="s">
        <v>31</v>
      </c>
      <c r="E18" s="260" t="s">
        <v>34</v>
      </c>
      <c r="F18" s="260" t="s">
        <v>55</v>
      </c>
      <c r="G18" s="260" t="s">
        <v>24</v>
      </c>
      <c r="H18" s="260" t="s">
        <v>32</v>
      </c>
      <c r="I18" s="260" t="s">
        <v>22</v>
      </c>
      <c r="J18" s="260" t="s">
        <v>27</v>
      </c>
      <c r="K18" s="260" t="s">
        <v>36</v>
      </c>
      <c r="L18" s="261" t="s">
        <v>29</v>
      </c>
      <c r="M18" s="80">
        <v>7.0</v>
      </c>
      <c r="N18" s="207">
        <v>46.0</v>
      </c>
    </row>
    <row r="19">
      <c r="A19" s="63"/>
      <c r="B19" s="52" t="s">
        <v>37</v>
      </c>
      <c r="C19" s="65" t="s">
        <v>13</v>
      </c>
      <c r="D19" s="259" t="s">
        <v>31</v>
      </c>
      <c r="E19" s="260" t="s">
        <v>34</v>
      </c>
      <c r="F19" s="260" t="s">
        <v>55</v>
      </c>
      <c r="G19" s="262" t="s">
        <v>24</v>
      </c>
      <c r="H19" s="260" t="s">
        <v>32</v>
      </c>
      <c r="I19" s="260" t="s">
        <v>22</v>
      </c>
      <c r="J19" s="263" t="s">
        <v>27</v>
      </c>
      <c r="K19" s="262" t="s">
        <v>36</v>
      </c>
      <c r="L19" s="262" t="s">
        <v>29</v>
      </c>
      <c r="M19" s="80">
        <v>7.0</v>
      </c>
      <c r="N19" s="207">
        <v>47.0</v>
      </c>
    </row>
    <row r="20">
      <c r="A20" s="63"/>
      <c r="B20" s="52" t="s">
        <v>38</v>
      </c>
      <c r="C20" s="65" t="s">
        <v>39</v>
      </c>
      <c r="D20" s="259" t="s">
        <v>31</v>
      </c>
      <c r="E20" s="260" t="s">
        <v>28</v>
      </c>
      <c r="F20" s="260" t="s">
        <v>55</v>
      </c>
      <c r="G20" s="262" t="s">
        <v>24</v>
      </c>
      <c r="H20" s="260" t="s">
        <v>32</v>
      </c>
      <c r="I20" s="260" t="s">
        <v>22</v>
      </c>
      <c r="J20" s="263" t="s">
        <v>27</v>
      </c>
      <c r="K20" s="262" t="s">
        <v>36</v>
      </c>
      <c r="L20" s="262" t="s">
        <v>29</v>
      </c>
      <c r="M20" s="80">
        <v>6.0</v>
      </c>
      <c r="N20" s="207">
        <v>52.0</v>
      </c>
    </row>
    <row r="21">
      <c r="A21" s="63"/>
      <c r="B21" s="52" t="s">
        <v>40</v>
      </c>
      <c r="C21" s="65" t="s">
        <v>39</v>
      </c>
      <c r="D21" s="259" t="s">
        <v>53</v>
      </c>
      <c r="E21" s="260" t="s">
        <v>34</v>
      </c>
      <c r="F21" s="260" t="s">
        <v>33</v>
      </c>
      <c r="G21" s="262" t="s">
        <v>24</v>
      </c>
      <c r="H21" s="260" t="s">
        <v>25</v>
      </c>
      <c r="I21" s="260" t="s">
        <v>22</v>
      </c>
      <c r="J21" s="263" t="s">
        <v>27</v>
      </c>
      <c r="K21" s="262" t="s">
        <v>36</v>
      </c>
      <c r="L21" s="262" t="s">
        <v>29</v>
      </c>
      <c r="M21" s="80">
        <v>6.0</v>
      </c>
      <c r="N21" s="207">
        <v>41.0</v>
      </c>
    </row>
    <row r="22">
      <c r="A22" s="63"/>
      <c r="B22" s="52" t="s">
        <v>41</v>
      </c>
      <c r="C22" s="53" t="s">
        <v>39</v>
      </c>
      <c r="D22" s="259" t="s">
        <v>31</v>
      </c>
      <c r="E22" s="260" t="s">
        <v>28</v>
      </c>
      <c r="F22" s="260" t="s">
        <v>55</v>
      </c>
      <c r="G22" s="262" t="s">
        <v>24</v>
      </c>
      <c r="H22" s="260" t="s">
        <v>32</v>
      </c>
      <c r="I22" s="260" t="s">
        <v>22</v>
      </c>
      <c r="J22" s="263" t="s">
        <v>27</v>
      </c>
      <c r="K22" s="262" t="s">
        <v>36</v>
      </c>
      <c r="L22" s="210" t="s">
        <v>29</v>
      </c>
      <c r="M22" s="80">
        <v>6.0</v>
      </c>
      <c r="N22" s="207">
        <v>48.0</v>
      </c>
    </row>
    <row r="23">
      <c r="A23" s="63"/>
      <c r="B23" s="52" t="s">
        <v>42</v>
      </c>
      <c r="C23" s="53" t="s">
        <v>39</v>
      </c>
      <c r="D23" s="254" t="s">
        <v>31</v>
      </c>
      <c r="E23" s="209" t="s">
        <v>34</v>
      </c>
      <c r="F23" s="209" t="s">
        <v>55</v>
      </c>
      <c r="G23" s="209" t="s">
        <v>24</v>
      </c>
      <c r="H23" s="209" t="s">
        <v>32</v>
      </c>
      <c r="I23" s="209" t="s">
        <v>22</v>
      </c>
      <c r="J23" s="263" t="s">
        <v>27</v>
      </c>
      <c r="K23" s="209" t="s">
        <v>36</v>
      </c>
      <c r="L23" s="210" t="s">
        <v>29</v>
      </c>
      <c r="M23" s="80">
        <v>7.0</v>
      </c>
      <c r="N23" s="207">
        <v>50.0</v>
      </c>
    </row>
    <row r="24">
      <c r="A24" s="63"/>
      <c r="B24" s="52" t="s">
        <v>43</v>
      </c>
      <c r="C24" s="53" t="s">
        <v>44</v>
      </c>
      <c r="D24" s="208" t="s">
        <v>31</v>
      </c>
      <c r="E24" s="209" t="s">
        <v>28</v>
      </c>
      <c r="F24" s="209" t="s">
        <v>55</v>
      </c>
      <c r="G24" s="209" t="s">
        <v>24</v>
      </c>
      <c r="H24" s="209" t="s">
        <v>25</v>
      </c>
      <c r="I24" s="209" t="s">
        <v>22</v>
      </c>
      <c r="J24" s="209" t="s">
        <v>26</v>
      </c>
      <c r="K24" s="209" t="s">
        <v>36</v>
      </c>
      <c r="L24" s="210" t="s">
        <v>23</v>
      </c>
      <c r="M24" s="80">
        <v>7.0</v>
      </c>
      <c r="N24" s="207">
        <v>40.0</v>
      </c>
    </row>
    <row r="25">
      <c r="A25" s="63"/>
      <c r="B25" s="52" t="s">
        <v>45</v>
      </c>
      <c r="C25" s="53" t="s">
        <v>44</v>
      </c>
      <c r="D25" s="208" t="s">
        <v>31</v>
      </c>
      <c r="E25" s="209" t="s">
        <v>28</v>
      </c>
      <c r="F25" s="209" t="s">
        <v>55</v>
      </c>
      <c r="G25" s="209" t="s">
        <v>24</v>
      </c>
      <c r="H25" s="209" t="s">
        <v>32</v>
      </c>
      <c r="I25" s="209" t="s">
        <v>22</v>
      </c>
      <c r="J25" s="209" t="s">
        <v>26</v>
      </c>
      <c r="K25" s="209" t="s">
        <v>36</v>
      </c>
      <c r="L25" s="210" t="s">
        <v>29</v>
      </c>
      <c r="M25" s="80">
        <v>7.0</v>
      </c>
      <c r="N25" s="207">
        <v>45.0</v>
      </c>
    </row>
    <row r="26">
      <c r="A26" s="63"/>
      <c r="B26" s="52" t="s">
        <v>46</v>
      </c>
      <c r="C26" s="53" t="s">
        <v>18</v>
      </c>
      <c r="D26" s="264" t="s">
        <v>31</v>
      </c>
      <c r="E26" s="265"/>
      <c r="F26" s="265" t="s">
        <v>55</v>
      </c>
      <c r="G26" s="265" t="s">
        <v>24</v>
      </c>
      <c r="H26" s="265" t="s">
        <v>32</v>
      </c>
      <c r="I26" s="265" t="s">
        <v>22</v>
      </c>
      <c r="J26" s="265" t="s">
        <v>27</v>
      </c>
      <c r="K26" s="265" t="s">
        <v>36</v>
      </c>
      <c r="L26" s="265" t="s">
        <v>29</v>
      </c>
      <c r="M26" s="80">
        <v>6.0</v>
      </c>
      <c r="N26" s="207">
        <v>29.0</v>
      </c>
    </row>
    <row r="27">
      <c r="A27" s="63"/>
      <c r="B27" s="52" t="s">
        <v>48</v>
      </c>
      <c r="C27" s="53" t="s">
        <v>49</v>
      </c>
      <c r="D27" s="266" t="s">
        <v>31</v>
      </c>
      <c r="E27" s="257" t="s">
        <v>34</v>
      </c>
      <c r="F27" s="258" t="s">
        <v>55</v>
      </c>
      <c r="G27" s="258" t="s">
        <v>24</v>
      </c>
      <c r="H27" s="258" t="s">
        <v>32</v>
      </c>
      <c r="I27" s="258" t="s">
        <v>54</v>
      </c>
      <c r="J27" s="258" t="s">
        <v>27</v>
      </c>
      <c r="K27" s="258" t="s">
        <v>36</v>
      </c>
      <c r="L27" s="258" t="s">
        <v>29</v>
      </c>
      <c r="M27" s="80">
        <v>6.0</v>
      </c>
      <c r="N27" s="207">
        <v>42.0</v>
      </c>
    </row>
    <row r="28">
      <c r="A28" s="63"/>
      <c r="B28" s="52" t="s">
        <v>50</v>
      </c>
      <c r="C28" s="53" t="s">
        <v>51</v>
      </c>
      <c r="D28" s="266" t="s">
        <v>31</v>
      </c>
      <c r="E28" s="257" t="s">
        <v>28</v>
      </c>
      <c r="F28" s="258" t="s">
        <v>55</v>
      </c>
      <c r="G28" s="258" t="s">
        <v>24</v>
      </c>
      <c r="H28" s="258" t="s">
        <v>32</v>
      </c>
      <c r="I28" s="258" t="s">
        <v>22</v>
      </c>
      <c r="J28" s="258" t="s">
        <v>27</v>
      </c>
      <c r="K28" s="258" t="s">
        <v>36</v>
      </c>
      <c r="L28" s="258" t="s">
        <v>29</v>
      </c>
      <c r="M28" s="80">
        <v>6.0</v>
      </c>
      <c r="N28" s="207">
        <v>45.0</v>
      </c>
    </row>
    <row r="29">
      <c r="A29" s="63"/>
      <c r="B29" s="52" t="s">
        <v>52</v>
      </c>
      <c r="C29" s="53" t="s">
        <v>13</v>
      </c>
      <c r="D29" s="208" t="s">
        <v>31</v>
      </c>
      <c r="E29" s="209" t="s">
        <v>28</v>
      </c>
      <c r="F29" s="209" t="s">
        <v>55</v>
      </c>
      <c r="G29" s="209" t="s">
        <v>24</v>
      </c>
      <c r="H29" s="209" t="s">
        <v>32</v>
      </c>
      <c r="I29" s="209" t="s">
        <v>22</v>
      </c>
      <c r="J29" s="209" t="s">
        <v>57</v>
      </c>
      <c r="K29" s="209" t="s">
        <v>36</v>
      </c>
      <c r="L29" s="210" t="s">
        <v>29</v>
      </c>
      <c r="M29" s="80">
        <v>6.0</v>
      </c>
      <c r="N29" s="207">
        <v>52.0</v>
      </c>
    </row>
    <row r="30">
      <c r="A30" s="63"/>
      <c r="B30" s="52" t="s">
        <v>56</v>
      </c>
      <c r="C30" s="53" t="s">
        <v>13</v>
      </c>
      <c r="D30" s="208" t="s">
        <v>31</v>
      </c>
      <c r="E30" s="209" t="s">
        <v>34</v>
      </c>
      <c r="F30" s="209" t="s">
        <v>55</v>
      </c>
      <c r="G30" s="209" t="s">
        <v>21</v>
      </c>
      <c r="H30" s="209" t="s">
        <v>32</v>
      </c>
      <c r="I30" s="209" t="s">
        <v>22</v>
      </c>
      <c r="J30" s="209" t="s">
        <v>57</v>
      </c>
      <c r="K30" s="209" t="s">
        <v>36</v>
      </c>
      <c r="L30" s="210" t="s">
        <v>29</v>
      </c>
      <c r="M30" s="80">
        <v>6.0</v>
      </c>
      <c r="N30" s="207">
        <v>45.0</v>
      </c>
    </row>
    <row r="31">
      <c r="A31" s="63"/>
      <c r="B31" s="52" t="s">
        <v>58</v>
      </c>
      <c r="C31" s="53" t="s">
        <v>59</v>
      </c>
      <c r="D31" s="254" t="s">
        <v>53</v>
      </c>
      <c r="E31" s="209" t="s">
        <v>34</v>
      </c>
      <c r="F31" s="260" t="s">
        <v>55</v>
      </c>
      <c r="G31" s="209" t="s">
        <v>21</v>
      </c>
      <c r="H31" s="209" t="s">
        <v>32</v>
      </c>
      <c r="I31" s="209" t="s">
        <v>54</v>
      </c>
      <c r="J31" s="209" t="s">
        <v>26</v>
      </c>
      <c r="K31" s="209" t="s">
        <v>47</v>
      </c>
      <c r="L31" s="210" t="s">
        <v>29</v>
      </c>
      <c r="M31" s="80">
        <v>4.0</v>
      </c>
      <c r="N31" s="207">
        <v>29.0</v>
      </c>
    </row>
    <row r="32">
      <c r="A32" s="63"/>
      <c r="B32" s="52" t="s">
        <v>60</v>
      </c>
      <c r="C32" s="53" t="s">
        <v>39</v>
      </c>
      <c r="D32" s="254" t="s">
        <v>31</v>
      </c>
      <c r="E32" s="209" t="s">
        <v>28</v>
      </c>
      <c r="F32" s="260" t="s">
        <v>55</v>
      </c>
      <c r="G32" s="209" t="s">
        <v>24</v>
      </c>
      <c r="H32" s="209" t="s">
        <v>32</v>
      </c>
      <c r="I32" s="209" t="s">
        <v>22</v>
      </c>
      <c r="J32" s="209" t="s">
        <v>57</v>
      </c>
      <c r="K32" s="209" t="s">
        <v>36</v>
      </c>
      <c r="L32" s="210" t="s">
        <v>29</v>
      </c>
      <c r="M32" s="80">
        <v>6.0</v>
      </c>
      <c r="N32" s="207">
        <v>48.0</v>
      </c>
    </row>
    <row r="33">
      <c r="A33" s="39"/>
      <c r="B33" s="52" t="s">
        <v>61</v>
      </c>
      <c r="C33" s="53" t="s">
        <v>39</v>
      </c>
      <c r="D33" s="267" t="s">
        <v>31</v>
      </c>
      <c r="E33" s="268" t="s">
        <v>28</v>
      </c>
      <c r="F33" s="268" t="s">
        <v>55</v>
      </c>
      <c r="G33" s="268" t="s">
        <v>24</v>
      </c>
      <c r="H33" s="268" t="s">
        <v>32</v>
      </c>
      <c r="I33" s="268" t="s">
        <v>22</v>
      </c>
      <c r="J33" s="268" t="s">
        <v>27</v>
      </c>
      <c r="K33" s="268" t="s">
        <v>36</v>
      </c>
      <c r="L33" s="269" t="s">
        <v>29</v>
      </c>
      <c r="M33" s="270">
        <v>6.0</v>
      </c>
      <c r="N33" s="207">
        <v>49.0</v>
      </c>
    </row>
    <row r="34">
      <c r="A34" s="39"/>
      <c r="B34" s="271" t="s">
        <v>62</v>
      </c>
      <c r="C34" s="272" t="s">
        <v>63</v>
      </c>
      <c r="D34" s="273" t="s">
        <v>31</v>
      </c>
      <c r="E34" s="273" t="s">
        <v>34</v>
      </c>
      <c r="F34" s="273" t="s">
        <v>55</v>
      </c>
      <c r="G34" s="273" t="s">
        <v>24</v>
      </c>
      <c r="H34" s="273" t="s">
        <v>32</v>
      </c>
      <c r="I34" s="273" t="s">
        <v>22</v>
      </c>
      <c r="J34" s="273" t="s">
        <v>27</v>
      </c>
      <c r="K34" s="273" t="s">
        <v>36</v>
      </c>
      <c r="L34" s="273" t="s">
        <v>29</v>
      </c>
      <c r="M34" s="274">
        <v>7.0</v>
      </c>
      <c r="N34" s="275">
        <v>49.0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45775.0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7.0</v>
      </c>
      <c r="B2" s="7" t="s">
        <v>169</v>
      </c>
      <c r="C2" s="8"/>
      <c r="D2" s="9" t="s">
        <v>170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45771.8125</v>
      </c>
      <c r="E3" s="15">
        <v>45772.63888888889</v>
      </c>
      <c r="F3" s="15">
        <v>45772.84027777778</v>
      </c>
      <c r="G3" s="15">
        <v>45773.555555555555</v>
      </c>
      <c r="H3" s="15">
        <v>45773.677083333336</v>
      </c>
      <c r="I3" s="15">
        <v>45773.81597222222</v>
      </c>
      <c r="J3" s="15">
        <v>45774.54861111111</v>
      </c>
      <c r="K3" s="15">
        <v>45774.63888888889</v>
      </c>
      <c r="L3" s="15">
        <v>45774.694444444445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111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45771.8125</v>
      </c>
      <c r="E5" s="25">
        <v>45772.63888888889</v>
      </c>
      <c r="F5" s="25">
        <v>45772.756944444445</v>
      </c>
      <c r="G5" s="25">
        <v>45773.555555555555</v>
      </c>
      <c r="H5" s="25">
        <v>45773.65625</v>
      </c>
      <c r="I5" s="25">
        <v>45773.81597222222</v>
      </c>
      <c r="J5" s="25">
        <v>45774.54861111111</v>
      </c>
      <c r="K5" s="25">
        <v>45774.63888888889</v>
      </c>
      <c r="L5" s="25">
        <v>45774.694444444445</v>
      </c>
      <c r="M5" s="26"/>
      <c r="N5" s="27"/>
    </row>
    <row r="6">
      <c r="A6" s="6">
        <v>7.0</v>
      </c>
      <c r="B6" s="28" t="s">
        <v>4</v>
      </c>
      <c r="C6" s="29"/>
      <c r="D6" s="30" t="s">
        <v>22</v>
      </c>
      <c r="E6" s="30" t="s">
        <v>32</v>
      </c>
      <c r="F6" s="30" t="s">
        <v>28</v>
      </c>
      <c r="G6" s="30" t="s">
        <v>34</v>
      </c>
      <c r="H6" s="30" t="s">
        <v>33</v>
      </c>
      <c r="I6" s="30" t="s">
        <v>27</v>
      </c>
      <c r="J6" s="30" t="s">
        <v>23</v>
      </c>
      <c r="K6" s="30" t="s">
        <v>21</v>
      </c>
      <c r="L6" s="30" t="s">
        <v>36</v>
      </c>
      <c r="M6" s="21"/>
      <c r="N6" s="22"/>
    </row>
    <row r="7">
      <c r="A7" s="6">
        <v>8.0</v>
      </c>
      <c r="B7" s="31" t="s">
        <v>5</v>
      </c>
      <c r="C7" s="24"/>
      <c r="D7" s="32" t="s">
        <v>47</v>
      </c>
      <c r="E7" s="32" t="s">
        <v>31</v>
      </c>
      <c r="F7" s="32" t="s">
        <v>24</v>
      </c>
      <c r="G7" s="32" t="s">
        <v>29</v>
      </c>
      <c r="H7" s="32" t="s">
        <v>53</v>
      </c>
      <c r="I7" s="32" t="s">
        <v>55</v>
      </c>
      <c r="J7" s="32" t="s">
        <v>26</v>
      </c>
      <c r="K7" s="32" t="s">
        <v>25</v>
      </c>
      <c r="L7" s="32" t="s">
        <v>54</v>
      </c>
      <c r="M7" s="26"/>
      <c r="N7" s="27"/>
    </row>
    <row r="8">
      <c r="A8" s="33">
        <v>9.0</v>
      </c>
      <c r="B8" s="34" t="s">
        <v>6</v>
      </c>
      <c r="C8" s="35"/>
      <c r="D8" s="36" t="s">
        <v>117</v>
      </c>
      <c r="E8" s="36" t="s">
        <v>117</v>
      </c>
      <c r="F8" s="36" t="s">
        <v>115</v>
      </c>
      <c r="G8" s="36" t="s">
        <v>114</v>
      </c>
      <c r="H8" s="36" t="s">
        <v>118</v>
      </c>
      <c r="I8" s="36" t="s">
        <v>128</v>
      </c>
      <c r="J8" s="36" t="s">
        <v>116</v>
      </c>
      <c r="K8" s="36" t="s">
        <v>117</v>
      </c>
      <c r="L8" s="36" t="s">
        <v>114</v>
      </c>
      <c r="M8" s="37"/>
      <c r="N8" s="38"/>
    </row>
    <row r="9">
      <c r="A9" s="39"/>
      <c r="B9" s="40" t="s">
        <v>7</v>
      </c>
      <c r="C9" s="41"/>
      <c r="D9" s="42" t="s">
        <v>22</v>
      </c>
      <c r="E9" s="42" t="s">
        <v>32</v>
      </c>
      <c r="F9" s="42" t="s">
        <v>28</v>
      </c>
      <c r="G9" s="42" t="s">
        <v>29</v>
      </c>
      <c r="H9" s="42" t="s">
        <v>33</v>
      </c>
      <c r="I9" s="42" t="s">
        <v>55</v>
      </c>
      <c r="J9" s="42" t="s">
        <v>23</v>
      </c>
      <c r="K9" s="42" t="s">
        <v>21</v>
      </c>
      <c r="L9" s="42" t="s">
        <v>36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47</v>
      </c>
      <c r="E10" s="48" t="s">
        <v>32</v>
      </c>
      <c r="F10" s="48" t="s">
        <v>24</v>
      </c>
      <c r="G10" s="48" t="s">
        <v>29</v>
      </c>
      <c r="H10" s="48" t="s">
        <v>33</v>
      </c>
      <c r="I10" s="48" t="s">
        <v>27</v>
      </c>
      <c r="J10" s="48" t="s">
        <v>23</v>
      </c>
      <c r="K10" s="48" t="s">
        <v>25</v>
      </c>
      <c r="L10" s="49" t="s">
        <v>36</v>
      </c>
      <c r="M10" s="50">
        <v>5.0</v>
      </c>
      <c r="N10" s="51">
        <v>43.0</v>
      </c>
    </row>
    <row r="11">
      <c r="A11" s="39"/>
      <c r="B11" s="52" t="s">
        <v>12</v>
      </c>
      <c r="C11" s="53" t="s">
        <v>13</v>
      </c>
      <c r="D11" s="54" t="s">
        <v>47</v>
      </c>
      <c r="E11" s="55" t="s">
        <v>31</v>
      </c>
      <c r="F11" s="55" t="s">
        <v>28</v>
      </c>
      <c r="G11" s="55" t="s">
        <v>29</v>
      </c>
      <c r="H11" s="55" t="s">
        <v>53</v>
      </c>
      <c r="I11" s="55" t="s">
        <v>27</v>
      </c>
      <c r="J11" s="55" t="s">
        <v>26</v>
      </c>
      <c r="K11" s="55" t="s">
        <v>25</v>
      </c>
      <c r="L11" s="56" t="s">
        <v>36</v>
      </c>
      <c r="M11" s="57">
        <v>3.0</v>
      </c>
      <c r="N11" s="58">
        <v>30.0</v>
      </c>
    </row>
    <row r="12">
      <c r="A12" s="39"/>
      <c r="B12" s="52" t="s">
        <v>14</v>
      </c>
      <c r="C12" s="53" t="s">
        <v>15</v>
      </c>
      <c r="D12" s="59" t="s">
        <v>22</v>
      </c>
      <c r="E12" s="60" t="s">
        <v>32</v>
      </c>
      <c r="F12" s="60" t="s">
        <v>28</v>
      </c>
      <c r="G12" s="60" t="s">
        <v>29</v>
      </c>
      <c r="H12" s="60" t="s">
        <v>33</v>
      </c>
      <c r="I12" s="60" t="s">
        <v>27</v>
      </c>
      <c r="J12" s="60" t="s">
        <v>23</v>
      </c>
      <c r="K12" s="60" t="s">
        <v>25</v>
      </c>
      <c r="L12" s="61" t="s">
        <v>36</v>
      </c>
      <c r="M12" s="57">
        <v>7.0</v>
      </c>
      <c r="N12" s="62">
        <v>47.0</v>
      </c>
    </row>
    <row r="13">
      <c r="A13" s="63"/>
      <c r="B13" s="52" t="s">
        <v>16</v>
      </c>
      <c r="C13" s="53" t="s">
        <v>11</v>
      </c>
      <c r="D13" s="54" t="s">
        <v>47</v>
      </c>
      <c r="E13" s="55" t="s">
        <v>31</v>
      </c>
      <c r="F13" s="55" t="s">
        <v>28</v>
      </c>
      <c r="G13" s="55" t="s">
        <v>29</v>
      </c>
      <c r="H13" s="55" t="s">
        <v>33</v>
      </c>
      <c r="I13" s="55" t="s">
        <v>27</v>
      </c>
      <c r="J13" s="55" t="s">
        <v>23</v>
      </c>
      <c r="K13" s="55" t="s">
        <v>21</v>
      </c>
      <c r="L13" s="56" t="s">
        <v>36</v>
      </c>
      <c r="M13" s="57">
        <v>6.0</v>
      </c>
      <c r="N13" s="181">
        <v>40.0</v>
      </c>
    </row>
    <row r="14">
      <c r="A14" s="63"/>
      <c r="B14" s="52" t="s">
        <v>17</v>
      </c>
      <c r="C14" s="53" t="s">
        <v>18</v>
      </c>
      <c r="D14" s="59" t="s">
        <v>47</v>
      </c>
      <c r="E14" s="60" t="s">
        <v>32</v>
      </c>
      <c r="F14" s="60" t="s">
        <v>28</v>
      </c>
      <c r="G14" s="60" t="s">
        <v>34</v>
      </c>
      <c r="H14" s="60" t="s">
        <v>33</v>
      </c>
      <c r="I14" s="60" t="s">
        <v>27</v>
      </c>
      <c r="J14" s="60" t="s">
        <v>26</v>
      </c>
      <c r="K14" s="60" t="s">
        <v>25</v>
      </c>
      <c r="L14" s="61" t="s">
        <v>36</v>
      </c>
      <c r="M14" s="57">
        <v>4.0</v>
      </c>
      <c r="N14" s="181">
        <v>36.0</v>
      </c>
    </row>
    <row r="15">
      <c r="A15" s="63"/>
      <c r="B15" s="52" t="s">
        <v>19</v>
      </c>
      <c r="C15" s="53"/>
      <c r="D15" s="54" t="s">
        <v>47</v>
      </c>
      <c r="E15" s="55" t="s">
        <v>31</v>
      </c>
      <c r="F15" s="55" t="s">
        <v>24</v>
      </c>
      <c r="G15" s="55" t="s">
        <v>29</v>
      </c>
      <c r="H15" s="55" t="s">
        <v>33</v>
      </c>
      <c r="I15" s="55" t="s">
        <v>27</v>
      </c>
      <c r="J15" s="55" t="s">
        <v>26</v>
      </c>
      <c r="K15" s="55" t="s">
        <v>25</v>
      </c>
      <c r="L15" s="56" t="s">
        <v>36</v>
      </c>
      <c r="M15" s="57">
        <v>3.0</v>
      </c>
      <c r="N15" s="181">
        <v>27.0</v>
      </c>
    </row>
    <row r="16">
      <c r="A16" s="63"/>
      <c r="B16" s="52" t="s">
        <v>20</v>
      </c>
      <c r="C16" s="65" t="s">
        <v>15</v>
      </c>
      <c r="D16" s="66" t="s">
        <v>22</v>
      </c>
      <c r="E16" s="66" t="s">
        <v>32</v>
      </c>
      <c r="F16" s="67" t="s">
        <v>28</v>
      </c>
      <c r="G16" s="67" t="s">
        <v>29</v>
      </c>
      <c r="H16" s="67" t="s">
        <v>33</v>
      </c>
      <c r="I16" s="67" t="s">
        <v>27</v>
      </c>
      <c r="J16" s="67" t="s">
        <v>23</v>
      </c>
      <c r="K16" s="67" t="s">
        <v>25</v>
      </c>
      <c r="L16" s="67" t="s">
        <v>36</v>
      </c>
      <c r="M16" s="57">
        <v>7.0</v>
      </c>
      <c r="N16" s="181">
        <v>45.0</v>
      </c>
    </row>
    <row r="17">
      <c r="A17" s="63"/>
      <c r="B17" s="52" t="s">
        <v>30</v>
      </c>
      <c r="C17" s="53" t="s">
        <v>13</v>
      </c>
      <c r="D17" s="68" t="s">
        <v>22</v>
      </c>
      <c r="E17" s="55" t="s">
        <v>31</v>
      </c>
      <c r="F17" s="55" t="s">
        <v>28</v>
      </c>
      <c r="G17" s="55" t="s">
        <v>29</v>
      </c>
      <c r="H17" s="55" t="s">
        <v>33</v>
      </c>
      <c r="I17" s="55" t="s">
        <v>27</v>
      </c>
      <c r="J17" s="55" t="s">
        <v>26</v>
      </c>
      <c r="K17" s="55" t="s">
        <v>25</v>
      </c>
      <c r="L17" s="56" t="s">
        <v>36</v>
      </c>
      <c r="M17" s="57">
        <v>5.0</v>
      </c>
      <c r="N17" s="181">
        <v>43.0</v>
      </c>
    </row>
    <row r="18">
      <c r="A18" s="63"/>
      <c r="B18" s="52" t="s">
        <v>35</v>
      </c>
      <c r="C18" s="53" t="s">
        <v>13</v>
      </c>
      <c r="D18" s="69" t="s">
        <v>22</v>
      </c>
      <c r="E18" s="70" t="s">
        <v>31</v>
      </c>
      <c r="F18" s="70" t="s">
        <v>28</v>
      </c>
      <c r="G18" s="70" t="s">
        <v>29</v>
      </c>
      <c r="H18" s="70" t="s">
        <v>33</v>
      </c>
      <c r="I18" s="70" t="s">
        <v>27</v>
      </c>
      <c r="J18" s="70" t="s">
        <v>23</v>
      </c>
      <c r="K18" s="70" t="s">
        <v>25</v>
      </c>
      <c r="L18" s="205" t="s">
        <v>36</v>
      </c>
      <c r="M18" s="57">
        <v>6.0</v>
      </c>
      <c r="N18" s="181">
        <v>45.0</v>
      </c>
    </row>
    <row r="19">
      <c r="A19" s="63"/>
      <c r="B19" s="52" t="s">
        <v>37</v>
      </c>
      <c r="C19" s="65" t="s">
        <v>13</v>
      </c>
      <c r="D19" s="71" t="s">
        <v>22</v>
      </c>
      <c r="E19" s="72" t="s">
        <v>32</v>
      </c>
      <c r="F19" s="72" t="s">
        <v>28</v>
      </c>
      <c r="G19" s="77" t="s">
        <v>29</v>
      </c>
      <c r="H19" s="72" t="s">
        <v>33</v>
      </c>
      <c r="I19" s="72" t="s">
        <v>27</v>
      </c>
      <c r="J19" s="74" t="s">
        <v>23</v>
      </c>
      <c r="K19" s="77" t="s">
        <v>25</v>
      </c>
      <c r="L19" s="77" t="s">
        <v>36</v>
      </c>
      <c r="M19" s="57">
        <v>7.0</v>
      </c>
      <c r="N19" s="181">
        <v>47.0</v>
      </c>
    </row>
    <row r="20">
      <c r="A20" s="63"/>
      <c r="B20" s="52" t="s">
        <v>38</v>
      </c>
      <c r="C20" s="65" t="s">
        <v>39</v>
      </c>
      <c r="D20" s="69" t="s">
        <v>22</v>
      </c>
      <c r="E20" s="70" t="s">
        <v>32</v>
      </c>
      <c r="F20" s="70" t="s">
        <v>28</v>
      </c>
      <c r="G20" s="73" t="s">
        <v>29</v>
      </c>
      <c r="H20" s="70" t="s">
        <v>33</v>
      </c>
      <c r="I20" s="70" t="s">
        <v>27</v>
      </c>
      <c r="J20" s="191" t="s">
        <v>23</v>
      </c>
      <c r="K20" s="73" t="s">
        <v>25</v>
      </c>
      <c r="L20" s="73" t="s">
        <v>36</v>
      </c>
      <c r="M20" s="57">
        <v>7.0</v>
      </c>
      <c r="N20" s="181">
        <v>53.0</v>
      </c>
    </row>
    <row r="21">
      <c r="A21" s="63"/>
      <c r="B21" s="52" t="s">
        <v>40</v>
      </c>
      <c r="C21" s="65" t="s">
        <v>39</v>
      </c>
      <c r="D21" s="71" t="s">
        <v>22</v>
      </c>
      <c r="E21" s="72" t="s">
        <v>31</v>
      </c>
      <c r="F21" s="72" t="s">
        <v>24</v>
      </c>
      <c r="G21" s="77" t="s">
        <v>29</v>
      </c>
      <c r="H21" s="72" t="s">
        <v>33</v>
      </c>
      <c r="I21" s="72" t="s">
        <v>55</v>
      </c>
      <c r="J21" s="74" t="s">
        <v>23</v>
      </c>
      <c r="K21" s="77" t="s">
        <v>21</v>
      </c>
      <c r="L21" s="77" t="s">
        <v>36</v>
      </c>
      <c r="M21" s="57">
        <v>7.0</v>
      </c>
      <c r="N21" s="181">
        <v>42.0</v>
      </c>
    </row>
    <row r="22">
      <c r="A22" s="63"/>
      <c r="B22" s="52" t="s">
        <v>41</v>
      </c>
      <c r="C22" s="53" t="s">
        <v>39</v>
      </c>
      <c r="D22" s="69" t="s">
        <v>47</v>
      </c>
      <c r="E22" s="70" t="s">
        <v>32</v>
      </c>
      <c r="F22" s="70" t="s">
        <v>28</v>
      </c>
      <c r="G22" s="73" t="s">
        <v>29</v>
      </c>
      <c r="H22" s="70" t="s">
        <v>33</v>
      </c>
      <c r="I22" s="70" t="s">
        <v>27</v>
      </c>
      <c r="J22" s="191" t="s">
        <v>23</v>
      </c>
      <c r="K22" s="73" t="s">
        <v>25</v>
      </c>
      <c r="L22" s="61" t="s">
        <v>36</v>
      </c>
      <c r="M22" s="57">
        <v>6.0</v>
      </c>
      <c r="N22" s="181">
        <v>48.0</v>
      </c>
    </row>
    <row r="23">
      <c r="A23" s="63"/>
      <c r="B23" s="52" t="s">
        <v>42</v>
      </c>
      <c r="C23" s="53" t="s">
        <v>39</v>
      </c>
      <c r="D23" s="54" t="s">
        <v>22</v>
      </c>
      <c r="E23" s="55" t="s">
        <v>32</v>
      </c>
      <c r="F23" s="55" t="s">
        <v>28</v>
      </c>
      <c r="G23" s="55" t="s">
        <v>29</v>
      </c>
      <c r="H23" s="55" t="s">
        <v>33</v>
      </c>
      <c r="I23" s="55" t="s">
        <v>27</v>
      </c>
      <c r="J23" s="74" t="s">
        <v>23</v>
      </c>
      <c r="K23" s="55" t="s">
        <v>25</v>
      </c>
      <c r="L23" s="56" t="s">
        <v>36</v>
      </c>
      <c r="M23" s="57">
        <v>7.0</v>
      </c>
      <c r="N23" s="181">
        <v>50.0</v>
      </c>
    </row>
    <row r="24">
      <c r="A24" s="63"/>
      <c r="B24" s="52" t="s">
        <v>43</v>
      </c>
      <c r="C24" s="53" t="s">
        <v>44</v>
      </c>
      <c r="D24" s="203" t="s">
        <v>47</v>
      </c>
      <c r="E24" s="60" t="s">
        <v>31</v>
      </c>
      <c r="F24" s="60" t="s">
        <v>24</v>
      </c>
      <c r="G24" s="60" t="s">
        <v>29</v>
      </c>
      <c r="H24" s="60" t="s">
        <v>33</v>
      </c>
      <c r="I24" s="60" t="s">
        <v>27</v>
      </c>
      <c r="J24" s="60" t="s">
        <v>26</v>
      </c>
      <c r="K24" s="60" t="s">
        <v>25</v>
      </c>
      <c r="L24" s="61" t="s">
        <v>36</v>
      </c>
      <c r="M24" s="57">
        <v>3.0</v>
      </c>
      <c r="N24" s="181">
        <v>36.0</v>
      </c>
    </row>
    <row r="25">
      <c r="A25" s="63"/>
      <c r="B25" s="52" t="s">
        <v>45</v>
      </c>
      <c r="C25" s="53" t="s">
        <v>44</v>
      </c>
      <c r="D25" s="68" t="s">
        <v>22</v>
      </c>
      <c r="E25" s="55" t="s">
        <v>31</v>
      </c>
      <c r="F25" s="55" t="s">
        <v>28</v>
      </c>
      <c r="G25" s="55" t="s">
        <v>29</v>
      </c>
      <c r="H25" s="55" t="s">
        <v>33</v>
      </c>
      <c r="I25" s="55" t="s">
        <v>27</v>
      </c>
      <c r="J25" s="55" t="s">
        <v>26</v>
      </c>
      <c r="K25" s="55" t="s">
        <v>25</v>
      </c>
      <c r="L25" s="56" t="s">
        <v>36</v>
      </c>
      <c r="M25" s="57">
        <v>5.0</v>
      </c>
      <c r="N25" s="181">
        <v>43.0</v>
      </c>
    </row>
    <row r="26">
      <c r="A26" s="63"/>
      <c r="B26" s="52" t="s">
        <v>46</v>
      </c>
      <c r="C26" s="53" t="s">
        <v>18</v>
      </c>
      <c r="D26" s="200" t="s">
        <v>47</v>
      </c>
      <c r="E26" s="76" t="s">
        <v>32</v>
      </c>
      <c r="F26" s="76" t="s">
        <v>24</v>
      </c>
      <c r="G26" s="76" t="s">
        <v>29</v>
      </c>
      <c r="H26" s="76" t="s">
        <v>33</v>
      </c>
      <c r="I26" s="76" t="s">
        <v>27</v>
      </c>
      <c r="J26" s="76" t="s">
        <v>23</v>
      </c>
      <c r="K26" s="76" t="s">
        <v>25</v>
      </c>
      <c r="L26" s="76" t="s">
        <v>36</v>
      </c>
      <c r="M26" s="80">
        <v>5.0</v>
      </c>
      <c r="N26" s="207">
        <v>29.0</v>
      </c>
    </row>
    <row r="27">
      <c r="A27" s="63"/>
      <c r="B27" s="52" t="s">
        <v>48</v>
      </c>
      <c r="C27" s="53" t="s">
        <v>49</v>
      </c>
      <c r="D27" s="201" t="s">
        <v>47</v>
      </c>
      <c r="E27" s="81" t="s">
        <v>32</v>
      </c>
      <c r="F27" s="82" t="s">
        <v>28</v>
      </c>
      <c r="G27" s="82" t="s">
        <v>29</v>
      </c>
      <c r="H27" s="82" t="s">
        <v>33</v>
      </c>
      <c r="I27" s="82" t="s">
        <v>27</v>
      </c>
      <c r="J27" s="82" t="s">
        <v>23</v>
      </c>
      <c r="K27" s="82" t="s">
        <v>25</v>
      </c>
      <c r="L27" s="82" t="s">
        <v>36</v>
      </c>
      <c r="M27" s="57">
        <v>6.0</v>
      </c>
      <c r="N27" s="181">
        <v>42.0</v>
      </c>
    </row>
    <row r="28">
      <c r="A28" s="63"/>
      <c r="B28" s="52" t="s">
        <v>50</v>
      </c>
      <c r="C28" s="53" t="s">
        <v>51</v>
      </c>
      <c r="D28" s="202" t="s">
        <v>47</v>
      </c>
      <c r="E28" s="66" t="s">
        <v>32</v>
      </c>
      <c r="F28" s="67" t="s">
        <v>24</v>
      </c>
      <c r="G28" s="67" t="s">
        <v>29</v>
      </c>
      <c r="H28" s="67" t="s">
        <v>33</v>
      </c>
      <c r="I28" s="67" t="s">
        <v>27</v>
      </c>
      <c r="J28" s="67" t="s">
        <v>23</v>
      </c>
      <c r="K28" s="67" t="s">
        <v>25</v>
      </c>
      <c r="L28" s="67" t="s">
        <v>36</v>
      </c>
      <c r="M28" s="57">
        <v>5.0</v>
      </c>
      <c r="N28" s="181">
        <v>44.0</v>
      </c>
    </row>
    <row r="29">
      <c r="A29" s="63"/>
      <c r="B29" s="52" t="s">
        <v>52</v>
      </c>
      <c r="C29" s="53" t="s">
        <v>13</v>
      </c>
      <c r="D29" s="68" t="s">
        <v>22</v>
      </c>
      <c r="E29" s="55" t="s">
        <v>32</v>
      </c>
      <c r="F29" s="55" t="s">
        <v>28</v>
      </c>
      <c r="G29" s="55" t="s">
        <v>29</v>
      </c>
      <c r="H29" s="55" t="s">
        <v>33</v>
      </c>
      <c r="I29" s="55" t="s">
        <v>57</v>
      </c>
      <c r="J29" s="55" t="s">
        <v>23</v>
      </c>
      <c r="K29" s="55" t="s">
        <v>25</v>
      </c>
      <c r="L29" s="56" t="s">
        <v>36</v>
      </c>
      <c r="M29" s="57">
        <v>7.0</v>
      </c>
      <c r="N29" s="181">
        <v>53.0</v>
      </c>
    </row>
    <row r="30">
      <c r="A30" s="63"/>
      <c r="B30" s="52" t="s">
        <v>56</v>
      </c>
      <c r="C30" s="53" t="s">
        <v>13</v>
      </c>
      <c r="D30" s="203" t="s">
        <v>22</v>
      </c>
      <c r="E30" s="60" t="s">
        <v>32</v>
      </c>
      <c r="F30" s="60" t="s">
        <v>28</v>
      </c>
      <c r="G30" s="60" t="s">
        <v>29</v>
      </c>
      <c r="H30" s="60" t="s">
        <v>33</v>
      </c>
      <c r="I30" s="60" t="s">
        <v>27</v>
      </c>
      <c r="J30" s="60" t="s">
        <v>23</v>
      </c>
      <c r="K30" s="60" t="s">
        <v>25</v>
      </c>
      <c r="L30" s="61" t="s">
        <v>36</v>
      </c>
      <c r="M30" s="57">
        <v>7.0</v>
      </c>
      <c r="N30" s="181">
        <v>46.0</v>
      </c>
    </row>
    <row r="31">
      <c r="A31" s="63"/>
      <c r="B31" s="52" t="s">
        <v>58</v>
      </c>
      <c r="C31" s="53" t="s">
        <v>59</v>
      </c>
      <c r="D31" s="54" t="s">
        <v>47</v>
      </c>
      <c r="E31" s="55" t="s">
        <v>31</v>
      </c>
      <c r="F31" s="72" t="s">
        <v>24</v>
      </c>
      <c r="G31" s="55" t="s">
        <v>29</v>
      </c>
      <c r="H31" s="55" t="s">
        <v>53</v>
      </c>
      <c r="I31" s="55" t="s">
        <v>55</v>
      </c>
      <c r="J31" s="55" t="s">
        <v>26</v>
      </c>
      <c r="K31" s="55" t="s">
        <v>25</v>
      </c>
      <c r="L31" s="56" t="s">
        <v>54</v>
      </c>
      <c r="M31" s="57">
        <v>2.0</v>
      </c>
      <c r="N31" s="181">
        <v>27.0</v>
      </c>
    </row>
    <row r="32">
      <c r="A32" s="63"/>
      <c r="B32" s="52" t="s">
        <v>60</v>
      </c>
      <c r="C32" s="53" t="s">
        <v>39</v>
      </c>
      <c r="D32" s="59" t="s">
        <v>22</v>
      </c>
      <c r="E32" s="60" t="s">
        <v>32</v>
      </c>
      <c r="F32" s="70" t="s">
        <v>28</v>
      </c>
      <c r="G32" s="60" t="s">
        <v>29</v>
      </c>
      <c r="H32" s="60" t="s">
        <v>33</v>
      </c>
      <c r="I32" s="60" t="s">
        <v>27</v>
      </c>
      <c r="J32" s="60" t="s">
        <v>23</v>
      </c>
      <c r="K32" s="60" t="s">
        <v>25</v>
      </c>
      <c r="L32" s="61" t="s">
        <v>36</v>
      </c>
      <c r="M32" s="57">
        <v>7.0</v>
      </c>
      <c r="N32" s="181">
        <v>49.0</v>
      </c>
    </row>
    <row r="33">
      <c r="A33" s="39"/>
      <c r="B33" s="52" t="s">
        <v>61</v>
      </c>
      <c r="C33" s="53" t="s">
        <v>39</v>
      </c>
      <c r="D33" s="83" t="s">
        <v>47</v>
      </c>
      <c r="E33" s="84" t="s">
        <v>32</v>
      </c>
      <c r="F33" s="84" t="s">
        <v>28</v>
      </c>
      <c r="G33" s="84" t="s">
        <v>29</v>
      </c>
      <c r="H33" s="84" t="s">
        <v>33</v>
      </c>
      <c r="I33" s="84" t="s">
        <v>27</v>
      </c>
      <c r="J33" s="84" t="s">
        <v>23</v>
      </c>
      <c r="K33" s="84" t="s">
        <v>25</v>
      </c>
      <c r="L33" s="85" t="s">
        <v>36</v>
      </c>
      <c r="M33" s="86">
        <v>6.0</v>
      </c>
      <c r="N33" s="181">
        <v>49.0</v>
      </c>
    </row>
    <row r="34">
      <c r="A34" s="39"/>
      <c r="B34" s="87" t="s">
        <v>62</v>
      </c>
      <c r="C34" s="88" t="s">
        <v>63</v>
      </c>
      <c r="D34" s="89" t="s">
        <v>139</v>
      </c>
      <c r="E34" s="89" t="s">
        <v>32</v>
      </c>
      <c r="F34" s="89" t="s">
        <v>28</v>
      </c>
      <c r="G34" s="89" t="s">
        <v>29</v>
      </c>
      <c r="H34" s="89" t="s">
        <v>33</v>
      </c>
      <c r="I34" s="89" t="s">
        <v>27</v>
      </c>
      <c r="J34" s="89" t="s">
        <v>23</v>
      </c>
      <c r="K34" s="89" t="s">
        <v>25</v>
      </c>
      <c r="L34" s="89" t="s">
        <v>36</v>
      </c>
      <c r="M34" s="90">
        <v>6.0</v>
      </c>
      <c r="N34" s="182">
        <v>48.0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45769.0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6.0</v>
      </c>
      <c r="B2" s="7" t="s">
        <v>171</v>
      </c>
      <c r="C2" s="8"/>
      <c r="D2" s="9" t="s">
        <v>172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45764.8125</v>
      </c>
      <c r="E3" s="15">
        <v>45765.63888888889</v>
      </c>
      <c r="F3" s="15">
        <v>45765.756944444445</v>
      </c>
      <c r="G3" s="15">
        <v>45766.555555555555</v>
      </c>
      <c r="H3" s="15">
        <v>45766.677083333336</v>
      </c>
      <c r="I3" s="15">
        <v>45766.81597222222</v>
      </c>
      <c r="J3" s="15">
        <v>45767.63888888889</v>
      </c>
      <c r="K3" s="15">
        <v>45767.805555555555</v>
      </c>
      <c r="L3" s="15">
        <v>45768.63888888889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111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151</v>
      </c>
      <c r="M4" s="21"/>
      <c r="N4" s="22"/>
    </row>
    <row r="5">
      <c r="A5" s="6">
        <v>5.0</v>
      </c>
      <c r="B5" s="23" t="s">
        <v>3</v>
      </c>
      <c r="C5" s="24"/>
      <c r="D5" s="25">
        <v>45764.8125</v>
      </c>
      <c r="E5" s="25">
        <v>45765.63888888889</v>
      </c>
      <c r="F5" s="25">
        <v>45765.67361111111</v>
      </c>
      <c r="G5" s="25">
        <v>45766.555555555555</v>
      </c>
      <c r="H5" s="25">
        <v>45766.65625</v>
      </c>
      <c r="I5" s="25">
        <v>45766.81597222222</v>
      </c>
      <c r="J5" s="25">
        <v>45767.63888888889</v>
      </c>
      <c r="K5" s="25">
        <v>45767.805555555555</v>
      </c>
      <c r="L5" s="25">
        <v>45768.63888888889</v>
      </c>
      <c r="M5" s="26"/>
      <c r="N5" s="27"/>
    </row>
    <row r="6">
      <c r="A6" s="6">
        <v>7.0</v>
      </c>
      <c r="B6" s="28" t="s">
        <v>4</v>
      </c>
      <c r="C6" s="29"/>
      <c r="D6" s="30" t="s">
        <v>29</v>
      </c>
      <c r="E6" s="30" t="s">
        <v>53</v>
      </c>
      <c r="F6" s="30" t="s">
        <v>54</v>
      </c>
      <c r="G6" s="30" t="s">
        <v>22</v>
      </c>
      <c r="H6" s="30" t="s">
        <v>24</v>
      </c>
      <c r="I6" s="30" t="s">
        <v>47</v>
      </c>
      <c r="J6" s="30" t="s">
        <v>26</v>
      </c>
      <c r="K6" s="30" t="s">
        <v>55</v>
      </c>
      <c r="L6" s="30" t="s">
        <v>25</v>
      </c>
      <c r="M6" s="21"/>
      <c r="N6" s="22"/>
    </row>
    <row r="7">
      <c r="A7" s="6">
        <v>8.0</v>
      </c>
      <c r="B7" s="31" t="s">
        <v>5</v>
      </c>
      <c r="C7" s="24"/>
      <c r="D7" s="32" t="s">
        <v>32</v>
      </c>
      <c r="E7" s="32" t="s">
        <v>21</v>
      </c>
      <c r="F7" s="32" t="s">
        <v>31</v>
      </c>
      <c r="G7" s="32" t="s">
        <v>28</v>
      </c>
      <c r="H7" s="32" t="s">
        <v>27</v>
      </c>
      <c r="I7" s="32" t="s">
        <v>23</v>
      </c>
      <c r="J7" s="32" t="s">
        <v>33</v>
      </c>
      <c r="K7" s="32" t="s">
        <v>34</v>
      </c>
      <c r="L7" s="32" t="s">
        <v>36</v>
      </c>
      <c r="M7" s="26"/>
      <c r="N7" s="27"/>
    </row>
    <row r="8">
      <c r="A8" s="33">
        <v>9.0</v>
      </c>
      <c r="B8" s="34" t="s">
        <v>6</v>
      </c>
      <c r="C8" s="35"/>
      <c r="D8" s="36" t="s">
        <v>127</v>
      </c>
      <c r="E8" s="36" t="s">
        <v>114</v>
      </c>
      <c r="F8" s="36" t="s">
        <v>115</v>
      </c>
      <c r="G8" s="36" t="s">
        <v>117</v>
      </c>
      <c r="H8" s="36" t="s">
        <v>118</v>
      </c>
      <c r="I8" s="36" t="s">
        <v>114</v>
      </c>
      <c r="J8" s="36" t="s">
        <v>120</v>
      </c>
      <c r="K8" s="36" t="s">
        <v>114</v>
      </c>
      <c r="L8" s="36" t="s">
        <v>117</v>
      </c>
      <c r="M8" s="37"/>
      <c r="N8" s="38"/>
    </row>
    <row r="9">
      <c r="A9" s="39"/>
      <c r="B9" s="40" t="s">
        <v>7</v>
      </c>
      <c r="C9" s="41"/>
      <c r="D9" s="42" t="s">
        <v>32</v>
      </c>
      <c r="E9" s="42" t="s">
        <v>21</v>
      </c>
      <c r="F9" s="42" t="s">
        <v>31</v>
      </c>
      <c r="G9" s="42" t="s">
        <v>22</v>
      </c>
      <c r="H9" s="42" t="s">
        <v>24</v>
      </c>
      <c r="I9" s="42" t="s">
        <v>47</v>
      </c>
      <c r="J9" s="42" t="s">
        <v>33</v>
      </c>
      <c r="K9" s="42" t="s">
        <v>55</v>
      </c>
      <c r="L9" s="42" t="s">
        <v>25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29</v>
      </c>
      <c r="E10" s="48" t="s">
        <v>21</v>
      </c>
      <c r="F10" s="48" t="s">
        <v>31</v>
      </c>
      <c r="G10" s="48" t="s">
        <v>28</v>
      </c>
      <c r="H10" s="48" t="s">
        <v>27</v>
      </c>
      <c r="I10" s="48" t="s">
        <v>23</v>
      </c>
      <c r="J10" s="48" t="s">
        <v>26</v>
      </c>
      <c r="K10" s="48" t="s">
        <v>34</v>
      </c>
      <c r="L10" s="49" t="s">
        <v>36</v>
      </c>
      <c r="M10" s="50">
        <v>2.0</v>
      </c>
      <c r="N10" s="51">
        <v>35.0</v>
      </c>
    </row>
    <row r="11">
      <c r="A11" s="39"/>
      <c r="B11" s="52" t="s">
        <v>12</v>
      </c>
      <c r="C11" s="53" t="s">
        <v>13</v>
      </c>
      <c r="D11" s="54" t="s">
        <v>29</v>
      </c>
      <c r="E11" s="55" t="s">
        <v>21</v>
      </c>
      <c r="F11" s="55" t="s">
        <v>31</v>
      </c>
      <c r="G11" s="55" t="s">
        <v>28</v>
      </c>
      <c r="H11" s="55" t="s">
        <v>27</v>
      </c>
      <c r="I11" s="55" t="s">
        <v>23</v>
      </c>
      <c r="J11" s="55" t="s">
        <v>26</v>
      </c>
      <c r="K11" s="55" t="s">
        <v>34</v>
      </c>
      <c r="L11" s="56" t="s">
        <v>36</v>
      </c>
      <c r="M11" s="57">
        <v>2.0</v>
      </c>
      <c r="N11" s="58">
        <v>26.0</v>
      </c>
    </row>
    <row r="12">
      <c r="A12" s="39"/>
      <c r="B12" s="52" t="s">
        <v>14</v>
      </c>
      <c r="C12" s="53" t="s">
        <v>15</v>
      </c>
      <c r="D12" s="59" t="s">
        <v>29</v>
      </c>
      <c r="E12" s="60" t="s">
        <v>21</v>
      </c>
      <c r="F12" s="60" t="s">
        <v>31</v>
      </c>
      <c r="G12" s="60" t="s">
        <v>28</v>
      </c>
      <c r="H12" s="60" t="s">
        <v>27</v>
      </c>
      <c r="I12" s="60" t="s">
        <v>23</v>
      </c>
      <c r="J12" s="60" t="s">
        <v>26</v>
      </c>
      <c r="K12" s="60" t="s">
        <v>55</v>
      </c>
      <c r="L12" s="61" t="s">
        <v>36</v>
      </c>
      <c r="M12" s="57">
        <v>3.0</v>
      </c>
      <c r="N12" s="62">
        <v>36.0</v>
      </c>
    </row>
    <row r="13">
      <c r="A13" s="63"/>
      <c r="B13" s="52" t="s">
        <v>16</v>
      </c>
      <c r="C13" s="53" t="s">
        <v>11</v>
      </c>
      <c r="D13" s="54" t="s">
        <v>29</v>
      </c>
      <c r="E13" s="55" t="s">
        <v>21</v>
      </c>
      <c r="F13" s="55" t="s">
        <v>31</v>
      </c>
      <c r="G13" s="55" t="s">
        <v>28</v>
      </c>
      <c r="H13" s="55" t="s">
        <v>27</v>
      </c>
      <c r="I13" s="55" t="s">
        <v>23</v>
      </c>
      <c r="J13" s="55" t="s">
        <v>26</v>
      </c>
      <c r="K13" s="55" t="s">
        <v>34</v>
      </c>
      <c r="L13" s="56" t="s">
        <v>36</v>
      </c>
      <c r="M13" s="57">
        <v>2.0</v>
      </c>
      <c r="N13" s="181">
        <v>30.0</v>
      </c>
    </row>
    <row r="14">
      <c r="A14" s="63"/>
      <c r="B14" s="52" t="s">
        <v>17</v>
      </c>
      <c r="C14" s="53" t="s">
        <v>18</v>
      </c>
      <c r="D14" s="59" t="s">
        <v>29</v>
      </c>
      <c r="E14" s="60" t="s">
        <v>21</v>
      </c>
      <c r="F14" s="60" t="s">
        <v>31</v>
      </c>
      <c r="G14" s="60" t="s">
        <v>28</v>
      </c>
      <c r="H14" s="60" t="s">
        <v>27</v>
      </c>
      <c r="I14" s="60" t="s">
        <v>47</v>
      </c>
      <c r="J14" s="60" t="s">
        <v>26</v>
      </c>
      <c r="K14" s="60" t="s">
        <v>34</v>
      </c>
      <c r="L14" s="61" t="s">
        <v>36</v>
      </c>
      <c r="M14" s="57">
        <v>3.0</v>
      </c>
      <c r="N14" s="181">
        <v>31.0</v>
      </c>
    </row>
    <row r="15">
      <c r="A15" s="63"/>
      <c r="B15" s="52" t="s">
        <v>19</v>
      </c>
      <c r="C15" s="53"/>
      <c r="D15" s="54"/>
      <c r="E15" s="55"/>
      <c r="F15" s="55"/>
      <c r="G15" s="55"/>
      <c r="H15" s="55"/>
      <c r="I15" s="55"/>
      <c r="J15" s="55"/>
      <c r="K15" s="55"/>
      <c r="L15" s="56"/>
      <c r="M15" s="80">
        <v>1.0</v>
      </c>
      <c r="N15" s="207">
        <v>22.0</v>
      </c>
    </row>
    <row r="16">
      <c r="A16" s="63"/>
      <c r="B16" s="52" t="s">
        <v>20</v>
      </c>
      <c r="C16" s="65" t="s">
        <v>15</v>
      </c>
      <c r="D16" s="66" t="s">
        <v>29</v>
      </c>
      <c r="E16" s="66" t="s">
        <v>53</v>
      </c>
      <c r="F16" s="67" t="s">
        <v>31</v>
      </c>
      <c r="G16" s="67" t="s">
        <v>22</v>
      </c>
      <c r="H16" s="67" t="s">
        <v>24</v>
      </c>
      <c r="I16" s="67" t="s">
        <v>23</v>
      </c>
      <c r="J16" s="67" t="s">
        <v>33</v>
      </c>
      <c r="K16" s="67" t="s">
        <v>55</v>
      </c>
      <c r="L16" s="67" t="s">
        <v>36</v>
      </c>
      <c r="M16" s="57">
        <v>5.0</v>
      </c>
      <c r="N16" s="181">
        <v>36.0</v>
      </c>
    </row>
    <row r="17">
      <c r="A17" s="63"/>
      <c r="B17" s="52" t="s">
        <v>30</v>
      </c>
      <c r="C17" s="53" t="s">
        <v>13</v>
      </c>
      <c r="D17" s="68" t="s">
        <v>29</v>
      </c>
      <c r="E17" s="55" t="s">
        <v>21</v>
      </c>
      <c r="F17" s="55" t="s">
        <v>31</v>
      </c>
      <c r="G17" s="55" t="s">
        <v>28</v>
      </c>
      <c r="H17" s="55" t="s">
        <v>24</v>
      </c>
      <c r="I17" s="55" t="s">
        <v>23</v>
      </c>
      <c r="J17" s="55" t="s">
        <v>26</v>
      </c>
      <c r="K17" s="55" t="s">
        <v>34</v>
      </c>
      <c r="L17" s="56" t="s">
        <v>25</v>
      </c>
      <c r="M17" s="57">
        <v>4.0</v>
      </c>
      <c r="N17" s="181">
        <v>37.0</v>
      </c>
    </row>
    <row r="18">
      <c r="A18" s="63"/>
      <c r="B18" s="52" t="s">
        <v>35</v>
      </c>
      <c r="C18" s="53" t="s">
        <v>13</v>
      </c>
      <c r="D18" s="69" t="s">
        <v>29</v>
      </c>
      <c r="E18" s="70" t="s">
        <v>21</v>
      </c>
      <c r="F18" s="70" t="s">
        <v>31</v>
      </c>
      <c r="G18" s="70" t="s">
        <v>28</v>
      </c>
      <c r="H18" s="70" t="s">
        <v>27</v>
      </c>
      <c r="I18" s="70" t="s">
        <v>23</v>
      </c>
      <c r="J18" s="70" t="s">
        <v>26</v>
      </c>
      <c r="K18" s="70" t="s">
        <v>34</v>
      </c>
      <c r="L18" s="205" t="s">
        <v>25</v>
      </c>
      <c r="M18" s="57">
        <v>3.0</v>
      </c>
      <c r="N18" s="181">
        <v>36.0</v>
      </c>
    </row>
    <row r="19">
      <c r="A19" s="63"/>
      <c r="B19" s="52" t="s">
        <v>37</v>
      </c>
      <c r="C19" s="65" t="s">
        <v>13</v>
      </c>
      <c r="D19" s="71" t="s">
        <v>29</v>
      </c>
      <c r="E19" s="72" t="s">
        <v>53</v>
      </c>
      <c r="F19" s="72" t="s">
        <v>31</v>
      </c>
      <c r="G19" s="77" t="s">
        <v>28</v>
      </c>
      <c r="H19" s="72" t="s">
        <v>24</v>
      </c>
      <c r="I19" s="72" t="s">
        <v>23</v>
      </c>
      <c r="J19" s="74" t="s">
        <v>26</v>
      </c>
      <c r="K19" s="77" t="s">
        <v>34</v>
      </c>
      <c r="L19" s="77" t="s">
        <v>36</v>
      </c>
      <c r="M19" s="57">
        <v>2.0</v>
      </c>
      <c r="N19" s="181">
        <v>35.0</v>
      </c>
    </row>
    <row r="20">
      <c r="A20" s="63"/>
      <c r="B20" s="52" t="s">
        <v>38</v>
      </c>
      <c r="C20" s="65" t="s">
        <v>39</v>
      </c>
      <c r="D20" s="69" t="s">
        <v>29</v>
      </c>
      <c r="E20" s="70" t="s">
        <v>21</v>
      </c>
      <c r="F20" s="70" t="s">
        <v>31</v>
      </c>
      <c r="G20" s="73" t="s">
        <v>28</v>
      </c>
      <c r="H20" s="70" t="s">
        <v>24</v>
      </c>
      <c r="I20" s="70" t="s">
        <v>23</v>
      </c>
      <c r="J20" s="191" t="s">
        <v>26</v>
      </c>
      <c r="K20" s="73" t="s">
        <v>55</v>
      </c>
      <c r="L20" s="73" t="s">
        <v>25</v>
      </c>
      <c r="M20" s="57">
        <v>5.0</v>
      </c>
      <c r="N20" s="181">
        <v>44.0</v>
      </c>
    </row>
    <row r="21">
      <c r="A21" s="63"/>
      <c r="B21" s="52" t="s">
        <v>40</v>
      </c>
      <c r="C21" s="65" t="s">
        <v>39</v>
      </c>
      <c r="D21" s="71" t="s">
        <v>29</v>
      </c>
      <c r="E21" s="72" t="s">
        <v>53</v>
      </c>
      <c r="F21" s="72" t="s">
        <v>54</v>
      </c>
      <c r="G21" s="77" t="s">
        <v>28</v>
      </c>
      <c r="H21" s="72" t="s">
        <v>27</v>
      </c>
      <c r="I21" s="72" t="s">
        <v>23</v>
      </c>
      <c r="J21" s="74" t="s">
        <v>33</v>
      </c>
      <c r="K21" s="77" t="s">
        <v>55</v>
      </c>
      <c r="L21" s="77" t="s">
        <v>36</v>
      </c>
      <c r="M21" s="57">
        <v>2.0</v>
      </c>
      <c r="N21" s="181">
        <v>30.0</v>
      </c>
    </row>
    <row r="22">
      <c r="A22" s="63"/>
      <c r="B22" s="52" t="s">
        <v>41</v>
      </c>
      <c r="C22" s="53" t="s">
        <v>39</v>
      </c>
      <c r="D22" s="69" t="s">
        <v>29</v>
      </c>
      <c r="E22" s="70" t="s">
        <v>21</v>
      </c>
      <c r="F22" s="70" t="s">
        <v>31</v>
      </c>
      <c r="G22" s="73" t="s">
        <v>28</v>
      </c>
      <c r="H22" s="70" t="s">
        <v>27</v>
      </c>
      <c r="I22" s="70" t="s">
        <v>23</v>
      </c>
      <c r="J22" s="191" t="s">
        <v>26</v>
      </c>
      <c r="K22" s="73" t="s">
        <v>55</v>
      </c>
      <c r="L22" s="61" t="s">
        <v>36</v>
      </c>
      <c r="M22" s="57">
        <v>3.0</v>
      </c>
      <c r="N22" s="181">
        <v>39.0</v>
      </c>
    </row>
    <row r="23">
      <c r="A23" s="63"/>
      <c r="B23" s="52" t="s">
        <v>42</v>
      </c>
      <c r="C23" s="53" t="s">
        <v>39</v>
      </c>
      <c r="D23" s="54" t="s">
        <v>29</v>
      </c>
      <c r="E23" s="55" t="s">
        <v>21</v>
      </c>
      <c r="F23" s="55" t="s">
        <v>31</v>
      </c>
      <c r="G23" s="55" t="s">
        <v>28</v>
      </c>
      <c r="H23" s="55" t="s">
        <v>27</v>
      </c>
      <c r="I23" s="55" t="s">
        <v>23</v>
      </c>
      <c r="J23" s="74" t="s">
        <v>26</v>
      </c>
      <c r="K23" s="55" t="s">
        <v>34</v>
      </c>
      <c r="L23" s="56" t="s">
        <v>36</v>
      </c>
      <c r="M23" s="57">
        <v>2.0</v>
      </c>
      <c r="N23" s="181">
        <v>38.0</v>
      </c>
    </row>
    <row r="24">
      <c r="A24" s="63"/>
      <c r="B24" s="52" t="s">
        <v>43</v>
      </c>
      <c r="C24" s="53" t="s">
        <v>44</v>
      </c>
      <c r="D24" s="203" t="s">
        <v>29</v>
      </c>
      <c r="E24" s="60" t="s">
        <v>21</v>
      </c>
      <c r="F24" s="60" t="s">
        <v>31</v>
      </c>
      <c r="G24" s="60" t="s">
        <v>28</v>
      </c>
      <c r="H24" s="60" t="s">
        <v>27</v>
      </c>
      <c r="I24" s="60" t="s">
        <v>23</v>
      </c>
      <c r="J24" s="60" t="s">
        <v>26</v>
      </c>
      <c r="K24" s="60" t="s">
        <v>55</v>
      </c>
      <c r="L24" s="61" t="s">
        <v>25</v>
      </c>
      <c r="M24" s="57">
        <v>4.0</v>
      </c>
      <c r="N24" s="181">
        <v>34.0</v>
      </c>
    </row>
    <row r="25">
      <c r="A25" s="63"/>
      <c r="B25" s="52" t="s">
        <v>45</v>
      </c>
      <c r="C25" s="53" t="s">
        <v>44</v>
      </c>
      <c r="D25" s="68" t="s">
        <v>29</v>
      </c>
      <c r="E25" s="55" t="s">
        <v>21</v>
      </c>
      <c r="F25" s="55" t="s">
        <v>31</v>
      </c>
      <c r="G25" s="55" t="s">
        <v>28</v>
      </c>
      <c r="H25" s="55" t="s">
        <v>24</v>
      </c>
      <c r="I25" s="55" t="s">
        <v>23</v>
      </c>
      <c r="J25" s="55" t="s">
        <v>26</v>
      </c>
      <c r="K25" s="55" t="s">
        <v>34</v>
      </c>
      <c r="L25" s="56" t="s">
        <v>25</v>
      </c>
      <c r="M25" s="57">
        <v>4.0</v>
      </c>
      <c r="N25" s="181">
        <v>37.0</v>
      </c>
    </row>
    <row r="26">
      <c r="A26" s="63"/>
      <c r="B26" s="52" t="s">
        <v>46</v>
      </c>
      <c r="C26" s="53" t="s">
        <v>18</v>
      </c>
      <c r="D26" s="200" t="s">
        <v>32</v>
      </c>
      <c r="E26" s="76" t="s">
        <v>53</v>
      </c>
      <c r="F26" s="76" t="s">
        <v>31</v>
      </c>
      <c r="G26" s="76" t="s">
        <v>22</v>
      </c>
      <c r="H26" s="76" t="s">
        <v>27</v>
      </c>
      <c r="I26" s="76" t="s">
        <v>47</v>
      </c>
      <c r="J26" s="76" t="s">
        <v>26</v>
      </c>
      <c r="K26" s="76" t="s">
        <v>34</v>
      </c>
      <c r="L26" s="76" t="s">
        <v>25</v>
      </c>
      <c r="M26" s="80">
        <v>5.0</v>
      </c>
      <c r="N26" s="207">
        <v>29.0</v>
      </c>
    </row>
    <row r="27">
      <c r="A27" s="63"/>
      <c r="B27" s="52" t="s">
        <v>48</v>
      </c>
      <c r="C27" s="53" t="s">
        <v>49</v>
      </c>
      <c r="D27" s="201" t="s">
        <v>29</v>
      </c>
      <c r="E27" s="81" t="s">
        <v>53</v>
      </c>
      <c r="F27" s="82" t="s">
        <v>54</v>
      </c>
      <c r="G27" s="82" t="s">
        <v>28</v>
      </c>
      <c r="H27" s="82" t="s">
        <v>27</v>
      </c>
      <c r="I27" s="82" t="s">
        <v>23</v>
      </c>
      <c r="J27" s="82" t="s">
        <v>26</v>
      </c>
      <c r="K27" s="82" t="s">
        <v>34</v>
      </c>
      <c r="L27" s="82" t="s">
        <v>25</v>
      </c>
      <c r="M27" s="57">
        <v>1.0</v>
      </c>
      <c r="N27" s="181">
        <v>31.0</v>
      </c>
    </row>
    <row r="28">
      <c r="A28" s="63"/>
      <c r="B28" s="52" t="s">
        <v>50</v>
      </c>
      <c r="C28" s="53" t="s">
        <v>51</v>
      </c>
      <c r="D28" s="202" t="s">
        <v>29</v>
      </c>
      <c r="E28" s="66" t="s">
        <v>21</v>
      </c>
      <c r="F28" s="67" t="s">
        <v>31</v>
      </c>
      <c r="G28" s="67" t="s">
        <v>28</v>
      </c>
      <c r="H28" s="67" t="s">
        <v>27</v>
      </c>
      <c r="I28" s="67" t="s">
        <v>23</v>
      </c>
      <c r="J28" s="67" t="s">
        <v>26</v>
      </c>
      <c r="K28" s="67" t="s">
        <v>34</v>
      </c>
      <c r="L28" s="67" t="s">
        <v>25</v>
      </c>
      <c r="M28" s="57">
        <v>3.0</v>
      </c>
      <c r="N28" s="181">
        <v>37.0</v>
      </c>
    </row>
    <row r="29">
      <c r="A29" s="63"/>
      <c r="B29" s="52" t="s">
        <v>52</v>
      </c>
      <c r="C29" s="53" t="s">
        <v>13</v>
      </c>
      <c r="D29" s="68" t="s">
        <v>29</v>
      </c>
      <c r="E29" s="55" t="s">
        <v>21</v>
      </c>
      <c r="F29" s="55" t="s">
        <v>31</v>
      </c>
      <c r="G29" s="55" t="s">
        <v>28</v>
      </c>
      <c r="H29" s="55" t="s">
        <v>24</v>
      </c>
      <c r="I29" s="55" t="s">
        <v>23</v>
      </c>
      <c r="J29" s="55" t="s">
        <v>26</v>
      </c>
      <c r="K29" s="55" t="s">
        <v>55</v>
      </c>
      <c r="L29" s="56" t="s">
        <v>25</v>
      </c>
      <c r="M29" s="57">
        <v>5.0</v>
      </c>
      <c r="N29" s="181">
        <v>44.0</v>
      </c>
    </row>
    <row r="30">
      <c r="A30" s="63"/>
      <c r="B30" s="52" t="s">
        <v>56</v>
      </c>
      <c r="C30" s="53" t="s">
        <v>13</v>
      </c>
      <c r="D30" s="203" t="s">
        <v>32</v>
      </c>
      <c r="E30" s="60" t="s">
        <v>21</v>
      </c>
      <c r="F30" s="60" t="s">
        <v>31</v>
      </c>
      <c r="G30" s="60" t="s">
        <v>22</v>
      </c>
      <c r="H30" s="60" t="s">
        <v>24</v>
      </c>
      <c r="I30" s="60" t="s">
        <v>23</v>
      </c>
      <c r="J30" s="60" t="s">
        <v>26</v>
      </c>
      <c r="K30" s="60" t="s">
        <v>55</v>
      </c>
      <c r="L30" s="61" t="s">
        <v>25</v>
      </c>
      <c r="M30" s="57">
        <v>7.0</v>
      </c>
      <c r="N30" s="181">
        <v>39.0</v>
      </c>
    </row>
    <row r="31">
      <c r="A31" s="63"/>
      <c r="B31" s="52" t="s">
        <v>58</v>
      </c>
      <c r="C31" s="53" t="s">
        <v>59</v>
      </c>
      <c r="D31" s="54" t="s">
        <v>32</v>
      </c>
      <c r="E31" s="55" t="s">
        <v>53</v>
      </c>
      <c r="F31" s="72" t="s">
        <v>31</v>
      </c>
      <c r="G31" s="55" t="s">
        <v>22</v>
      </c>
      <c r="H31" s="55" t="s">
        <v>24</v>
      </c>
      <c r="I31" s="55" t="s">
        <v>23</v>
      </c>
      <c r="J31" s="55" t="s">
        <v>26</v>
      </c>
      <c r="K31" s="55" t="s">
        <v>55</v>
      </c>
      <c r="L31" s="56" t="s">
        <v>25</v>
      </c>
      <c r="M31" s="57">
        <v>6.0</v>
      </c>
      <c r="N31" s="181">
        <v>29.0</v>
      </c>
    </row>
    <row r="32">
      <c r="A32" s="63"/>
      <c r="B32" s="52" t="s">
        <v>60</v>
      </c>
      <c r="C32" s="53" t="s">
        <v>39</v>
      </c>
      <c r="D32" s="59" t="s">
        <v>29</v>
      </c>
      <c r="E32" s="60" t="s">
        <v>21</v>
      </c>
      <c r="F32" s="70" t="s">
        <v>31</v>
      </c>
      <c r="G32" s="60" t="s">
        <v>28</v>
      </c>
      <c r="H32" s="60" t="s">
        <v>27</v>
      </c>
      <c r="I32" s="60" t="s">
        <v>23</v>
      </c>
      <c r="J32" s="60" t="s">
        <v>26</v>
      </c>
      <c r="K32" s="60" t="s">
        <v>34</v>
      </c>
      <c r="L32" s="61" t="s">
        <v>25</v>
      </c>
      <c r="M32" s="57">
        <v>3.0</v>
      </c>
      <c r="N32" s="181">
        <v>38.0</v>
      </c>
    </row>
    <row r="33">
      <c r="A33" s="39"/>
      <c r="B33" s="52" t="s">
        <v>61</v>
      </c>
      <c r="C33" s="53" t="s">
        <v>39</v>
      </c>
      <c r="D33" s="83" t="s">
        <v>29</v>
      </c>
      <c r="E33" s="84" t="s">
        <v>21</v>
      </c>
      <c r="F33" s="84" t="s">
        <v>31</v>
      </c>
      <c r="G33" s="84" t="s">
        <v>22</v>
      </c>
      <c r="H33" s="84" t="s">
        <v>27</v>
      </c>
      <c r="I33" s="84" t="s">
        <v>23</v>
      </c>
      <c r="J33" s="84" t="s">
        <v>26</v>
      </c>
      <c r="K33" s="84" t="s">
        <v>55</v>
      </c>
      <c r="L33" s="85" t="s">
        <v>36</v>
      </c>
      <c r="M33" s="86">
        <v>4.0</v>
      </c>
      <c r="N33" s="181">
        <v>41.0</v>
      </c>
    </row>
    <row r="34">
      <c r="A34" s="39"/>
      <c r="B34" s="87" t="s">
        <v>62</v>
      </c>
      <c r="C34" s="88" t="s">
        <v>63</v>
      </c>
      <c r="D34" s="89" t="s">
        <v>29</v>
      </c>
      <c r="E34" s="89" t="s">
        <v>21</v>
      </c>
      <c r="F34" s="89" t="s">
        <v>31</v>
      </c>
      <c r="G34" s="89" t="s">
        <v>28</v>
      </c>
      <c r="H34" s="89" t="s">
        <v>27</v>
      </c>
      <c r="I34" s="89" t="s">
        <v>23</v>
      </c>
      <c r="J34" s="89" t="s">
        <v>26</v>
      </c>
      <c r="K34" s="89" t="s">
        <v>34</v>
      </c>
      <c r="L34" s="89" t="s">
        <v>25</v>
      </c>
      <c r="M34" s="90">
        <v>3.0</v>
      </c>
      <c r="N34" s="182">
        <v>39.0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45762.0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5.0</v>
      </c>
      <c r="B2" s="7" t="s">
        <v>69</v>
      </c>
      <c r="C2" s="8"/>
      <c r="D2" s="9" t="s">
        <v>173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45757.819444444445</v>
      </c>
      <c r="E3" s="15">
        <v>45758.819444444445</v>
      </c>
      <c r="F3" s="15">
        <v>45759.524305555555</v>
      </c>
      <c r="G3" s="15">
        <v>45759.555555555555</v>
      </c>
      <c r="H3" s="15">
        <v>45759.677083333336</v>
      </c>
      <c r="I3" s="15">
        <v>45759.81597222222</v>
      </c>
      <c r="J3" s="15">
        <v>45760.524305555555</v>
      </c>
      <c r="K3" s="15">
        <v>45760.63888888889</v>
      </c>
      <c r="L3" s="15">
        <v>45760.805555555555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23" t="s">
        <v>3</v>
      </c>
      <c r="C5" s="24"/>
      <c r="D5" s="25">
        <v>45757.79861111111</v>
      </c>
      <c r="E5" s="25">
        <v>45758.79861111111</v>
      </c>
      <c r="F5" s="25">
        <v>45759.50347222222</v>
      </c>
      <c r="G5" s="25">
        <v>45759.53472222222</v>
      </c>
      <c r="H5" s="25">
        <v>45759.65625</v>
      </c>
      <c r="I5" s="25">
        <v>45759.79513888889</v>
      </c>
      <c r="J5" s="25">
        <v>45760.50347222222</v>
      </c>
      <c r="K5" s="25">
        <v>45760.618055555555</v>
      </c>
      <c r="L5" s="25">
        <v>45760.78472222222</v>
      </c>
      <c r="M5" s="26"/>
      <c r="N5" s="27"/>
    </row>
    <row r="6">
      <c r="A6" s="6">
        <v>7.0</v>
      </c>
      <c r="B6" s="28" t="s">
        <v>4</v>
      </c>
      <c r="C6" s="29"/>
      <c r="D6" s="30" t="s">
        <v>24</v>
      </c>
      <c r="E6" s="30" t="s">
        <v>32</v>
      </c>
      <c r="F6" s="30" t="s">
        <v>53</v>
      </c>
      <c r="G6" s="30" t="s">
        <v>21</v>
      </c>
      <c r="H6" s="30" t="s">
        <v>55</v>
      </c>
      <c r="I6" s="30" t="s">
        <v>22</v>
      </c>
      <c r="J6" s="30" t="s">
        <v>47</v>
      </c>
      <c r="K6" s="30" t="s">
        <v>34</v>
      </c>
      <c r="L6" s="30" t="s">
        <v>33</v>
      </c>
      <c r="M6" s="21"/>
      <c r="N6" s="22"/>
    </row>
    <row r="7">
      <c r="A7" s="6">
        <v>8.0</v>
      </c>
      <c r="B7" s="31" t="s">
        <v>5</v>
      </c>
      <c r="C7" s="24"/>
      <c r="D7" s="32" t="s">
        <v>25</v>
      </c>
      <c r="E7" s="32" t="s">
        <v>26</v>
      </c>
      <c r="F7" s="32" t="s">
        <v>23</v>
      </c>
      <c r="G7" s="32" t="s">
        <v>54</v>
      </c>
      <c r="H7" s="32" t="s">
        <v>29</v>
      </c>
      <c r="I7" s="32" t="s">
        <v>31</v>
      </c>
      <c r="J7" s="32" t="s">
        <v>28</v>
      </c>
      <c r="K7" s="32" t="s">
        <v>27</v>
      </c>
      <c r="L7" s="32" t="s">
        <v>36</v>
      </c>
      <c r="M7" s="26"/>
      <c r="N7" s="27"/>
    </row>
    <row r="8">
      <c r="A8" s="33">
        <v>9.0</v>
      </c>
      <c r="B8" s="34" t="s">
        <v>6</v>
      </c>
      <c r="C8" s="35"/>
      <c r="D8" s="36" t="s">
        <v>118</v>
      </c>
      <c r="E8" s="36" t="s">
        <v>118</v>
      </c>
      <c r="F8" s="36" t="s">
        <v>174</v>
      </c>
      <c r="G8" s="36" t="s">
        <v>118</v>
      </c>
      <c r="H8" s="36" t="s">
        <v>175</v>
      </c>
      <c r="I8" s="36" t="s">
        <v>118</v>
      </c>
      <c r="J8" s="36" t="s">
        <v>174</v>
      </c>
      <c r="K8" s="36" t="s">
        <v>175</v>
      </c>
      <c r="L8" s="36" t="s">
        <v>118</v>
      </c>
      <c r="M8" s="37"/>
      <c r="N8" s="38"/>
    </row>
    <row r="9">
      <c r="A9" s="39"/>
      <c r="B9" s="40" t="s">
        <v>7</v>
      </c>
      <c r="C9" s="41"/>
      <c r="D9" s="42" t="s">
        <v>25</v>
      </c>
      <c r="E9" s="42" t="s">
        <v>32</v>
      </c>
      <c r="F9" s="42" t="s">
        <v>23</v>
      </c>
      <c r="G9" s="42" t="s">
        <v>21</v>
      </c>
      <c r="H9" s="42" t="s">
        <v>29</v>
      </c>
      <c r="I9" s="42" t="s">
        <v>31</v>
      </c>
      <c r="J9" s="42" t="s">
        <v>28</v>
      </c>
      <c r="K9" s="42" t="s">
        <v>27</v>
      </c>
      <c r="L9" s="42" t="s">
        <v>33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25</v>
      </c>
      <c r="E10" s="48" t="s">
        <v>32</v>
      </c>
      <c r="F10" s="48" t="s">
        <v>23</v>
      </c>
      <c r="G10" s="48" t="s">
        <v>54</v>
      </c>
      <c r="H10" s="48" t="s">
        <v>29</v>
      </c>
      <c r="I10" s="48" t="s">
        <v>31</v>
      </c>
      <c r="J10" s="48" t="s">
        <v>28</v>
      </c>
      <c r="K10" s="48" t="s">
        <v>27</v>
      </c>
      <c r="L10" s="49" t="s">
        <v>36</v>
      </c>
      <c r="M10" s="252">
        <v>7.0</v>
      </c>
      <c r="N10" s="276">
        <v>28.0</v>
      </c>
    </row>
    <row r="11">
      <c r="A11" s="39"/>
      <c r="B11" s="52" t="s">
        <v>12</v>
      </c>
      <c r="C11" s="53" t="s">
        <v>13</v>
      </c>
      <c r="D11" s="54" t="s">
        <v>25</v>
      </c>
      <c r="E11" s="55" t="s">
        <v>26</v>
      </c>
      <c r="F11" s="55" t="s">
        <v>23</v>
      </c>
      <c r="G11" s="55" t="s">
        <v>54</v>
      </c>
      <c r="H11" s="55" t="s">
        <v>29</v>
      </c>
      <c r="I11" s="55" t="s">
        <v>31</v>
      </c>
      <c r="J11" s="55" t="s">
        <v>47</v>
      </c>
      <c r="K11" s="55" t="s">
        <v>27</v>
      </c>
      <c r="L11" s="56" t="s">
        <v>36</v>
      </c>
      <c r="M11" s="80">
        <v>5.0</v>
      </c>
      <c r="N11" s="277">
        <v>26.0</v>
      </c>
    </row>
    <row r="12">
      <c r="A12" s="39"/>
      <c r="B12" s="52" t="s">
        <v>14</v>
      </c>
      <c r="C12" s="53" t="s">
        <v>15</v>
      </c>
      <c r="D12" s="59" t="s">
        <v>24</v>
      </c>
      <c r="E12" s="60" t="s">
        <v>32</v>
      </c>
      <c r="F12" s="60" t="s">
        <v>23</v>
      </c>
      <c r="G12" s="60" t="s">
        <v>21</v>
      </c>
      <c r="H12" s="60" t="s">
        <v>29</v>
      </c>
      <c r="I12" s="60" t="s">
        <v>22</v>
      </c>
      <c r="J12" s="60" t="s">
        <v>28</v>
      </c>
      <c r="K12" s="60" t="s">
        <v>27</v>
      </c>
      <c r="L12" s="61" t="s">
        <v>36</v>
      </c>
      <c r="M12" s="57">
        <v>6.0</v>
      </c>
      <c r="N12" s="181">
        <v>36.0</v>
      </c>
    </row>
    <row r="13">
      <c r="A13" s="63"/>
      <c r="B13" s="52" t="s">
        <v>16</v>
      </c>
      <c r="C13" s="53" t="s">
        <v>11</v>
      </c>
      <c r="D13" s="54" t="s">
        <v>24</v>
      </c>
      <c r="E13" s="55" t="s">
        <v>32</v>
      </c>
      <c r="F13" s="55" t="s">
        <v>23</v>
      </c>
      <c r="G13" s="55" t="s">
        <v>21</v>
      </c>
      <c r="H13" s="55" t="s">
        <v>29</v>
      </c>
      <c r="I13" s="55" t="s">
        <v>22</v>
      </c>
      <c r="J13" s="55" t="s">
        <v>28</v>
      </c>
      <c r="K13" s="55" t="s">
        <v>27</v>
      </c>
      <c r="L13" s="56" t="s">
        <v>36</v>
      </c>
      <c r="M13" s="57">
        <v>6.0</v>
      </c>
      <c r="N13" s="181">
        <v>32.0</v>
      </c>
    </row>
    <row r="14">
      <c r="A14" s="63"/>
      <c r="B14" s="52" t="s">
        <v>17</v>
      </c>
      <c r="C14" s="53" t="s">
        <v>18</v>
      </c>
      <c r="D14" s="59" t="s">
        <v>24</v>
      </c>
      <c r="E14" s="60" t="s">
        <v>26</v>
      </c>
      <c r="F14" s="60" t="s">
        <v>23</v>
      </c>
      <c r="G14" s="60" t="s">
        <v>54</v>
      </c>
      <c r="H14" s="60" t="s">
        <v>29</v>
      </c>
      <c r="I14" s="60" t="s">
        <v>31</v>
      </c>
      <c r="J14" s="60" t="s">
        <v>47</v>
      </c>
      <c r="K14" s="60" t="s">
        <v>27</v>
      </c>
      <c r="L14" s="61" t="s">
        <v>36</v>
      </c>
      <c r="M14" s="57">
        <v>4.0</v>
      </c>
      <c r="N14" s="181">
        <v>29.0</v>
      </c>
    </row>
    <row r="15">
      <c r="A15" s="63"/>
      <c r="B15" s="52" t="s">
        <v>19</v>
      </c>
      <c r="C15" s="53"/>
      <c r="D15" s="54" t="s">
        <v>24</v>
      </c>
      <c r="E15" s="55" t="s">
        <v>26</v>
      </c>
      <c r="F15" s="55" t="s">
        <v>53</v>
      </c>
      <c r="G15" s="55" t="s">
        <v>54</v>
      </c>
      <c r="H15" s="55" t="s">
        <v>55</v>
      </c>
      <c r="I15" s="55" t="s">
        <v>31</v>
      </c>
      <c r="J15" s="55" t="s">
        <v>28</v>
      </c>
      <c r="K15" s="55" t="s">
        <v>27</v>
      </c>
      <c r="L15" s="56" t="s">
        <v>33</v>
      </c>
      <c r="M15" s="57">
        <v>4.0</v>
      </c>
      <c r="N15" s="181">
        <v>30.0</v>
      </c>
    </row>
    <row r="16">
      <c r="A16" s="63"/>
      <c r="B16" s="52" t="s">
        <v>20</v>
      </c>
      <c r="C16" s="65" t="s">
        <v>15</v>
      </c>
      <c r="D16" s="66" t="s">
        <v>24</v>
      </c>
      <c r="E16" s="66" t="s">
        <v>32</v>
      </c>
      <c r="F16" s="67" t="s">
        <v>23</v>
      </c>
      <c r="G16" s="67" t="s">
        <v>21</v>
      </c>
      <c r="H16" s="67" t="s">
        <v>29</v>
      </c>
      <c r="I16" s="67" t="s">
        <v>22</v>
      </c>
      <c r="J16" s="67" t="s">
        <v>28</v>
      </c>
      <c r="K16" s="67" t="s">
        <v>27</v>
      </c>
      <c r="L16" s="67" t="s">
        <v>36</v>
      </c>
      <c r="M16" s="57">
        <v>6.0</v>
      </c>
      <c r="N16" s="181">
        <v>27.0</v>
      </c>
    </row>
    <row r="17">
      <c r="A17" s="63"/>
      <c r="B17" s="52" t="s">
        <v>30</v>
      </c>
      <c r="C17" s="53" t="s">
        <v>13</v>
      </c>
      <c r="D17" s="71" t="s">
        <v>25</v>
      </c>
      <c r="E17" s="72" t="s">
        <v>26</v>
      </c>
      <c r="F17" s="72" t="s">
        <v>23</v>
      </c>
      <c r="G17" s="77" t="s">
        <v>21</v>
      </c>
      <c r="H17" s="72" t="s">
        <v>29</v>
      </c>
      <c r="I17" s="72" t="s">
        <v>31</v>
      </c>
      <c r="J17" s="74" t="s">
        <v>28</v>
      </c>
      <c r="K17" s="77" t="s">
        <v>27</v>
      </c>
      <c r="L17" s="77" t="s">
        <v>33</v>
      </c>
      <c r="M17" s="57">
        <v>8.0</v>
      </c>
      <c r="N17" s="181">
        <v>37.0</v>
      </c>
    </row>
    <row r="18">
      <c r="A18" s="63"/>
      <c r="B18" s="52" t="s">
        <v>35</v>
      </c>
      <c r="C18" s="53" t="s">
        <v>13</v>
      </c>
      <c r="D18" s="69" t="s">
        <v>24</v>
      </c>
      <c r="E18" s="70" t="s">
        <v>26</v>
      </c>
      <c r="F18" s="70" t="s">
        <v>23</v>
      </c>
      <c r="G18" s="70" t="s">
        <v>54</v>
      </c>
      <c r="H18" s="70" t="s">
        <v>29</v>
      </c>
      <c r="I18" s="70" t="s">
        <v>31</v>
      </c>
      <c r="J18" s="70" t="s">
        <v>28</v>
      </c>
      <c r="K18" s="70" t="s">
        <v>27</v>
      </c>
      <c r="L18" s="205" t="s">
        <v>36</v>
      </c>
      <c r="M18" s="57">
        <v>5.0</v>
      </c>
      <c r="N18" s="181">
        <v>35.0</v>
      </c>
    </row>
    <row r="19">
      <c r="A19" s="63"/>
      <c r="B19" s="52" t="s">
        <v>37</v>
      </c>
      <c r="C19" s="65" t="s">
        <v>13</v>
      </c>
      <c r="D19" s="71" t="s">
        <v>24</v>
      </c>
      <c r="E19" s="72" t="s">
        <v>26</v>
      </c>
      <c r="F19" s="72" t="s">
        <v>23</v>
      </c>
      <c r="G19" s="77" t="s">
        <v>21</v>
      </c>
      <c r="H19" s="72" t="s">
        <v>29</v>
      </c>
      <c r="I19" s="72" t="s">
        <v>31</v>
      </c>
      <c r="J19" s="74" t="s">
        <v>28</v>
      </c>
      <c r="K19" s="77" t="s">
        <v>27</v>
      </c>
      <c r="L19" s="77" t="s">
        <v>36</v>
      </c>
      <c r="M19" s="57">
        <v>6.0</v>
      </c>
      <c r="N19" s="181">
        <v>37.0</v>
      </c>
    </row>
    <row r="20">
      <c r="A20" s="63"/>
      <c r="B20" s="52" t="s">
        <v>38</v>
      </c>
      <c r="C20" s="65" t="s">
        <v>39</v>
      </c>
      <c r="D20" s="69" t="s">
        <v>24</v>
      </c>
      <c r="E20" s="70" t="s">
        <v>32</v>
      </c>
      <c r="F20" s="70" t="s">
        <v>23</v>
      </c>
      <c r="G20" s="73" t="s">
        <v>21</v>
      </c>
      <c r="H20" s="70" t="s">
        <v>29</v>
      </c>
      <c r="I20" s="70" t="s">
        <v>31</v>
      </c>
      <c r="J20" s="191" t="s">
        <v>28</v>
      </c>
      <c r="K20" s="73" t="s">
        <v>27</v>
      </c>
      <c r="L20" s="73" t="s">
        <v>36</v>
      </c>
      <c r="M20" s="57">
        <v>7.0</v>
      </c>
      <c r="N20" s="181">
        <v>41.0</v>
      </c>
    </row>
    <row r="21">
      <c r="A21" s="63"/>
      <c r="B21" s="52" t="s">
        <v>40</v>
      </c>
      <c r="C21" s="65" t="s">
        <v>39</v>
      </c>
      <c r="D21" s="71" t="s">
        <v>25</v>
      </c>
      <c r="E21" s="72" t="s">
        <v>32</v>
      </c>
      <c r="F21" s="72" t="s">
        <v>53</v>
      </c>
      <c r="G21" s="77" t="s">
        <v>21</v>
      </c>
      <c r="H21" s="72" t="s">
        <v>29</v>
      </c>
      <c r="I21" s="72" t="s">
        <v>22</v>
      </c>
      <c r="J21" s="74" t="s">
        <v>47</v>
      </c>
      <c r="K21" s="77" t="s">
        <v>34</v>
      </c>
      <c r="L21" s="77" t="s">
        <v>33</v>
      </c>
      <c r="M21" s="57">
        <v>5.0</v>
      </c>
      <c r="N21" s="181">
        <v>31.0</v>
      </c>
    </row>
    <row r="22">
      <c r="A22" s="63"/>
      <c r="B22" s="52" t="s">
        <v>41</v>
      </c>
      <c r="C22" s="53" t="s">
        <v>39</v>
      </c>
      <c r="D22" s="69" t="s">
        <v>24</v>
      </c>
      <c r="E22" s="70" t="s">
        <v>32</v>
      </c>
      <c r="F22" s="70" t="s">
        <v>23</v>
      </c>
      <c r="G22" s="73" t="s">
        <v>21</v>
      </c>
      <c r="H22" s="70" t="s">
        <v>29</v>
      </c>
      <c r="I22" s="70" t="s">
        <v>31</v>
      </c>
      <c r="J22" s="191" t="s">
        <v>28</v>
      </c>
      <c r="K22" s="73" t="s">
        <v>34</v>
      </c>
      <c r="L22" s="61" t="s">
        <v>36</v>
      </c>
      <c r="M22" s="57">
        <v>6.0</v>
      </c>
      <c r="N22" s="181">
        <v>39.0</v>
      </c>
    </row>
    <row r="23">
      <c r="A23" s="63"/>
      <c r="B23" s="52" t="s">
        <v>42</v>
      </c>
      <c r="C23" s="53" t="s">
        <v>39</v>
      </c>
      <c r="D23" s="54" t="s">
        <v>24</v>
      </c>
      <c r="E23" s="55" t="s">
        <v>32</v>
      </c>
      <c r="F23" s="55" t="s">
        <v>23</v>
      </c>
      <c r="G23" s="55" t="s">
        <v>21</v>
      </c>
      <c r="H23" s="55" t="s">
        <v>29</v>
      </c>
      <c r="I23" s="55" t="s">
        <v>31</v>
      </c>
      <c r="J23" s="74" t="s">
        <v>28</v>
      </c>
      <c r="K23" s="55" t="s">
        <v>27</v>
      </c>
      <c r="L23" s="56" t="s">
        <v>36</v>
      </c>
      <c r="M23" s="57">
        <v>7.0</v>
      </c>
      <c r="N23" s="181">
        <v>41.0</v>
      </c>
    </row>
    <row r="24">
      <c r="A24" s="63"/>
      <c r="B24" s="52" t="s">
        <v>43</v>
      </c>
      <c r="C24" s="53" t="s">
        <v>44</v>
      </c>
      <c r="D24" s="203" t="s">
        <v>24</v>
      </c>
      <c r="E24" s="60" t="s">
        <v>26</v>
      </c>
      <c r="F24" s="60" t="s">
        <v>23</v>
      </c>
      <c r="G24" s="60" t="s">
        <v>21</v>
      </c>
      <c r="H24" s="60" t="s">
        <v>29</v>
      </c>
      <c r="I24" s="60" t="s">
        <v>22</v>
      </c>
      <c r="J24" s="60" t="s">
        <v>28</v>
      </c>
      <c r="K24" s="60" t="s">
        <v>27</v>
      </c>
      <c r="L24" s="61" t="s">
        <v>36</v>
      </c>
      <c r="M24" s="57">
        <v>5.0</v>
      </c>
      <c r="N24" s="181">
        <v>31.0</v>
      </c>
    </row>
    <row r="25">
      <c r="A25" s="63"/>
      <c r="B25" s="52" t="s">
        <v>45</v>
      </c>
      <c r="C25" s="53" t="s">
        <v>44</v>
      </c>
      <c r="D25" s="68" t="s">
        <v>24</v>
      </c>
      <c r="E25" s="55" t="s">
        <v>26</v>
      </c>
      <c r="F25" s="55" t="s">
        <v>23</v>
      </c>
      <c r="G25" s="55" t="s">
        <v>21</v>
      </c>
      <c r="H25" s="55" t="s">
        <v>29</v>
      </c>
      <c r="I25" s="55" t="s">
        <v>31</v>
      </c>
      <c r="J25" s="55" t="s">
        <v>28</v>
      </c>
      <c r="K25" s="55" t="s">
        <v>27</v>
      </c>
      <c r="L25" s="56" t="s">
        <v>33</v>
      </c>
      <c r="M25" s="57">
        <v>7.0</v>
      </c>
      <c r="N25" s="181">
        <v>36.0</v>
      </c>
    </row>
    <row r="26">
      <c r="A26" s="63"/>
      <c r="B26" s="52" t="s">
        <v>46</v>
      </c>
      <c r="C26" s="53" t="s">
        <v>18</v>
      </c>
      <c r="D26" s="202" t="s">
        <v>25</v>
      </c>
      <c r="E26" s="66" t="s">
        <v>26</v>
      </c>
      <c r="F26" s="67" t="s">
        <v>23</v>
      </c>
      <c r="G26" s="67" t="s">
        <v>54</v>
      </c>
      <c r="H26" s="67" t="s">
        <v>29</v>
      </c>
      <c r="I26" s="67" t="s">
        <v>31</v>
      </c>
      <c r="J26" s="67" t="s">
        <v>28</v>
      </c>
      <c r="K26" s="67" t="s">
        <v>27</v>
      </c>
      <c r="L26" s="67" t="s">
        <v>36</v>
      </c>
      <c r="M26" s="57">
        <v>6.0</v>
      </c>
      <c r="N26" s="181">
        <v>34.0</v>
      </c>
    </row>
    <row r="27">
      <c r="A27" s="63"/>
      <c r="B27" s="52" t="s">
        <v>48</v>
      </c>
      <c r="C27" s="53" t="s">
        <v>49</v>
      </c>
      <c r="D27" s="201" t="s">
        <v>24</v>
      </c>
      <c r="E27" s="81" t="s">
        <v>32</v>
      </c>
      <c r="F27" s="82" t="s">
        <v>23</v>
      </c>
      <c r="G27" s="82" t="s">
        <v>54</v>
      </c>
      <c r="H27" s="82" t="s">
        <v>29</v>
      </c>
      <c r="I27" s="82" t="s">
        <v>31</v>
      </c>
      <c r="J27" s="82" t="s">
        <v>28</v>
      </c>
      <c r="K27" s="82" t="s">
        <v>27</v>
      </c>
      <c r="L27" s="82" t="s">
        <v>33</v>
      </c>
      <c r="M27" s="57">
        <v>7.0</v>
      </c>
      <c r="N27" s="181">
        <v>36.0</v>
      </c>
    </row>
    <row r="28">
      <c r="A28" s="63"/>
      <c r="B28" s="52" t="s">
        <v>50</v>
      </c>
      <c r="C28" s="53" t="s">
        <v>51</v>
      </c>
      <c r="D28" s="202" t="s">
        <v>24</v>
      </c>
      <c r="E28" s="66" t="s">
        <v>32</v>
      </c>
      <c r="F28" s="67" t="s">
        <v>23</v>
      </c>
      <c r="G28" s="67" t="s">
        <v>21</v>
      </c>
      <c r="H28" s="67" t="s">
        <v>29</v>
      </c>
      <c r="I28" s="67" t="s">
        <v>31</v>
      </c>
      <c r="J28" s="67" t="s">
        <v>28</v>
      </c>
      <c r="K28" s="67" t="s">
        <v>27</v>
      </c>
      <c r="L28" s="67" t="s">
        <v>36</v>
      </c>
      <c r="M28" s="57">
        <v>7.0</v>
      </c>
      <c r="N28" s="181">
        <v>38.0</v>
      </c>
    </row>
    <row r="29">
      <c r="A29" s="63"/>
      <c r="B29" s="52" t="s">
        <v>52</v>
      </c>
      <c r="C29" s="53" t="s">
        <v>13</v>
      </c>
      <c r="D29" s="68" t="s">
        <v>24</v>
      </c>
      <c r="E29" s="55" t="s">
        <v>32</v>
      </c>
      <c r="F29" s="55" t="s">
        <v>23</v>
      </c>
      <c r="G29" s="55" t="s">
        <v>21</v>
      </c>
      <c r="H29" s="55" t="s">
        <v>29</v>
      </c>
      <c r="I29" s="55" t="s">
        <v>31</v>
      </c>
      <c r="J29" s="55" t="s">
        <v>28</v>
      </c>
      <c r="K29" s="55" t="s">
        <v>27</v>
      </c>
      <c r="L29" s="56" t="s">
        <v>36</v>
      </c>
      <c r="M29" s="57">
        <v>7.0</v>
      </c>
      <c r="N29" s="181">
        <v>41.0</v>
      </c>
    </row>
    <row r="30">
      <c r="A30" s="63"/>
      <c r="B30" s="52" t="s">
        <v>56</v>
      </c>
      <c r="C30" s="53" t="s">
        <v>13</v>
      </c>
      <c r="D30" s="203" t="s">
        <v>25</v>
      </c>
      <c r="E30" s="60" t="s">
        <v>32</v>
      </c>
      <c r="F30" s="60" t="s">
        <v>53</v>
      </c>
      <c r="G30" s="60" t="s">
        <v>21</v>
      </c>
      <c r="H30" s="60" t="s">
        <v>55</v>
      </c>
      <c r="I30" s="60" t="s">
        <v>31</v>
      </c>
      <c r="J30" s="60" t="s">
        <v>47</v>
      </c>
      <c r="K30" s="60" t="s">
        <v>34</v>
      </c>
      <c r="L30" s="61" t="s">
        <v>33</v>
      </c>
      <c r="M30" s="57">
        <v>5.0</v>
      </c>
      <c r="N30" s="181">
        <v>30.0</v>
      </c>
    </row>
    <row r="31">
      <c r="A31" s="63"/>
      <c r="B31" s="52" t="s">
        <v>58</v>
      </c>
      <c r="C31" s="53" t="s">
        <v>59</v>
      </c>
      <c r="D31" s="54" t="s">
        <v>25</v>
      </c>
      <c r="E31" s="55" t="s">
        <v>26</v>
      </c>
      <c r="F31" s="72" t="s">
        <v>53</v>
      </c>
      <c r="G31" s="55" t="s">
        <v>54</v>
      </c>
      <c r="H31" s="55" t="s">
        <v>55</v>
      </c>
      <c r="I31" s="55" t="s">
        <v>31</v>
      </c>
      <c r="J31" s="55" t="s">
        <v>47</v>
      </c>
      <c r="K31" s="55" t="s">
        <v>34</v>
      </c>
      <c r="L31" s="56" t="s">
        <v>36</v>
      </c>
      <c r="M31" s="57">
        <v>2.0</v>
      </c>
      <c r="N31" s="181">
        <v>19.0</v>
      </c>
    </row>
    <row r="32">
      <c r="A32" s="63"/>
      <c r="B32" s="52" t="s">
        <v>60</v>
      </c>
      <c r="C32" s="53" t="s">
        <v>39</v>
      </c>
      <c r="D32" s="59" t="s">
        <v>24</v>
      </c>
      <c r="E32" s="60" t="s">
        <v>32</v>
      </c>
      <c r="F32" s="70" t="s">
        <v>23</v>
      </c>
      <c r="G32" s="60" t="s">
        <v>21</v>
      </c>
      <c r="H32" s="60" t="s">
        <v>29</v>
      </c>
      <c r="I32" s="60" t="s">
        <v>31</v>
      </c>
      <c r="J32" s="60" t="s">
        <v>28</v>
      </c>
      <c r="K32" s="60" t="s">
        <v>27</v>
      </c>
      <c r="L32" s="61" t="s">
        <v>36</v>
      </c>
      <c r="M32" s="57">
        <v>7.0</v>
      </c>
      <c r="N32" s="181">
        <v>39.0</v>
      </c>
    </row>
    <row r="33">
      <c r="A33" s="39"/>
      <c r="B33" s="52" t="s">
        <v>61</v>
      </c>
      <c r="C33" s="53" t="s">
        <v>39</v>
      </c>
      <c r="D33" s="83" t="s">
        <v>24</v>
      </c>
      <c r="E33" s="84" t="s">
        <v>32</v>
      </c>
      <c r="F33" s="84" t="s">
        <v>23</v>
      </c>
      <c r="G33" s="84" t="s">
        <v>21</v>
      </c>
      <c r="H33" s="84" t="s">
        <v>29</v>
      </c>
      <c r="I33" s="84" t="s">
        <v>31</v>
      </c>
      <c r="J33" s="84" t="s">
        <v>28</v>
      </c>
      <c r="K33" s="84" t="s">
        <v>27</v>
      </c>
      <c r="L33" s="85" t="s">
        <v>36</v>
      </c>
      <c r="M33" s="86">
        <v>7.0</v>
      </c>
      <c r="N33" s="181">
        <v>40.0</v>
      </c>
    </row>
    <row r="34">
      <c r="A34" s="39"/>
      <c r="B34" s="87" t="s">
        <v>62</v>
      </c>
      <c r="C34" s="88" t="s">
        <v>63</v>
      </c>
      <c r="D34" s="89" t="s">
        <v>24</v>
      </c>
      <c r="E34" s="89" t="s">
        <v>32</v>
      </c>
      <c r="F34" s="89" t="s">
        <v>23</v>
      </c>
      <c r="G34" s="89" t="s">
        <v>21</v>
      </c>
      <c r="H34" s="89" t="s">
        <v>29</v>
      </c>
      <c r="I34" s="89" t="s">
        <v>31</v>
      </c>
      <c r="J34" s="89" t="s">
        <v>28</v>
      </c>
      <c r="K34" s="89" t="s">
        <v>27</v>
      </c>
      <c r="L34" s="89" t="s">
        <v>36</v>
      </c>
      <c r="M34" s="90">
        <v>7.0</v>
      </c>
      <c r="N34" s="182">
        <v>40.0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45754.0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4.0</v>
      </c>
      <c r="B2" s="7" t="s">
        <v>176</v>
      </c>
      <c r="C2" s="8"/>
      <c r="D2" s="9" t="s">
        <v>177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45750.8125</v>
      </c>
      <c r="E3" s="15">
        <v>45751.819444444445</v>
      </c>
      <c r="F3" s="15">
        <v>45752.555555555555</v>
      </c>
      <c r="G3" s="15">
        <v>45752.677083333336</v>
      </c>
      <c r="H3" s="15">
        <v>45752.81597222222</v>
      </c>
      <c r="I3" s="15">
        <v>45753.54861111111</v>
      </c>
      <c r="J3" s="15">
        <v>45753.63888888889</v>
      </c>
      <c r="K3" s="15">
        <v>45753.71527777778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113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45750.8125</v>
      </c>
      <c r="E5" s="25">
        <v>45751.819444444445</v>
      </c>
      <c r="F5" s="25">
        <v>45752.51388888889</v>
      </c>
      <c r="G5" s="25">
        <v>45752.677083333336</v>
      </c>
      <c r="H5" s="25">
        <v>45752.81597222222</v>
      </c>
      <c r="I5" s="25">
        <v>45753.54861111111</v>
      </c>
      <c r="J5" s="25">
        <v>45753.618055555555</v>
      </c>
      <c r="K5" s="25">
        <v>45753.631944444445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32</v>
      </c>
      <c r="E6" s="30" t="s">
        <v>25</v>
      </c>
      <c r="F6" s="30" t="s">
        <v>23</v>
      </c>
      <c r="G6" s="30" t="s">
        <v>47</v>
      </c>
      <c r="H6" s="30" t="s">
        <v>53</v>
      </c>
      <c r="I6" s="30" t="s">
        <v>27</v>
      </c>
      <c r="J6" s="30" t="s">
        <v>33</v>
      </c>
      <c r="K6" s="30" t="s">
        <v>28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21</v>
      </c>
      <c r="E7" s="32" t="s">
        <v>22</v>
      </c>
      <c r="F7" s="32" t="s">
        <v>24</v>
      </c>
      <c r="G7" s="32" t="s">
        <v>29</v>
      </c>
      <c r="H7" s="32" t="s">
        <v>26</v>
      </c>
      <c r="I7" s="32" t="s">
        <v>54</v>
      </c>
      <c r="J7" s="32" t="s">
        <v>34</v>
      </c>
      <c r="K7" s="32" t="s">
        <v>55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117</v>
      </c>
      <c r="E8" s="36" t="s">
        <v>126</v>
      </c>
      <c r="F8" s="36" t="s">
        <v>116</v>
      </c>
      <c r="G8" s="36" t="s">
        <v>117</v>
      </c>
      <c r="H8" s="36" t="s">
        <v>114</v>
      </c>
      <c r="I8" s="36" t="s">
        <v>133</v>
      </c>
      <c r="J8" s="36" t="s">
        <v>118</v>
      </c>
      <c r="K8" s="36" t="s">
        <v>115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32</v>
      </c>
      <c r="E9" s="42" t="s">
        <v>25</v>
      </c>
      <c r="F9" s="42" t="s">
        <v>23</v>
      </c>
      <c r="G9" s="42" t="s">
        <v>29</v>
      </c>
      <c r="H9" s="42" t="s">
        <v>26</v>
      </c>
      <c r="I9" s="42" t="s">
        <v>27</v>
      </c>
      <c r="J9" s="42" t="s">
        <v>34</v>
      </c>
      <c r="K9" s="42" t="s">
        <v>28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47" t="s">
        <v>32</v>
      </c>
      <c r="E10" s="48" t="s">
        <v>25</v>
      </c>
      <c r="F10" s="48" t="s">
        <v>23</v>
      </c>
      <c r="G10" s="48" t="s">
        <v>29</v>
      </c>
      <c r="H10" s="48" t="s">
        <v>53</v>
      </c>
      <c r="I10" s="48" t="s">
        <v>27</v>
      </c>
      <c r="J10" s="48" t="s">
        <v>34</v>
      </c>
      <c r="K10" s="48" t="s">
        <v>55</v>
      </c>
      <c r="L10" s="49"/>
      <c r="M10" s="50">
        <v>6.0</v>
      </c>
      <c r="N10" s="278">
        <v>30.0</v>
      </c>
    </row>
    <row r="11">
      <c r="A11" s="39"/>
      <c r="B11" s="52" t="s">
        <v>12</v>
      </c>
      <c r="C11" s="53" t="s">
        <v>13</v>
      </c>
      <c r="D11" s="54" t="s">
        <v>32</v>
      </c>
      <c r="E11" s="55" t="s">
        <v>25</v>
      </c>
      <c r="F11" s="55" t="s">
        <v>23</v>
      </c>
      <c r="G11" s="55" t="s">
        <v>29</v>
      </c>
      <c r="H11" s="55" t="s">
        <v>26</v>
      </c>
      <c r="I11" s="55" t="s">
        <v>27</v>
      </c>
      <c r="J11" s="55" t="s">
        <v>33</v>
      </c>
      <c r="K11" s="55" t="s">
        <v>55</v>
      </c>
      <c r="L11" s="56"/>
      <c r="M11" s="57">
        <v>6.0</v>
      </c>
      <c r="N11" s="181">
        <v>23.0</v>
      </c>
    </row>
    <row r="12">
      <c r="A12" s="39"/>
      <c r="B12" s="52" t="s">
        <v>14</v>
      </c>
      <c r="C12" s="53" t="s">
        <v>15</v>
      </c>
      <c r="D12" s="59" t="s">
        <v>32</v>
      </c>
      <c r="E12" s="60" t="s">
        <v>25</v>
      </c>
      <c r="F12" s="60" t="s">
        <v>23</v>
      </c>
      <c r="G12" s="60" t="s">
        <v>29</v>
      </c>
      <c r="H12" s="60" t="s">
        <v>26</v>
      </c>
      <c r="I12" s="60" t="s">
        <v>27</v>
      </c>
      <c r="J12" s="60" t="s">
        <v>33</v>
      </c>
      <c r="K12" s="60" t="s">
        <v>28</v>
      </c>
      <c r="L12" s="61"/>
      <c r="M12" s="57">
        <v>7.0</v>
      </c>
      <c r="N12" s="181">
        <v>31.0</v>
      </c>
    </row>
    <row r="13">
      <c r="A13" s="63"/>
      <c r="B13" s="52" t="s">
        <v>16</v>
      </c>
      <c r="C13" s="53" t="s">
        <v>11</v>
      </c>
      <c r="D13" s="54" t="s">
        <v>21</v>
      </c>
      <c r="E13" s="55" t="s">
        <v>25</v>
      </c>
      <c r="F13" s="55" t="s">
        <v>23</v>
      </c>
      <c r="G13" s="55" t="s">
        <v>47</v>
      </c>
      <c r="H13" s="55" t="s">
        <v>53</v>
      </c>
      <c r="I13" s="55" t="s">
        <v>27</v>
      </c>
      <c r="J13" s="55" t="s">
        <v>33</v>
      </c>
      <c r="K13" s="55" t="s">
        <v>28</v>
      </c>
      <c r="L13" s="56"/>
      <c r="M13" s="57">
        <v>4.0</v>
      </c>
      <c r="N13" s="181">
        <v>24.0</v>
      </c>
    </row>
    <row r="14">
      <c r="A14" s="63"/>
      <c r="B14" s="52" t="s">
        <v>17</v>
      </c>
      <c r="C14" s="53" t="s">
        <v>18</v>
      </c>
      <c r="D14" s="59" t="s">
        <v>32</v>
      </c>
      <c r="E14" s="60" t="s">
        <v>25</v>
      </c>
      <c r="F14" s="60" t="s">
        <v>23</v>
      </c>
      <c r="G14" s="60" t="s">
        <v>47</v>
      </c>
      <c r="H14" s="60" t="s">
        <v>26</v>
      </c>
      <c r="I14" s="60" t="s">
        <v>27</v>
      </c>
      <c r="J14" s="60" t="s">
        <v>34</v>
      </c>
      <c r="K14" s="60" t="s">
        <v>28</v>
      </c>
      <c r="L14" s="61"/>
      <c r="M14" s="57">
        <v>7.0</v>
      </c>
      <c r="N14" s="181">
        <v>28.0</v>
      </c>
    </row>
    <row r="15">
      <c r="A15" s="63"/>
      <c r="B15" s="52" t="s">
        <v>19</v>
      </c>
      <c r="C15" s="53"/>
      <c r="D15" s="54" t="s">
        <v>21</v>
      </c>
      <c r="E15" s="55" t="s">
        <v>25</v>
      </c>
      <c r="F15" s="55" t="s">
        <v>24</v>
      </c>
      <c r="G15" s="55" t="s">
        <v>47</v>
      </c>
      <c r="H15" s="55" t="s">
        <v>26</v>
      </c>
      <c r="I15" s="55" t="s">
        <v>27</v>
      </c>
      <c r="J15" s="55" t="s">
        <v>33</v>
      </c>
      <c r="K15" s="55" t="s">
        <v>28</v>
      </c>
      <c r="L15" s="56"/>
      <c r="M15" s="57">
        <v>4.0</v>
      </c>
      <c r="N15" s="181">
        <v>24.0</v>
      </c>
    </row>
    <row r="16">
      <c r="A16" s="63"/>
      <c r="B16" s="52" t="s">
        <v>20</v>
      </c>
      <c r="C16" s="65" t="s">
        <v>15</v>
      </c>
      <c r="D16" s="66" t="s">
        <v>21</v>
      </c>
      <c r="E16" s="66" t="s">
        <v>22</v>
      </c>
      <c r="F16" s="67" t="s">
        <v>23</v>
      </c>
      <c r="G16" s="67" t="s">
        <v>29</v>
      </c>
      <c r="H16" s="67" t="s">
        <v>53</v>
      </c>
      <c r="I16" s="67" t="s">
        <v>27</v>
      </c>
      <c r="J16" s="67" t="s">
        <v>34</v>
      </c>
      <c r="K16" s="67" t="s">
        <v>55</v>
      </c>
      <c r="L16" s="67"/>
      <c r="M16" s="57">
        <v>4.0</v>
      </c>
      <c r="N16" s="181">
        <v>21.0</v>
      </c>
    </row>
    <row r="17">
      <c r="A17" s="63"/>
      <c r="B17" s="52" t="s">
        <v>30</v>
      </c>
      <c r="C17" s="53" t="s">
        <v>13</v>
      </c>
      <c r="D17" s="71" t="s">
        <v>32</v>
      </c>
      <c r="E17" s="72" t="s">
        <v>25</v>
      </c>
      <c r="F17" s="72" t="s">
        <v>23</v>
      </c>
      <c r="G17" s="77" t="s">
        <v>29</v>
      </c>
      <c r="H17" s="72" t="s">
        <v>26</v>
      </c>
      <c r="I17" s="72" t="s">
        <v>27</v>
      </c>
      <c r="J17" s="74" t="s">
        <v>33</v>
      </c>
      <c r="K17" s="77" t="s">
        <v>28</v>
      </c>
      <c r="L17" s="77"/>
      <c r="M17" s="57">
        <v>7.0</v>
      </c>
      <c r="N17" s="181">
        <v>28.0</v>
      </c>
    </row>
    <row r="18">
      <c r="A18" s="63"/>
      <c r="B18" s="52" t="s">
        <v>35</v>
      </c>
      <c r="C18" s="53" t="s">
        <v>13</v>
      </c>
      <c r="D18" s="69" t="s">
        <v>32</v>
      </c>
      <c r="E18" s="70" t="s">
        <v>25</v>
      </c>
      <c r="F18" s="70" t="s">
        <v>23</v>
      </c>
      <c r="G18" s="70" t="s">
        <v>29</v>
      </c>
      <c r="H18" s="70" t="s">
        <v>26</v>
      </c>
      <c r="I18" s="70" t="s">
        <v>27</v>
      </c>
      <c r="J18" s="70" t="s">
        <v>34</v>
      </c>
      <c r="K18" s="70" t="s">
        <v>28</v>
      </c>
      <c r="L18" s="205"/>
      <c r="M18" s="57">
        <v>8.0</v>
      </c>
      <c r="N18" s="181">
        <v>33.0</v>
      </c>
    </row>
    <row r="19">
      <c r="A19" s="63"/>
      <c r="B19" s="52" t="s">
        <v>37</v>
      </c>
      <c r="C19" s="65" t="s">
        <v>13</v>
      </c>
      <c r="D19" s="279" t="s">
        <v>32</v>
      </c>
      <c r="E19" s="279" t="s">
        <v>25</v>
      </c>
      <c r="F19" s="280" t="s">
        <v>23</v>
      </c>
      <c r="G19" s="279" t="s">
        <v>29</v>
      </c>
      <c r="H19" s="280" t="s">
        <v>26</v>
      </c>
      <c r="I19" s="280" t="s">
        <v>27</v>
      </c>
      <c r="J19" s="280" t="s">
        <v>33</v>
      </c>
      <c r="K19" s="279" t="s">
        <v>28</v>
      </c>
      <c r="L19" s="279"/>
      <c r="M19" s="57">
        <v>7.0</v>
      </c>
      <c r="N19" s="181">
        <v>32.0</v>
      </c>
    </row>
    <row r="20">
      <c r="A20" s="63"/>
      <c r="B20" s="52" t="s">
        <v>38</v>
      </c>
      <c r="C20" s="65" t="s">
        <v>39</v>
      </c>
      <c r="D20" s="281" t="s">
        <v>32</v>
      </c>
      <c r="E20" s="282" t="s">
        <v>25</v>
      </c>
      <c r="F20" s="282" t="s">
        <v>23</v>
      </c>
      <c r="G20" s="281" t="s">
        <v>29</v>
      </c>
      <c r="H20" s="282" t="s">
        <v>26</v>
      </c>
      <c r="I20" s="282" t="s">
        <v>27</v>
      </c>
      <c r="J20" s="282" t="s">
        <v>33</v>
      </c>
      <c r="K20" s="282" t="s">
        <v>28</v>
      </c>
      <c r="L20" s="281"/>
      <c r="M20" s="57">
        <v>7.0</v>
      </c>
      <c r="N20" s="181">
        <v>34.0</v>
      </c>
    </row>
    <row r="21">
      <c r="A21" s="63"/>
      <c r="B21" s="52" t="s">
        <v>40</v>
      </c>
      <c r="C21" s="65" t="s">
        <v>39</v>
      </c>
      <c r="D21" s="283" t="s">
        <v>32</v>
      </c>
      <c r="E21" s="283" t="s">
        <v>25</v>
      </c>
      <c r="F21" s="283" t="s">
        <v>24</v>
      </c>
      <c r="G21" s="283" t="s">
        <v>29</v>
      </c>
      <c r="H21" s="284" t="s">
        <v>26</v>
      </c>
      <c r="I21" s="284" t="s">
        <v>27</v>
      </c>
      <c r="J21" s="283" t="s">
        <v>33</v>
      </c>
      <c r="K21" s="284" t="s">
        <v>55</v>
      </c>
      <c r="L21" s="283"/>
      <c r="M21" s="57">
        <v>5.0</v>
      </c>
      <c r="N21" s="181">
        <v>26.0</v>
      </c>
    </row>
    <row r="22">
      <c r="A22" s="63"/>
      <c r="B22" s="52" t="s">
        <v>41</v>
      </c>
      <c r="C22" s="53" t="s">
        <v>39</v>
      </c>
      <c r="D22" s="69" t="s">
        <v>32</v>
      </c>
      <c r="E22" s="70" t="s">
        <v>25</v>
      </c>
      <c r="F22" s="70" t="s">
        <v>23</v>
      </c>
      <c r="G22" s="73" t="s">
        <v>29</v>
      </c>
      <c r="H22" s="70" t="s">
        <v>26</v>
      </c>
      <c r="I22" s="70" t="s">
        <v>27</v>
      </c>
      <c r="J22" s="191" t="s">
        <v>34</v>
      </c>
      <c r="K22" s="73" t="s">
        <v>55</v>
      </c>
      <c r="L22" s="61"/>
      <c r="M22" s="57">
        <v>7.0</v>
      </c>
      <c r="N22" s="181">
        <v>34.0</v>
      </c>
    </row>
    <row r="23">
      <c r="A23" s="63"/>
      <c r="B23" s="52" t="s">
        <v>42</v>
      </c>
      <c r="C23" s="53" t="s">
        <v>39</v>
      </c>
      <c r="D23" s="54" t="s">
        <v>32</v>
      </c>
      <c r="E23" s="55" t="s">
        <v>25</v>
      </c>
      <c r="F23" s="55" t="s">
        <v>23</v>
      </c>
      <c r="G23" s="55" t="s">
        <v>29</v>
      </c>
      <c r="H23" s="55" t="s">
        <v>26</v>
      </c>
      <c r="I23" s="55" t="s">
        <v>27</v>
      </c>
      <c r="J23" s="74" t="s">
        <v>34</v>
      </c>
      <c r="K23" s="55" t="s">
        <v>28</v>
      </c>
      <c r="L23" s="56"/>
      <c r="M23" s="57">
        <v>8.0</v>
      </c>
      <c r="N23" s="181">
        <v>35.0</v>
      </c>
    </row>
    <row r="24">
      <c r="A24" s="63"/>
      <c r="B24" s="52" t="s">
        <v>43</v>
      </c>
      <c r="C24" s="53" t="s">
        <v>44</v>
      </c>
      <c r="D24" s="203" t="s">
        <v>21</v>
      </c>
      <c r="E24" s="60" t="s">
        <v>25</v>
      </c>
      <c r="F24" s="60" t="s">
        <v>23</v>
      </c>
      <c r="G24" s="60" t="s">
        <v>29</v>
      </c>
      <c r="H24" s="60" t="s">
        <v>26</v>
      </c>
      <c r="I24" s="60" t="s">
        <v>27</v>
      </c>
      <c r="J24" s="60" t="s">
        <v>33</v>
      </c>
      <c r="K24" s="60" t="s">
        <v>28</v>
      </c>
      <c r="L24" s="61"/>
      <c r="M24" s="57">
        <v>6.0</v>
      </c>
      <c r="N24" s="181">
        <v>27.0</v>
      </c>
    </row>
    <row r="25">
      <c r="A25" s="63"/>
      <c r="B25" s="52" t="s">
        <v>45</v>
      </c>
      <c r="C25" s="53" t="s">
        <v>44</v>
      </c>
      <c r="D25" s="68" t="s">
        <v>32</v>
      </c>
      <c r="E25" s="55" t="s">
        <v>25</v>
      </c>
      <c r="F25" s="55" t="s">
        <v>24</v>
      </c>
      <c r="G25" s="55" t="s">
        <v>29</v>
      </c>
      <c r="H25" s="55" t="s">
        <v>26</v>
      </c>
      <c r="I25" s="55" t="s">
        <v>27</v>
      </c>
      <c r="J25" s="55" t="s">
        <v>33</v>
      </c>
      <c r="K25" s="55" t="s">
        <v>28</v>
      </c>
      <c r="L25" s="56"/>
      <c r="M25" s="57">
        <v>6.0</v>
      </c>
      <c r="N25" s="181">
        <v>28.0</v>
      </c>
    </row>
    <row r="26">
      <c r="A26" s="63"/>
      <c r="B26" s="52" t="s">
        <v>46</v>
      </c>
      <c r="C26" s="53" t="s">
        <v>18</v>
      </c>
      <c r="D26" s="202"/>
      <c r="E26" s="66" t="s">
        <v>25</v>
      </c>
      <c r="F26" s="67" t="s">
        <v>24</v>
      </c>
      <c r="G26" s="67" t="s">
        <v>29</v>
      </c>
      <c r="H26" s="67" t="s">
        <v>26</v>
      </c>
      <c r="I26" s="67" t="s">
        <v>178</v>
      </c>
      <c r="J26" s="67" t="s">
        <v>179</v>
      </c>
      <c r="K26" s="67" t="s">
        <v>55</v>
      </c>
      <c r="L26" s="67"/>
      <c r="M26" s="57">
        <v>5.0</v>
      </c>
      <c r="N26" s="181">
        <v>27.0</v>
      </c>
    </row>
    <row r="27">
      <c r="A27" s="63"/>
      <c r="B27" s="52" t="s">
        <v>48</v>
      </c>
      <c r="C27" s="53" t="s">
        <v>49</v>
      </c>
      <c r="D27" s="68" t="s">
        <v>32</v>
      </c>
      <c r="E27" s="55" t="s">
        <v>25</v>
      </c>
      <c r="F27" s="55" t="s">
        <v>23</v>
      </c>
      <c r="G27" s="55" t="s">
        <v>29</v>
      </c>
      <c r="H27" s="55" t="s">
        <v>53</v>
      </c>
      <c r="I27" s="55" t="s">
        <v>27</v>
      </c>
      <c r="J27" s="55" t="s">
        <v>34</v>
      </c>
      <c r="K27" s="55" t="s">
        <v>55</v>
      </c>
      <c r="L27" s="56"/>
      <c r="M27" s="57">
        <v>6.0</v>
      </c>
      <c r="N27" s="181">
        <v>28.0</v>
      </c>
    </row>
    <row r="28">
      <c r="A28" s="63"/>
      <c r="B28" s="52" t="s">
        <v>50</v>
      </c>
      <c r="C28" s="53" t="s">
        <v>51</v>
      </c>
      <c r="D28" s="203" t="s">
        <v>32</v>
      </c>
      <c r="E28" s="60" t="s">
        <v>25</v>
      </c>
      <c r="F28" s="60" t="s">
        <v>23</v>
      </c>
      <c r="G28" s="60" t="s">
        <v>29</v>
      </c>
      <c r="H28" s="60" t="s">
        <v>53</v>
      </c>
      <c r="I28" s="60" t="s">
        <v>27</v>
      </c>
      <c r="J28" s="60" t="s">
        <v>34</v>
      </c>
      <c r="K28" s="60" t="s">
        <v>55</v>
      </c>
      <c r="L28" s="61"/>
      <c r="M28" s="57">
        <v>6.0</v>
      </c>
      <c r="N28" s="181">
        <v>30.0</v>
      </c>
    </row>
    <row r="29">
      <c r="A29" s="63"/>
      <c r="B29" s="52" t="s">
        <v>52</v>
      </c>
      <c r="C29" s="53" t="s">
        <v>13</v>
      </c>
      <c r="D29" s="68" t="s">
        <v>32</v>
      </c>
      <c r="E29" s="55" t="s">
        <v>25</v>
      </c>
      <c r="F29" s="55" t="s">
        <v>23</v>
      </c>
      <c r="G29" s="55" t="s">
        <v>29</v>
      </c>
      <c r="H29" s="55" t="s">
        <v>26</v>
      </c>
      <c r="I29" s="55" t="s">
        <v>27</v>
      </c>
      <c r="J29" s="55" t="s">
        <v>33</v>
      </c>
      <c r="K29" s="55" t="s">
        <v>28</v>
      </c>
      <c r="L29" s="56"/>
      <c r="M29" s="57">
        <v>7.0</v>
      </c>
      <c r="N29" s="181">
        <v>34.0</v>
      </c>
    </row>
    <row r="30">
      <c r="A30" s="63"/>
      <c r="B30" s="52" t="s">
        <v>56</v>
      </c>
      <c r="C30" s="53" t="s">
        <v>13</v>
      </c>
      <c r="D30" s="203" t="s">
        <v>32</v>
      </c>
      <c r="E30" s="60" t="s">
        <v>25</v>
      </c>
      <c r="F30" s="60" t="s">
        <v>23</v>
      </c>
      <c r="G30" s="60" t="s">
        <v>29</v>
      </c>
      <c r="H30" s="60" t="s">
        <v>26</v>
      </c>
      <c r="I30" s="60" t="s">
        <v>57</v>
      </c>
      <c r="J30" s="60" t="s">
        <v>33</v>
      </c>
      <c r="K30" s="60" t="s">
        <v>28</v>
      </c>
      <c r="L30" s="61"/>
      <c r="M30" s="57">
        <v>7.0</v>
      </c>
      <c r="N30" s="181">
        <v>27.0</v>
      </c>
    </row>
    <row r="31">
      <c r="A31" s="63"/>
      <c r="B31" s="52" t="s">
        <v>58</v>
      </c>
      <c r="C31" s="53" t="s">
        <v>59</v>
      </c>
      <c r="D31" s="54" t="s">
        <v>21</v>
      </c>
      <c r="E31" s="55" t="s">
        <v>25</v>
      </c>
      <c r="F31" s="72" t="s">
        <v>23</v>
      </c>
      <c r="G31" s="55" t="s">
        <v>29</v>
      </c>
      <c r="H31" s="55" t="s">
        <v>53</v>
      </c>
      <c r="I31" s="55" t="s">
        <v>54</v>
      </c>
      <c r="J31" s="55" t="s">
        <v>33</v>
      </c>
      <c r="K31" s="55" t="s">
        <v>55</v>
      </c>
      <c r="L31" s="56"/>
      <c r="M31" s="57">
        <v>3.0</v>
      </c>
      <c r="N31" s="181">
        <v>18.0</v>
      </c>
    </row>
    <row r="32">
      <c r="A32" s="63"/>
      <c r="B32" s="52" t="s">
        <v>60</v>
      </c>
      <c r="C32" s="53" t="s">
        <v>39</v>
      </c>
      <c r="D32" s="59" t="s">
        <v>32</v>
      </c>
      <c r="E32" s="60" t="s">
        <v>25</v>
      </c>
      <c r="F32" s="70" t="s">
        <v>23</v>
      </c>
      <c r="G32" s="60" t="s">
        <v>29</v>
      </c>
      <c r="H32" s="60" t="s">
        <v>26</v>
      </c>
      <c r="I32" s="60" t="s">
        <v>27</v>
      </c>
      <c r="J32" s="60" t="s">
        <v>33</v>
      </c>
      <c r="K32" s="60" t="s">
        <v>55</v>
      </c>
      <c r="L32" s="61"/>
      <c r="M32" s="57">
        <v>6.0</v>
      </c>
      <c r="N32" s="181">
        <v>31.0</v>
      </c>
    </row>
    <row r="33">
      <c r="A33" s="39"/>
      <c r="B33" s="52" t="s">
        <v>61</v>
      </c>
      <c r="C33" s="53" t="s">
        <v>39</v>
      </c>
      <c r="D33" s="83" t="s">
        <v>32</v>
      </c>
      <c r="E33" s="84" t="s">
        <v>25</v>
      </c>
      <c r="F33" s="84" t="s">
        <v>23</v>
      </c>
      <c r="G33" s="84" t="s">
        <v>29</v>
      </c>
      <c r="H33" s="84" t="s">
        <v>26</v>
      </c>
      <c r="I33" s="84" t="s">
        <v>27</v>
      </c>
      <c r="J33" s="84" t="s">
        <v>33</v>
      </c>
      <c r="K33" s="84" t="s">
        <v>28</v>
      </c>
      <c r="L33" s="85"/>
      <c r="M33" s="86">
        <v>7.0</v>
      </c>
      <c r="N33" s="181">
        <v>33.0</v>
      </c>
    </row>
    <row r="34">
      <c r="A34" s="39"/>
      <c r="B34" s="87" t="s">
        <v>62</v>
      </c>
      <c r="C34" s="88" t="s">
        <v>63</v>
      </c>
      <c r="D34" s="89" t="s">
        <v>32</v>
      </c>
      <c r="E34" s="89" t="s">
        <v>25</v>
      </c>
      <c r="F34" s="89" t="s">
        <v>23</v>
      </c>
      <c r="G34" s="89" t="s">
        <v>29</v>
      </c>
      <c r="H34" s="89" t="s">
        <v>26</v>
      </c>
      <c r="I34" s="89" t="s">
        <v>27</v>
      </c>
      <c r="J34" s="89" t="s">
        <v>33</v>
      </c>
      <c r="K34" s="89" t="s">
        <v>28</v>
      </c>
      <c r="L34" s="89" t="s">
        <v>139</v>
      </c>
      <c r="M34" s="90">
        <v>7.0</v>
      </c>
      <c r="N34" s="182">
        <v>33.0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45748.0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3.0</v>
      </c>
      <c r="B2" s="7" t="s">
        <v>180</v>
      </c>
      <c r="C2" s="8"/>
      <c r="D2" s="9" t="s">
        <v>181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45743.8125</v>
      </c>
      <c r="E3" s="15">
        <v>45744.819444444445</v>
      </c>
      <c r="F3" s="15">
        <v>45745.555555555555</v>
      </c>
      <c r="G3" s="15">
        <v>45745.677083333336</v>
      </c>
      <c r="H3" s="15">
        <v>45745.81597222222</v>
      </c>
      <c r="I3" s="15">
        <v>45745.81597222222</v>
      </c>
      <c r="J3" s="15">
        <v>45746.63888888889</v>
      </c>
      <c r="K3" s="15">
        <v>45746.756944444445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144</v>
      </c>
      <c r="M4" s="21"/>
      <c r="N4" s="22"/>
    </row>
    <row r="5">
      <c r="A5" s="6">
        <v>5.0</v>
      </c>
      <c r="B5" s="23" t="s">
        <v>3</v>
      </c>
      <c r="C5" s="24"/>
      <c r="D5" s="25">
        <v>45743.8125</v>
      </c>
      <c r="E5" s="25">
        <v>45744.819444444445</v>
      </c>
      <c r="F5" s="25">
        <v>45745.555555555555</v>
      </c>
      <c r="G5" s="25">
        <v>45745.677083333336</v>
      </c>
      <c r="H5" s="25">
        <v>45745.774305555555</v>
      </c>
      <c r="I5" s="25">
        <v>45745.81597222222</v>
      </c>
      <c r="J5" s="25">
        <v>45746.618055555555</v>
      </c>
      <c r="K5" s="25">
        <v>45746.631944444445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31</v>
      </c>
      <c r="E6" s="30" t="s">
        <v>21</v>
      </c>
      <c r="F6" s="30" t="s">
        <v>22</v>
      </c>
      <c r="G6" s="30" t="s">
        <v>34</v>
      </c>
      <c r="H6" s="30" t="s">
        <v>29</v>
      </c>
      <c r="I6" s="30" t="s">
        <v>36</v>
      </c>
      <c r="J6" s="30" t="s">
        <v>24</v>
      </c>
      <c r="K6" s="30" t="s">
        <v>54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33</v>
      </c>
      <c r="E7" s="32" t="s">
        <v>55</v>
      </c>
      <c r="F7" s="32" t="s">
        <v>23</v>
      </c>
      <c r="G7" s="32" t="s">
        <v>47</v>
      </c>
      <c r="H7" s="32" t="s">
        <v>25</v>
      </c>
      <c r="I7" s="32" t="s">
        <v>27</v>
      </c>
      <c r="J7" s="32" t="s">
        <v>53</v>
      </c>
      <c r="K7" s="32" t="s">
        <v>28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114</v>
      </c>
      <c r="E8" s="36" t="s">
        <v>114</v>
      </c>
      <c r="F8" s="36" t="s">
        <v>117</v>
      </c>
      <c r="G8" s="36" t="s">
        <v>114</v>
      </c>
      <c r="H8" s="36" t="s">
        <v>127</v>
      </c>
      <c r="I8" s="36" t="s">
        <v>136</v>
      </c>
      <c r="J8" s="36" t="s">
        <v>118</v>
      </c>
      <c r="K8" s="36" t="s">
        <v>115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31</v>
      </c>
      <c r="E9" s="42" t="s">
        <v>55</v>
      </c>
      <c r="F9" s="42" t="s">
        <v>23</v>
      </c>
      <c r="G9" s="42" t="s">
        <v>34</v>
      </c>
      <c r="H9" s="42" t="s">
        <v>29</v>
      </c>
      <c r="I9" s="42" t="s">
        <v>36</v>
      </c>
      <c r="J9" s="42" t="s">
        <v>24</v>
      </c>
      <c r="K9" s="42" t="s">
        <v>28</v>
      </c>
      <c r="L9" s="4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285" t="s">
        <v>33</v>
      </c>
      <c r="E10" s="286" t="s">
        <v>21</v>
      </c>
      <c r="F10" s="286" t="s">
        <v>23</v>
      </c>
      <c r="G10" s="286" t="s">
        <v>34</v>
      </c>
      <c r="H10" s="286" t="s">
        <v>29</v>
      </c>
      <c r="I10" s="286" t="s">
        <v>36</v>
      </c>
      <c r="J10" s="286" t="s">
        <v>24</v>
      </c>
      <c r="K10" s="286" t="s">
        <v>28</v>
      </c>
      <c r="L10" s="287"/>
      <c r="M10" s="288">
        <v>6.0</v>
      </c>
      <c r="N10" s="278">
        <v>24.0</v>
      </c>
    </row>
    <row r="11">
      <c r="A11" s="39"/>
      <c r="B11" s="52" t="s">
        <v>12</v>
      </c>
      <c r="C11" s="53" t="s">
        <v>13</v>
      </c>
      <c r="D11" s="54" t="s">
        <v>31</v>
      </c>
      <c r="E11" s="55" t="s">
        <v>55</v>
      </c>
      <c r="F11" s="55" t="s">
        <v>22</v>
      </c>
      <c r="G11" s="55" t="s">
        <v>34</v>
      </c>
      <c r="H11" s="55" t="s">
        <v>25</v>
      </c>
      <c r="I11" s="55" t="s">
        <v>36</v>
      </c>
      <c r="J11" s="55" t="s">
        <v>53</v>
      </c>
      <c r="K11" s="55" t="s">
        <v>54</v>
      </c>
      <c r="L11" s="56"/>
      <c r="M11" s="57">
        <v>4.0</v>
      </c>
      <c r="N11" s="289">
        <v>17.0</v>
      </c>
    </row>
    <row r="12">
      <c r="A12" s="39"/>
      <c r="B12" s="52" t="s">
        <v>14</v>
      </c>
      <c r="C12" s="53" t="s">
        <v>15</v>
      </c>
      <c r="D12" s="54" t="s">
        <v>33</v>
      </c>
      <c r="E12" s="55" t="s">
        <v>55</v>
      </c>
      <c r="F12" s="55" t="s">
        <v>22</v>
      </c>
      <c r="G12" s="55" t="s">
        <v>34</v>
      </c>
      <c r="H12" s="55" t="s">
        <v>29</v>
      </c>
      <c r="I12" s="55" t="s">
        <v>36</v>
      </c>
      <c r="J12" s="55" t="s">
        <v>24</v>
      </c>
      <c r="K12" s="55" t="s">
        <v>28</v>
      </c>
      <c r="L12" s="56"/>
      <c r="M12" s="57">
        <v>6.0</v>
      </c>
      <c r="N12" s="289">
        <v>23.0</v>
      </c>
    </row>
    <row r="13">
      <c r="A13" s="63"/>
      <c r="B13" s="52" t="s">
        <v>16</v>
      </c>
      <c r="C13" s="53" t="s">
        <v>11</v>
      </c>
      <c r="D13" s="54" t="s">
        <v>33</v>
      </c>
      <c r="E13" s="55" t="s">
        <v>21</v>
      </c>
      <c r="F13" s="55" t="s">
        <v>22</v>
      </c>
      <c r="G13" s="55" t="s">
        <v>47</v>
      </c>
      <c r="H13" s="55" t="s">
        <v>29</v>
      </c>
      <c r="I13" s="55" t="s">
        <v>36</v>
      </c>
      <c r="J13" s="55" t="s">
        <v>24</v>
      </c>
      <c r="K13" s="55" t="s">
        <v>28</v>
      </c>
      <c r="L13" s="56"/>
      <c r="M13" s="57">
        <v>4.0</v>
      </c>
      <c r="N13" s="289">
        <v>20.0</v>
      </c>
    </row>
    <row r="14">
      <c r="A14" s="63"/>
      <c r="B14" s="52" t="s">
        <v>17</v>
      </c>
      <c r="C14" s="53" t="s">
        <v>18</v>
      </c>
      <c r="D14" s="54" t="s">
        <v>33</v>
      </c>
      <c r="E14" s="55" t="s">
        <v>21</v>
      </c>
      <c r="F14" s="55" t="s">
        <v>23</v>
      </c>
      <c r="G14" s="55" t="s">
        <v>47</v>
      </c>
      <c r="H14" s="55" t="s">
        <v>25</v>
      </c>
      <c r="I14" s="55" t="s">
        <v>36</v>
      </c>
      <c r="J14" s="55" t="s">
        <v>24</v>
      </c>
      <c r="K14" s="55" t="s">
        <v>28</v>
      </c>
      <c r="L14" s="56"/>
      <c r="M14" s="57">
        <v>4.0</v>
      </c>
      <c r="N14" s="289">
        <v>18.0</v>
      </c>
    </row>
    <row r="15">
      <c r="A15" s="63"/>
      <c r="B15" s="52" t="s">
        <v>19</v>
      </c>
      <c r="C15" s="53"/>
      <c r="D15" s="54" t="s">
        <v>31</v>
      </c>
      <c r="E15" s="55" t="s">
        <v>21</v>
      </c>
      <c r="F15" s="55" t="s">
        <v>23</v>
      </c>
      <c r="G15" s="55" t="s">
        <v>47</v>
      </c>
      <c r="H15" s="55" t="s">
        <v>29</v>
      </c>
      <c r="I15" s="55" t="s">
        <v>27</v>
      </c>
      <c r="J15" s="55" t="s">
        <v>53</v>
      </c>
      <c r="K15" s="55" t="s">
        <v>28</v>
      </c>
      <c r="L15" s="56"/>
      <c r="M15" s="57">
        <v>4.0</v>
      </c>
      <c r="N15" s="289">
        <v>22.0</v>
      </c>
    </row>
    <row r="16">
      <c r="A16" s="63"/>
      <c r="B16" s="52" t="s">
        <v>20</v>
      </c>
      <c r="C16" s="65" t="s">
        <v>15</v>
      </c>
      <c r="D16" s="81" t="s">
        <v>31</v>
      </c>
      <c r="E16" s="81" t="s">
        <v>21</v>
      </c>
      <c r="F16" s="82" t="s">
        <v>22</v>
      </c>
      <c r="G16" s="82" t="s">
        <v>47</v>
      </c>
      <c r="H16" s="82" t="s">
        <v>29</v>
      </c>
      <c r="I16" s="82" t="s">
        <v>36</v>
      </c>
      <c r="J16" s="82" t="s">
        <v>53</v>
      </c>
      <c r="K16" s="82" t="s">
        <v>28</v>
      </c>
      <c r="L16" s="82"/>
      <c r="M16" s="57">
        <v>4.0</v>
      </c>
      <c r="N16" s="289">
        <v>19.0</v>
      </c>
    </row>
    <row r="17">
      <c r="A17" s="63"/>
      <c r="B17" s="52" t="s">
        <v>30</v>
      </c>
      <c r="C17" s="53" t="s">
        <v>13</v>
      </c>
      <c r="D17" s="71" t="s">
        <v>31</v>
      </c>
      <c r="E17" s="72" t="s">
        <v>21</v>
      </c>
      <c r="F17" s="72" t="s">
        <v>22</v>
      </c>
      <c r="G17" s="77" t="s">
        <v>34</v>
      </c>
      <c r="H17" s="72" t="s">
        <v>29</v>
      </c>
      <c r="I17" s="72" t="s">
        <v>27</v>
      </c>
      <c r="J17" s="74" t="s">
        <v>24</v>
      </c>
      <c r="K17" s="77" t="s">
        <v>28</v>
      </c>
      <c r="L17" s="77"/>
      <c r="M17" s="57">
        <v>5.0</v>
      </c>
      <c r="N17" s="289">
        <v>21.0</v>
      </c>
    </row>
    <row r="18">
      <c r="A18" s="63"/>
      <c r="B18" s="52" t="s">
        <v>35</v>
      </c>
      <c r="C18" s="53" t="s">
        <v>13</v>
      </c>
      <c r="D18" s="71" t="s">
        <v>31</v>
      </c>
      <c r="E18" s="72" t="s">
        <v>55</v>
      </c>
      <c r="F18" s="72" t="s">
        <v>23</v>
      </c>
      <c r="G18" s="72" t="s">
        <v>34</v>
      </c>
      <c r="H18" s="72" t="s">
        <v>29</v>
      </c>
      <c r="I18" s="72" t="s">
        <v>27</v>
      </c>
      <c r="J18" s="72" t="s">
        <v>24</v>
      </c>
      <c r="K18" s="72" t="s">
        <v>28</v>
      </c>
      <c r="L18" s="290"/>
      <c r="M18" s="57">
        <v>7.0</v>
      </c>
      <c r="N18" s="289">
        <v>26.0</v>
      </c>
    </row>
    <row r="19">
      <c r="A19" s="63"/>
      <c r="B19" s="52" t="s">
        <v>37</v>
      </c>
      <c r="C19" s="65" t="s">
        <v>13</v>
      </c>
      <c r="D19" s="279" t="s">
        <v>31</v>
      </c>
      <c r="E19" s="279" t="s">
        <v>55</v>
      </c>
      <c r="F19" s="280" t="s">
        <v>22</v>
      </c>
      <c r="G19" s="279" t="s">
        <v>34</v>
      </c>
      <c r="H19" s="280" t="s">
        <v>29</v>
      </c>
      <c r="I19" s="280" t="s">
        <v>36</v>
      </c>
      <c r="J19" s="280" t="s">
        <v>24</v>
      </c>
      <c r="K19" s="279" t="s">
        <v>28</v>
      </c>
      <c r="L19" s="279"/>
      <c r="M19" s="57">
        <v>7.0</v>
      </c>
      <c r="N19" s="289">
        <v>27.0</v>
      </c>
    </row>
    <row r="20">
      <c r="A20" s="63"/>
      <c r="B20" s="52" t="s">
        <v>38</v>
      </c>
      <c r="C20" s="65" t="s">
        <v>39</v>
      </c>
      <c r="D20" s="281" t="s">
        <v>31</v>
      </c>
      <c r="E20" s="284" t="s">
        <v>55</v>
      </c>
      <c r="F20" s="284" t="s">
        <v>22</v>
      </c>
      <c r="G20" s="281" t="s">
        <v>34</v>
      </c>
      <c r="H20" s="284" t="s">
        <v>29</v>
      </c>
      <c r="I20" s="284" t="s">
        <v>36</v>
      </c>
      <c r="J20" s="284" t="s">
        <v>24</v>
      </c>
      <c r="K20" s="284" t="s">
        <v>28</v>
      </c>
      <c r="L20" s="281"/>
      <c r="M20" s="57">
        <v>7.0</v>
      </c>
      <c r="N20" s="289">
        <v>29.0</v>
      </c>
    </row>
    <row r="21">
      <c r="A21" s="63"/>
      <c r="B21" s="52" t="s">
        <v>40</v>
      </c>
      <c r="C21" s="65" t="s">
        <v>39</v>
      </c>
      <c r="D21" s="283" t="s">
        <v>31</v>
      </c>
      <c r="E21" s="283" t="s">
        <v>21</v>
      </c>
      <c r="F21" s="283" t="s">
        <v>22</v>
      </c>
      <c r="G21" s="283" t="s">
        <v>34</v>
      </c>
      <c r="H21" s="284" t="s">
        <v>25</v>
      </c>
      <c r="I21" s="284" t="s">
        <v>27</v>
      </c>
      <c r="J21" s="283" t="s">
        <v>53</v>
      </c>
      <c r="K21" s="284" t="s">
        <v>28</v>
      </c>
      <c r="L21" s="283"/>
      <c r="M21" s="57">
        <v>3.0</v>
      </c>
      <c r="N21" s="289">
        <v>21.0</v>
      </c>
    </row>
    <row r="22">
      <c r="A22" s="63"/>
      <c r="B22" s="52" t="s">
        <v>41</v>
      </c>
      <c r="C22" s="53" t="s">
        <v>39</v>
      </c>
      <c r="D22" s="54" t="s">
        <v>33</v>
      </c>
      <c r="E22" s="55" t="s">
        <v>55</v>
      </c>
      <c r="F22" s="55" t="s">
        <v>23</v>
      </c>
      <c r="G22" s="55" t="s">
        <v>34</v>
      </c>
      <c r="H22" s="55" t="s">
        <v>29</v>
      </c>
      <c r="I22" s="55" t="s">
        <v>36</v>
      </c>
      <c r="J22" s="55" t="s">
        <v>24</v>
      </c>
      <c r="K22" s="55" t="s">
        <v>28</v>
      </c>
      <c r="L22" s="56"/>
      <c r="M22" s="57">
        <v>7.0</v>
      </c>
      <c r="N22" s="289">
        <v>27.0</v>
      </c>
    </row>
    <row r="23">
      <c r="A23" s="63"/>
      <c r="B23" s="52" t="s">
        <v>42</v>
      </c>
      <c r="C23" s="53" t="s">
        <v>39</v>
      </c>
      <c r="D23" s="54" t="s">
        <v>33</v>
      </c>
      <c r="E23" s="55" t="s">
        <v>55</v>
      </c>
      <c r="F23" s="55" t="s">
        <v>23</v>
      </c>
      <c r="G23" s="55" t="s">
        <v>34</v>
      </c>
      <c r="H23" s="55" t="s">
        <v>29</v>
      </c>
      <c r="I23" s="55" t="s">
        <v>36</v>
      </c>
      <c r="J23" s="74" t="s">
        <v>24</v>
      </c>
      <c r="K23" s="55" t="s">
        <v>28</v>
      </c>
      <c r="L23" s="56"/>
      <c r="M23" s="57">
        <v>7.0</v>
      </c>
      <c r="N23" s="289">
        <v>26.0</v>
      </c>
    </row>
    <row r="24">
      <c r="A24" s="63"/>
      <c r="B24" s="52" t="s">
        <v>43</v>
      </c>
      <c r="C24" s="53" t="s">
        <v>44</v>
      </c>
      <c r="D24" s="68" t="s">
        <v>33</v>
      </c>
      <c r="E24" s="55" t="s">
        <v>21</v>
      </c>
      <c r="F24" s="55" t="s">
        <v>23</v>
      </c>
      <c r="G24" s="55" t="s">
        <v>34</v>
      </c>
      <c r="H24" s="55" t="s">
        <v>29</v>
      </c>
      <c r="I24" s="55" t="s">
        <v>27</v>
      </c>
      <c r="J24" s="55" t="s">
        <v>24</v>
      </c>
      <c r="K24" s="55" t="s">
        <v>28</v>
      </c>
      <c r="L24" s="56"/>
      <c r="M24" s="57">
        <v>5.0</v>
      </c>
      <c r="N24" s="289">
        <v>20.0</v>
      </c>
    </row>
    <row r="25">
      <c r="A25" s="63"/>
      <c r="B25" s="52" t="s">
        <v>45</v>
      </c>
      <c r="C25" s="53" t="s">
        <v>44</v>
      </c>
      <c r="D25" s="68" t="s">
        <v>33</v>
      </c>
      <c r="E25" s="55" t="s">
        <v>55</v>
      </c>
      <c r="F25" s="55" t="s">
        <v>23</v>
      </c>
      <c r="G25" s="55" t="s">
        <v>34</v>
      </c>
      <c r="H25" s="55" t="s">
        <v>25</v>
      </c>
      <c r="I25" s="55" t="s">
        <v>27</v>
      </c>
      <c r="J25" s="55" t="s">
        <v>24</v>
      </c>
      <c r="K25" s="55" t="s">
        <v>28</v>
      </c>
      <c r="L25" s="56"/>
      <c r="M25" s="57">
        <v>5.0</v>
      </c>
      <c r="N25" s="289">
        <v>21.0</v>
      </c>
    </row>
    <row r="26">
      <c r="A26" s="63"/>
      <c r="B26" s="52" t="s">
        <v>46</v>
      </c>
      <c r="C26" s="53" t="s">
        <v>18</v>
      </c>
      <c r="D26" s="201" t="s">
        <v>31</v>
      </c>
      <c r="E26" s="81" t="s">
        <v>55</v>
      </c>
      <c r="F26" s="82" t="s">
        <v>23</v>
      </c>
      <c r="G26" s="82" t="s">
        <v>47</v>
      </c>
      <c r="H26" s="82" t="s">
        <v>29</v>
      </c>
      <c r="I26" s="82" t="s">
        <v>36</v>
      </c>
      <c r="J26" s="82" t="s">
        <v>24</v>
      </c>
      <c r="K26" s="82" t="s">
        <v>28</v>
      </c>
      <c r="L26" s="82"/>
      <c r="M26" s="57">
        <v>7.0</v>
      </c>
      <c r="N26" s="289">
        <v>26.0</v>
      </c>
    </row>
    <row r="27">
      <c r="A27" s="63"/>
      <c r="B27" s="52" t="s">
        <v>48</v>
      </c>
      <c r="C27" s="53" t="s">
        <v>49</v>
      </c>
      <c r="D27" s="68" t="s">
        <v>33</v>
      </c>
      <c r="E27" s="55" t="s">
        <v>55</v>
      </c>
      <c r="F27" s="55" t="s">
        <v>23</v>
      </c>
      <c r="G27" s="55" t="s">
        <v>34</v>
      </c>
      <c r="H27" s="55" t="s">
        <v>29</v>
      </c>
      <c r="I27" s="55" t="s">
        <v>36</v>
      </c>
      <c r="J27" s="55" t="s">
        <v>24</v>
      </c>
      <c r="K27" s="55" t="s">
        <v>54</v>
      </c>
      <c r="L27" s="56"/>
      <c r="M27" s="57">
        <v>6.0</v>
      </c>
      <c r="N27" s="289">
        <v>22.0</v>
      </c>
    </row>
    <row r="28">
      <c r="A28" s="63"/>
      <c r="B28" s="52" t="s">
        <v>50</v>
      </c>
      <c r="C28" s="53" t="s">
        <v>51</v>
      </c>
      <c r="D28" s="68" t="s">
        <v>33</v>
      </c>
      <c r="E28" s="55" t="s">
        <v>55</v>
      </c>
      <c r="F28" s="55" t="s">
        <v>23</v>
      </c>
      <c r="G28" s="55" t="s">
        <v>34</v>
      </c>
      <c r="H28" s="55" t="s">
        <v>29</v>
      </c>
      <c r="I28" s="55" t="s">
        <v>36</v>
      </c>
      <c r="J28" s="55" t="s">
        <v>24</v>
      </c>
      <c r="K28" s="55" t="s">
        <v>28</v>
      </c>
      <c r="L28" s="56"/>
      <c r="M28" s="57">
        <v>7.0</v>
      </c>
      <c r="N28" s="289">
        <v>25.0</v>
      </c>
    </row>
    <row r="29">
      <c r="A29" s="63"/>
      <c r="B29" s="52" t="s">
        <v>52</v>
      </c>
      <c r="C29" s="53" t="s">
        <v>13</v>
      </c>
      <c r="D29" s="68" t="s">
        <v>33</v>
      </c>
      <c r="E29" s="55" t="s">
        <v>55</v>
      </c>
      <c r="F29" s="55" t="s">
        <v>23</v>
      </c>
      <c r="G29" s="55" t="s">
        <v>34</v>
      </c>
      <c r="H29" s="55" t="s">
        <v>29</v>
      </c>
      <c r="I29" s="55" t="s">
        <v>36</v>
      </c>
      <c r="J29" s="55" t="s">
        <v>24</v>
      </c>
      <c r="K29" s="55" t="s">
        <v>28</v>
      </c>
      <c r="L29" s="56"/>
      <c r="M29" s="57">
        <v>7.0</v>
      </c>
      <c r="N29" s="289">
        <v>27.0</v>
      </c>
    </row>
    <row r="30">
      <c r="A30" s="63"/>
      <c r="B30" s="52" t="s">
        <v>56</v>
      </c>
      <c r="C30" s="53" t="s">
        <v>13</v>
      </c>
      <c r="D30" s="68" t="s">
        <v>33</v>
      </c>
      <c r="E30" s="55" t="s">
        <v>21</v>
      </c>
      <c r="F30" s="55" t="s">
        <v>22</v>
      </c>
      <c r="G30" s="55" t="s">
        <v>34</v>
      </c>
      <c r="H30" s="55" t="s">
        <v>29</v>
      </c>
      <c r="I30" s="55" t="s">
        <v>36</v>
      </c>
      <c r="J30" s="55" t="s">
        <v>24</v>
      </c>
      <c r="K30" s="55" t="s">
        <v>28</v>
      </c>
      <c r="L30" s="56"/>
      <c r="M30" s="57">
        <v>5.0</v>
      </c>
      <c r="N30" s="289">
        <v>18.0</v>
      </c>
    </row>
    <row r="31">
      <c r="A31" s="63"/>
      <c r="B31" s="52" t="s">
        <v>58</v>
      </c>
      <c r="C31" s="53" t="s">
        <v>59</v>
      </c>
      <c r="D31" s="54" t="s">
        <v>31</v>
      </c>
      <c r="E31" s="55" t="s">
        <v>55</v>
      </c>
      <c r="F31" s="72" t="s">
        <v>22</v>
      </c>
      <c r="G31" s="55" t="s">
        <v>47</v>
      </c>
      <c r="H31" s="55" t="s">
        <v>25</v>
      </c>
      <c r="I31" s="55" t="s">
        <v>36</v>
      </c>
      <c r="J31" s="55" t="s">
        <v>53</v>
      </c>
      <c r="K31" s="55" t="s">
        <v>54</v>
      </c>
      <c r="L31" s="56"/>
      <c r="M31" s="57">
        <v>3.0</v>
      </c>
      <c r="N31" s="289">
        <v>17.0</v>
      </c>
    </row>
    <row r="32">
      <c r="A32" s="63"/>
      <c r="B32" s="52" t="s">
        <v>60</v>
      </c>
      <c r="C32" s="53" t="s">
        <v>39</v>
      </c>
      <c r="D32" s="54" t="s">
        <v>33</v>
      </c>
      <c r="E32" s="55" t="s">
        <v>55</v>
      </c>
      <c r="F32" s="72" t="s">
        <v>22</v>
      </c>
      <c r="G32" s="55" t="s">
        <v>34</v>
      </c>
      <c r="H32" s="55" t="s">
        <v>29</v>
      </c>
      <c r="I32" s="55" t="s">
        <v>36</v>
      </c>
      <c r="J32" s="55" t="s">
        <v>24</v>
      </c>
      <c r="K32" s="55" t="s">
        <v>28</v>
      </c>
      <c r="L32" s="56"/>
      <c r="M32" s="57">
        <v>6.0</v>
      </c>
      <c r="N32" s="289">
        <v>25.0</v>
      </c>
    </row>
    <row r="33">
      <c r="A33" s="39"/>
      <c r="B33" s="52" t="s">
        <v>61</v>
      </c>
      <c r="C33" s="53" t="s">
        <v>39</v>
      </c>
      <c r="D33" s="83" t="s">
        <v>33</v>
      </c>
      <c r="E33" s="84" t="s">
        <v>21</v>
      </c>
      <c r="F33" s="84" t="s">
        <v>23</v>
      </c>
      <c r="G33" s="84" t="s">
        <v>34</v>
      </c>
      <c r="H33" s="84" t="s">
        <v>29</v>
      </c>
      <c r="I33" s="84" t="s">
        <v>36</v>
      </c>
      <c r="J33" s="84" t="s">
        <v>24</v>
      </c>
      <c r="K33" s="84" t="s">
        <v>28</v>
      </c>
      <c r="L33" s="85"/>
      <c r="M33" s="86">
        <v>6.0</v>
      </c>
      <c r="N33" s="291">
        <v>25.0</v>
      </c>
    </row>
    <row r="34">
      <c r="A34" s="39"/>
      <c r="B34" s="87" t="s">
        <v>62</v>
      </c>
      <c r="C34" s="88" t="s">
        <v>63</v>
      </c>
      <c r="D34" s="89" t="s">
        <v>33</v>
      </c>
      <c r="E34" s="89" t="s">
        <v>55</v>
      </c>
      <c r="F34" s="89" t="s">
        <v>23</v>
      </c>
      <c r="G34" s="89" t="s">
        <v>34</v>
      </c>
      <c r="H34" s="89" t="s">
        <v>29</v>
      </c>
      <c r="I34" s="89" t="s">
        <v>36</v>
      </c>
      <c r="J34" s="89" t="s">
        <v>24</v>
      </c>
      <c r="K34" s="89" t="s">
        <v>28</v>
      </c>
      <c r="L34" s="89" t="s">
        <v>139</v>
      </c>
      <c r="M34" s="90">
        <v>7.0</v>
      </c>
      <c r="N34" s="182">
        <v>26.0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45742.0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2.0</v>
      </c>
      <c r="B2" s="7" t="s">
        <v>182</v>
      </c>
      <c r="C2" s="8"/>
      <c r="D2" s="9" t="s">
        <v>183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45736.8125</v>
      </c>
      <c r="E3" s="15">
        <v>45737.819444444445</v>
      </c>
      <c r="F3" s="15">
        <v>45738.555555555555</v>
      </c>
      <c r="G3" s="15">
        <v>45738.677083333336</v>
      </c>
      <c r="H3" s="15">
        <v>45738.81597222222</v>
      </c>
      <c r="I3" s="15">
        <v>45739.54861111111</v>
      </c>
      <c r="J3" s="15">
        <v>45739.63888888889</v>
      </c>
      <c r="K3" s="15">
        <v>45739.756944444445</v>
      </c>
      <c r="L3" s="15" t="s">
        <v>144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113</v>
      </c>
      <c r="J4" s="20" t="s">
        <v>113</v>
      </c>
      <c r="K4" s="20" t="s">
        <v>113</v>
      </c>
      <c r="L4" s="20" t="s">
        <v>144</v>
      </c>
      <c r="M4" s="21"/>
      <c r="N4" s="22"/>
    </row>
    <row r="5">
      <c r="A5" s="6">
        <v>5.0</v>
      </c>
      <c r="B5" s="31" t="s">
        <v>184</v>
      </c>
      <c r="C5" s="24"/>
      <c r="D5" s="25">
        <v>45736.8125</v>
      </c>
      <c r="E5" s="25">
        <v>45737.819444444445</v>
      </c>
      <c r="F5" s="25">
        <v>45738.555555555555</v>
      </c>
      <c r="G5" s="25">
        <v>45738.65625</v>
      </c>
      <c r="H5" s="25">
        <v>45738.81597222222</v>
      </c>
      <c r="I5" s="25">
        <v>45739.506944444445</v>
      </c>
      <c r="J5" s="25">
        <v>45739.63888888889</v>
      </c>
      <c r="K5" s="25">
        <v>45739.631944444445</v>
      </c>
      <c r="L5" s="25" t="s">
        <v>144</v>
      </c>
      <c r="M5" s="26"/>
      <c r="N5" s="27"/>
    </row>
    <row r="6">
      <c r="A6" s="6">
        <v>7.0</v>
      </c>
      <c r="B6" s="28" t="s">
        <v>4</v>
      </c>
      <c r="C6" s="29"/>
      <c r="D6" s="30" t="s">
        <v>21</v>
      </c>
      <c r="E6" s="30" t="s">
        <v>55</v>
      </c>
      <c r="F6" s="30" t="s">
        <v>31</v>
      </c>
      <c r="G6" s="30" t="s">
        <v>33</v>
      </c>
      <c r="H6" s="30" t="s">
        <v>34</v>
      </c>
      <c r="I6" s="30" t="s">
        <v>29</v>
      </c>
      <c r="J6" s="30" t="s">
        <v>53</v>
      </c>
      <c r="K6" s="30" t="s">
        <v>28</v>
      </c>
      <c r="L6" s="30" t="s">
        <v>144</v>
      </c>
      <c r="M6" s="21"/>
      <c r="N6" s="22"/>
    </row>
    <row r="7">
      <c r="A7" s="6">
        <v>8.0</v>
      </c>
      <c r="B7" s="31" t="s">
        <v>5</v>
      </c>
      <c r="C7" s="24"/>
      <c r="D7" s="32" t="s">
        <v>36</v>
      </c>
      <c r="E7" s="32" t="s">
        <v>32</v>
      </c>
      <c r="F7" s="32" t="s">
        <v>24</v>
      </c>
      <c r="G7" s="32" t="s">
        <v>47</v>
      </c>
      <c r="H7" s="32" t="s">
        <v>25</v>
      </c>
      <c r="I7" s="32" t="s">
        <v>54</v>
      </c>
      <c r="J7" s="32" t="s">
        <v>22</v>
      </c>
      <c r="K7" s="32" t="s">
        <v>26</v>
      </c>
      <c r="L7" s="32" t="s">
        <v>144</v>
      </c>
      <c r="M7" s="26"/>
      <c r="N7" s="27"/>
    </row>
    <row r="8">
      <c r="A8" s="33">
        <v>9.0</v>
      </c>
      <c r="B8" s="34" t="s">
        <v>6</v>
      </c>
      <c r="C8" s="35"/>
      <c r="D8" s="36" t="s">
        <v>117</v>
      </c>
      <c r="E8" s="36" t="s">
        <v>117</v>
      </c>
      <c r="F8" s="36" t="s">
        <v>117</v>
      </c>
      <c r="G8" s="36" t="s">
        <v>118</v>
      </c>
      <c r="H8" s="36" t="s">
        <v>114</v>
      </c>
      <c r="I8" s="36" t="s">
        <v>127</v>
      </c>
      <c r="J8" s="36" t="s">
        <v>114</v>
      </c>
      <c r="K8" s="36" t="s">
        <v>115</v>
      </c>
      <c r="L8" s="36" t="s">
        <v>144</v>
      </c>
      <c r="M8" s="37"/>
      <c r="N8" s="38"/>
    </row>
    <row r="9">
      <c r="A9" s="39"/>
      <c r="B9" s="40" t="s">
        <v>7</v>
      </c>
      <c r="C9" s="41"/>
      <c r="D9" s="42" t="s">
        <v>36</v>
      </c>
      <c r="E9" s="42" t="s">
        <v>32</v>
      </c>
      <c r="F9" s="42" t="s">
        <v>24</v>
      </c>
      <c r="G9" s="42" t="s">
        <v>33</v>
      </c>
      <c r="H9" s="42" t="s">
        <v>34</v>
      </c>
      <c r="I9" s="42" t="s">
        <v>29</v>
      </c>
      <c r="J9" s="42" t="s">
        <v>53</v>
      </c>
      <c r="K9" s="42" t="s">
        <v>26</v>
      </c>
      <c r="L9" s="292" t="s">
        <v>144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285" t="s">
        <v>36</v>
      </c>
      <c r="E10" s="286" t="s">
        <v>32</v>
      </c>
      <c r="F10" s="286" t="s">
        <v>31</v>
      </c>
      <c r="G10" s="286" t="s">
        <v>33</v>
      </c>
      <c r="H10" s="286" t="s">
        <v>25</v>
      </c>
      <c r="I10" s="286" t="s">
        <v>29</v>
      </c>
      <c r="J10" s="286" t="s">
        <v>22</v>
      </c>
      <c r="K10" s="286" t="s">
        <v>28</v>
      </c>
      <c r="L10" s="287"/>
      <c r="M10" s="288">
        <v>4.0</v>
      </c>
      <c r="N10" s="278">
        <v>16.0</v>
      </c>
    </row>
    <row r="11">
      <c r="A11" s="39"/>
      <c r="B11" s="52" t="s">
        <v>12</v>
      </c>
      <c r="C11" s="53" t="s">
        <v>13</v>
      </c>
      <c r="D11" s="54" t="s">
        <v>21</v>
      </c>
      <c r="E11" s="55" t="s">
        <v>55</v>
      </c>
      <c r="F11" s="55" t="s">
        <v>31</v>
      </c>
      <c r="G11" s="55" t="s">
        <v>47</v>
      </c>
      <c r="H11" s="55" t="s">
        <v>25</v>
      </c>
      <c r="I11" s="55" t="s">
        <v>29</v>
      </c>
      <c r="J11" s="55" t="s">
        <v>53</v>
      </c>
      <c r="K11" s="55" t="s">
        <v>26</v>
      </c>
      <c r="L11" s="56"/>
      <c r="M11" s="57">
        <v>3.0</v>
      </c>
      <c r="N11" s="289">
        <v>10.0</v>
      </c>
    </row>
    <row r="12">
      <c r="A12" s="39"/>
      <c r="B12" s="52" t="s">
        <v>14</v>
      </c>
      <c r="C12" s="53" t="s">
        <v>15</v>
      </c>
      <c r="D12" s="54" t="s">
        <v>36</v>
      </c>
      <c r="E12" s="55" t="s">
        <v>32</v>
      </c>
      <c r="F12" s="55" t="s">
        <v>31</v>
      </c>
      <c r="G12" s="55" t="s">
        <v>33</v>
      </c>
      <c r="H12" s="55" t="s">
        <v>25</v>
      </c>
      <c r="I12" s="55" t="s">
        <v>29</v>
      </c>
      <c r="J12" s="55" t="s">
        <v>22</v>
      </c>
      <c r="K12" s="55" t="s">
        <v>28</v>
      </c>
      <c r="L12" s="56"/>
      <c r="M12" s="57">
        <v>4.0</v>
      </c>
      <c r="N12" s="289">
        <v>15.0</v>
      </c>
    </row>
    <row r="13">
      <c r="A13" s="63"/>
      <c r="B13" s="52" t="s">
        <v>16</v>
      </c>
      <c r="C13" s="53" t="s">
        <v>11</v>
      </c>
      <c r="D13" s="54" t="s">
        <v>36</v>
      </c>
      <c r="E13" s="55" t="s">
        <v>32</v>
      </c>
      <c r="F13" s="55" t="s">
        <v>31</v>
      </c>
      <c r="G13" s="55" t="s">
        <v>33</v>
      </c>
      <c r="H13" s="55" t="s">
        <v>25</v>
      </c>
      <c r="I13" s="55" t="s">
        <v>29</v>
      </c>
      <c r="J13" s="55" t="s">
        <v>22</v>
      </c>
      <c r="K13" s="55" t="s">
        <v>28</v>
      </c>
      <c r="L13" s="56"/>
      <c r="M13" s="57">
        <v>4.0</v>
      </c>
      <c r="N13" s="289">
        <v>16.0</v>
      </c>
    </row>
    <row r="14">
      <c r="A14" s="63"/>
      <c r="B14" s="52" t="s">
        <v>17</v>
      </c>
      <c r="C14" s="53" t="s">
        <v>18</v>
      </c>
      <c r="D14" s="54" t="s">
        <v>36</v>
      </c>
      <c r="E14" s="55" t="s">
        <v>32</v>
      </c>
      <c r="F14" s="55" t="s">
        <v>24</v>
      </c>
      <c r="G14" s="55" t="s">
        <v>47</v>
      </c>
      <c r="H14" s="55" t="s">
        <v>25</v>
      </c>
      <c r="I14" s="55" t="s">
        <v>29</v>
      </c>
      <c r="J14" s="55" t="s">
        <v>22</v>
      </c>
      <c r="K14" s="55" t="s">
        <v>28</v>
      </c>
      <c r="L14" s="56"/>
      <c r="M14" s="57">
        <v>4.0</v>
      </c>
      <c r="N14" s="289">
        <v>14.0</v>
      </c>
    </row>
    <row r="15">
      <c r="A15" s="63"/>
      <c r="B15" s="52" t="s">
        <v>19</v>
      </c>
      <c r="C15" s="53"/>
      <c r="D15" s="54" t="s">
        <v>36</v>
      </c>
      <c r="E15" s="55" t="s">
        <v>32</v>
      </c>
      <c r="F15" s="55" t="s">
        <v>24</v>
      </c>
      <c r="G15" s="55" t="s">
        <v>33</v>
      </c>
      <c r="H15" s="55" t="s">
        <v>25</v>
      </c>
      <c r="I15" s="55" t="s">
        <v>29</v>
      </c>
      <c r="J15" s="55" t="s">
        <v>22</v>
      </c>
      <c r="K15" s="55" t="s">
        <v>26</v>
      </c>
      <c r="L15" s="56"/>
      <c r="M15" s="57">
        <v>6.0</v>
      </c>
      <c r="N15" s="289">
        <v>18.0</v>
      </c>
    </row>
    <row r="16">
      <c r="A16" s="63"/>
      <c r="B16" s="52" t="s">
        <v>20</v>
      </c>
      <c r="C16" s="65" t="s">
        <v>15</v>
      </c>
      <c r="D16" s="81" t="s">
        <v>36</v>
      </c>
      <c r="E16" s="81" t="s">
        <v>32</v>
      </c>
      <c r="F16" s="82" t="s">
        <v>31</v>
      </c>
      <c r="G16" s="82" t="s">
        <v>33</v>
      </c>
      <c r="H16" s="82" t="s">
        <v>25</v>
      </c>
      <c r="I16" s="82" t="s">
        <v>29</v>
      </c>
      <c r="J16" s="82" t="s">
        <v>22</v>
      </c>
      <c r="K16" s="82" t="s">
        <v>28</v>
      </c>
      <c r="L16" s="82"/>
      <c r="M16" s="57">
        <v>4.0</v>
      </c>
      <c r="N16" s="289">
        <v>13.0</v>
      </c>
    </row>
    <row r="17">
      <c r="A17" s="63"/>
      <c r="B17" s="52" t="s">
        <v>30</v>
      </c>
      <c r="C17" s="53" t="s">
        <v>13</v>
      </c>
      <c r="D17" s="71" t="s">
        <v>21</v>
      </c>
      <c r="E17" s="72" t="s">
        <v>32</v>
      </c>
      <c r="F17" s="72" t="s">
        <v>31</v>
      </c>
      <c r="G17" s="77" t="s">
        <v>33</v>
      </c>
      <c r="H17" s="72" t="s">
        <v>25</v>
      </c>
      <c r="I17" s="72" t="s">
        <v>29</v>
      </c>
      <c r="J17" s="74" t="s">
        <v>22</v>
      </c>
      <c r="K17" s="77" t="s">
        <v>28</v>
      </c>
      <c r="L17" s="77"/>
      <c r="M17" s="57">
        <v>3.0</v>
      </c>
      <c r="N17" s="289">
        <v>12.0</v>
      </c>
    </row>
    <row r="18">
      <c r="A18" s="63"/>
      <c r="B18" s="52" t="s">
        <v>35</v>
      </c>
      <c r="C18" s="53" t="s">
        <v>13</v>
      </c>
      <c r="D18" s="71" t="s">
        <v>21</v>
      </c>
      <c r="E18" s="72" t="s">
        <v>55</v>
      </c>
      <c r="F18" s="72" t="s">
        <v>31</v>
      </c>
      <c r="G18" s="72" t="s">
        <v>33</v>
      </c>
      <c r="H18" s="72" t="s">
        <v>34</v>
      </c>
      <c r="I18" s="72" t="s">
        <v>29</v>
      </c>
      <c r="J18" s="72" t="s">
        <v>53</v>
      </c>
      <c r="K18" s="72" t="s">
        <v>28</v>
      </c>
      <c r="L18" s="290"/>
      <c r="M18" s="57">
        <v>4.0</v>
      </c>
      <c r="N18" s="289">
        <v>14.0</v>
      </c>
    </row>
    <row r="19">
      <c r="A19" s="63"/>
      <c r="B19" s="52" t="s">
        <v>37</v>
      </c>
      <c r="C19" s="65" t="s">
        <v>13</v>
      </c>
      <c r="D19" s="279" t="s">
        <v>36</v>
      </c>
      <c r="E19" s="279" t="s">
        <v>32</v>
      </c>
      <c r="F19" s="280" t="s">
        <v>31</v>
      </c>
      <c r="G19" s="279" t="s">
        <v>33</v>
      </c>
      <c r="H19" s="280" t="s">
        <v>25</v>
      </c>
      <c r="I19" s="280" t="s">
        <v>29</v>
      </c>
      <c r="J19" s="280" t="s">
        <v>22</v>
      </c>
      <c r="K19" s="279" t="s">
        <v>28</v>
      </c>
      <c r="L19" s="279"/>
      <c r="M19" s="57">
        <v>4.0</v>
      </c>
      <c r="N19" s="289">
        <v>15.0</v>
      </c>
    </row>
    <row r="20">
      <c r="A20" s="63"/>
      <c r="B20" s="52" t="s">
        <v>38</v>
      </c>
      <c r="C20" s="65" t="s">
        <v>39</v>
      </c>
      <c r="D20" s="281" t="s">
        <v>36</v>
      </c>
      <c r="E20" s="284" t="s">
        <v>32</v>
      </c>
      <c r="F20" s="284" t="s">
        <v>24</v>
      </c>
      <c r="G20" s="281" t="s">
        <v>33</v>
      </c>
      <c r="H20" s="284" t="s">
        <v>25</v>
      </c>
      <c r="I20" s="284" t="s">
        <v>29</v>
      </c>
      <c r="J20" s="284" t="s">
        <v>22</v>
      </c>
      <c r="K20" s="284" t="s">
        <v>28</v>
      </c>
      <c r="L20" s="281"/>
      <c r="M20" s="57">
        <v>5.0</v>
      </c>
      <c r="N20" s="289">
        <v>18.0</v>
      </c>
    </row>
    <row r="21">
      <c r="A21" s="63"/>
      <c r="B21" s="52" t="s">
        <v>40</v>
      </c>
      <c r="C21" s="65" t="s">
        <v>39</v>
      </c>
      <c r="D21" s="283" t="s">
        <v>21</v>
      </c>
      <c r="E21" s="283" t="s">
        <v>32</v>
      </c>
      <c r="F21" s="283" t="s">
        <v>24</v>
      </c>
      <c r="G21" s="283" t="s">
        <v>33</v>
      </c>
      <c r="H21" s="284" t="s">
        <v>34</v>
      </c>
      <c r="I21" s="284" t="s">
        <v>29</v>
      </c>
      <c r="J21" s="283" t="s">
        <v>53</v>
      </c>
      <c r="K21" s="284" t="s">
        <v>26</v>
      </c>
      <c r="L21" s="283"/>
      <c r="M21" s="57">
        <v>7.0</v>
      </c>
      <c r="N21" s="289">
        <v>20.0</v>
      </c>
    </row>
    <row r="22">
      <c r="A22" s="63"/>
      <c r="B22" s="52" t="s">
        <v>41</v>
      </c>
      <c r="C22" s="53" t="s">
        <v>39</v>
      </c>
      <c r="D22" s="54" t="s">
        <v>36</v>
      </c>
      <c r="E22" s="55" t="s">
        <v>32</v>
      </c>
      <c r="F22" s="55" t="s">
        <v>24</v>
      </c>
      <c r="G22" s="55" t="s">
        <v>33</v>
      </c>
      <c r="H22" s="55" t="s">
        <v>25</v>
      </c>
      <c r="I22" s="55" t="s">
        <v>29</v>
      </c>
      <c r="J22" s="55" t="s">
        <v>22</v>
      </c>
      <c r="K22" s="55" t="s">
        <v>28</v>
      </c>
      <c r="L22" s="56"/>
      <c r="M22" s="57">
        <v>5.0</v>
      </c>
      <c r="N22" s="289">
        <v>18.0</v>
      </c>
    </row>
    <row r="23">
      <c r="A23" s="63"/>
      <c r="B23" s="52" t="s">
        <v>42</v>
      </c>
      <c r="C23" s="53" t="s">
        <v>39</v>
      </c>
      <c r="D23" s="54" t="s">
        <v>36</v>
      </c>
      <c r="E23" s="55" t="s">
        <v>32</v>
      </c>
      <c r="F23" s="55" t="s">
        <v>24</v>
      </c>
      <c r="G23" s="55" t="s">
        <v>47</v>
      </c>
      <c r="H23" s="55" t="s">
        <v>25</v>
      </c>
      <c r="I23" s="55" t="s">
        <v>29</v>
      </c>
      <c r="J23" s="55" t="s">
        <v>22</v>
      </c>
      <c r="K23" s="55" t="s">
        <v>28</v>
      </c>
      <c r="L23" s="56"/>
      <c r="M23" s="57">
        <v>4.0</v>
      </c>
      <c r="N23" s="289">
        <v>16.0</v>
      </c>
    </row>
    <row r="24">
      <c r="A24" s="63"/>
      <c r="B24" s="52" t="s">
        <v>43</v>
      </c>
      <c r="C24" s="53" t="s">
        <v>44</v>
      </c>
      <c r="D24" s="68" t="s">
        <v>36</v>
      </c>
      <c r="E24" s="55" t="s">
        <v>32</v>
      </c>
      <c r="F24" s="55" t="s">
        <v>31</v>
      </c>
      <c r="G24" s="55" t="s">
        <v>47</v>
      </c>
      <c r="H24" s="55" t="s">
        <v>25</v>
      </c>
      <c r="I24" s="55" t="s">
        <v>29</v>
      </c>
      <c r="J24" s="55" t="s">
        <v>22</v>
      </c>
      <c r="K24" s="55" t="s">
        <v>26</v>
      </c>
      <c r="L24" s="56"/>
      <c r="M24" s="57">
        <v>4.0</v>
      </c>
      <c r="N24" s="289">
        <v>14.0</v>
      </c>
    </row>
    <row r="25">
      <c r="A25" s="63"/>
      <c r="B25" s="52" t="s">
        <v>45</v>
      </c>
      <c r="C25" s="53" t="s">
        <v>44</v>
      </c>
      <c r="D25" s="68" t="s">
        <v>36</v>
      </c>
      <c r="E25" s="55" t="s">
        <v>32</v>
      </c>
      <c r="F25" s="55" t="s">
        <v>24</v>
      </c>
      <c r="G25" s="55" t="s">
        <v>33</v>
      </c>
      <c r="H25" s="55" t="s">
        <v>25</v>
      </c>
      <c r="I25" s="55" t="s">
        <v>29</v>
      </c>
      <c r="J25" s="55" t="s">
        <v>22</v>
      </c>
      <c r="K25" s="55" t="s">
        <v>26</v>
      </c>
      <c r="L25" s="56"/>
      <c r="M25" s="57">
        <v>6.0</v>
      </c>
      <c r="N25" s="289">
        <v>17.0</v>
      </c>
    </row>
    <row r="26">
      <c r="A26" s="63"/>
      <c r="B26" s="52" t="s">
        <v>46</v>
      </c>
      <c r="C26" s="53" t="s">
        <v>18</v>
      </c>
      <c r="D26" s="201" t="s">
        <v>36</v>
      </c>
      <c r="E26" s="81" t="s">
        <v>32</v>
      </c>
      <c r="F26" s="82" t="s">
        <v>24</v>
      </c>
      <c r="G26" s="82" t="s">
        <v>47</v>
      </c>
      <c r="H26" s="82" t="s">
        <v>25</v>
      </c>
      <c r="I26" s="82" t="s">
        <v>29</v>
      </c>
      <c r="J26" s="82" t="s">
        <v>22</v>
      </c>
      <c r="K26" s="82" t="s">
        <v>28</v>
      </c>
      <c r="L26" s="82"/>
      <c r="M26" s="57">
        <v>4.0</v>
      </c>
      <c r="N26" s="289">
        <v>14.0</v>
      </c>
    </row>
    <row r="27">
      <c r="A27" s="63"/>
      <c r="B27" s="52" t="s">
        <v>48</v>
      </c>
      <c r="C27" s="53" t="s">
        <v>49</v>
      </c>
      <c r="D27" s="68" t="s">
        <v>36</v>
      </c>
      <c r="E27" s="55" t="s">
        <v>32</v>
      </c>
      <c r="F27" s="55" t="s">
        <v>31</v>
      </c>
      <c r="G27" s="55" t="s">
        <v>33</v>
      </c>
      <c r="H27" s="55" t="s">
        <v>25</v>
      </c>
      <c r="I27" s="55" t="s">
        <v>29</v>
      </c>
      <c r="J27" s="55" t="s">
        <v>22</v>
      </c>
      <c r="K27" s="55" t="s">
        <v>26</v>
      </c>
      <c r="L27" s="56"/>
      <c r="M27" s="57">
        <v>5.0</v>
      </c>
      <c r="N27" s="289">
        <v>15.0</v>
      </c>
    </row>
    <row r="28">
      <c r="A28" s="63"/>
      <c r="B28" s="52" t="s">
        <v>50</v>
      </c>
      <c r="C28" s="53" t="s">
        <v>51</v>
      </c>
      <c r="D28" s="68" t="s">
        <v>36</v>
      </c>
      <c r="E28" s="55" t="s">
        <v>32</v>
      </c>
      <c r="F28" s="55" t="s">
        <v>24</v>
      </c>
      <c r="G28" s="55" t="s">
        <v>47</v>
      </c>
      <c r="H28" s="55" t="s">
        <v>25</v>
      </c>
      <c r="I28" s="55" t="s">
        <v>29</v>
      </c>
      <c r="J28" s="55" t="s">
        <v>22</v>
      </c>
      <c r="K28" s="55" t="s">
        <v>28</v>
      </c>
      <c r="L28" s="56"/>
      <c r="M28" s="57">
        <v>4.0</v>
      </c>
      <c r="N28" s="289">
        <v>15.0</v>
      </c>
    </row>
    <row r="29">
      <c r="A29" s="63"/>
      <c r="B29" s="52" t="s">
        <v>52</v>
      </c>
      <c r="C29" s="53" t="s">
        <v>13</v>
      </c>
      <c r="D29" s="68" t="s">
        <v>36</v>
      </c>
      <c r="E29" s="55" t="s">
        <v>32</v>
      </c>
      <c r="F29" s="55" t="s">
        <v>24</v>
      </c>
      <c r="G29" s="55" t="s">
        <v>33</v>
      </c>
      <c r="H29" s="55" t="s">
        <v>25</v>
      </c>
      <c r="I29" s="55" t="s">
        <v>29</v>
      </c>
      <c r="J29" s="55" t="s">
        <v>22</v>
      </c>
      <c r="K29" s="55" t="s">
        <v>28</v>
      </c>
      <c r="L29" s="56"/>
      <c r="M29" s="57">
        <v>5.0</v>
      </c>
      <c r="N29" s="289">
        <v>18.0</v>
      </c>
    </row>
    <row r="30">
      <c r="A30" s="63"/>
      <c r="B30" s="52" t="s">
        <v>56</v>
      </c>
      <c r="C30" s="53" t="s">
        <v>13</v>
      </c>
      <c r="D30" s="68" t="s">
        <v>36</v>
      </c>
      <c r="E30" s="55" t="s">
        <v>32</v>
      </c>
      <c r="F30" s="55" t="s">
        <v>31</v>
      </c>
      <c r="G30" s="55" t="s">
        <v>33</v>
      </c>
      <c r="H30" s="55" t="s">
        <v>25</v>
      </c>
      <c r="I30" s="55" t="s">
        <v>29</v>
      </c>
      <c r="J30" s="55" t="s">
        <v>22</v>
      </c>
      <c r="K30" s="55" t="s">
        <v>26</v>
      </c>
      <c r="L30" s="56"/>
      <c r="M30" s="57">
        <v>5.0</v>
      </c>
      <c r="N30" s="289">
        <v>13.0</v>
      </c>
    </row>
    <row r="31">
      <c r="A31" s="63"/>
      <c r="B31" s="52" t="s">
        <v>58</v>
      </c>
      <c r="C31" s="53" t="s">
        <v>59</v>
      </c>
      <c r="D31" s="54" t="s">
        <v>36</v>
      </c>
      <c r="E31" s="55" t="s">
        <v>32</v>
      </c>
      <c r="F31" s="55" t="s">
        <v>31</v>
      </c>
      <c r="G31" s="55" t="s">
        <v>47</v>
      </c>
      <c r="H31" s="55" t="s">
        <v>25</v>
      </c>
      <c r="I31" s="55" t="s">
        <v>54</v>
      </c>
      <c r="J31" s="55" t="s">
        <v>53</v>
      </c>
      <c r="K31" s="55" t="s">
        <v>26</v>
      </c>
      <c r="L31" s="56"/>
      <c r="M31" s="57">
        <v>4.0</v>
      </c>
      <c r="N31" s="289">
        <v>13.0</v>
      </c>
    </row>
    <row r="32">
      <c r="A32" s="63"/>
      <c r="B32" s="52" t="s">
        <v>60</v>
      </c>
      <c r="C32" s="53" t="s">
        <v>39</v>
      </c>
      <c r="D32" s="54" t="s">
        <v>36</v>
      </c>
      <c r="E32" s="55" t="s">
        <v>55</v>
      </c>
      <c r="F32" s="55" t="s">
        <v>24</v>
      </c>
      <c r="G32" s="55" t="s">
        <v>33</v>
      </c>
      <c r="H32" s="55" t="s">
        <v>25</v>
      </c>
      <c r="I32" s="55" t="s">
        <v>29</v>
      </c>
      <c r="J32" s="55" t="s">
        <v>22</v>
      </c>
      <c r="K32" s="55" t="s">
        <v>26</v>
      </c>
      <c r="L32" s="56"/>
      <c r="M32" s="57">
        <v>5.0</v>
      </c>
      <c r="N32" s="289">
        <v>18.0</v>
      </c>
    </row>
    <row r="33">
      <c r="A33" s="39"/>
      <c r="B33" s="52" t="s">
        <v>61</v>
      </c>
      <c r="C33" s="53" t="s">
        <v>39</v>
      </c>
      <c r="D33" s="83" t="s">
        <v>21</v>
      </c>
      <c r="E33" s="84" t="s">
        <v>32</v>
      </c>
      <c r="F33" s="84" t="s">
        <v>24</v>
      </c>
      <c r="G33" s="84" t="s">
        <v>33</v>
      </c>
      <c r="H33" s="84" t="s">
        <v>25</v>
      </c>
      <c r="I33" s="84" t="s">
        <v>29</v>
      </c>
      <c r="J33" s="84" t="s">
        <v>22</v>
      </c>
      <c r="K33" s="84" t="s">
        <v>28</v>
      </c>
      <c r="L33" s="85"/>
      <c r="M33" s="86">
        <v>4.0</v>
      </c>
      <c r="N33" s="291">
        <v>17.0</v>
      </c>
    </row>
    <row r="34">
      <c r="A34" s="39"/>
      <c r="B34" s="87" t="s">
        <v>62</v>
      </c>
      <c r="C34" s="88" t="s">
        <v>63</v>
      </c>
      <c r="D34" s="89" t="s">
        <v>36</v>
      </c>
      <c r="E34" s="89" t="s">
        <v>32</v>
      </c>
      <c r="F34" s="89" t="s">
        <v>139</v>
      </c>
      <c r="G34" s="89" t="s">
        <v>33</v>
      </c>
      <c r="H34" s="89" t="s">
        <v>25</v>
      </c>
      <c r="I34" s="89" t="s">
        <v>29</v>
      </c>
      <c r="J34" s="89" t="s">
        <v>22</v>
      </c>
      <c r="K34" s="89" t="s">
        <v>28</v>
      </c>
      <c r="L34" s="89" t="s">
        <v>139</v>
      </c>
      <c r="M34" s="90">
        <v>4.0</v>
      </c>
      <c r="N34" s="182">
        <v>16.0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6" width="18.25"/>
    <col customWidth="1" min="7" max="7" width="20.63"/>
    <col customWidth="1" min="8" max="11" width="18.25"/>
    <col customWidth="1" min="12" max="12" width="17.5"/>
    <col customWidth="1" min="13" max="13" width="7.0"/>
    <col customWidth="1" min="14" max="14" width="7.13"/>
    <col customWidth="1" min="15" max="16" width="5.0"/>
  </cols>
  <sheetData>
    <row r="1">
      <c r="A1" s="1"/>
      <c r="B1" s="180">
        <v>45733.0</v>
      </c>
      <c r="C1" s="3"/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 t="s">
        <v>0</v>
      </c>
      <c r="N1" s="5"/>
    </row>
    <row r="2" ht="33.75" customHeight="1">
      <c r="A2" s="6">
        <v>1.0</v>
      </c>
      <c r="B2" s="7" t="s">
        <v>185</v>
      </c>
      <c r="C2" s="8"/>
      <c r="D2" s="9" t="s">
        <v>186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>
      <c r="A3" s="6">
        <v>4.0</v>
      </c>
      <c r="B3" s="13" t="s">
        <v>1</v>
      </c>
      <c r="C3" s="14"/>
      <c r="D3" s="15">
        <v>45729.8125</v>
      </c>
      <c r="E3" s="15">
        <v>45730.819444444445</v>
      </c>
      <c r="F3" s="15">
        <v>45731.555555555555</v>
      </c>
      <c r="G3" s="15">
        <v>45731.677083333336</v>
      </c>
      <c r="H3" s="15">
        <v>45731.81597222222</v>
      </c>
      <c r="I3" s="15">
        <v>45731.81597222222</v>
      </c>
      <c r="J3" s="15">
        <v>45732.524305555555</v>
      </c>
      <c r="K3" s="15">
        <v>45732.63888888889</v>
      </c>
      <c r="L3" s="15">
        <v>45732.756944444445</v>
      </c>
      <c r="M3" s="16"/>
      <c r="N3" s="17"/>
    </row>
    <row r="4">
      <c r="A4" s="6"/>
      <c r="B4" s="18" t="s">
        <v>2</v>
      </c>
      <c r="C4" s="19"/>
      <c r="D4" s="20" t="s">
        <v>125</v>
      </c>
      <c r="E4" s="20" t="s">
        <v>111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113</v>
      </c>
      <c r="K4" s="20" t="s">
        <v>113</v>
      </c>
      <c r="L4" s="20" t="s">
        <v>113</v>
      </c>
      <c r="M4" s="21"/>
      <c r="N4" s="22"/>
    </row>
    <row r="5">
      <c r="A5" s="6">
        <v>5.0</v>
      </c>
      <c r="B5" s="31" t="s">
        <v>184</v>
      </c>
      <c r="C5" s="24"/>
      <c r="D5" s="25">
        <v>45729.8125</v>
      </c>
      <c r="E5" s="25">
        <v>45730.819444444445</v>
      </c>
      <c r="F5" s="25">
        <v>45731.555555555555</v>
      </c>
      <c r="G5" s="25">
        <v>45731.677083333336</v>
      </c>
      <c r="H5" s="25">
        <v>45731.81597222222</v>
      </c>
      <c r="I5" s="25">
        <v>45731.81597222222</v>
      </c>
      <c r="J5" s="25">
        <v>45732.50347222222</v>
      </c>
      <c r="K5" s="25">
        <v>45732.63888888889</v>
      </c>
      <c r="L5" s="25">
        <v>45732.631944444445</v>
      </c>
      <c r="M5" s="26"/>
      <c r="N5" s="27"/>
    </row>
    <row r="6">
      <c r="A6" s="6">
        <v>7.0</v>
      </c>
      <c r="B6" s="28" t="s">
        <v>4</v>
      </c>
      <c r="C6" s="29"/>
      <c r="D6" s="30" t="s">
        <v>47</v>
      </c>
      <c r="E6" s="30" t="s">
        <v>36</v>
      </c>
      <c r="F6" s="30" t="s">
        <v>25</v>
      </c>
      <c r="G6" s="30" t="s">
        <v>26</v>
      </c>
      <c r="H6" s="30" t="s">
        <v>32</v>
      </c>
      <c r="I6" s="30" t="s">
        <v>55</v>
      </c>
      <c r="J6" s="30" t="s">
        <v>24</v>
      </c>
      <c r="K6" s="30" t="s">
        <v>22</v>
      </c>
      <c r="L6" s="30" t="s">
        <v>54</v>
      </c>
      <c r="M6" s="21"/>
      <c r="N6" s="22"/>
    </row>
    <row r="7">
      <c r="A7" s="6">
        <v>8.0</v>
      </c>
      <c r="B7" s="31" t="s">
        <v>5</v>
      </c>
      <c r="C7" s="24"/>
      <c r="D7" s="32" t="s">
        <v>21</v>
      </c>
      <c r="E7" s="32" t="s">
        <v>31</v>
      </c>
      <c r="F7" s="32" t="s">
        <v>28</v>
      </c>
      <c r="G7" s="32" t="s">
        <v>29</v>
      </c>
      <c r="H7" s="32" t="s">
        <v>33</v>
      </c>
      <c r="I7" s="32" t="s">
        <v>53</v>
      </c>
      <c r="J7" s="32" t="s">
        <v>34</v>
      </c>
      <c r="K7" s="32" t="s">
        <v>27</v>
      </c>
      <c r="L7" s="32" t="s">
        <v>23</v>
      </c>
      <c r="M7" s="26"/>
      <c r="N7" s="27"/>
    </row>
    <row r="8">
      <c r="A8" s="33">
        <v>9.0</v>
      </c>
      <c r="B8" s="34" t="s">
        <v>6</v>
      </c>
      <c r="C8" s="35"/>
      <c r="D8" s="36" t="s">
        <v>117</v>
      </c>
      <c r="E8" s="36" t="s">
        <v>117</v>
      </c>
      <c r="F8" s="36" t="s">
        <v>126</v>
      </c>
      <c r="G8" s="36" t="s">
        <v>120</v>
      </c>
      <c r="H8" s="36" t="s">
        <v>117</v>
      </c>
      <c r="I8" s="36" t="s">
        <v>114</v>
      </c>
      <c r="J8" s="36" t="s">
        <v>118</v>
      </c>
      <c r="K8" s="36" t="s">
        <v>117</v>
      </c>
      <c r="L8" s="36" t="s">
        <v>115</v>
      </c>
      <c r="M8" s="37"/>
      <c r="N8" s="38"/>
    </row>
    <row r="9">
      <c r="A9" s="39"/>
      <c r="B9" s="40" t="s">
        <v>7</v>
      </c>
      <c r="C9" s="41"/>
      <c r="D9" s="42" t="s">
        <v>47</v>
      </c>
      <c r="E9" s="42" t="s">
        <v>36</v>
      </c>
      <c r="F9" s="42" t="s">
        <v>25</v>
      </c>
      <c r="G9" s="42" t="s">
        <v>29</v>
      </c>
      <c r="H9" s="42" t="s">
        <v>32</v>
      </c>
      <c r="I9" s="42" t="s">
        <v>55</v>
      </c>
      <c r="J9" s="42" t="s">
        <v>24</v>
      </c>
      <c r="K9" s="42" t="s">
        <v>27</v>
      </c>
      <c r="L9" s="292" t="s">
        <v>23</v>
      </c>
      <c r="M9" s="43" t="s">
        <v>8</v>
      </c>
      <c r="N9" s="44" t="s">
        <v>9</v>
      </c>
    </row>
    <row r="10">
      <c r="A10" s="39"/>
      <c r="B10" s="45" t="s">
        <v>10</v>
      </c>
      <c r="C10" s="46" t="s">
        <v>11</v>
      </c>
      <c r="D10" s="285" t="s">
        <v>47</v>
      </c>
      <c r="E10" s="286" t="s">
        <v>36</v>
      </c>
      <c r="F10" s="286" t="s">
        <v>25</v>
      </c>
      <c r="G10" s="286" t="s">
        <v>26</v>
      </c>
      <c r="H10" s="286" t="s">
        <v>33</v>
      </c>
      <c r="I10" s="286" t="s">
        <v>55</v>
      </c>
      <c r="J10" s="286" t="s">
        <v>24</v>
      </c>
      <c r="K10" s="286" t="s">
        <v>27</v>
      </c>
      <c r="L10" s="287" t="s">
        <v>54</v>
      </c>
      <c r="M10" s="288">
        <v>6.0</v>
      </c>
      <c r="N10" s="278">
        <v>14.0</v>
      </c>
    </row>
    <row r="11">
      <c r="A11" s="39"/>
      <c r="B11" s="52" t="s">
        <v>12</v>
      </c>
      <c r="C11" s="53" t="s">
        <v>13</v>
      </c>
      <c r="D11" s="54" t="s">
        <v>21</v>
      </c>
      <c r="E11" s="55" t="s">
        <v>31</v>
      </c>
      <c r="F11" s="55" t="s">
        <v>25</v>
      </c>
      <c r="G11" s="55" t="s">
        <v>26</v>
      </c>
      <c r="H11" s="55" t="s">
        <v>33</v>
      </c>
      <c r="I11" s="55" t="s">
        <v>53</v>
      </c>
      <c r="J11" s="55" t="s">
        <v>24</v>
      </c>
      <c r="K11" s="55" t="s">
        <v>27</v>
      </c>
      <c r="L11" s="56" t="s">
        <v>23</v>
      </c>
      <c r="M11" s="57">
        <v>4.0</v>
      </c>
      <c r="N11" s="289">
        <v>8.0</v>
      </c>
    </row>
    <row r="12">
      <c r="A12" s="39"/>
      <c r="B12" s="52" t="s">
        <v>14</v>
      </c>
      <c r="C12" s="53" t="s">
        <v>15</v>
      </c>
      <c r="D12" s="54" t="s">
        <v>21</v>
      </c>
      <c r="E12" s="55" t="s">
        <v>36</v>
      </c>
      <c r="F12" s="55" t="s">
        <v>25</v>
      </c>
      <c r="G12" s="55" t="s">
        <v>29</v>
      </c>
      <c r="H12" s="55" t="s">
        <v>32</v>
      </c>
      <c r="I12" s="55" t="s">
        <v>53</v>
      </c>
      <c r="J12" s="55" t="s">
        <v>24</v>
      </c>
      <c r="K12" s="55" t="s">
        <v>22</v>
      </c>
      <c r="L12" s="56" t="s">
        <v>23</v>
      </c>
      <c r="M12" s="57">
        <v>6.0</v>
      </c>
      <c r="N12" s="289">
        <v>13.0</v>
      </c>
    </row>
    <row r="13">
      <c r="A13" s="63"/>
      <c r="B13" s="52" t="s">
        <v>16</v>
      </c>
      <c r="C13" s="53" t="s">
        <v>11</v>
      </c>
      <c r="D13" s="54" t="s">
        <v>47</v>
      </c>
      <c r="E13" s="55" t="s">
        <v>36</v>
      </c>
      <c r="F13" s="55" t="s">
        <v>25</v>
      </c>
      <c r="G13" s="55" t="s">
        <v>29</v>
      </c>
      <c r="H13" s="55" t="s">
        <v>33</v>
      </c>
      <c r="I13" s="55" t="s">
        <v>53</v>
      </c>
      <c r="J13" s="55" t="s">
        <v>24</v>
      </c>
      <c r="K13" s="55" t="s">
        <v>27</v>
      </c>
      <c r="L13" s="56" t="s">
        <v>54</v>
      </c>
      <c r="M13" s="57">
        <v>6.0</v>
      </c>
      <c r="N13" s="289">
        <v>14.0</v>
      </c>
    </row>
    <row r="14">
      <c r="A14" s="63"/>
      <c r="B14" s="52" t="s">
        <v>17</v>
      </c>
      <c r="C14" s="53" t="s">
        <v>18</v>
      </c>
      <c r="D14" s="54" t="s">
        <v>47</v>
      </c>
      <c r="E14" s="55" t="s">
        <v>36</v>
      </c>
      <c r="F14" s="55" t="s">
        <v>28</v>
      </c>
      <c r="G14" s="55" t="s">
        <v>29</v>
      </c>
      <c r="H14" s="55" t="s">
        <v>33</v>
      </c>
      <c r="I14" s="55" t="s">
        <v>53</v>
      </c>
      <c r="J14" s="55" t="s">
        <v>24</v>
      </c>
      <c r="K14" s="55" t="s">
        <v>27</v>
      </c>
      <c r="L14" s="56" t="s">
        <v>54</v>
      </c>
      <c r="M14" s="57">
        <v>5.0</v>
      </c>
      <c r="N14" s="289">
        <v>11.0</v>
      </c>
    </row>
    <row r="15">
      <c r="A15" s="63"/>
      <c r="B15" s="52" t="s">
        <v>19</v>
      </c>
      <c r="C15" s="53"/>
      <c r="D15" s="54" t="s">
        <v>47</v>
      </c>
      <c r="E15" s="55" t="s">
        <v>36</v>
      </c>
      <c r="F15" s="55" t="s">
        <v>28</v>
      </c>
      <c r="G15" s="55" t="s">
        <v>26</v>
      </c>
      <c r="H15" s="55" t="s">
        <v>33</v>
      </c>
      <c r="I15" s="55" t="s">
        <v>53</v>
      </c>
      <c r="J15" s="55" t="s">
        <v>24</v>
      </c>
      <c r="K15" s="55" t="s">
        <v>27</v>
      </c>
      <c r="L15" s="56" t="s">
        <v>54</v>
      </c>
      <c r="M15" s="57">
        <v>4.0</v>
      </c>
      <c r="N15" s="289">
        <v>10.0</v>
      </c>
    </row>
    <row r="16">
      <c r="A16" s="63"/>
      <c r="B16" s="52" t="s">
        <v>20</v>
      </c>
      <c r="C16" s="65" t="s">
        <v>15</v>
      </c>
      <c r="D16" s="81" t="s">
        <v>21</v>
      </c>
      <c r="E16" s="81" t="s">
        <v>36</v>
      </c>
      <c r="F16" s="82" t="s">
        <v>25</v>
      </c>
      <c r="G16" s="82" t="s">
        <v>26</v>
      </c>
      <c r="H16" s="82" t="s">
        <v>33</v>
      </c>
      <c r="I16" s="82" t="s">
        <v>55</v>
      </c>
      <c r="J16" s="82" t="s">
        <v>34</v>
      </c>
      <c r="K16" s="82" t="s">
        <v>22</v>
      </c>
      <c r="L16" s="82" t="s">
        <v>54</v>
      </c>
      <c r="M16" s="57">
        <v>3.0</v>
      </c>
      <c r="N16" s="289">
        <v>8.0</v>
      </c>
    </row>
    <row r="17">
      <c r="A17" s="63"/>
      <c r="B17" s="52" t="s">
        <v>30</v>
      </c>
      <c r="C17" s="53" t="s">
        <v>13</v>
      </c>
      <c r="D17" s="71" t="s">
        <v>21</v>
      </c>
      <c r="E17" s="72" t="s">
        <v>31</v>
      </c>
      <c r="F17" s="72" t="s">
        <v>25</v>
      </c>
      <c r="G17" s="77" t="s">
        <v>26</v>
      </c>
      <c r="H17" s="72" t="s">
        <v>32</v>
      </c>
      <c r="I17" s="72" t="s">
        <v>53</v>
      </c>
      <c r="J17" s="74" t="s">
        <v>24</v>
      </c>
      <c r="K17" s="77" t="s">
        <v>27</v>
      </c>
      <c r="L17" s="77" t="s">
        <v>23</v>
      </c>
      <c r="M17" s="57">
        <v>5.0</v>
      </c>
      <c r="N17" s="289">
        <v>11.0</v>
      </c>
    </row>
    <row r="18">
      <c r="A18" s="63"/>
      <c r="B18" s="52" t="s">
        <v>35</v>
      </c>
      <c r="C18" s="53" t="s">
        <v>13</v>
      </c>
      <c r="D18" s="71" t="s">
        <v>21</v>
      </c>
      <c r="E18" s="72" t="s">
        <v>31</v>
      </c>
      <c r="F18" s="72" t="s">
        <v>25</v>
      </c>
      <c r="G18" s="72" t="s">
        <v>26</v>
      </c>
      <c r="H18" s="72" t="s">
        <v>32</v>
      </c>
      <c r="I18" s="72" t="s">
        <v>55</v>
      </c>
      <c r="J18" s="72" t="s">
        <v>24</v>
      </c>
      <c r="K18" s="72" t="s">
        <v>27</v>
      </c>
      <c r="L18" s="290" t="s">
        <v>23</v>
      </c>
      <c r="M18" s="57">
        <v>6.0</v>
      </c>
      <c r="N18" s="289">
        <v>12.0</v>
      </c>
    </row>
    <row r="19">
      <c r="A19" s="63"/>
      <c r="B19" s="52" t="s">
        <v>37</v>
      </c>
      <c r="C19" s="65" t="s">
        <v>13</v>
      </c>
      <c r="D19" s="279" t="s">
        <v>21</v>
      </c>
      <c r="E19" s="279" t="s">
        <v>31</v>
      </c>
      <c r="F19" s="280" t="s">
        <v>25</v>
      </c>
      <c r="G19" s="279" t="s">
        <v>29</v>
      </c>
      <c r="H19" s="280" t="s">
        <v>32</v>
      </c>
      <c r="I19" s="280" t="s">
        <v>55</v>
      </c>
      <c r="J19" s="280" t="s">
        <v>24</v>
      </c>
      <c r="K19" s="279" t="s">
        <v>27</v>
      </c>
      <c r="L19" s="279" t="s">
        <v>23</v>
      </c>
      <c r="M19" s="57">
        <v>7.0</v>
      </c>
      <c r="N19" s="289">
        <v>14.0</v>
      </c>
    </row>
    <row r="20">
      <c r="A20" s="63"/>
      <c r="B20" s="52" t="s">
        <v>38</v>
      </c>
      <c r="C20" s="65" t="s">
        <v>39</v>
      </c>
      <c r="D20" s="281" t="s">
        <v>21</v>
      </c>
      <c r="E20" s="284" t="s">
        <v>36</v>
      </c>
      <c r="F20" s="284" t="s">
        <v>25</v>
      </c>
      <c r="G20" s="281" t="s">
        <v>29</v>
      </c>
      <c r="H20" s="284" t="s">
        <v>32</v>
      </c>
      <c r="I20" s="284" t="s">
        <v>55</v>
      </c>
      <c r="J20" s="284" t="s">
        <v>24</v>
      </c>
      <c r="K20" s="284" t="s">
        <v>22</v>
      </c>
      <c r="L20" s="281" t="s">
        <v>23</v>
      </c>
      <c r="M20" s="57">
        <v>7.0</v>
      </c>
      <c r="N20" s="289">
        <v>15.0</v>
      </c>
    </row>
    <row r="21">
      <c r="A21" s="63"/>
      <c r="B21" s="52" t="s">
        <v>40</v>
      </c>
      <c r="C21" s="65" t="s">
        <v>39</v>
      </c>
      <c r="D21" s="283" t="s">
        <v>21</v>
      </c>
      <c r="E21" s="283" t="s">
        <v>31</v>
      </c>
      <c r="F21" s="283" t="s">
        <v>28</v>
      </c>
      <c r="G21" s="283" t="s">
        <v>29</v>
      </c>
      <c r="H21" s="284" t="s">
        <v>32</v>
      </c>
      <c r="I21" s="284" t="s">
        <v>55</v>
      </c>
      <c r="J21" s="283" t="s">
        <v>34</v>
      </c>
      <c r="K21" s="284" t="s">
        <v>22</v>
      </c>
      <c r="L21" s="283" t="s">
        <v>23</v>
      </c>
      <c r="M21" s="57">
        <v>4.0</v>
      </c>
      <c r="N21" s="289">
        <v>10.0</v>
      </c>
    </row>
    <row r="22">
      <c r="A22" s="63"/>
      <c r="B22" s="52" t="s">
        <v>41</v>
      </c>
      <c r="C22" s="53" t="s">
        <v>39</v>
      </c>
      <c r="D22" s="54" t="s">
        <v>21</v>
      </c>
      <c r="E22" s="55" t="s">
        <v>36</v>
      </c>
      <c r="F22" s="55" t="s">
        <v>25</v>
      </c>
      <c r="G22" s="55" t="s">
        <v>29</v>
      </c>
      <c r="H22" s="55" t="s">
        <v>33</v>
      </c>
      <c r="I22" s="55" t="s">
        <v>55</v>
      </c>
      <c r="J22" s="55" t="s">
        <v>34</v>
      </c>
      <c r="K22" s="55" t="s">
        <v>27</v>
      </c>
      <c r="L22" s="56" t="s">
        <v>23</v>
      </c>
      <c r="M22" s="57">
        <v>6.0</v>
      </c>
      <c r="N22" s="289">
        <v>14.0</v>
      </c>
    </row>
    <row r="23">
      <c r="A23" s="63"/>
      <c r="B23" s="52" t="s">
        <v>42</v>
      </c>
      <c r="C23" s="53" t="s">
        <v>39</v>
      </c>
      <c r="D23" s="54" t="s">
        <v>21</v>
      </c>
      <c r="E23" s="55" t="s">
        <v>36</v>
      </c>
      <c r="F23" s="55" t="s">
        <v>25</v>
      </c>
      <c r="G23" s="55" t="s">
        <v>29</v>
      </c>
      <c r="H23" s="55" t="s">
        <v>32</v>
      </c>
      <c r="I23" s="55" t="s">
        <v>55</v>
      </c>
      <c r="J23" s="55" t="s">
        <v>24</v>
      </c>
      <c r="K23" s="55" t="s">
        <v>22</v>
      </c>
      <c r="L23" s="56" t="s">
        <v>23</v>
      </c>
      <c r="M23" s="57">
        <v>7.0</v>
      </c>
      <c r="N23" s="289">
        <v>15.0</v>
      </c>
    </row>
    <row r="24">
      <c r="A24" s="63"/>
      <c r="B24" s="52" t="s">
        <v>43</v>
      </c>
      <c r="C24" s="53" t="s">
        <v>44</v>
      </c>
      <c r="D24" s="68" t="s">
        <v>21</v>
      </c>
      <c r="E24" s="55" t="s">
        <v>36</v>
      </c>
      <c r="F24" s="55" t="s">
        <v>28</v>
      </c>
      <c r="G24" s="55" t="s">
        <v>26</v>
      </c>
      <c r="H24" s="55" t="s">
        <v>33</v>
      </c>
      <c r="I24" s="55" t="s">
        <v>55</v>
      </c>
      <c r="J24" s="55" t="s">
        <v>24</v>
      </c>
      <c r="K24" s="55" t="s">
        <v>27</v>
      </c>
      <c r="L24" s="56" t="s">
        <v>23</v>
      </c>
      <c r="M24" s="57">
        <v>5.0</v>
      </c>
      <c r="N24" s="289">
        <v>11.0</v>
      </c>
    </row>
    <row r="25">
      <c r="A25" s="63"/>
      <c r="B25" s="52" t="s">
        <v>45</v>
      </c>
      <c r="C25" s="53" t="s">
        <v>44</v>
      </c>
      <c r="D25" s="68" t="s">
        <v>21</v>
      </c>
      <c r="E25" s="55" t="s">
        <v>31</v>
      </c>
      <c r="F25" s="55" t="s">
        <v>25</v>
      </c>
      <c r="G25" s="55" t="s">
        <v>26</v>
      </c>
      <c r="H25" s="55" t="s">
        <v>33</v>
      </c>
      <c r="I25" s="55" t="s">
        <v>55</v>
      </c>
      <c r="J25" s="55" t="s">
        <v>24</v>
      </c>
      <c r="K25" s="55" t="s">
        <v>27</v>
      </c>
      <c r="L25" s="56" t="s">
        <v>23</v>
      </c>
      <c r="M25" s="57">
        <v>5.0</v>
      </c>
      <c r="N25" s="289">
        <v>10.0</v>
      </c>
    </row>
    <row r="26">
      <c r="A26" s="63"/>
      <c r="B26" s="52" t="s">
        <v>46</v>
      </c>
      <c r="C26" s="53" t="s">
        <v>18</v>
      </c>
      <c r="D26" s="201" t="s">
        <v>47</v>
      </c>
      <c r="E26" s="81" t="s">
        <v>36</v>
      </c>
      <c r="F26" s="82" t="s">
        <v>25</v>
      </c>
      <c r="G26" s="82" t="s">
        <v>26</v>
      </c>
      <c r="H26" s="82" t="s">
        <v>32</v>
      </c>
      <c r="I26" s="82" t="s">
        <v>55</v>
      </c>
      <c r="J26" s="82" t="s">
        <v>34</v>
      </c>
      <c r="K26" s="82" t="s">
        <v>27</v>
      </c>
      <c r="L26" s="82" t="s">
        <v>54</v>
      </c>
      <c r="M26" s="57">
        <v>6.0</v>
      </c>
      <c r="N26" s="289">
        <v>12.0</v>
      </c>
    </row>
    <row r="27">
      <c r="A27" s="63"/>
      <c r="B27" s="52" t="s">
        <v>48</v>
      </c>
      <c r="C27" s="53" t="s">
        <v>49</v>
      </c>
      <c r="D27" s="68" t="s">
        <v>21</v>
      </c>
      <c r="E27" s="55" t="s">
        <v>36</v>
      </c>
      <c r="F27" s="55" t="s">
        <v>25</v>
      </c>
      <c r="G27" s="55" t="s">
        <v>26</v>
      </c>
      <c r="H27" s="55" t="s">
        <v>33</v>
      </c>
      <c r="I27" s="55" t="s">
        <v>55</v>
      </c>
      <c r="J27" s="55" t="s">
        <v>24</v>
      </c>
      <c r="K27" s="55" t="s">
        <v>22</v>
      </c>
      <c r="L27" s="56" t="s">
        <v>54</v>
      </c>
      <c r="M27" s="57">
        <v>4.0</v>
      </c>
      <c r="N27" s="289">
        <v>9.0</v>
      </c>
    </row>
    <row r="28">
      <c r="A28" s="63"/>
      <c r="B28" s="52" t="s">
        <v>50</v>
      </c>
      <c r="C28" s="53" t="s">
        <v>51</v>
      </c>
      <c r="D28" s="68" t="s">
        <v>21</v>
      </c>
      <c r="E28" s="55" t="s">
        <v>36</v>
      </c>
      <c r="F28" s="55" t="s">
        <v>25</v>
      </c>
      <c r="G28" s="55" t="s">
        <v>26</v>
      </c>
      <c r="H28" s="55" t="s">
        <v>32</v>
      </c>
      <c r="I28" s="55" t="s">
        <v>55</v>
      </c>
      <c r="J28" s="55" t="s">
        <v>24</v>
      </c>
      <c r="K28" s="55" t="s">
        <v>27</v>
      </c>
      <c r="L28" s="56" t="s">
        <v>23</v>
      </c>
      <c r="M28" s="57">
        <v>7.0</v>
      </c>
      <c r="N28" s="289">
        <v>14.0</v>
      </c>
    </row>
    <row r="29">
      <c r="A29" s="63"/>
      <c r="B29" s="52" t="s">
        <v>52</v>
      </c>
      <c r="C29" s="53" t="s">
        <v>13</v>
      </c>
      <c r="D29" s="68" t="s">
        <v>21</v>
      </c>
      <c r="E29" s="55" t="s">
        <v>36</v>
      </c>
      <c r="F29" s="55" t="s">
        <v>25</v>
      </c>
      <c r="G29" s="55" t="s">
        <v>29</v>
      </c>
      <c r="H29" s="55" t="s">
        <v>32</v>
      </c>
      <c r="I29" s="55" t="s">
        <v>55</v>
      </c>
      <c r="J29" s="55" t="s">
        <v>187</v>
      </c>
      <c r="K29" s="55" t="s">
        <v>27</v>
      </c>
      <c r="L29" s="56" t="s">
        <v>23</v>
      </c>
      <c r="M29" s="57">
        <v>8.0</v>
      </c>
      <c r="N29" s="289">
        <v>16.0</v>
      </c>
    </row>
    <row r="30">
      <c r="A30" s="63"/>
      <c r="B30" s="52" t="s">
        <v>56</v>
      </c>
      <c r="C30" s="53" t="s">
        <v>13</v>
      </c>
      <c r="D30" s="68" t="s">
        <v>21</v>
      </c>
      <c r="E30" s="55" t="s">
        <v>31</v>
      </c>
      <c r="F30" s="55" t="s">
        <v>25</v>
      </c>
      <c r="G30" s="55" t="s">
        <v>26</v>
      </c>
      <c r="H30" s="55" t="s">
        <v>33</v>
      </c>
      <c r="I30" s="55" t="s">
        <v>55</v>
      </c>
      <c r="J30" s="55" t="s">
        <v>187</v>
      </c>
      <c r="K30" s="55" t="s">
        <v>22</v>
      </c>
      <c r="L30" s="56" t="s">
        <v>54</v>
      </c>
      <c r="M30" s="57">
        <v>3.0</v>
      </c>
      <c r="N30" s="289">
        <v>6.0</v>
      </c>
    </row>
    <row r="31">
      <c r="A31" s="63"/>
      <c r="B31" s="52" t="s">
        <v>58</v>
      </c>
      <c r="C31" s="53" t="s">
        <v>59</v>
      </c>
      <c r="D31" s="54" t="s">
        <v>47</v>
      </c>
      <c r="E31" s="55" t="s">
        <v>31</v>
      </c>
      <c r="F31" s="55" t="s">
        <v>25</v>
      </c>
      <c r="G31" s="55" t="s">
        <v>26</v>
      </c>
      <c r="H31" s="55" t="s">
        <v>32</v>
      </c>
      <c r="I31" s="55" t="s">
        <v>53</v>
      </c>
      <c r="J31" s="55" t="s">
        <v>187</v>
      </c>
      <c r="K31" s="55" t="s">
        <v>22</v>
      </c>
      <c r="L31" s="56" t="s">
        <v>54</v>
      </c>
      <c r="M31" s="57">
        <v>4.0</v>
      </c>
      <c r="N31" s="289">
        <v>9.0</v>
      </c>
    </row>
    <row r="32">
      <c r="A32" s="63"/>
      <c r="B32" s="52" t="s">
        <v>60</v>
      </c>
      <c r="C32" s="53" t="s">
        <v>39</v>
      </c>
      <c r="D32" s="54" t="s">
        <v>21</v>
      </c>
      <c r="E32" s="55" t="s">
        <v>36</v>
      </c>
      <c r="F32" s="55" t="s">
        <v>25</v>
      </c>
      <c r="G32" s="55" t="s">
        <v>29</v>
      </c>
      <c r="H32" s="55" t="s">
        <v>32</v>
      </c>
      <c r="I32" s="55" t="s">
        <v>55</v>
      </c>
      <c r="J32" s="55" t="s">
        <v>24</v>
      </c>
      <c r="K32" s="55" t="s">
        <v>27</v>
      </c>
      <c r="L32" s="56" t="s">
        <v>23</v>
      </c>
      <c r="M32" s="57">
        <v>8.0</v>
      </c>
      <c r="N32" s="289">
        <v>16.0</v>
      </c>
    </row>
    <row r="33">
      <c r="A33" s="39"/>
      <c r="B33" s="52" t="s">
        <v>61</v>
      </c>
      <c r="C33" s="53" t="s">
        <v>39</v>
      </c>
      <c r="D33" s="83" t="s">
        <v>21</v>
      </c>
      <c r="E33" s="84" t="s">
        <v>36</v>
      </c>
      <c r="F33" s="84" t="s">
        <v>25</v>
      </c>
      <c r="G33" s="84" t="s">
        <v>29</v>
      </c>
      <c r="H33" s="84" t="s">
        <v>32</v>
      </c>
      <c r="I33" s="84" t="s">
        <v>55</v>
      </c>
      <c r="J33" s="84" t="s">
        <v>24</v>
      </c>
      <c r="K33" s="84" t="s">
        <v>27</v>
      </c>
      <c r="L33" s="85" t="s">
        <v>23</v>
      </c>
      <c r="M33" s="86">
        <v>8.0</v>
      </c>
      <c r="N33" s="291">
        <v>17.0</v>
      </c>
    </row>
    <row r="34">
      <c r="A34" s="39"/>
      <c r="B34" s="87" t="s">
        <v>62</v>
      </c>
      <c r="C34" s="88" t="s">
        <v>63</v>
      </c>
      <c r="D34" s="89" t="s">
        <v>21</v>
      </c>
      <c r="E34" s="89" t="s">
        <v>36</v>
      </c>
      <c r="F34" s="89" t="s">
        <v>25</v>
      </c>
      <c r="G34" s="89" t="s">
        <v>26</v>
      </c>
      <c r="H34" s="89" t="s">
        <v>32</v>
      </c>
      <c r="I34" s="89" t="s">
        <v>55</v>
      </c>
      <c r="J34" s="89" t="s">
        <v>24</v>
      </c>
      <c r="K34" s="89" t="s">
        <v>27</v>
      </c>
      <c r="L34" s="89" t="s">
        <v>23</v>
      </c>
      <c r="M34" s="90">
        <v>7.0</v>
      </c>
      <c r="N34" s="182">
        <v>15.0</v>
      </c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</sheetData>
  <mergeCells count="10">
    <mergeCell ref="B7:C7"/>
    <mergeCell ref="B8:C8"/>
    <mergeCell ref="B9:C9"/>
    <mergeCell ref="B2:C2"/>
    <mergeCell ref="D2:N2"/>
    <mergeCell ref="B3:C3"/>
    <mergeCell ref="M3:N8"/>
    <mergeCell ref="B4:C4"/>
    <mergeCell ref="B5:C5"/>
    <mergeCell ref="B6:C6"/>
  </mergeCells>
  <conditionalFormatting sqref="D10:L34">
    <cfRule type="containsBlanks" dxfId="0" priority="1">
      <formula>LEN(TRIM(D10))=0</formula>
    </cfRule>
  </conditionalFormatting>
  <conditionalFormatting sqref="D10:L34">
    <cfRule type="cellIs" dxfId="1" priority="2" operator="equal">
      <formula>D$9</formula>
    </cfRule>
  </conditionalFormatting>
  <conditionalFormatting sqref="M10:M34">
    <cfRule type="cellIs" dxfId="2" priority="3" operator="equal">
      <formula>0</formula>
    </cfRule>
  </conditionalFormatting>
  <conditionalFormatting sqref="M10:M34">
    <cfRule type="expression" dxfId="3" priority="4">
      <formula>$M:$M=MAX(M:M)</formula>
    </cfRule>
  </conditionalFormatting>
  <conditionalFormatting sqref="N10:N34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10:N34">
    <cfRule type="expression" dxfId="4" priority="6">
      <formula>$N:$N=MAX(N:N)</formula>
    </cfRule>
  </conditionalFormatting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3.25"/>
  </cols>
  <sheetData>
    <row r="1">
      <c r="A1" s="293" t="s">
        <v>188</v>
      </c>
    </row>
    <row r="5">
      <c r="B5" s="177" t="str">
        <f>Summary!D2</f>
        <v>Cooksey Plate - Round 24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.38"/>
    <col customWidth="1" min="2" max="2" width="10.25"/>
    <col customWidth="1" min="3" max="3" width="9.13"/>
    <col customWidth="1" min="4" max="4" width="25.0"/>
    <col customWidth="1" min="5" max="5" width="23.25"/>
    <col customWidth="1" min="6" max="12" width="15.38"/>
    <col customWidth="1" min="13" max="13" width="7.0"/>
    <col customWidth="1" min="14" max="14" width="7.13"/>
    <col customWidth="1" min="15" max="16" width="5.0"/>
  </cols>
  <sheetData>
    <row r="1">
      <c r="A1" s="294"/>
      <c r="B1" s="295">
        <v>45726.0</v>
      </c>
      <c r="C1" s="296"/>
      <c r="D1" s="297">
        <v>1.0</v>
      </c>
      <c r="E1" s="297">
        <v>2.0</v>
      </c>
      <c r="F1" s="297">
        <v>3.0</v>
      </c>
      <c r="G1" s="297">
        <v>4.0</v>
      </c>
      <c r="H1" s="297">
        <v>5.0</v>
      </c>
      <c r="I1" s="297">
        <v>6.0</v>
      </c>
      <c r="J1" s="297">
        <v>7.0</v>
      </c>
      <c r="K1" s="297">
        <v>8.0</v>
      </c>
      <c r="L1" s="297">
        <v>9.0</v>
      </c>
      <c r="M1" s="297" t="s">
        <v>0</v>
      </c>
      <c r="N1" s="298"/>
    </row>
    <row r="2" ht="33.75" customHeight="1">
      <c r="A2" s="299">
        <v>0.0</v>
      </c>
      <c r="B2" s="300" t="s">
        <v>189</v>
      </c>
      <c r="C2" s="301"/>
      <c r="D2" s="302" t="s">
        <v>190</v>
      </c>
      <c r="E2" s="8"/>
      <c r="F2" s="8"/>
      <c r="G2" s="8"/>
      <c r="H2" s="8"/>
      <c r="I2" s="8"/>
      <c r="J2" s="8"/>
      <c r="K2" s="8"/>
      <c r="L2" s="8"/>
      <c r="M2" s="8"/>
      <c r="N2" s="303"/>
      <c r="O2" s="11"/>
      <c r="P2" s="12"/>
    </row>
    <row r="3">
      <c r="A3" s="299">
        <v>4.0</v>
      </c>
      <c r="B3" s="304" t="s">
        <v>1</v>
      </c>
      <c r="C3" s="305"/>
      <c r="D3" s="306">
        <v>45723.819444444445</v>
      </c>
      <c r="E3" s="306">
        <v>45725.63888888889</v>
      </c>
      <c r="F3" s="306" t="s">
        <v>144</v>
      </c>
      <c r="G3" s="306" t="s">
        <v>144</v>
      </c>
      <c r="H3" s="306" t="s">
        <v>144</v>
      </c>
      <c r="I3" s="306" t="s">
        <v>144</v>
      </c>
      <c r="J3" s="306" t="s">
        <v>144</v>
      </c>
      <c r="K3" s="306" t="s">
        <v>144</v>
      </c>
      <c r="L3" s="306" t="s">
        <v>144</v>
      </c>
      <c r="M3" s="307"/>
      <c r="N3" s="308"/>
    </row>
    <row r="4">
      <c r="A4" s="299">
        <v>5.0</v>
      </c>
      <c r="B4" s="309" t="s">
        <v>184</v>
      </c>
      <c r="C4" s="310"/>
      <c r="D4" s="311">
        <v>45723.819444444445</v>
      </c>
      <c r="E4" s="311">
        <v>45725.63888888889</v>
      </c>
      <c r="F4" s="311" t="s">
        <v>144</v>
      </c>
      <c r="G4" s="311" t="s">
        <v>144</v>
      </c>
      <c r="H4" s="311" t="s">
        <v>144</v>
      </c>
      <c r="I4" s="311" t="s">
        <v>144</v>
      </c>
      <c r="J4" s="311" t="s">
        <v>144</v>
      </c>
      <c r="K4" s="311" t="s">
        <v>144</v>
      </c>
      <c r="L4" s="311" t="s">
        <v>144</v>
      </c>
      <c r="M4" s="312"/>
      <c r="N4" s="313"/>
    </row>
    <row r="5">
      <c r="A5" s="299">
        <v>7.0</v>
      </c>
      <c r="B5" s="314" t="s">
        <v>4</v>
      </c>
      <c r="C5" s="315"/>
      <c r="D5" s="32" t="s">
        <v>26</v>
      </c>
      <c r="E5" s="32" t="s">
        <v>27</v>
      </c>
      <c r="F5" s="32" t="s">
        <v>144</v>
      </c>
      <c r="G5" s="32" t="s">
        <v>144</v>
      </c>
      <c r="H5" s="32" t="s">
        <v>144</v>
      </c>
      <c r="I5" s="32" t="s">
        <v>144</v>
      </c>
      <c r="J5" s="32" t="s">
        <v>144</v>
      </c>
      <c r="K5" s="32" t="s">
        <v>144</v>
      </c>
      <c r="L5" s="32" t="s">
        <v>144</v>
      </c>
      <c r="M5" s="316"/>
      <c r="N5" s="317"/>
    </row>
    <row r="6">
      <c r="A6" s="299">
        <v>8.0</v>
      </c>
      <c r="B6" s="318" t="s">
        <v>5</v>
      </c>
      <c r="C6" s="310"/>
      <c r="D6" s="30" t="s">
        <v>36</v>
      </c>
      <c r="E6" s="30" t="s">
        <v>32</v>
      </c>
      <c r="F6" s="30" t="s">
        <v>144</v>
      </c>
      <c r="G6" s="30" t="s">
        <v>144</v>
      </c>
      <c r="H6" s="30" t="s">
        <v>144</v>
      </c>
      <c r="I6" s="30" t="s">
        <v>144</v>
      </c>
      <c r="J6" s="30" t="s">
        <v>144</v>
      </c>
      <c r="K6" s="30" t="s">
        <v>144</v>
      </c>
      <c r="L6" s="30" t="s">
        <v>144</v>
      </c>
      <c r="M6" s="312"/>
      <c r="N6" s="313"/>
    </row>
    <row r="7">
      <c r="A7" s="319">
        <v>9.0</v>
      </c>
      <c r="B7" s="320" t="s">
        <v>6</v>
      </c>
      <c r="C7" s="321"/>
      <c r="D7" s="322" t="s">
        <v>120</v>
      </c>
      <c r="E7" s="322" t="s">
        <v>133</v>
      </c>
      <c r="F7" s="322" t="s">
        <v>144</v>
      </c>
      <c r="G7" s="322" t="s">
        <v>144</v>
      </c>
      <c r="H7" s="322" t="s">
        <v>144</v>
      </c>
      <c r="I7" s="322" t="s">
        <v>144</v>
      </c>
      <c r="J7" s="322" t="s">
        <v>144</v>
      </c>
      <c r="K7" s="322" t="s">
        <v>144</v>
      </c>
      <c r="L7" s="322" t="s">
        <v>144</v>
      </c>
      <c r="M7" s="323"/>
      <c r="N7" s="324"/>
    </row>
    <row r="8">
      <c r="A8" s="325"/>
      <c r="B8" s="326" t="s">
        <v>7</v>
      </c>
      <c r="C8" s="327"/>
      <c r="D8" s="328" t="s">
        <v>36</v>
      </c>
      <c r="E8" s="328" t="s">
        <v>27</v>
      </c>
      <c r="F8" s="328" t="s">
        <v>144</v>
      </c>
      <c r="G8" s="328" t="s">
        <v>144</v>
      </c>
      <c r="H8" s="328" t="s">
        <v>144</v>
      </c>
      <c r="I8" s="328" t="s">
        <v>144</v>
      </c>
      <c r="J8" s="328" t="s">
        <v>144</v>
      </c>
      <c r="K8" s="328" t="s">
        <v>144</v>
      </c>
      <c r="L8" s="328" t="s">
        <v>144</v>
      </c>
      <c r="M8" s="329" t="s">
        <v>8</v>
      </c>
      <c r="N8" s="330" t="s">
        <v>9</v>
      </c>
    </row>
    <row r="9">
      <c r="A9" s="325"/>
      <c r="B9" s="331" t="s">
        <v>10</v>
      </c>
      <c r="C9" s="332" t="s">
        <v>11</v>
      </c>
      <c r="D9" s="333" t="s">
        <v>36</v>
      </c>
      <c r="E9" s="333" t="s">
        <v>27</v>
      </c>
      <c r="F9" s="334"/>
      <c r="G9" s="335"/>
      <c r="H9" s="334"/>
      <c r="I9" s="334"/>
      <c r="J9" s="334"/>
      <c r="K9" s="335"/>
      <c r="L9" s="335"/>
      <c r="M9" s="336">
        <v>2.0</v>
      </c>
      <c r="N9" s="337">
        <v>2.0</v>
      </c>
    </row>
    <row r="10">
      <c r="A10" s="325"/>
      <c r="B10" s="338" t="s">
        <v>12</v>
      </c>
      <c r="C10" s="339" t="s">
        <v>13</v>
      </c>
      <c r="D10" s="340" t="s">
        <v>26</v>
      </c>
      <c r="E10" s="340" t="s">
        <v>32</v>
      </c>
      <c r="F10" s="341"/>
      <c r="G10" s="342"/>
      <c r="H10" s="342"/>
      <c r="I10" s="341"/>
      <c r="J10" s="341"/>
      <c r="K10" s="342"/>
      <c r="L10" s="342"/>
      <c r="M10" s="343">
        <v>0.0</v>
      </c>
      <c r="N10" s="344">
        <v>0.0</v>
      </c>
    </row>
    <row r="11">
      <c r="A11" s="325"/>
      <c r="B11" s="338" t="s">
        <v>14</v>
      </c>
      <c r="C11" s="339" t="s">
        <v>15</v>
      </c>
      <c r="D11" s="340" t="s">
        <v>26</v>
      </c>
      <c r="E11" s="340" t="s">
        <v>27</v>
      </c>
      <c r="F11" s="341"/>
      <c r="G11" s="342"/>
      <c r="H11" s="341"/>
      <c r="I11" s="341"/>
      <c r="J11" s="342"/>
      <c r="K11" s="342"/>
      <c r="L11" s="342"/>
      <c r="M11" s="343">
        <v>1.0</v>
      </c>
      <c r="N11" s="344">
        <v>1.0</v>
      </c>
    </row>
    <row r="12">
      <c r="A12" s="345"/>
      <c r="B12" s="338" t="s">
        <v>16</v>
      </c>
      <c r="C12" s="339" t="s">
        <v>11</v>
      </c>
      <c r="D12" s="340" t="s">
        <v>36</v>
      </c>
      <c r="E12" s="340" t="s">
        <v>27</v>
      </c>
      <c r="F12" s="342"/>
      <c r="G12" s="342"/>
      <c r="H12" s="342"/>
      <c r="I12" s="341"/>
      <c r="J12" s="342"/>
      <c r="K12" s="342"/>
      <c r="L12" s="342"/>
      <c r="M12" s="343">
        <v>2.0</v>
      </c>
      <c r="N12" s="344">
        <v>2.0</v>
      </c>
    </row>
    <row r="13">
      <c r="A13" s="345"/>
      <c r="B13" s="338" t="s">
        <v>17</v>
      </c>
      <c r="C13" s="339" t="s">
        <v>18</v>
      </c>
      <c r="D13" s="340" t="s">
        <v>26</v>
      </c>
      <c r="E13" s="340" t="s">
        <v>27</v>
      </c>
      <c r="F13" s="342"/>
      <c r="G13" s="342"/>
      <c r="H13" s="341"/>
      <c r="I13" s="341"/>
      <c r="J13" s="341"/>
      <c r="K13" s="342"/>
      <c r="L13" s="342"/>
      <c r="M13" s="343">
        <v>1.0</v>
      </c>
      <c r="N13" s="344">
        <v>1.0</v>
      </c>
    </row>
    <row r="14">
      <c r="A14" s="345"/>
      <c r="B14" s="338" t="s">
        <v>20</v>
      </c>
      <c r="C14" s="339" t="s">
        <v>15</v>
      </c>
      <c r="D14" s="340" t="s">
        <v>36</v>
      </c>
      <c r="E14" s="340" t="s">
        <v>27</v>
      </c>
      <c r="F14" s="341"/>
      <c r="G14" s="342"/>
      <c r="H14" s="342"/>
      <c r="I14" s="341"/>
      <c r="J14" s="341"/>
      <c r="K14" s="342"/>
      <c r="L14" s="342"/>
      <c r="M14" s="343">
        <v>2.0</v>
      </c>
      <c r="N14" s="344">
        <v>2.0</v>
      </c>
    </row>
    <row r="15">
      <c r="A15" s="345"/>
      <c r="B15" s="338" t="s">
        <v>19</v>
      </c>
      <c r="C15" s="339"/>
      <c r="D15" s="340" t="s">
        <v>36</v>
      </c>
      <c r="E15" s="340" t="s">
        <v>27</v>
      </c>
      <c r="F15" s="346"/>
      <c r="G15" s="346"/>
      <c r="H15" s="346"/>
      <c r="I15" s="346"/>
      <c r="J15" s="346"/>
      <c r="K15" s="346"/>
      <c r="L15" s="346"/>
      <c r="M15" s="343">
        <v>2.0</v>
      </c>
      <c r="N15" s="344">
        <v>2.0</v>
      </c>
    </row>
    <row r="16">
      <c r="A16" s="345"/>
      <c r="B16" s="338" t="s">
        <v>30</v>
      </c>
      <c r="C16" s="339" t="s">
        <v>13</v>
      </c>
      <c r="D16" s="340" t="s">
        <v>26</v>
      </c>
      <c r="E16" s="340" t="s">
        <v>27</v>
      </c>
      <c r="F16" s="341"/>
      <c r="G16" s="342"/>
      <c r="H16" s="341"/>
      <c r="I16" s="341"/>
      <c r="J16" s="342"/>
      <c r="K16" s="342"/>
      <c r="L16" s="342"/>
      <c r="M16" s="343">
        <v>1.0</v>
      </c>
      <c r="N16" s="344">
        <v>1.0</v>
      </c>
    </row>
    <row r="17">
      <c r="A17" s="345"/>
      <c r="B17" s="338" t="s">
        <v>35</v>
      </c>
      <c r="C17" s="339" t="s">
        <v>13</v>
      </c>
      <c r="D17" s="340" t="s">
        <v>26</v>
      </c>
      <c r="E17" s="340" t="s">
        <v>32</v>
      </c>
      <c r="F17" s="341"/>
      <c r="G17" s="342"/>
      <c r="H17" s="341"/>
      <c r="I17" s="341"/>
      <c r="J17" s="341"/>
      <c r="K17" s="342"/>
      <c r="L17" s="342"/>
      <c r="M17" s="343">
        <v>0.0</v>
      </c>
      <c r="N17" s="344">
        <v>0.0</v>
      </c>
    </row>
    <row r="18">
      <c r="A18" s="345"/>
      <c r="B18" s="338" t="s">
        <v>37</v>
      </c>
      <c r="C18" s="339" t="s">
        <v>13</v>
      </c>
      <c r="D18" s="340" t="s">
        <v>26</v>
      </c>
      <c r="E18" s="340" t="s">
        <v>32</v>
      </c>
      <c r="F18" s="341"/>
      <c r="G18" s="342"/>
      <c r="H18" s="342"/>
      <c r="I18" s="341"/>
      <c r="J18" s="341"/>
      <c r="K18" s="342"/>
      <c r="L18" s="342"/>
      <c r="M18" s="343">
        <v>0.0</v>
      </c>
      <c r="N18" s="344">
        <v>0.0</v>
      </c>
    </row>
    <row r="19">
      <c r="A19" s="345"/>
      <c r="B19" s="338" t="s">
        <v>38</v>
      </c>
      <c r="C19" s="339" t="s">
        <v>39</v>
      </c>
      <c r="D19" s="340" t="s">
        <v>26</v>
      </c>
      <c r="E19" s="340" t="s">
        <v>27</v>
      </c>
      <c r="F19" s="341"/>
      <c r="G19" s="342"/>
      <c r="H19" s="341"/>
      <c r="I19" s="341"/>
      <c r="J19" s="342"/>
      <c r="K19" s="342"/>
      <c r="L19" s="342"/>
      <c r="M19" s="343">
        <v>1.0</v>
      </c>
      <c r="N19" s="344">
        <v>1.0</v>
      </c>
    </row>
    <row r="20">
      <c r="A20" s="345"/>
      <c r="B20" s="338" t="s">
        <v>40</v>
      </c>
      <c r="C20" s="339" t="s">
        <v>39</v>
      </c>
      <c r="D20" s="340" t="s">
        <v>36</v>
      </c>
      <c r="E20" s="340" t="s">
        <v>27</v>
      </c>
      <c r="F20" s="341"/>
      <c r="G20" s="342"/>
      <c r="H20" s="341"/>
      <c r="I20" s="341"/>
      <c r="J20" s="342"/>
      <c r="K20" s="342"/>
      <c r="L20" s="342"/>
      <c r="M20" s="343">
        <v>2.0</v>
      </c>
      <c r="N20" s="344">
        <v>2.0</v>
      </c>
    </row>
    <row r="21">
      <c r="A21" s="345"/>
      <c r="B21" s="338" t="s">
        <v>41</v>
      </c>
      <c r="C21" s="339" t="s">
        <v>39</v>
      </c>
      <c r="D21" s="340" t="s">
        <v>36</v>
      </c>
      <c r="E21" s="340" t="s">
        <v>27</v>
      </c>
      <c r="F21" s="347"/>
      <c r="G21" s="347"/>
      <c r="H21" s="341"/>
      <c r="I21" s="341"/>
      <c r="J21" s="342"/>
      <c r="K21" s="342"/>
      <c r="L21" s="342"/>
      <c r="M21" s="343">
        <v>2.0</v>
      </c>
      <c r="N21" s="344">
        <v>2.0</v>
      </c>
    </row>
    <row r="22">
      <c r="A22" s="345"/>
      <c r="B22" s="338" t="s">
        <v>42</v>
      </c>
      <c r="C22" s="339" t="s">
        <v>39</v>
      </c>
      <c r="D22" s="340" t="s">
        <v>26</v>
      </c>
      <c r="E22" s="340" t="s">
        <v>27</v>
      </c>
      <c r="F22" s="341"/>
      <c r="G22" s="342"/>
      <c r="H22" s="341"/>
      <c r="I22" s="341"/>
      <c r="J22" s="341"/>
      <c r="K22" s="342"/>
      <c r="L22" s="342"/>
      <c r="M22" s="343">
        <v>1.0</v>
      </c>
      <c r="N22" s="344">
        <v>1.0</v>
      </c>
    </row>
    <row r="23">
      <c r="A23" s="345"/>
      <c r="B23" s="338" t="s">
        <v>43</v>
      </c>
      <c r="C23" s="339" t="s">
        <v>44</v>
      </c>
      <c r="D23" s="340" t="s">
        <v>26</v>
      </c>
      <c r="E23" s="340" t="s">
        <v>27</v>
      </c>
      <c r="F23" s="346"/>
      <c r="G23" s="346"/>
      <c r="H23" s="346"/>
      <c r="I23" s="346"/>
      <c r="J23" s="346"/>
      <c r="K23" s="346"/>
      <c r="L23" s="346"/>
      <c r="M23" s="343">
        <v>1.0</v>
      </c>
      <c r="N23" s="344">
        <v>1.0</v>
      </c>
    </row>
    <row r="24">
      <c r="A24" s="345"/>
      <c r="B24" s="338" t="s">
        <v>45</v>
      </c>
      <c r="C24" s="339" t="s">
        <v>44</v>
      </c>
      <c r="D24" s="340" t="s">
        <v>26</v>
      </c>
      <c r="E24" s="340" t="s">
        <v>32</v>
      </c>
      <c r="F24" s="341"/>
      <c r="G24" s="342"/>
      <c r="H24" s="341"/>
      <c r="I24" s="341"/>
      <c r="J24" s="341"/>
      <c r="K24" s="342"/>
      <c r="L24" s="342"/>
      <c r="M24" s="343">
        <v>0.0</v>
      </c>
      <c r="N24" s="344">
        <v>0.0</v>
      </c>
    </row>
    <row r="25">
      <c r="A25" s="345"/>
      <c r="B25" s="338" t="s">
        <v>46</v>
      </c>
      <c r="C25" s="339" t="s">
        <v>18</v>
      </c>
      <c r="D25" s="340" t="s">
        <v>26</v>
      </c>
      <c r="E25" s="340" t="s">
        <v>32</v>
      </c>
      <c r="F25" s="342"/>
      <c r="G25" s="342"/>
      <c r="H25" s="341"/>
      <c r="I25" s="341"/>
      <c r="J25" s="342"/>
      <c r="K25" s="342"/>
      <c r="L25" s="342"/>
      <c r="M25" s="343">
        <v>0.0</v>
      </c>
      <c r="N25" s="344">
        <v>0.0</v>
      </c>
    </row>
    <row r="26">
      <c r="A26" s="345"/>
      <c r="B26" s="338" t="s">
        <v>48</v>
      </c>
      <c r="C26" s="339" t="s">
        <v>49</v>
      </c>
      <c r="D26" s="340" t="s">
        <v>26</v>
      </c>
      <c r="E26" s="340" t="s">
        <v>27</v>
      </c>
      <c r="F26" s="341"/>
      <c r="G26" s="342"/>
      <c r="H26" s="341"/>
      <c r="I26" s="341"/>
      <c r="J26" s="342"/>
      <c r="K26" s="342"/>
      <c r="L26" s="342"/>
      <c r="M26" s="343">
        <v>1.0</v>
      </c>
      <c r="N26" s="344">
        <v>1.0</v>
      </c>
    </row>
    <row r="27">
      <c r="A27" s="345"/>
      <c r="B27" s="338" t="s">
        <v>50</v>
      </c>
      <c r="C27" s="339" t="s">
        <v>51</v>
      </c>
      <c r="D27" s="340" t="s">
        <v>26</v>
      </c>
      <c r="E27" s="340" t="s">
        <v>32</v>
      </c>
      <c r="F27" s="342"/>
      <c r="G27" s="342"/>
      <c r="H27" s="342"/>
      <c r="I27" s="341"/>
      <c r="J27" s="341"/>
      <c r="K27" s="342"/>
      <c r="L27" s="342"/>
      <c r="M27" s="343">
        <v>0.0</v>
      </c>
      <c r="N27" s="344">
        <v>0.0</v>
      </c>
    </row>
    <row r="28">
      <c r="A28" s="345"/>
      <c r="B28" s="338" t="s">
        <v>52</v>
      </c>
      <c r="C28" s="339" t="s">
        <v>13</v>
      </c>
      <c r="D28" s="340" t="s">
        <v>26</v>
      </c>
      <c r="E28" s="340" t="s">
        <v>32</v>
      </c>
      <c r="F28" s="342"/>
      <c r="G28" s="342"/>
      <c r="H28" s="342"/>
      <c r="I28" s="341"/>
      <c r="J28" s="342"/>
      <c r="K28" s="342"/>
      <c r="L28" s="342"/>
      <c r="M28" s="343">
        <v>0.0</v>
      </c>
      <c r="N28" s="344">
        <v>0.0</v>
      </c>
    </row>
    <row r="29">
      <c r="A29" s="345"/>
      <c r="B29" s="338" t="s">
        <v>56</v>
      </c>
      <c r="C29" s="339" t="s">
        <v>13</v>
      </c>
      <c r="D29" s="340" t="s">
        <v>26</v>
      </c>
      <c r="E29" s="340" t="s">
        <v>32</v>
      </c>
      <c r="F29" s="341"/>
      <c r="G29" s="342"/>
      <c r="H29" s="341"/>
      <c r="I29" s="341"/>
      <c r="J29" s="342"/>
      <c r="K29" s="342"/>
      <c r="L29" s="342"/>
      <c r="M29" s="343">
        <v>0.0</v>
      </c>
      <c r="N29" s="344">
        <v>0.0</v>
      </c>
    </row>
    <row r="30">
      <c r="A30" s="325"/>
      <c r="B30" s="348" t="s">
        <v>58</v>
      </c>
      <c r="C30" s="349" t="s">
        <v>59</v>
      </c>
      <c r="D30" s="350" t="s">
        <v>36</v>
      </c>
      <c r="E30" s="350" t="s">
        <v>32</v>
      </c>
      <c r="F30" s="351"/>
      <c r="G30" s="351"/>
      <c r="H30" s="351"/>
      <c r="I30" s="351"/>
      <c r="J30" s="351"/>
      <c r="K30" s="351"/>
      <c r="L30" s="351"/>
      <c r="M30" s="352">
        <v>1.0</v>
      </c>
      <c r="N30" s="353">
        <v>1.0</v>
      </c>
    </row>
    <row r="31">
      <c r="A31" s="325"/>
      <c r="B31" s="354" t="s">
        <v>60</v>
      </c>
      <c r="C31" s="355" t="s">
        <v>39</v>
      </c>
      <c r="D31" s="340" t="s">
        <v>26</v>
      </c>
      <c r="E31" s="340" t="s">
        <v>32</v>
      </c>
      <c r="F31" s="342" t="s">
        <v>144</v>
      </c>
      <c r="G31" s="342" t="s">
        <v>144</v>
      </c>
      <c r="H31" s="342" t="s">
        <v>144</v>
      </c>
      <c r="I31" s="342" t="s">
        <v>144</v>
      </c>
      <c r="J31" s="342" t="s">
        <v>144</v>
      </c>
      <c r="K31" s="342" t="s">
        <v>144</v>
      </c>
      <c r="L31" s="342" t="s">
        <v>144</v>
      </c>
      <c r="M31" s="356">
        <v>0.0</v>
      </c>
      <c r="N31" s="344">
        <v>0.0</v>
      </c>
    </row>
    <row r="32">
      <c r="A32" s="345"/>
      <c r="B32" s="357" t="s">
        <v>61</v>
      </c>
      <c r="C32" s="358" t="s">
        <v>39</v>
      </c>
      <c r="D32" s="359"/>
      <c r="E32" s="359"/>
      <c r="F32" s="360"/>
      <c r="G32" s="360"/>
      <c r="H32" s="360"/>
      <c r="I32" s="360"/>
      <c r="J32" s="360"/>
      <c r="K32" s="360"/>
      <c r="L32" s="360"/>
      <c r="M32" s="361">
        <v>1.0</v>
      </c>
      <c r="N32" s="353">
        <v>1.0</v>
      </c>
    </row>
    <row r="33">
      <c r="A33" s="345"/>
      <c r="B33" s="362" t="s">
        <v>62</v>
      </c>
      <c r="C33" s="363" t="s">
        <v>63</v>
      </c>
      <c r="D33" s="364" t="s">
        <v>26</v>
      </c>
      <c r="E33" s="364" t="s">
        <v>27</v>
      </c>
      <c r="F33" s="365"/>
      <c r="G33" s="365"/>
      <c r="H33" s="365"/>
      <c r="I33" s="365"/>
      <c r="J33" s="365"/>
      <c r="K33" s="365"/>
      <c r="L33" s="365"/>
      <c r="M33" s="366">
        <v>1.0</v>
      </c>
      <c r="N33" s="367">
        <v>1.0</v>
      </c>
    </row>
  </sheetData>
  <mergeCells count="7">
    <mergeCell ref="D2:N2"/>
    <mergeCell ref="B3:C3"/>
    <mergeCell ref="B4:C4"/>
    <mergeCell ref="B5:C5"/>
    <mergeCell ref="B6:C6"/>
    <mergeCell ref="B7:C7"/>
    <mergeCell ref="B8:C8"/>
  </mergeCells>
  <conditionalFormatting sqref="D9:L31">
    <cfRule type="containsBlanks" dxfId="0" priority="1">
      <formula>LEN(TRIM(D9))=0</formula>
    </cfRule>
  </conditionalFormatting>
  <conditionalFormatting sqref="D9:L31">
    <cfRule type="cellIs" dxfId="1" priority="2" operator="equal">
      <formula>D$8</formula>
    </cfRule>
  </conditionalFormatting>
  <conditionalFormatting sqref="M9:M30">
    <cfRule type="cellIs" dxfId="2" priority="3" operator="equal">
      <formula>0</formula>
    </cfRule>
  </conditionalFormatting>
  <conditionalFormatting sqref="M9:M30">
    <cfRule type="expression" dxfId="3" priority="4">
      <formula>$M:$M=MAX(M:M)</formula>
    </cfRule>
  </conditionalFormatting>
  <conditionalFormatting sqref="N9:N30">
    <cfRule type="colorScale" priority="5">
      <colorScale>
        <cfvo type="min"/>
        <cfvo type="percentile" val="95"/>
        <cfvo type="max"/>
        <color rgb="FFFFFFFE"/>
        <color rgb="FFABDDC4"/>
        <color rgb="FF57BB8A"/>
      </colorScale>
    </cfRule>
  </conditionalFormatting>
  <conditionalFormatting sqref="N9:N31">
    <cfRule type="expression" dxfId="4" priority="6">
      <formula>$N:$N=MAX(N:N)</formula>
    </cfRule>
  </conditionalFormatting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4" max="4" width="20.13"/>
  </cols>
  <sheetData>
    <row r="1">
      <c r="A1" s="177" t="s">
        <v>189</v>
      </c>
      <c r="B1" s="293">
        <v>0.0</v>
      </c>
      <c r="D1" s="293" t="s">
        <v>191</v>
      </c>
      <c r="E1" s="293" t="s">
        <v>192</v>
      </c>
      <c r="F1" s="293" t="s">
        <v>193</v>
      </c>
      <c r="H1" s="293" t="s">
        <v>194</v>
      </c>
    </row>
    <row r="2">
      <c r="A2" s="177" t="s">
        <v>185</v>
      </c>
      <c r="B2" s="293">
        <v>1.0</v>
      </c>
      <c r="D2" s="172" t="str">
        <f>IFERROR(__xludf.DUMMYFUNCTION("IMPORTXML(""https://api.squiggle.com.au/?q=teams;format=xml"", ""//name"")"),"Adelaide")</f>
        <v>Adelaide</v>
      </c>
      <c r="E2" s="172" t="str">
        <f>IFERROR(__xludf.DUMMYFUNCTION("IMPORTXML(""https://api.squiggle.com.au/?q=teams;format=xml"", ""//abbrev"")"),"ADE")</f>
        <v>ADE</v>
      </c>
      <c r="F2" s="172">
        <f>IFERROR(__xludf.DUMMYFUNCTION("IMPORTXML(""https://api.squiggle.com.au/?q=teams;format=xml"", ""//debut"")"),1991.0)</f>
        <v>1991</v>
      </c>
      <c r="G2" s="172"/>
      <c r="H2" s="172" t="str">
        <f>IFERROR(__xludf.DUMMYFUNCTION("IMPORTXML(""https://api.squiggle.com.au/?q=games;live=0;format=xml"", ""/*/*"")"),"#N/A")</f>
        <v>#N/A</v>
      </c>
    </row>
    <row r="3">
      <c r="A3" s="177" t="s">
        <v>182</v>
      </c>
      <c r="B3" s="293">
        <v>2.0</v>
      </c>
      <c r="D3" s="177" t="str">
        <f>IFERROR(__xludf.DUMMYFUNCTION("""COMPUTED_VALUE"""),"Brisbane Lions")</f>
        <v>Brisbane Lions</v>
      </c>
      <c r="E3" s="177" t="str">
        <f>IFERROR(__xludf.DUMMYFUNCTION("""COMPUTED_VALUE"""),"BRI")</f>
        <v>BRI</v>
      </c>
      <c r="F3" s="177">
        <f>IFERROR(__xludf.DUMMYFUNCTION("""COMPUTED_VALUE"""),1987.0)</f>
        <v>1987</v>
      </c>
    </row>
    <row r="4">
      <c r="A4" s="177" t="s">
        <v>180</v>
      </c>
      <c r="B4" s="293">
        <v>3.0</v>
      </c>
      <c r="D4" s="177" t="str">
        <f>IFERROR(__xludf.DUMMYFUNCTION("""COMPUTED_VALUE"""),"Carlton")</f>
        <v>Carlton</v>
      </c>
      <c r="E4" s="177" t="str">
        <f>IFERROR(__xludf.DUMMYFUNCTION("""COMPUTED_VALUE"""),"CAR")</f>
        <v>CAR</v>
      </c>
      <c r="F4" s="177">
        <f>IFERROR(__xludf.DUMMYFUNCTION("""COMPUTED_VALUE"""),1897.0)</f>
        <v>1897</v>
      </c>
    </row>
    <row r="5">
      <c r="A5" s="177" t="s">
        <v>176</v>
      </c>
      <c r="B5" s="293">
        <v>4.0</v>
      </c>
      <c r="D5" s="177" t="str">
        <f>IFERROR(__xludf.DUMMYFUNCTION("""COMPUTED_VALUE"""),"Collingwood")</f>
        <v>Collingwood</v>
      </c>
      <c r="E5" s="177" t="str">
        <f>IFERROR(__xludf.DUMMYFUNCTION("""COMPUTED_VALUE"""),"COL")</f>
        <v>COL</v>
      </c>
      <c r="F5" s="177">
        <f>IFERROR(__xludf.DUMMYFUNCTION("""COMPUTED_VALUE"""),1897.0)</f>
        <v>1897</v>
      </c>
    </row>
    <row r="6">
      <c r="A6" s="177" t="s">
        <v>69</v>
      </c>
      <c r="B6" s="293">
        <v>5.0</v>
      </c>
      <c r="D6" s="177" t="str">
        <f>IFERROR(__xludf.DUMMYFUNCTION("""COMPUTED_VALUE"""),"Essendon")</f>
        <v>Essendon</v>
      </c>
      <c r="E6" s="177" t="str">
        <f>IFERROR(__xludf.DUMMYFUNCTION("""COMPUTED_VALUE"""),"ESS")</f>
        <v>ESS</v>
      </c>
      <c r="F6" s="177">
        <f>IFERROR(__xludf.DUMMYFUNCTION("""COMPUTED_VALUE"""),1897.0)</f>
        <v>1897</v>
      </c>
    </row>
    <row r="7">
      <c r="A7" s="177" t="s">
        <v>171</v>
      </c>
      <c r="B7" s="293">
        <v>6.0</v>
      </c>
      <c r="D7" s="177" t="str">
        <f>IFERROR(__xludf.DUMMYFUNCTION("""COMPUTED_VALUE"""),"Fremantle")</f>
        <v>Fremantle</v>
      </c>
      <c r="E7" s="177" t="str">
        <f>IFERROR(__xludf.DUMMYFUNCTION("""COMPUTED_VALUE"""),"FRE")</f>
        <v>FRE</v>
      </c>
      <c r="F7" s="177">
        <f>IFERROR(__xludf.DUMMYFUNCTION("""COMPUTED_VALUE"""),1995.0)</f>
        <v>1995</v>
      </c>
    </row>
    <row r="8">
      <c r="A8" s="177" t="s">
        <v>169</v>
      </c>
      <c r="B8" s="293">
        <v>7.0</v>
      </c>
      <c r="D8" s="177" t="str">
        <f>IFERROR(__xludf.DUMMYFUNCTION("""COMPUTED_VALUE"""),"Geelong")</f>
        <v>Geelong</v>
      </c>
      <c r="E8" s="177" t="str">
        <f>IFERROR(__xludf.DUMMYFUNCTION("""COMPUTED_VALUE"""),"GEE")</f>
        <v>GEE</v>
      </c>
      <c r="F8" s="177">
        <f>IFERROR(__xludf.DUMMYFUNCTION("""COMPUTED_VALUE"""),1897.0)</f>
        <v>1897</v>
      </c>
    </row>
    <row r="9">
      <c r="A9" s="177" t="s">
        <v>166</v>
      </c>
      <c r="B9" s="293">
        <v>8.0</v>
      </c>
      <c r="D9" s="177" t="str">
        <f>IFERROR(__xludf.DUMMYFUNCTION("""COMPUTED_VALUE"""),"Gold Coast")</f>
        <v>Gold Coast</v>
      </c>
      <c r="E9" s="177" t="str">
        <f>IFERROR(__xludf.DUMMYFUNCTION("""COMPUTED_VALUE"""),"GCS")</f>
        <v>GCS</v>
      </c>
      <c r="F9" s="177">
        <f>IFERROR(__xludf.DUMMYFUNCTION("""COMPUTED_VALUE"""),2011.0)</f>
        <v>2011</v>
      </c>
    </row>
    <row r="10">
      <c r="A10" s="177" t="s">
        <v>164</v>
      </c>
      <c r="B10" s="293">
        <v>9.0</v>
      </c>
      <c r="D10" s="177" t="str">
        <f>IFERROR(__xludf.DUMMYFUNCTION("""COMPUTED_VALUE"""),"Greater Western Sydney")</f>
        <v>Greater Western Sydney</v>
      </c>
      <c r="E10" s="177" t="str">
        <f>IFERROR(__xludf.DUMMYFUNCTION("""COMPUTED_VALUE"""),"GWS")</f>
        <v>GWS</v>
      </c>
      <c r="F10" s="177">
        <f>IFERROR(__xludf.DUMMYFUNCTION("""COMPUTED_VALUE"""),2012.0)</f>
        <v>2012</v>
      </c>
    </row>
    <row r="11">
      <c r="A11" s="177" t="s">
        <v>161</v>
      </c>
      <c r="B11" s="293">
        <v>10.0</v>
      </c>
      <c r="D11" s="177" t="str">
        <f>IFERROR(__xludf.DUMMYFUNCTION("""COMPUTED_VALUE"""),"Hawthorn")</f>
        <v>Hawthorn</v>
      </c>
      <c r="E11" s="177" t="str">
        <f>IFERROR(__xludf.DUMMYFUNCTION("""COMPUTED_VALUE"""),"HAW")</f>
        <v>HAW</v>
      </c>
      <c r="F11" s="177">
        <f>IFERROR(__xludf.DUMMYFUNCTION("""COMPUTED_VALUE"""),1925.0)</f>
        <v>1925</v>
      </c>
    </row>
    <row r="12">
      <c r="A12" s="177" t="s">
        <v>158</v>
      </c>
      <c r="B12" s="293">
        <v>11.0</v>
      </c>
      <c r="D12" s="177" t="str">
        <f>IFERROR(__xludf.DUMMYFUNCTION("""COMPUTED_VALUE"""),"Melbourne")</f>
        <v>Melbourne</v>
      </c>
      <c r="E12" s="177" t="str">
        <f>IFERROR(__xludf.DUMMYFUNCTION("""COMPUTED_VALUE"""),"MEL")</f>
        <v>MEL</v>
      </c>
      <c r="F12" s="177">
        <f>IFERROR(__xludf.DUMMYFUNCTION("""COMPUTED_VALUE"""),1897.0)</f>
        <v>1897</v>
      </c>
    </row>
    <row r="13">
      <c r="A13" s="177" t="s">
        <v>155</v>
      </c>
      <c r="B13" s="293">
        <v>12.0</v>
      </c>
      <c r="D13" s="177" t="str">
        <f>IFERROR(__xludf.DUMMYFUNCTION("""COMPUTED_VALUE"""),"North Melbourne")</f>
        <v>North Melbourne</v>
      </c>
      <c r="E13" s="177" t="str">
        <f>IFERROR(__xludf.DUMMYFUNCTION("""COMPUTED_VALUE"""),"NOR")</f>
        <v>NOR</v>
      </c>
      <c r="F13" s="177">
        <f>IFERROR(__xludf.DUMMYFUNCTION("""COMPUTED_VALUE"""),1925.0)</f>
        <v>1925</v>
      </c>
    </row>
    <row r="14">
      <c r="A14" s="177" t="s">
        <v>149</v>
      </c>
      <c r="B14" s="293">
        <v>13.0</v>
      </c>
      <c r="D14" s="177" t="str">
        <f>IFERROR(__xludf.DUMMYFUNCTION("""COMPUTED_VALUE"""),"Port Adelaide")</f>
        <v>Port Adelaide</v>
      </c>
      <c r="E14" s="177" t="str">
        <f>IFERROR(__xludf.DUMMYFUNCTION("""COMPUTED_VALUE"""),"POR")</f>
        <v>POR</v>
      </c>
      <c r="F14" s="177">
        <f>IFERROR(__xludf.DUMMYFUNCTION("""COMPUTED_VALUE"""),1997.0)</f>
        <v>1997</v>
      </c>
    </row>
    <row r="15">
      <c r="A15" s="177" t="s">
        <v>147</v>
      </c>
      <c r="B15" s="293">
        <v>14.0</v>
      </c>
      <c r="D15" s="177" t="str">
        <f>IFERROR(__xludf.DUMMYFUNCTION("""COMPUTED_VALUE"""),"Richmond")</f>
        <v>Richmond</v>
      </c>
      <c r="E15" s="177" t="str">
        <f>IFERROR(__xludf.DUMMYFUNCTION("""COMPUTED_VALUE"""),"RIC")</f>
        <v>RIC</v>
      </c>
      <c r="F15" s="177">
        <f>IFERROR(__xludf.DUMMYFUNCTION("""COMPUTED_VALUE"""),1908.0)</f>
        <v>1908</v>
      </c>
    </row>
    <row r="16">
      <c r="A16" s="177" t="s">
        <v>145</v>
      </c>
      <c r="B16" s="293">
        <v>15.0</v>
      </c>
      <c r="D16" s="177" t="str">
        <f>IFERROR(__xludf.DUMMYFUNCTION("""COMPUTED_VALUE"""),"St Kilda")</f>
        <v>St Kilda</v>
      </c>
      <c r="E16" s="177" t="str">
        <f>IFERROR(__xludf.DUMMYFUNCTION("""COMPUTED_VALUE"""),"STK")</f>
        <v>STK</v>
      </c>
      <c r="F16" s="177">
        <f>IFERROR(__xludf.DUMMYFUNCTION("""COMPUTED_VALUE"""),1897.0)</f>
        <v>1897</v>
      </c>
    </row>
    <row r="17">
      <c r="A17" s="177" t="s">
        <v>142</v>
      </c>
      <c r="B17" s="293">
        <v>16.0</v>
      </c>
      <c r="D17" s="177" t="str">
        <f>IFERROR(__xludf.DUMMYFUNCTION("""COMPUTED_VALUE"""),"Sydney")</f>
        <v>Sydney</v>
      </c>
      <c r="E17" s="177" t="str">
        <f>IFERROR(__xludf.DUMMYFUNCTION("""COMPUTED_VALUE"""),"SYD")</f>
        <v>SYD</v>
      </c>
      <c r="F17" s="177">
        <f>IFERROR(__xludf.DUMMYFUNCTION("""COMPUTED_VALUE"""),1897.0)</f>
        <v>1897</v>
      </c>
    </row>
    <row r="18">
      <c r="A18" s="177" t="s">
        <v>140</v>
      </c>
      <c r="B18" s="293">
        <v>17.0</v>
      </c>
      <c r="D18" s="177" t="str">
        <f>IFERROR(__xludf.DUMMYFUNCTION("""COMPUTED_VALUE"""),"West Coast")</f>
        <v>West Coast</v>
      </c>
      <c r="E18" s="177" t="str">
        <f>IFERROR(__xludf.DUMMYFUNCTION("""COMPUTED_VALUE"""),"WCE")</f>
        <v>WCE</v>
      </c>
      <c r="F18" s="177">
        <f>IFERROR(__xludf.DUMMYFUNCTION("""COMPUTED_VALUE"""),1987.0)</f>
        <v>1987</v>
      </c>
    </row>
    <row r="19">
      <c r="A19" s="177" t="s">
        <v>137</v>
      </c>
      <c r="B19" s="293">
        <v>18.0</v>
      </c>
      <c r="D19" s="177" t="str">
        <f>IFERROR(__xludf.DUMMYFUNCTION("""COMPUTED_VALUE"""),"Western Bulldogs")</f>
        <v>Western Bulldogs</v>
      </c>
      <c r="E19" s="177" t="str">
        <f>IFERROR(__xludf.DUMMYFUNCTION("""COMPUTED_VALUE"""),"WBD")</f>
        <v>WBD</v>
      </c>
      <c r="F19" s="177">
        <f>IFERROR(__xludf.DUMMYFUNCTION("""COMPUTED_VALUE"""),1925.0)</f>
        <v>1925</v>
      </c>
    </row>
    <row r="20">
      <c r="A20" s="177" t="s">
        <v>134</v>
      </c>
      <c r="B20" s="293">
        <v>19.0</v>
      </c>
    </row>
    <row r="21">
      <c r="A21" s="177" t="s">
        <v>131</v>
      </c>
      <c r="B21" s="293">
        <v>20.0</v>
      </c>
    </row>
    <row r="22">
      <c r="A22" s="177" t="s">
        <v>129</v>
      </c>
      <c r="B22" s="293">
        <v>21.0</v>
      </c>
    </row>
    <row r="23">
      <c r="A23" s="177" t="s">
        <v>123</v>
      </c>
      <c r="B23" s="293">
        <v>22.0</v>
      </c>
    </row>
    <row r="24">
      <c r="A24" s="177" t="s">
        <v>109</v>
      </c>
      <c r="B24" s="293">
        <v>23.0</v>
      </c>
    </row>
    <row r="25">
      <c r="A25" s="177" t="s">
        <v>195</v>
      </c>
      <c r="B25" s="293">
        <v>24.0</v>
      </c>
    </row>
    <row r="26">
      <c r="A26" s="177" t="s">
        <v>196</v>
      </c>
      <c r="B26" s="293">
        <v>25.0</v>
      </c>
    </row>
    <row r="27">
      <c r="A27" s="177" t="s">
        <v>197</v>
      </c>
      <c r="B27" s="293">
        <v>26.0</v>
      </c>
    </row>
    <row r="28">
      <c r="A28" s="177" t="s">
        <v>198</v>
      </c>
      <c r="B28" s="293">
        <v>27.0</v>
      </c>
    </row>
    <row r="29">
      <c r="A29" s="177" t="s">
        <v>199</v>
      </c>
      <c r="B29" s="293">
        <v>28.0</v>
      </c>
    </row>
  </sheetData>
  <drawing r:id="rId1"/>
</worksheet>
</file>