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11"/>
  <workbookPr defaultThemeVersion="166925"/>
  <xr:revisionPtr revIDLastSave="1016" documentId="11_E60897F41BE170836B02CE998F75CCDC64E183C8" xr6:coauthVersionLast="47" xr6:coauthVersionMax="47" xr10:uidLastSave="{3E923FC3-AEA5-4391-8B18-FA841BC87A8D}"/>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X35" i="1" l="1"/>
  <c r="AW35" i="1"/>
  <c r="AV35" i="1"/>
  <c r="AU35" i="1"/>
  <c r="AT35" i="1"/>
  <c r="AS35" i="1"/>
  <c r="AR35" i="1"/>
  <c r="AQ35" i="1"/>
  <c r="AP35" i="1"/>
  <c r="AO35" i="1"/>
  <c r="AX34" i="1"/>
  <c r="AW34" i="1"/>
  <c r="AV34" i="1"/>
  <c r="AU34" i="1"/>
  <c r="AT34" i="1"/>
  <c r="AS34" i="1"/>
  <c r="AR34" i="1"/>
  <c r="AQ34" i="1"/>
  <c r="AP34" i="1"/>
  <c r="AO34" i="1"/>
  <c r="AX33" i="1"/>
  <c r="AW33" i="1"/>
  <c r="AV33" i="1"/>
  <c r="AU33" i="1"/>
  <c r="AT33" i="1"/>
  <c r="AS33" i="1"/>
  <c r="AR33" i="1"/>
  <c r="AQ33" i="1"/>
  <c r="AP33" i="1"/>
  <c r="AO33" i="1"/>
  <c r="AX32" i="1"/>
  <c r="AW32" i="1"/>
  <c r="AV32" i="1"/>
  <c r="AU32" i="1"/>
  <c r="AT32" i="1"/>
  <c r="AS32" i="1"/>
  <c r="AR32" i="1"/>
  <c r="AQ32" i="1"/>
  <c r="AP32" i="1"/>
  <c r="AO32" i="1"/>
  <c r="AX31" i="1"/>
  <c r="AW31" i="1"/>
  <c r="AV31" i="1"/>
  <c r="AU31" i="1"/>
  <c r="AT31" i="1"/>
  <c r="AS31" i="1"/>
  <c r="AR31" i="1"/>
  <c r="AQ31" i="1"/>
  <c r="AP31" i="1"/>
  <c r="AO31" i="1"/>
  <c r="AX30" i="1"/>
  <c r="AW30" i="1"/>
  <c r="AV30" i="1"/>
  <c r="AU30" i="1"/>
  <c r="AT30" i="1"/>
  <c r="AS30" i="1"/>
  <c r="AR30" i="1"/>
  <c r="AQ30" i="1"/>
  <c r="AP30" i="1"/>
  <c r="AO30" i="1"/>
  <c r="AX29" i="1"/>
  <c r="AW29" i="1"/>
  <c r="AV29" i="1"/>
  <c r="AU29" i="1"/>
  <c r="AT29" i="1"/>
  <c r="AS29" i="1"/>
  <c r="AR29" i="1"/>
  <c r="AQ29" i="1"/>
  <c r="AP29" i="1"/>
  <c r="AO29" i="1"/>
  <c r="AZ28" i="1"/>
  <c r="AY28" i="1"/>
  <c r="AX28" i="1"/>
  <c r="AW28" i="1"/>
  <c r="AV28" i="1"/>
  <c r="AU28" i="1"/>
  <c r="AT28" i="1"/>
  <c r="AS28" i="1"/>
  <c r="AR28" i="1"/>
  <c r="AQ28" i="1"/>
  <c r="AP28" i="1"/>
  <c r="AO28" i="1"/>
  <c r="AX25" i="1"/>
  <c r="AW25" i="1"/>
  <c r="AV25" i="1"/>
  <c r="AU25" i="1"/>
  <c r="AT25" i="1"/>
  <c r="AS25" i="1"/>
  <c r="AR25" i="1"/>
  <c r="AQ25" i="1"/>
  <c r="AP25" i="1"/>
  <c r="AO25" i="1"/>
  <c r="BE31" i="1" a="1"/>
  <c r="BE31" i="1"/>
  <c r="AO7" i="1"/>
  <c r="AP7" i="1"/>
  <c r="AQ7" i="1"/>
  <c r="AR7" i="1"/>
  <c r="AS7" i="1"/>
  <c r="AT7" i="1"/>
  <c r="AU7" i="1"/>
  <c r="AV7" i="1"/>
  <c r="AW7" i="1"/>
  <c r="AX7" i="1"/>
  <c r="AY7" i="1"/>
  <c r="AZ7" i="1"/>
  <c r="AO8" i="1"/>
  <c r="AP8" i="1"/>
  <c r="AQ8" i="1"/>
  <c r="AR8" i="1"/>
  <c r="AS8" i="1"/>
  <c r="AT8" i="1"/>
  <c r="AU8" i="1"/>
  <c r="AV8" i="1"/>
  <c r="AW8" i="1"/>
  <c r="AX8" i="1"/>
  <c r="AY8" i="1"/>
  <c r="AZ8" i="1"/>
  <c r="AO9" i="1"/>
  <c r="AP9" i="1"/>
  <c r="AQ9" i="1"/>
  <c r="AR9" i="1"/>
  <c r="AS9" i="1"/>
  <c r="AT9" i="1"/>
  <c r="AU9" i="1"/>
  <c r="AV9" i="1"/>
  <c r="AW9" i="1"/>
  <c r="AX9" i="1"/>
  <c r="AY9" i="1"/>
  <c r="AZ9" i="1"/>
  <c r="AO10" i="1"/>
  <c r="AP10" i="1"/>
  <c r="AQ10" i="1"/>
  <c r="AR10" i="1"/>
  <c r="AS10" i="1"/>
  <c r="AT10" i="1"/>
  <c r="AU10" i="1"/>
  <c r="AV10" i="1"/>
  <c r="AW10" i="1"/>
  <c r="AX10" i="1"/>
  <c r="AY10" i="1"/>
  <c r="AZ10" i="1"/>
  <c r="AZ6" i="1"/>
  <c r="AY6" i="1"/>
  <c r="AX6" i="1"/>
  <c r="AW6" i="1"/>
  <c r="AV6" i="1"/>
  <c r="AU6" i="1"/>
  <c r="AT6" i="1"/>
  <c r="AS6" i="1"/>
  <c r="AR6" i="1"/>
  <c r="AQ6" i="1"/>
  <c r="AP6" i="1"/>
  <c r="AO6" i="1"/>
  <c r="BJ18" i="1"/>
  <c r="BI18" i="1"/>
  <c r="BH18" i="1"/>
  <c r="BG18" i="1"/>
  <c r="BF18" i="1"/>
  <c r="BE18" i="1"/>
  <c r="BK18" i="1" s="1"/>
  <c r="BL18" i="1" s="1"/>
  <c r="BD18" i="1"/>
  <c r="BM18" i="1" s="1"/>
  <c r="BJ17" i="1"/>
  <c r="BI17" i="1"/>
  <c r="BH17" i="1"/>
  <c r="BG17" i="1"/>
  <c r="BF17" i="1"/>
  <c r="BE17" i="1"/>
  <c r="BK17" i="1" s="1"/>
  <c r="BL17" i="1" s="1"/>
  <c r="BD17" i="1"/>
  <c r="BM17" i="1" s="1"/>
  <c r="BJ16" i="1"/>
  <c r="BI16" i="1"/>
  <c r="BH16" i="1"/>
  <c r="BG16" i="1"/>
  <c r="BF16" i="1"/>
  <c r="BE16" i="1"/>
  <c r="BK16" i="1" s="1"/>
  <c r="BL16" i="1" s="1"/>
  <c r="BD16" i="1"/>
  <c r="BM16" i="1" s="1"/>
  <c r="BJ15" i="1"/>
  <c r="BI15" i="1"/>
  <c r="BH15" i="1"/>
  <c r="BG15" i="1"/>
  <c r="BF15" i="1"/>
  <c r="BE15" i="1"/>
  <c r="BK15" i="1" s="1"/>
  <c r="BL15" i="1" s="1"/>
  <c r="BD15" i="1"/>
  <c r="BM15" i="1" s="1"/>
  <c r="BJ14" i="1"/>
  <c r="BI14" i="1"/>
  <c r="BH14" i="1"/>
  <c r="BG14" i="1"/>
  <c r="BF14" i="1"/>
  <c r="BE14" i="1"/>
  <c r="BK14" i="1" s="1"/>
  <c r="BL14" i="1" s="1"/>
  <c r="BD14" i="1"/>
  <c r="BM14" i="1" s="1"/>
  <c r="J18" i="1"/>
  <c r="P24" i="1"/>
  <c r="P23" i="1"/>
  <c r="P22" i="1"/>
  <c r="P21" i="1"/>
  <c r="P20" i="1"/>
  <c r="P19" i="1"/>
  <c r="P18" i="1"/>
  <c r="P17" i="1"/>
  <c r="P16" i="1"/>
  <c r="P15" i="1"/>
  <c r="P14" i="1"/>
  <c r="P13" i="1"/>
  <c r="P12" i="1"/>
  <c r="P11" i="1"/>
  <c r="P10" i="1"/>
  <c r="P9" i="1"/>
  <c r="P8" i="1"/>
  <c r="P7" i="1"/>
  <c r="P6" i="1"/>
  <c r="P5" i="1"/>
  <c r="O6" i="1"/>
  <c r="O7" i="1"/>
  <c r="O8" i="1"/>
  <c r="O9" i="1"/>
  <c r="O10" i="1"/>
  <c r="O11" i="1"/>
  <c r="O12" i="1"/>
  <c r="O13" i="1"/>
  <c r="O14" i="1"/>
  <c r="O15" i="1"/>
  <c r="O16" i="1"/>
  <c r="O17" i="1"/>
  <c r="O18" i="1"/>
  <c r="O19" i="1"/>
  <c r="O20" i="1"/>
  <c r="O21" i="1"/>
  <c r="O22" i="1"/>
  <c r="O23" i="1"/>
  <c r="O24" i="1"/>
  <c r="O5" i="1"/>
  <c r="N6" i="1"/>
  <c r="N7" i="1"/>
  <c r="N8" i="1"/>
  <c r="N9" i="1"/>
  <c r="N10" i="1"/>
  <c r="N11" i="1"/>
  <c r="N12" i="1"/>
  <c r="N13" i="1"/>
  <c r="N14" i="1"/>
  <c r="N15" i="1"/>
  <c r="N16" i="1"/>
  <c r="N17" i="1"/>
  <c r="N18" i="1"/>
  <c r="N19" i="1"/>
  <c r="N20" i="1"/>
  <c r="N21" i="1"/>
  <c r="N22" i="1"/>
  <c r="N23" i="1"/>
  <c r="N24" i="1"/>
  <c r="N5" i="1"/>
  <c r="M6" i="1"/>
  <c r="M7" i="1"/>
  <c r="M8" i="1"/>
  <c r="M9" i="1"/>
  <c r="M10" i="1"/>
  <c r="M11" i="1"/>
  <c r="M12" i="1"/>
  <c r="M13" i="1"/>
  <c r="M14" i="1"/>
  <c r="M15" i="1"/>
  <c r="M16" i="1"/>
  <c r="M17" i="1"/>
  <c r="M18" i="1"/>
  <c r="M19" i="1"/>
  <c r="M20" i="1"/>
  <c r="M21" i="1"/>
  <c r="M22" i="1"/>
  <c r="M23" i="1"/>
  <c r="M24" i="1"/>
  <c r="M5" i="1"/>
  <c r="L6" i="1"/>
  <c r="L7" i="1"/>
  <c r="L8" i="1"/>
  <c r="L9" i="1"/>
  <c r="L10" i="1"/>
  <c r="L11" i="1"/>
  <c r="L12" i="1"/>
  <c r="L13" i="1"/>
  <c r="L14" i="1"/>
  <c r="L15" i="1"/>
  <c r="L16" i="1"/>
  <c r="L17" i="1"/>
  <c r="L18" i="1"/>
  <c r="L19" i="1"/>
  <c r="L20" i="1"/>
  <c r="L21" i="1"/>
  <c r="L22" i="1"/>
  <c r="L23" i="1"/>
  <c r="L24" i="1"/>
  <c r="L5" i="1"/>
  <c r="K6" i="1"/>
  <c r="K7" i="1"/>
  <c r="K8" i="1"/>
  <c r="K9" i="1"/>
  <c r="K10" i="1"/>
  <c r="K11" i="1"/>
  <c r="K12" i="1"/>
  <c r="K13" i="1"/>
  <c r="K14" i="1"/>
  <c r="K15" i="1"/>
  <c r="K16" i="1"/>
  <c r="K17" i="1"/>
  <c r="K18" i="1"/>
  <c r="K19" i="1"/>
  <c r="K20" i="1"/>
  <c r="K21" i="1"/>
  <c r="K22" i="1"/>
  <c r="K23" i="1"/>
  <c r="K24" i="1"/>
  <c r="K5" i="1"/>
  <c r="Q10" i="1"/>
  <c r="Q11" i="1"/>
  <c r="Q12" i="1"/>
  <c r="Q13" i="1"/>
  <c r="Q14" i="1"/>
  <c r="Q15" i="1"/>
  <c r="Q16" i="1"/>
  <c r="Q17" i="1"/>
  <c r="Q18" i="1"/>
  <c r="Q19" i="1"/>
  <c r="Q6" i="1"/>
  <c r="Q7" i="1"/>
  <c r="Q8" i="1"/>
  <c r="Q5" i="1"/>
  <c r="Q9" i="1"/>
  <c r="J10" i="1"/>
  <c r="J11" i="1"/>
  <c r="J12" i="1"/>
  <c r="J13" i="1"/>
  <c r="J14" i="1"/>
  <c r="J15" i="1"/>
  <c r="J16" i="1"/>
  <c r="J17" i="1"/>
  <c r="J19" i="1"/>
  <c r="J20" i="1"/>
  <c r="J21" i="1"/>
  <c r="J22" i="1"/>
  <c r="J23" i="1"/>
  <c r="J24" i="1"/>
  <c r="J6" i="1"/>
  <c r="J7" i="1"/>
  <c r="J8" i="1"/>
  <c r="J9" i="1"/>
  <c r="J5" i="1"/>
  <c r="BD31" i="1" l="1" a="1"/>
  <c r="BD31" i="1" s="1"/>
  <c r="BC31" i="1" a="1"/>
  <c r="BC31" i="1" s="1"/>
  <c r="BI31" i="1" s="1"/>
  <c r="S19" i="1"/>
  <c r="R19" i="1"/>
  <c r="S18" i="1"/>
  <c r="R18" i="1"/>
  <c r="S17" i="1"/>
  <c r="R17" i="1"/>
  <c r="S16" i="1"/>
  <c r="R16" i="1"/>
  <c r="S15" i="1"/>
  <c r="R15" i="1"/>
  <c r="S14" i="1"/>
  <c r="R14" i="1"/>
  <c r="S13" i="1"/>
  <c r="R13" i="1"/>
  <c r="S12" i="1"/>
  <c r="R12" i="1"/>
  <c r="S11" i="1"/>
  <c r="R11" i="1"/>
  <c r="S10" i="1"/>
  <c r="R10" i="1"/>
  <c r="S5" i="1"/>
  <c r="R5" i="1"/>
  <c r="Q23" i="1"/>
  <c r="Q24" i="1"/>
  <c r="Q22" i="1"/>
  <c r="Q21" i="1"/>
  <c r="Q20" i="1"/>
  <c r="R8" i="1"/>
  <c r="S8" i="1"/>
  <c r="R7" i="1"/>
  <c r="S7" i="1"/>
  <c r="R6" i="1"/>
  <c r="S6" i="1"/>
  <c r="R9" i="1"/>
  <c r="S9" i="1"/>
  <c r="S23" i="1" l="1"/>
  <c r="R23" i="1"/>
  <c r="S24" i="1"/>
  <c r="R24" i="1"/>
  <c r="S22" i="1"/>
  <c r="R22" i="1"/>
  <c r="S21" i="1"/>
  <c r="R21" i="1"/>
  <c r="S20" i="1"/>
  <c r="R2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<sst xmlns="http://schemas.openxmlformats.org/spreadsheetml/2006/main" count="124" uniqueCount="83">
  <si>
    <t xml:space="preserve">Forecast with count wrt size ranges </t>
  </si>
  <si>
    <t xml:space="preserve">Individual mushroom growth in time </t>
  </si>
  <si>
    <t>Day</t>
  </si>
  <si>
    <t>Time</t>
  </si>
  <si>
    <t>20-25mm count</t>
  </si>
  <si>
    <t>30-35mm count</t>
  </si>
  <si>
    <t>40-45mm count</t>
  </si>
  <si>
    <t>50-55mm count</t>
  </si>
  <si>
    <t>60-65mm count</t>
  </si>
  <si>
    <t>65+mm count</t>
  </si>
  <si>
    <t>Class A (%)</t>
  </si>
  <si>
    <t>Class B (%)</t>
  </si>
  <si>
    <t>20-25mm weight</t>
  </si>
  <si>
    <t>30-35mm weight</t>
  </si>
  <si>
    <t>40-45mm weight</t>
  </si>
  <si>
    <t>50-55mm weight</t>
  </si>
  <si>
    <t>60-65mm weight</t>
  </si>
  <si>
    <t>65+mm weight</t>
  </si>
  <si>
    <t xml:space="preserve"> Net weight(KGs)</t>
  </si>
  <si>
    <t>Class A(KGs)</t>
  </si>
  <si>
    <t>Class B(KGs)</t>
  </si>
  <si>
    <t xml:space="preserve">in mm </t>
  </si>
  <si>
    <t>INPUT @ t=n Hour</t>
  </si>
  <si>
    <t>OUTPUT @ t=n+3 Hour</t>
  </si>
  <si>
    <t xml:space="preserve">Raw data is count per size range                                                                                                                                 Based on that weight will be calculated and this will be input to the model and the output would be net weight in 3 hours                                                                                                                                                        Input will have 6 features e.g. W20-25mm,W30-35mm, W40-45mm and so on whereas output will have one parameter and that is net weight predicted in 3 hours ahead                                                                               Therefore 7 am features e.g. W20-25mm,W30-35mm, W40-45mm and so on  will be forecast  10 am net weight in KGs </t>
  </si>
  <si>
    <r>
      <rPr>
        <sz val="11"/>
        <color rgb="FF000000"/>
        <rFont val="Calibri"/>
        <scheme val="minor"/>
      </rPr>
      <t xml:space="preserve">Tracking mushrooms individually and record growth every hour for a whole day. It over complecates the procedure. There will be features in terms of mm wrt time and the oputput would be what? weight in 6 hours.                                                        </t>
    </r>
    <r>
      <rPr>
        <b/>
        <sz val="11"/>
        <color rgb="FF000000"/>
        <rFont val="Calibri"/>
        <scheme val="minor"/>
      </rPr>
      <t>Cons:</t>
    </r>
    <r>
      <rPr>
        <sz val="11"/>
        <color rgb="FF000000"/>
        <rFont val="Calibri"/>
        <scheme val="minor"/>
      </rPr>
      <t xml:space="preserve">Features might be miscrossed, less resonable to feed in and predict output. Mushroom growth depends on each mushroom so there might be feature log. For example: There might happen 2 mushrooms &gt;&gt;&gt; 7 am 20 mm &gt;&gt;&gt;8 am 22 and 25mm                                                                 </t>
    </r>
    <r>
      <rPr>
        <b/>
        <sz val="11"/>
        <color rgb="FF000000"/>
        <rFont val="Calibri"/>
        <scheme val="minor"/>
      </rPr>
      <t>Output:</t>
    </r>
    <r>
      <rPr>
        <sz val="11"/>
        <color rgb="FF000000"/>
        <rFont val="Calibri"/>
        <scheme val="minor"/>
      </rPr>
      <t>A)  There will be hour based mm(s) vs mm in 6 hours as out put and then weight  or  e.g. mm at t=0 vs mm at t=6 as output and then weight</t>
    </r>
  </si>
  <si>
    <t>Mushroom id</t>
  </si>
  <si>
    <t>7am</t>
  </si>
  <si>
    <t>8am</t>
  </si>
  <si>
    <t>9am</t>
  </si>
  <si>
    <t>10am</t>
  </si>
  <si>
    <t>11am</t>
  </si>
  <si>
    <t>12pm</t>
  </si>
  <si>
    <t>1pm</t>
  </si>
  <si>
    <t>2pm</t>
  </si>
  <si>
    <t>3pm</t>
  </si>
  <si>
    <t>4pm</t>
  </si>
  <si>
    <t>5pm</t>
  </si>
  <si>
    <t>6pm</t>
  </si>
  <si>
    <t>7pm</t>
  </si>
  <si>
    <t>...pm</t>
  </si>
  <si>
    <t>S1.1</t>
  </si>
  <si>
    <t>20mm</t>
  </si>
  <si>
    <t>22mm</t>
  </si>
  <si>
    <t>25mm</t>
  </si>
  <si>
    <t>27mm</t>
  </si>
  <si>
    <t>30mm</t>
  </si>
  <si>
    <t>so on mm</t>
  </si>
  <si>
    <t>mm(s)</t>
  </si>
  <si>
    <t>S1.2</t>
  </si>
  <si>
    <t>S1.3</t>
  </si>
  <si>
    <t>or</t>
  </si>
  <si>
    <t>S1.4</t>
  </si>
  <si>
    <t>weight(KGs)</t>
  </si>
  <si>
    <t>S1.5</t>
  </si>
  <si>
    <t>NEW DAY NEW ID NEW MUSHROOM</t>
  </si>
  <si>
    <t>Net weight(KGs)</t>
  </si>
  <si>
    <t>Weight(KGs)</t>
  </si>
  <si>
    <r>
      <rPr>
        <sz val="14"/>
        <color rgb="FFFFFFFF"/>
        <rFont val="Calibri"/>
        <scheme val="minor"/>
      </rPr>
      <t xml:space="preserve">Growth in time || Forecast over </t>
    </r>
    <r>
      <rPr>
        <b/>
        <sz val="14"/>
        <color rgb="FFFFFFFF"/>
        <rFont val="Calibri"/>
        <scheme val="minor"/>
      </rPr>
      <t>size</t>
    </r>
    <r>
      <rPr>
        <sz val="14"/>
        <color rgb="FFFFFFFF"/>
        <rFont val="Calibri"/>
        <scheme val="minor"/>
      </rPr>
      <t xml:space="preserve"> </t>
    </r>
  </si>
  <si>
    <t>in mm</t>
  </si>
  <si>
    <t>...</t>
  </si>
  <si>
    <t>Counts</t>
  </si>
  <si>
    <t>20 mm</t>
  </si>
  <si>
    <t>21 mm</t>
  </si>
  <si>
    <t>23 mm</t>
  </si>
  <si>
    <t>13/3/2024</t>
  </si>
  <si>
    <t>24 mm</t>
  </si>
  <si>
    <t>Weight in 6 hours (Size in 6 hrs*count)</t>
  </si>
  <si>
    <t>14/3/2024</t>
  </si>
  <si>
    <t>25 mm</t>
  </si>
  <si>
    <t xml:space="preserve">6 hours forecast wrt 7 am will be checking 1pm column and finding out the counts wrt the sizes falls within a certain range and conclude weight for that range  </t>
  </si>
  <si>
    <t>15/3/2024</t>
  </si>
  <si>
    <t>26 mm</t>
  </si>
  <si>
    <t>16/3/2024</t>
  </si>
  <si>
    <t>27 mm</t>
  </si>
  <si>
    <t>17/3/2024</t>
  </si>
  <si>
    <t>28 mm</t>
  </si>
  <si>
    <t>Aim: Take current time and forecast in 6 hours - weights                                                               1. Take all the values from 6 hours ahead column and group then in size ranges smallest to highest                                          2. once grouping is done, all row indexes for each ranges will be derived and then corresponding counts                                              3. based on size and count a total weight will be calculated for each ranges                        4.At the end summing all weights will give net weight</t>
  </si>
  <si>
    <t>18/3/2024</t>
  </si>
  <si>
    <t>29 mm</t>
  </si>
  <si>
    <t>30 mm</t>
  </si>
  <si>
    <t>65 mm</t>
  </si>
  <si>
    <r>
      <rPr>
        <u/>
        <sz val="11"/>
        <color rgb="FF000000"/>
        <rFont val="Calibri"/>
        <scheme val="minor"/>
      </rPr>
      <t>Questions:</t>
    </r>
    <r>
      <rPr>
        <sz val="11"/>
        <color rgb="FF000000"/>
        <rFont val="Calibri"/>
        <scheme val="minor"/>
      </rPr>
      <t xml:space="preserve">  1. what is the expected output of the forecast model.  2.best apparent input to achieve it.  3. which option amongst these suits best for input.   4. what are the statistics available to help decide the best input (features) required to achieve the output.   5. Available descriptive statistics to have a better udrstanding over the dataset.  6. Available statiistical processes like GPR, multilinear regression, etc to get desired output.  7.  I used one feature (one column) as input to ARIMA model and it forecatsed outbound, Can I do the same with multiple input at once?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</si>
</sst>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rgb="FFFFFFFF"/>
      <name val="Calibri"/>
      <scheme val="minor"/>
    </font>
    <font>
      <sz val="11"/>
      <color rgb="FF000000"/>
      <name val="Calibri"/>
      <scheme val="minor"/>
    </font>
    <font>
      <b/>
      <sz val="11"/>
      <color rgb="FF000000"/>
      <name val="Calibri"/>
      <scheme val="minor"/>
    </font>
    <font>
      <sz val="12"/>
      <color theme="1" tint="0.499984740745262"/>
      <name val="Calibri"/>
      <family val="2"/>
      <scheme val="minor"/>
    </font>
    <font>
      <b/>
      <sz val="11"/>
      <color theme="1"/>
      <name val="Calibri"/>
      <family val="2"/>
      <scheme val="minor"/>
    </font>
    <font>
      <sz val="11"/>
      <color theme="2"/>
      <name val="Calibri"/>
      <family val="2"/>
      <scheme val="minor"/>
    </font>
    <font>
      <sz val="14"/>
      <color theme="0"/>
      <name val="Calibri"/>
      <scheme val="minor"/>
    </font>
    <font>
      <sz val="14"/>
      <color theme="0"/>
      <name val="Calibri"/>
      <family val="2"/>
      <scheme val="minor"/>
    </font>
    <font>
      <sz val="14"/>
      <color rgb="FFFFFFFF"/>
      <name val="Calibri"/>
      <scheme val="minor"/>
    </font>
    <font>
      <b/>
      <sz val="14"/>
      <color rgb="FFFFFFFF"/>
      <name val="Calibri"/>
      <scheme val="minor"/>
    </font>
    <font>
      <sz val="14"/>
      <color theme="0"/>
      <name val="Calibri"/>
    </font>
    <font>
      <sz val="11"/>
      <color theme="0"/>
      <name val="Calibri"/>
      <family val="2"/>
      <scheme val="minor"/>
    </font>
    <font>
      <u/>
      <sz val="11"/>
      <color rgb="FF000000"/>
      <name val="Calibri"/>
      <scheme val="minor"/>
    </font>
  </fonts>
  <fills count="20">
    <fill>
      <patternFill patternType="none"/>
    </fill>
    <fill>
      <patternFill patternType="gray125"/>
    </fill>
    <fill>
      <patternFill patternType="solid">
        <fgColor theme="3" tint="0.7999816888943144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theme="9"/>
        <bgColor indexed="64"/>
      </patternFill>
    </fill>
    <fill>
      <patternFill patternType="solid">
        <fgColor theme="2"/>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6" tint="0.59999389629810485"/>
        <bgColor indexed="64"/>
      </patternFill>
    </fill>
  </fills>
  <borders count="29">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thin">
        <color rgb="FF000000"/>
      </bottom>
      <diagonal/>
    </border>
    <border>
      <left style="medium">
        <color rgb="FF000000"/>
      </left>
      <right/>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style="medium">
        <color rgb="FF000000"/>
      </right>
      <top style="medium">
        <color rgb="FF000000"/>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style="thin">
        <color rgb="FF000000"/>
      </top>
      <bottom/>
      <diagonal/>
    </border>
    <border>
      <left style="thin">
        <color rgb="FF000000"/>
      </left>
      <right style="thin">
        <color rgb="FF000000"/>
      </right>
      <top/>
      <bottom style="thin">
        <color rgb="FF000000"/>
      </bottom>
      <diagonal/>
    </border>
    <border>
      <left/>
      <right/>
      <top style="medium">
        <color rgb="FF000000"/>
      </top>
      <bottom/>
      <diagonal/>
    </border>
    <border>
      <left/>
      <right/>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thin">
        <color rgb="FF000000"/>
      </left>
      <right/>
      <top/>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right style="dotted">
        <color rgb="FF000000"/>
      </right>
      <top/>
      <bottom/>
      <diagonal/>
    </border>
    <border>
      <left/>
      <right/>
      <top/>
      <bottom style="dotted">
        <color rgb="FF000000"/>
      </bottom>
      <diagonal/>
    </border>
    <border>
      <left/>
      <right/>
      <top/>
      <bottom style="thin">
        <color rgb="FF000000"/>
      </bottom>
      <diagonal/>
    </border>
  </borders>
  <cellStyleXfs count="1">
    <xf numFmtId="0" fontId="0" fillId="0" borderId="0"/>
  </cellStyleXfs>
  <cellXfs count="86">
    <xf numFmtId="0" fontId="0" fillId="0" borderId="0" xfId="0"/>
    <xf numFmtId="14" fontId="0" fillId="0" borderId="0" xfId="0" applyNumberFormat="1"/>
    <xf numFmtId="0" fontId="0" fillId="2" borderId="0" xfId="0" applyFill="1"/>
    <xf numFmtId="0" fontId="0" fillId="4" borderId="0" xfId="0" applyFill="1"/>
    <xf numFmtId="0" fontId="0" fillId="5" borderId="0" xfId="0" applyFill="1"/>
    <xf numFmtId="0" fontId="0" fillId="6" borderId="0" xfId="0" applyFill="1"/>
    <xf numFmtId="14" fontId="0" fillId="7" borderId="0" xfId="0" applyNumberFormat="1" applyFill="1"/>
    <xf numFmtId="18" fontId="0" fillId="3" borderId="1" xfId="0" applyNumberFormat="1" applyFill="1" applyBorder="1"/>
    <xf numFmtId="18" fontId="0" fillId="3" borderId="2" xfId="0" applyNumberFormat="1" applyFill="1" applyBorder="1"/>
    <xf numFmtId="18" fontId="0" fillId="3" borderId="3" xfId="0" applyNumberFormat="1" applyFill="1" applyBorder="1"/>
    <xf numFmtId="0" fontId="0" fillId="8" borderId="0" xfId="0" applyFill="1" applyAlignment="1">
      <alignment horizontal="center"/>
    </xf>
    <xf numFmtId="0" fontId="0" fillId="9" borderId="0" xfId="0" applyFill="1" applyAlignment="1">
      <alignment horizontal="center"/>
    </xf>
    <xf numFmtId="0" fontId="0" fillId="10" borderId="4" xfId="0" applyFill="1" applyBorder="1"/>
    <xf numFmtId="0" fontId="0" fillId="10" borderId="5" xfId="0" applyFill="1" applyBorder="1"/>
    <xf numFmtId="0" fontId="0" fillId="10" borderId="6" xfId="0" applyFill="1" applyBorder="1"/>
    <xf numFmtId="0" fontId="0" fillId="11" borderId="0" xfId="0" applyFill="1"/>
    <xf numFmtId="0" fontId="0" fillId="0" borderId="12" xfId="0" applyBorder="1"/>
    <xf numFmtId="0" fontId="0" fillId="0" borderId="13" xfId="0" applyBorder="1"/>
    <xf numFmtId="0" fontId="0" fillId="0" borderId="14" xfId="0" applyBorder="1"/>
    <xf numFmtId="0" fontId="0" fillId="3" borderId="8" xfId="0" applyFill="1" applyBorder="1"/>
    <xf numFmtId="0" fontId="0" fillId="3" borderId="10" xfId="0" applyFill="1" applyBorder="1"/>
    <xf numFmtId="0" fontId="0" fillId="3" borderId="11" xfId="0" applyFill="1" applyBorder="1"/>
    <xf numFmtId="0" fontId="0" fillId="3" borderId="7" xfId="0" applyFill="1" applyBorder="1"/>
    <xf numFmtId="0" fontId="0" fillId="3" borderId="16" xfId="0" applyFill="1" applyBorder="1"/>
    <xf numFmtId="0" fontId="0" fillId="3" borderId="9" xfId="0" applyFill="1" applyBorder="1"/>
    <xf numFmtId="0" fontId="0" fillId="0" borderId="17" xfId="0" applyBorder="1"/>
    <xf numFmtId="0" fontId="0" fillId="0" borderId="18" xfId="0" applyBorder="1"/>
    <xf numFmtId="0" fontId="0" fillId="10" borderId="15" xfId="0" applyFill="1" applyBorder="1"/>
    <xf numFmtId="0" fontId="1" fillId="8" borderId="0" xfId="0" applyFont="1" applyFill="1" applyAlignment="1">
      <alignment horizontal="center"/>
    </xf>
    <xf numFmtId="0" fontId="1" fillId="12" borderId="0" xfId="0" applyFont="1" applyFill="1" applyAlignment="1">
      <alignment horizontal="center" vertical="center"/>
    </xf>
    <xf numFmtId="0" fontId="0" fillId="7" borderId="0" xfId="0" applyFill="1"/>
    <xf numFmtId="0" fontId="0" fillId="0" borderId="26" xfId="0" applyBorder="1"/>
    <xf numFmtId="18" fontId="0" fillId="2" borderId="0" xfId="0" applyNumberFormat="1" applyFill="1"/>
    <xf numFmtId="0" fontId="3" fillId="6" borderId="0" xfId="0" applyFont="1" applyFill="1" applyAlignment="1">
      <alignment horizontal="center"/>
    </xf>
    <xf numFmtId="0" fontId="0" fillId="6" borderId="0" xfId="0" applyFill="1" applyAlignment="1">
      <alignment horizontal="center"/>
    </xf>
    <xf numFmtId="0" fontId="0" fillId="0" borderId="0" xfId="0" applyAlignment="1">
      <alignment horizontal="center"/>
    </xf>
    <xf numFmtId="18" fontId="0" fillId="3" borderId="0" xfId="0" applyNumberFormat="1" applyFill="1" applyAlignment="1">
      <alignment wrapText="1"/>
    </xf>
    <xf numFmtId="18" fontId="0" fillId="0" borderId="0" xfId="0" applyNumberFormat="1" applyAlignment="1">
      <alignment wrapText="1"/>
    </xf>
    <xf numFmtId="0" fontId="7" fillId="16" borderId="0" xfId="0" applyFont="1" applyFill="1" applyAlignment="1">
      <alignment horizontal="center" vertical="center"/>
    </xf>
    <xf numFmtId="0" fontId="8" fillId="16" borderId="0" xfId="0" applyFont="1" applyFill="1" applyAlignment="1">
      <alignment horizontal="center" vertical="center"/>
    </xf>
    <xf numFmtId="0" fontId="0" fillId="17" borderId="0" xfId="0" applyFill="1"/>
    <xf numFmtId="0" fontId="0" fillId="18" borderId="0" xfId="0" applyFill="1"/>
    <xf numFmtId="18" fontId="0" fillId="3" borderId="28" xfId="0" applyNumberFormat="1" applyFill="1" applyBorder="1" applyAlignment="1">
      <alignment wrapText="1"/>
    </xf>
    <xf numFmtId="0" fontId="0" fillId="0" borderId="28" xfId="0" applyBorder="1"/>
    <xf numFmtId="0" fontId="0" fillId="19" borderId="0" xfId="0" applyFill="1"/>
    <xf numFmtId="0" fontId="2" fillId="0" borderId="22" xfId="0" applyFont="1" applyBorder="1"/>
    <xf numFmtId="0" fontId="0" fillId="17" borderId="6" xfId="0" applyFill="1" applyBorder="1"/>
    <xf numFmtId="0" fontId="0" fillId="16" borderId="5" xfId="0" applyFill="1" applyBorder="1"/>
    <xf numFmtId="0" fontId="0" fillId="17" borderId="5" xfId="0" applyFill="1" applyBorder="1"/>
    <xf numFmtId="0" fontId="0" fillId="16" borderId="15" xfId="0" applyFill="1" applyBorder="1"/>
    <xf numFmtId="0" fontId="0" fillId="17" borderId="4" xfId="0" applyFill="1" applyBorder="1"/>
    <xf numFmtId="0" fontId="11" fillId="15" borderId="0" xfId="0" applyFont="1" applyFill="1" applyAlignment="1">
      <alignment horizontal="center"/>
    </xf>
    <xf numFmtId="0" fontId="0" fillId="0" borderId="19" xfId="0" applyBorder="1" applyAlignment="1">
      <alignment vertical="top" wrapText="1"/>
    </xf>
    <xf numFmtId="0" fontId="0" fillId="0" borderId="17" xfId="0" applyBorder="1" applyAlignment="1">
      <alignment vertical="top" wrapText="1"/>
    </xf>
    <xf numFmtId="0" fontId="0" fillId="0" borderId="12" xfId="0" applyBorder="1" applyAlignment="1">
      <alignment vertical="top" wrapText="1"/>
    </xf>
    <xf numFmtId="0" fontId="0" fillId="0" borderId="20" xfId="0" applyBorder="1" applyAlignment="1">
      <alignment vertical="top" wrapText="1"/>
    </xf>
    <xf numFmtId="0" fontId="0" fillId="0" borderId="0" xfId="0" applyAlignment="1">
      <alignment vertical="top" wrapText="1"/>
    </xf>
    <xf numFmtId="0" fontId="0" fillId="0" borderId="13" xfId="0" applyBorder="1" applyAlignment="1">
      <alignment vertical="top" wrapText="1"/>
    </xf>
    <xf numFmtId="0" fontId="0" fillId="0" borderId="21" xfId="0" applyBorder="1" applyAlignment="1">
      <alignment vertical="top" wrapText="1"/>
    </xf>
    <xf numFmtId="0" fontId="0" fillId="0" borderId="18" xfId="0" applyBorder="1" applyAlignment="1">
      <alignment vertical="top" wrapText="1"/>
    </xf>
    <xf numFmtId="0" fontId="0" fillId="0" borderId="14" xfId="0" applyBorder="1" applyAlignment="1">
      <alignment vertical="top" wrapText="1"/>
    </xf>
    <xf numFmtId="0" fontId="0" fillId="10" borderId="20" xfId="0" applyFill="1" applyBorder="1" applyAlignment="1">
      <alignment horizontal="center"/>
    </xf>
    <xf numFmtId="0" fontId="0" fillId="10" borderId="0" xfId="0" applyFill="1" applyAlignment="1">
      <alignment horizontal="center"/>
    </xf>
    <xf numFmtId="0" fontId="4" fillId="0" borderId="0" xfId="0" applyFont="1" applyAlignment="1">
      <alignment horizontal="center"/>
    </xf>
    <xf numFmtId="0" fontId="9" fillId="15" borderId="0" xfId="0" applyFont="1" applyFill="1" applyAlignment="1">
      <alignment horizontal="center" vertical="center"/>
    </xf>
    <xf numFmtId="0" fontId="8" fillId="15" borderId="0" xfId="0" applyFont="1" applyFill="1" applyAlignment="1">
      <alignment horizontal="center" vertical="center"/>
    </xf>
    <xf numFmtId="0" fontId="6" fillId="14" borderId="0" xfId="0" applyFont="1" applyFill="1" applyAlignment="1">
      <alignment horizontal="center"/>
    </xf>
    <xf numFmtId="0" fontId="5" fillId="3" borderId="0" xfId="0" applyFont="1" applyFill="1" applyAlignment="1">
      <alignment horizontal="center"/>
    </xf>
    <xf numFmtId="0" fontId="0" fillId="5" borderId="0" xfId="0" applyFill="1" applyAlignment="1">
      <alignment horizontal="center" vertical="center" wrapText="1"/>
    </xf>
    <xf numFmtId="0" fontId="1" fillId="13" borderId="23" xfId="0" applyFont="1" applyFill="1" applyBorder="1" applyAlignment="1">
      <alignment horizontal="center"/>
    </xf>
    <xf numFmtId="0" fontId="0" fillId="13" borderId="27" xfId="0" applyFill="1" applyBorder="1" applyAlignment="1">
      <alignment horizontal="center"/>
    </xf>
    <xf numFmtId="0" fontId="0" fillId="13" borderId="24" xfId="0" applyFill="1" applyBorder="1" applyAlignment="1">
      <alignment horizontal="center"/>
    </xf>
    <xf numFmtId="0" fontId="0" fillId="13" borderId="25" xfId="0" applyFill="1" applyBorder="1" applyAlignment="1">
      <alignment horizontal="center"/>
    </xf>
    <xf numFmtId="0" fontId="0" fillId="0" borderId="0" xfId="0" applyAlignment="1">
      <alignment horizontal="center"/>
    </xf>
    <xf numFmtId="0" fontId="1" fillId="12" borderId="22" xfId="0" applyFont="1" applyFill="1" applyBorder="1" applyAlignment="1">
      <alignment horizontal="center" vertical="center"/>
    </xf>
    <xf numFmtId="0" fontId="1" fillId="12" borderId="0" xfId="0" applyFont="1" applyFill="1" applyAlignment="1">
      <alignment horizontal="center" vertical="center"/>
    </xf>
    <xf numFmtId="0" fontId="0" fillId="2" borderId="0" xfId="0" applyFill="1" applyAlignment="1">
      <alignment horizontal="center" vertical="center" wrapText="1"/>
    </xf>
    <xf numFmtId="0" fontId="12" fillId="15" borderId="0" xfId="0" applyFont="1" applyFill="1" applyAlignment="1">
      <alignment horizontal="center"/>
    </xf>
    <xf numFmtId="0" fontId="0" fillId="5" borderId="0" xfId="0" applyFill="1" applyAlignment="1">
      <alignment horizontal="center"/>
    </xf>
    <xf numFmtId="0" fontId="1" fillId="8" borderId="0" xfId="0" applyFont="1" applyFill="1" applyAlignment="1">
      <alignment horizontal="center"/>
    </xf>
    <xf numFmtId="0" fontId="0" fillId="8" borderId="0" xfId="0" applyFill="1" applyAlignment="1">
      <alignment horizontal="center"/>
    </xf>
    <xf numFmtId="0" fontId="2" fillId="0" borderId="22" xfId="0" applyFont="1" applyBorder="1" applyAlignment="1">
      <alignment vertical="top" wrapText="1"/>
    </xf>
    <xf numFmtId="0" fontId="0" fillId="0" borderId="22" xfId="0" applyBorder="1" applyAlignment="1">
      <alignment vertical="top" wrapText="1"/>
    </xf>
    <xf numFmtId="0" fontId="0" fillId="14" borderId="0" xfId="0" applyFill="1" applyAlignment="1">
      <alignment horizontal="center"/>
    </xf>
    <xf numFmtId="0" fontId="0" fillId="18" borderId="0" xfId="0" applyFill="1" applyAlignment="1"/>
    <xf numFmtId="0" fontId="0" fillId="18" borderId="28" xfId="0" applyFill="1"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53</xdr:col>
      <xdr:colOff>47625</xdr:colOff>
      <xdr:row>6</xdr:row>
      <xdr:rowOff>9525</xdr:rowOff>
    </xdr:from>
    <xdr:to>
      <xdr:col>53</xdr:col>
      <xdr:colOff>552450</xdr:colOff>
      <xdr:row>7</xdr:row>
      <xdr:rowOff>0</xdr:rowOff>
    </xdr:to>
    <xdr:sp macro="" textlink="">
      <xdr:nvSpPr>
        <xdr:cNvPr id="2" name="Right Arrow 1">
          <a:extLst>
            <a:ext uri="{FF2B5EF4-FFF2-40B4-BE49-F238E27FC236}">
              <a16:creationId xmlns:a16="http://schemas.microsoft.com/office/drawing/2014/main" id="{0B9A6F58-BB1D-AD83-AAB6-3D3D9A20DE36}"/>
            </a:ext>
          </a:extLst>
        </xdr:cNvPr>
        <xdr:cNvSpPr/>
      </xdr:nvSpPr>
      <xdr:spPr>
        <a:xfrm>
          <a:off x="40052625" y="771525"/>
          <a:ext cx="504825" cy="180975"/>
        </a:xfrm>
        <a:prstGeom prst="rightArrow">
          <a:avLst/>
        </a:prstGeom>
        <a:solidFill>
          <a:schemeClr val="tx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52</xdr:col>
      <xdr:colOff>400050</xdr:colOff>
      <xdr:row>28</xdr:row>
      <xdr:rowOff>180975</xdr:rowOff>
    </xdr:from>
    <xdr:to>
      <xdr:col>53</xdr:col>
      <xdr:colOff>295275</xdr:colOff>
      <xdr:row>29</xdr:row>
      <xdr:rowOff>171450</xdr:rowOff>
    </xdr:to>
    <xdr:sp macro="" textlink="">
      <xdr:nvSpPr>
        <xdr:cNvPr id="3" name="Right Arrow 2">
          <a:extLst>
            <a:ext uri="{FF2B5EF4-FFF2-40B4-BE49-F238E27FC236}">
              <a16:creationId xmlns:a16="http://schemas.microsoft.com/office/drawing/2014/main" id="{5DFC8760-D1EB-467B-BB87-DA0F3A9F2DB0}"/>
            </a:ext>
            <a:ext uri="{147F2762-F138-4A5C-976F-8EAC2B608ADB}">
              <a16:predDERef xmlns:a16="http://schemas.microsoft.com/office/drawing/2014/main" pred="{0B9A6F58-BB1D-AD83-AAB6-3D3D9A20DE36}"/>
            </a:ext>
          </a:extLst>
        </xdr:cNvPr>
        <xdr:cNvSpPr/>
      </xdr:nvSpPr>
      <xdr:spPr>
        <a:xfrm>
          <a:off x="39795450" y="5724525"/>
          <a:ext cx="504825" cy="180975"/>
        </a:xfrm>
        <a:prstGeom prst="rightArrow">
          <a:avLst/>
        </a:prstGeom>
        <a:solidFill>
          <a:schemeClr val="tx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62</xdr:col>
      <xdr:colOff>114300</xdr:colOff>
      <xdr:row>29</xdr:row>
      <xdr:rowOff>0</xdr:rowOff>
    </xdr:from>
    <xdr:to>
      <xdr:col>62</xdr:col>
      <xdr:colOff>619125</xdr:colOff>
      <xdr:row>29</xdr:row>
      <xdr:rowOff>180975</xdr:rowOff>
    </xdr:to>
    <xdr:sp macro="" textlink="">
      <xdr:nvSpPr>
        <xdr:cNvPr id="4" name="Right Arrow 3">
          <a:extLst>
            <a:ext uri="{FF2B5EF4-FFF2-40B4-BE49-F238E27FC236}">
              <a16:creationId xmlns:a16="http://schemas.microsoft.com/office/drawing/2014/main" id="{BF9664E2-455C-487A-9736-A722B4B23400}"/>
            </a:ext>
            <a:ext uri="{147F2762-F138-4A5C-976F-8EAC2B608ADB}">
              <a16:predDERef xmlns:a16="http://schemas.microsoft.com/office/drawing/2014/main" pred="{5DFC8760-D1EB-467B-BB87-DA0F3A9F2DB0}"/>
            </a:ext>
          </a:extLst>
        </xdr:cNvPr>
        <xdr:cNvSpPr/>
      </xdr:nvSpPr>
      <xdr:spPr>
        <a:xfrm rot="10761375">
          <a:off x="45920025" y="5543550"/>
          <a:ext cx="504825" cy="180975"/>
        </a:xfrm>
        <a:prstGeom prst="rightArrow">
          <a:avLst/>
        </a:prstGeom>
        <a:solidFill>
          <a:schemeClr val="tx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62"/>
  <sheetViews>
    <sheetView tabSelected="1" topLeftCell="AN38" workbookViewId="0">
      <selection activeCell="AS48" sqref="AS48:AS50"/>
    </sheetView>
  </sheetViews>
  <sheetFormatPr defaultRowHeight="15"/>
  <cols>
    <col min="1" max="1" width="10.42578125" bestFit="1" customWidth="1"/>
    <col min="2" max="2" width="10.42578125" customWidth="1"/>
    <col min="3" max="3" width="16.140625" customWidth="1"/>
    <col min="4" max="4" width="16.28515625" customWidth="1"/>
    <col min="5" max="5" width="14.28515625" customWidth="1"/>
    <col min="6" max="6" width="16.42578125" customWidth="1"/>
    <col min="7" max="7" width="13.85546875" customWidth="1"/>
    <col min="8" max="10" width="15.5703125" customWidth="1"/>
    <col min="11" max="11" width="19.140625" customWidth="1"/>
    <col min="12" max="12" width="14.28515625" customWidth="1"/>
    <col min="13" max="14" width="15.85546875" customWidth="1"/>
    <col min="15" max="15" width="15.28515625" customWidth="1"/>
    <col min="16" max="16" width="13.140625" customWidth="1"/>
    <col min="17" max="17" width="17" customWidth="1"/>
    <col min="18" max="18" width="15.7109375" customWidth="1"/>
    <col min="19" max="19" width="12.5703125" customWidth="1"/>
    <col min="28" max="28" width="11" customWidth="1"/>
    <col min="31" max="31" width="6.7109375" customWidth="1"/>
    <col min="38" max="38" width="9.28515625" bestFit="1" customWidth="1"/>
    <col min="39" max="39" width="15.28515625" customWidth="1"/>
    <col min="61" max="61" width="9.140625" customWidth="1"/>
    <col min="62" max="62" width="13.85546875" customWidth="1"/>
    <col min="63" max="63" width="10.140625" customWidth="1"/>
    <col min="64" max="64" width="11.28515625" customWidth="1"/>
    <col min="65" max="65" width="11.140625" customWidth="1"/>
  </cols>
  <sheetData>
    <row r="1" spans="1:65" ht="15" customHeight="1">
      <c r="AR1" s="38"/>
      <c r="AS1" s="39"/>
      <c r="AT1" s="39"/>
      <c r="AU1" s="39"/>
      <c r="AV1" s="39"/>
      <c r="AW1" s="39"/>
    </row>
    <row r="2" spans="1:65" ht="15" customHeight="1">
      <c r="D2" s="77" t="s">
        <v>0</v>
      </c>
      <c r="E2" s="77"/>
      <c r="F2" s="77"/>
      <c r="G2" s="77"/>
      <c r="AR2" s="51" t="s">
        <v>1</v>
      </c>
      <c r="AS2" s="51"/>
      <c r="AT2" s="51"/>
      <c r="AU2" s="51"/>
      <c r="AV2" s="51"/>
      <c r="AW2" s="51"/>
    </row>
    <row r="3" spans="1:65" ht="15" customHeight="1">
      <c r="AR3" s="38"/>
      <c r="AS3" s="39"/>
      <c r="AT3" s="39"/>
      <c r="AU3" s="39"/>
      <c r="AV3" s="39"/>
      <c r="AW3" s="39"/>
    </row>
    <row r="4" spans="1:65" ht="15" customHeight="1">
      <c r="A4" s="10" t="s">
        <v>2</v>
      </c>
      <c r="B4" s="11" t="s">
        <v>3</v>
      </c>
      <c r="C4" s="2" t="s">
        <v>4</v>
      </c>
      <c r="D4" s="2" t="s">
        <v>5</v>
      </c>
      <c r="E4" s="2" t="s">
        <v>6</v>
      </c>
      <c r="F4" s="2" t="s">
        <v>7</v>
      </c>
      <c r="G4" s="2" t="s">
        <v>8</v>
      </c>
      <c r="H4" s="2" t="s">
        <v>9</v>
      </c>
      <c r="I4" s="15" t="s">
        <v>10</v>
      </c>
      <c r="J4" s="15" t="s">
        <v>11</v>
      </c>
      <c r="K4" s="2" t="s">
        <v>12</v>
      </c>
      <c r="L4" s="2" t="s">
        <v>13</v>
      </c>
      <c r="M4" s="2" t="s">
        <v>14</v>
      </c>
      <c r="N4" s="2" t="s">
        <v>15</v>
      </c>
      <c r="O4" s="2" t="s">
        <v>16</v>
      </c>
      <c r="P4" s="2" t="s">
        <v>17</v>
      </c>
      <c r="Q4" s="4" t="s">
        <v>18</v>
      </c>
      <c r="R4" s="3" t="s">
        <v>19</v>
      </c>
      <c r="S4" s="3" t="s">
        <v>20</v>
      </c>
      <c r="AF4" s="31"/>
      <c r="AL4" s="83"/>
      <c r="AM4" s="83"/>
      <c r="AN4" s="33" t="s">
        <v>21</v>
      </c>
      <c r="AO4" s="34"/>
      <c r="AP4" s="34"/>
      <c r="AQ4" s="34"/>
      <c r="AR4" s="34"/>
      <c r="AS4" s="34"/>
      <c r="AT4" s="34"/>
      <c r="AU4" s="34"/>
      <c r="AV4" s="34"/>
      <c r="AW4" s="34"/>
      <c r="AX4" s="34"/>
      <c r="AY4" s="34"/>
      <c r="AZ4" s="34"/>
      <c r="BA4" s="34"/>
      <c r="BC4" s="79" t="s">
        <v>22</v>
      </c>
      <c r="BD4" s="80"/>
      <c r="BE4" s="80"/>
      <c r="BF4" s="80"/>
      <c r="BG4" s="80"/>
      <c r="BH4" s="80"/>
      <c r="BI4" s="74" t="s">
        <v>23</v>
      </c>
      <c r="BJ4" s="75"/>
    </row>
    <row r="5" spans="1:65" ht="15" customHeight="1">
      <c r="A5" s="6">
        <v>45415</v>
      </c>
      <c r="B5" s="7">
        <v>0.29166666666666669</v>
      </c>
      <c r="C5" s="40">
        <v>200</v>
      </c>
      <c r="D5" s="40">
        <v>300</v>
      </c>
      <c r="E5" s="40">
        <v>350</v>
      </c>
      <c r="F5" s="40">
        <v>420</v>
      </c>
      <c r="G5" s="40">
        <v>200</v>
      </c>
      <c r="H5" s="40">
        <v>200</v>
      </c>
      <c r="I5" s="19">
        <v>93</v>
      </c>
      <c r="J5" s="22">
        <f>(100-I5)</f>
        <v>7</v>
      </c>
      <c r="K5">
        <f>(C5*4)/1000</f>
        <v>0.8</v>
      </c>
      <c r="L5">
        <f>(D5*10)/1000</f>
        <v>3</v>
      </c>
      <c r="M5">
        <f>(E5*19)/1000</f>
        <v>6.65</v>
      </c>
      <c r="N5">
        <f>(F5*33)/1000</f>
        <v>13.86</v>
      </c>
      <c r="O5">
        <f>(G5*55)/1000</f>
        <v>11</v>
      </c>
      <c r="P5">
        <f>(H5*64)/1000</f>
        <v>12.8</v>
      </c>
      <c r="Q5" s="12">
        <f>SUM(K5:P5)</f>
        <v>48.11</v>
      </c>
      <c r="R5" s="25">
        <f>((I5/100)*Q5)</f>
        <v>44.7423</v>
      </c>
      <c r="S5" s="16">
        <f>((J5/100)*Q5)</f>
        <v>3.3677000000000001</v>
      </c>
      <c r="V5" s="52" t="s">
        <v>24</v>
      </c>
      <c r="W5" s="53"/>
      <c r="X5" s="53"/>
      <c r="Y5" s="53"/>
      <c r="Z5" s="53"/>
      <c r="AA5" s="53"/>
      <c r="AB5" s="53"/>
      <c r="AC5" s="53"/>
      <c r="AD5" s="53"/>
      <c r="AE5" s="54"/>
      <c r="AF5" s="31"/>
      <c r="AH5" s="81" t="s">
        <v>25</v>
      </c>
      <c r="AI5" s="56"/>
      <c r="AJ5" s="56"/>
      <c r="AK5" s="56"/>
      <c r="AL5" s="10" t="s">
        <v>2</v>
      </c>
      <c r="AM5" s="11" t="s">
        <v>26</v>
      </c>
      <c r="AN5" s="2" t="s">
        <v>27</v>
      </c>
      <c r="AO5" s="2" t="s">
        <v>28</v>
      </c>
      <c r="AP5" s="2" t="s">
        <v>29</v>
      </c>
      <c r="AQ5" s="2" t="s">
        <v>30</v>
      </c>
      <c r="AR5" s="2" t="s">
        <v>31</v>
      </c>
      <c r="AS5" s="2" t="s">
        <v>32</v>
      </c>
      <c r="AT5" s="2" t="s">
        <v>33</v>
      </c>
      <c r="AU5" s="2" t="s">
        <v>34</v>
      </c>
      <c r="AV5" s="2" t="s">
        <v>35</v>
      </c>
      <c r="AW5" s="2" t="s">
        <v>36</v>
      </c>
      <c r="AX5" s="2" t="s">
        <v>37</v>
      </c>
      <c r="AY5" s="2" t="s">
        <v>38</v>
      </c>
      <c r="AZ5" s="2" t="s">
        <v>39</v>
      </c>
      <c r="BA5" s="2" t="s">
        <v>40</v>
      </c>
      <c r="BC5" s="28"/>
      <c r="BD5" s="10"/>
      <c r="BE5" s="10"/>
      <c r="BF5" s="10"/>
      <c r="BG5" s="10"/>
      <c r="BH5" s="10"/>
      <c r="BI5" s="29"/>
      <c r="BJ5" s="29"/>
    </row>
    <row r="6" spans="1:65">
      <c r="A6" s="5"/>
      <c r="B6" s="8">
        <v>0.41666666666666669</v>
      </c>
      <c r="C6">
        <v>250</v>
      </c>
      <c r="D6">
        <v>360</v>
      </c>
      <c r="E6">
        <v>250</v>
      </c>
      <c r="F6">
        <v>250</v>
      </c>
      <c r="G6">
        <v>220</v>
      </c>
      <c r="H6">
        <v>150</v>
      </c>
      <c r="I6" s="20">
        <v>92</v>
      </c>
      <c r="J6" s="22">
        <f t="shared" ref="J6:J24" si="0">(100-I6)</f>
        <v>8</v>
      </c>
      <c r="K6">
        <f t="shared" ref="K6:K24" si="1">(C6*4)/1000</f>
        <v>1</v>
      </c>
      <c r="L6">
        <f t="shared" ref="L6:L24" si="2">(D6*10)/1000</f>
        <v>3.6</v>
      </c>
      <c r="M6">
        <f t="shared" ref="M6:M24" si="3">(E6*19)/1000</f>
        <v>4.75</v>
      </c>
      <c r="N6">
        <f t="shared" ref="N6:N24" si="4">(F6*33)/1000</f>
        <v>8.25</v>
      </c>
      <c r="O6">
        <f t="shared" ref="O6:O24" si="5">(G6*55)/1000</f>
        <v>12.1</v>
      </c>
      <c r="P6">
        <f t="shared" ref="P6:P24" si="6">(H6*64)/1000</f>
        <v>9.6</v>
      </c>
      <c r="Q6" s="46">
        <f t="shared" ref="Q6:Q24" si="7">SUM(K6:P6)</f>
        <v>39.300000000000004</v>
      </c>
      <c r="R6">
        <f t="shared" ref="R6:R24" si="8">((I6/100)*Q6)</f>
        <v>36.156000000000006</v>
      </c>
      <c r="S6" s="17">
        <f t="shared" ref="S6:S24" si="9">((J6/100)*Q6)</f>
        <v>3.1440000000000006</v>
      </c>
      <c r="V6" s="55"/>
      <c r="W6" s="56"/>
      <c r="X6" s="56"/>
      <c r="Y6" s="56"/>
      <c r="Z6" s="56"/>
      <c r="AA6" s="56"/>
      <c r="AB6" s="56"/>
      <c r="AC6" s="56"/>
      <c r="AD6" s="56"/>
      <c r="AE6" s="57"/>
      <c r="AF6" s="31"/>
      <c r="AH6" s="82"/>
      <c r="AI6" s="56"/>
      <c r="AJ6" s="56"/>
      <c r="AK6" s="56"/>
      <c r="AL6" s="6">
        <v>45415</v>
      </c>
      <c r="AM6" s="7" t="s">
        <v>41</v>
      </c>
      <c r="AN6" s="30">
        <v>20</v>
      </c>
      <c r="AO6" s="5">
        <f>(AN6*1.05)</f>
        <v>21</v>
      </c>
      <c r="AP6" s="30">
        <f>(AN6*1.09)</f>
        <v>21.8</v>
      </c>
      <c r="AQ6">
        <f>(AN6*1.14)</f>
        <v>22.799999999999997</v>
      </c>
      <c r="AR6">
        <f>(AN6*1.16)</f>
        <v>23.2</v>
      </c>
      <c r="AS6">
        <f>(AN6*1.21)</f>
        <v>24.2</v>
      </c>
      <c r="AT6" s="30">
        <f>(AN6*1.29)</f>
        <v>25.8</v>
      </c>
      <c r="AU6" s="5">
        <f>(AN6*1.31)</f>
        <v>26.200000000000003</v>
      </c>
      <c r="AV6" s="30">
        <f>(AN6*1.37)</f>
        <v>27.400000000000002</v>
      </c>
      <c r="AW6">
        <f>(AN6*1.44)</f>
        <v>28.799999999999997</v>
      </c>
      <c r="AX6">
        <f>(AN6*1.495)</f>
        <v>29.900000000000002</v>
      </c>
      <c r="AY6">
        <f>(AN6*1.58)</f>
        <v>31.6</v>
      </c>
      <c r="AZ6">
        <f>(AN6*1.62)</f>
        <v>32.400000000000006</v>
      </c>
      <c r="BC6" s="76" t="s">
        <v>42</v>
      </c>
      <c r="BD6" s="76" t="s">
        <v>43</v>
      </c>
      <c r="BE6" s="76" t="s">
        <v>44</v>
      </c>
      <c r="BF6" s="76" t="s">
        <v>45</v>
      </c>
      <c r="BG6" s="76" t="s">
        <v>46</v>
      </c>
      <c r="BH6" s="76" t="s">
        <v>47</v>
      </c>
      <c r="BI6" s="68" t="s">
        <v>48</v>
      </c>
      <c r="BJ6" s="68"/>
    </row>
    <row r="7" spans="1:65">
      <c r="A7" s="5"/>
      <c r="B7" s="8">
        <v>0.54166666666666663</v>
      </c>
      <c r="C7" s="40">
        <v>150</v>
      </c>
      <c r="D7" s="40">
        <v>250</v>
      </c>
      <c r="E7" s="40">
        <v>120</v>
      </c>
      <c r="F7" s="40">
        <v>220</v>
      </c>
      <c r="G7" s="40">
        <v>250</v>
      </c>
      <c r="H7" s="40">
        <v>150</v>
      </c>
      <c r="I7" s="20">
        <v>92</v>
      </c>
      <c r="J7" s="22">
        <f t="shared" si="0"/>
        <v>8</v>
      </c>
      <c r="K7">
        <f t="shared" si="1"/>
        <v>0.6</v>
      </c>
      <c r="L7">
        <f t="shared" si="2"/>
        <v>2.5</v>
      </c>
      <c r="M7">
        <f t="shared" si="3"/>
        <v>2.2799999999999998</v>
      </c>
      <c r="N7">
        <f t="shared" si="4"/>
        <v>7.26</v>
      </c>
      <c r="O7">
        <f t="shared" si="5"/>
        <v>13.75</v>
      </c>
      <c r="P7">
        <f t="shared" si="6"/>
        <v>9.6</v>
      </c>
      <c r="Q7" s="47">
        <f t="shared" si="7"/>
        <v>35.99</v>
      </c>
      <c r="R7">
        <f t="shared" si="8"/>
        <v>33.110800000000005</v>
      </c>
      <c r="S7" s="17">
        <f t="shared" si="9"/>
        <v>2.8792000000000004</v>
      </c>
      <c r="V7" s="55"/>
      <c r="W7" s="56"/>
      <c r="X7" s="56"/>
      <c r="Y7" s="56"/>
      <c r="Z7" s="56"/>
      <c r="AA7" s="56"/>
      <c r="AB7" s="56"/>
      <c r="AC7" s="56"/>
      <c r="AD7" s="56"/>
      <c r="AE7" s="57"/>
      <c r="AF7" s="31"/>
      <c r="AH7" s="82"/>
      <c r="AI7" s="56"/>
      <c r="AJ7" s="56"/>
      <c r="AK7" s="56"/>
      <c r="AL7" s="5"/>
      <c r="AM7" s="8" t="s">
        <v>49</v>
      </c>
      <c r="AN7">
        <v>21</v>
      </c>
      <c r="AO7">
        <f t="shared" ref="AO7:AO10" si="10">(AN7*1.05)</f>
        <v>22.05</v>
      </c>
      <c r="AP7">
        <f t="shared" ref="AP7:AP10" si="11">(AN7*1.09)</f>
        <v>22.89</v>
      </c>
      <c r="AQ7">
        <f t="shared" ref="AQ7:AQ10" si="12">(AN7*1.14)</f>
        <v>23.939999999999998</v>
      </c>
      <c r="AR7">
        <f t="shared" ref="AR7:AR10" si="13">(AN7*1.16)</f>
        <v>24.36</v>
      </c>
      <c r="AS7">
        <f t="shared" ref="AS7:AS10" si="14">(AN7*1.21)</f>
        <v>25.41</v>
      </c>
      <c r="AT7">
        <f t="shared" ref="AT7:AT10" si="15">(AN7*1.29)</f>
        <v>27.09</v>
      </c>
      <c r="AU7">
        <f t="shared" ref="AU7:AU10" si="16">(AN7*1.31)</f>
        <v>27.51</v>
      </c>
      <c r="AV7">
        <f t="shared" ref="AV7:AV10" si="17">(AN7*1.37)</f>
        <v>28.770000000000003</v>
      </c>
      <c r="AW7">
        <f t="shared" ref="AW7:AW10" si="18">(AN7*1.44)</f>
        <v>30.24</v>
      </c>
      <c r="AX7">
        <f t="shared" ref="AX7:AX10" si="19">(AN7*1.495)</f>
        <v>31.395000000000003</v>
      </c>
      <c r="AY7">
        <f t="shared" ref="AY7:AY10" si="20">(AN7*1.58)</f>
        <v>33.18</v>
      </c>
      <c r="AZ7">
        <f t="shared" ref="AZ7:AZ10" si="21">(AN7*1.62)</f>
        <v>34.020000000000003</v>
      </c>
      <c r="BC7" s="76"/>
      <c r="BD7" s="76"/>
      <c r="BE7" s="76"/>
      <c r="BF7" s="76"/>
      <c r="BG7" s="76"/>
      <c r="BH7" s="76"/>
      <c r="BI7" s="68"/>
      <c r="BJ7" s="68"/>
    </row>
    <row r="8" spans="1:65" ht="15.75">
      <c r="A8" s="5"/>
      <c r="B8" s="8">
        <v>0.66666666666666663</v>
      </c>
      <c r="C8">
        <v>120</v>
      </c>
      <c r="D8">
        <v>280</v>
      </c>
      <c r="E8">
        <v>100</v>
      </c>
      <c r="F8">
        <v>200</v>
      </c>
      <c r="G8">
        <v>200</v>
      </c>
      <c r="H8">
        <v>120</v>
      </c>
      <c r="I8" s="20">
        <v>93</v>
      </c>
      <c r="J8" s="22">
        <f t="shared" si="0"/>
        <v>7</v>
      </c>
      <c r="K8">
        <f t="shared" si="1"/>
        <v>0.48</v>
      </c>
      <c r="L8">
        <f t="shared" si="2"/>
        <v>2.8</v>
      </c>
      <c r="M8">
        <f t="shared" si="3"/>
        <v>1.9</v>
      </c>
      <c r="N8">
        <f t="shared" si="4"/>
        <v>6.6</v>
      </c>
      <c r="O8">
        <f t="shared" si="5"/>
        <v>11</v>
      </c>
      <c r="P8">
        <f t="shared" si="6"/>
        <v>7.68</v>
      </c>
      <c r="Q8" s="48">
        <f t="shared" si="7"/>
        <v>30.46</v>
      </c>
      <c r="R8">
        <f t="shared" si="8"/>
        <v>28.327800000000003</v>
      </c>
      <c r="S8" s="17">
        <f t="shared" si="9"/>
        <v>2.1322000000000001</v>
      </c>
      <c r="V8" s="55"/>
      <c r="W8" s="56"/>
      <c r="X8" s="56"/>
      <c r="Y8" s="56"/>
      <c r="Z8" s="56"/>
      <c r="AA8" s="56"/>
      <c r="AB8" s="56"/>
      <c r="AC8" s="56"/>
      <c r="AD8" s="56"/>
      <c r="AE8" s="57"/>
      <c r="AF8" s="31"/>
      <c r="AH8" s="82"/>
      <c r="AI8" s="56"/>
      <c r="AJ8" s="56"/>
      <c r="AK8" s="56"/>
      <c r="AL8" s="5"/>
      <c r="AM8" s="8" t="s">
        <v>50</v>
      </c>
      <c r="AN8">
        <v>22</v>
      </c>
      <c r="AO8">
        <f t="shared" si="10"/>
        <v>23.1</v>
      </c>
      <c r="AP8">
        <f t="shared" si="11"/>
        <v>23.98</v>
      </c>
      <c r="AQ8">
        <f t="shared" si="12"/>
        <v>25.08</v>
      </c>
      <c r="AR8">
        <f t="shared" si="13"/>
        <v>25.52</v>
      </c>
      <c r="AS8">
        <f t="shared" si="14"/>
        <v>26.619999999999997</v>
      </c>
      <c r="AT8">
        <f t="shared" si="15"/>
        <v>28.380000000000003</v>
      </c>
      <c r="AU8">
        <f t="shared" si="16"/>
        <v>28.82</v>
      </c>
      <c r="AV8">
        <f t="shared" si="17"/>
        <v>30.14</v>
      </c>
      <c r="AW8">
        <f t="shared" si="18"/>
        <v>31.68</v>
      </c>
      <c r="AX8">
        <f t="shared" si="19"/>
        <v>32.89</v>
      </c>
      <c r="AY8">
        <f t="shared" si="20"/>
        <v>34.760000000000005</v>
      </c>
      <c r="AZ8">
        <f t="shared" si="21"/>
        <v>35.64</v>
      </c>
      <c r="BI8" s="63" t="s">
        <v>51</v>
      </c>
      <c r="BJ8" s="63"/>
    </row>
    <row r="9" spans="1:65">
      <c r="A9" s="5"/>
      <c r="B9" s="8">
        <v>0.79166666666666663</v>
      </c>
      <c r="C9" s="40">
        <v>80</v>
      </c>
      <c r="D9" s="40">
        <v>120</v>
      </c>
      <c r="E9" s="40">
        <v>85</v>
      </c>
      <c r="F9" s="40">
        <v>180</v>
      </c>
      <c r="G9" s="40">
        <v>120</v>
      </c>
      <c r="H9" s="40">
        <v>90</v>
      </c>
      <c r="I9" s="21">
        <v>93</v>
      </c>
      <c r="J9" s="22">
        <f t="shared" si="0"/>
        <v>7</v>
      </c>
      <c r="K9">
        <f t="shared" si="1"/>
        <v>0.32</v>
      </c>
      <c r="L9">
        <f t="shared" si="2"/>
        <v>1.2</v>
      </c>
      <c r="M9">
        <f t="shared" si="3"/>
        <v>1.615</v>
      </c>
      <c r="N9">
        <f t="shared" si="4"/>
        <v>5.94</v>
      </c>
      <c r="O9">
        <f t="shared" si="5"/>
        <v>6.6</v>
      </c>
      <c r="P9">
        <f t="shared" si="6"/>
        <v>5.76</v>
      </c>
      <c r="Q9" s="49">
        <f t="shared" si="7"/>
        <v>21.434999999999999</v>
      </c>
      <c r="R9" s="26">
        <f t="shared" si="8"/>
        <v>19.934550000000002</v>
      </c>
      <c r="S9" s="18">
        <f t="shared" si="9"/>
        <v>1.5004500000000001</v>
      </c>
      <c r="V9" s="58"/>
      <c r="W9" s="59"/>
      <c r="X9" s="59"/>
      <c r="Y9" s="59"/>
      <c r="Z9" s="59"/>
      <c r="AA9" s="59"/>
      <c r="AB9" s="59"/>
      <c r="AC9" s="59"/>
      <c r="AD9" s="59"/>
      <c r="AE9" s="60"/>
      <c r="AF9" s="31"/>
      <c r="AH9" s="82"/>
      <c r="AI9" s="56"/>
      <c r="AJ9" s="56"/>
      <c r="AK9" s="56"/>
      <c r="AL9" s="5"/>
      <c r="AM9" s="8" t="s">
        <v>52</v>
      </c>
      <c r="AN9">
        <v>23</v>
      </c>
      <c r="AO9">
        <f t="shared" si="10"/>
        <v>24.150000000000002</v>
      </c>
      <c r="AP9">
        <f t="shared" si="11"/>
        <v>25.07</v>
      </c>
      <c r="AQ9">
        <f t="shared" si="12"/>
        <v>26.22</v>
      </c>
      <c r="AR9">
        <f t="shared" si="13"/>
        <v>26.68</v>
      </c>
      <c r="AS9">
        <f t="shared" si="14"/>
        <v>27.83</v>
      </c>
      <c r="AT9">
        <f t="shared" si="15"/>
        <v>29.67</v>
      </c>
      <c r="AU9">
        <f t="shared" si="16"/>
        <v>30.130000000000003</v>
      </c>
      <c r="AV9">
        <f t="shared" si="17"/>
        <v>31.51</v>
      </c>
      <c r="AW9">
        <f t="shared" si="18"/>
        <v>33.119999999999997</v>
      </c>
      <c r="AX9">
        <f t="shared" si="19"/>
        <v>34.385000000000005</v>
      </c>
      <c r="AY9">
        <f t="shared" si="20"/>
        <v>36.340000000000003</v>
      </c>
      <c r="AZ9">
        <f t="shared" si="21"/>
        <v>37.260000000000005</v>
      </c>
      <c r="BI9" s="68" t="s">
        <v>53</v>
      </c>
      <c r="BJ9" s="68"/>
    </row>
    <row r="10" spans="1:65">
      <c r="A10" s="6">
        <v>45446</v>
      </c>
      <c r="B10" s="7">
        <v>0.29166666666666669</v>
      </c>
      <c r="C10">
        <v>350</v>
      </c>
      <c r="D10">
        <v>300</v>
      </c>
      <c r="E10">
        <v>350</v>
      </c>
      <c r="F10">
        <v>320</v>
      </c>
      <c r="G10">
        <v>240</v>
      </c>
      <c r="H10">
        <v>310</v>
      </c>
      <c r="I10" s="24">
        <v>90</v>
      </c>
      <c r="J10" s="23">
        <f>(100-I10)</f>
        <v>10</v>
      </c>
      <c r="K10">
        <f t="shared" si="1"/>
        <v>1.4</v>
      </c>
      <c r="L10">
        <f t="shared" si="2"/>
        <v>3</v>
      </c>
      <c r="M10">
        <f t="shared" si="3"/>
        <v>6.65</v>
      </c>
      <c r="N10">
        <f t="shared" si="4"/>
        <v>10.56</v>
      </c>
      <c r="O10">
        <f t="shared" si="5"/>
        <v>13.2</v>
      </c>
      <c r="P10">
        <f t="shared" si="6"/>
        <v>19.84</v>
      </c>
      <c r="Q10" s="50">
        <f t="shared" si="7"/>
        <v>54.650000000000006</v>
      </c>
      <c r="R10" s="26">
        <f t="shared" si="8"/>
        <v>49.185000000000009</v>
      </c>
      <c r="S10" s="18">
        <f t="shared" si="9"/>
        <v>5.4650000000000007</v>
      </c>
      <c r="V10" s="79" t="s">
        <v>22</v>
      </c>
      <c r="W10" s="80"/>
      <c r="X10" s="80"/>
      <c r="Y10" s="80"/>
      <c r="Z10" s="80"/>
      <c r="AA10" s="80"/>
      <c r="AB10" s="74" t="s">
        <v>23</v>
      </c>
      <c r="AC10" s="75"/>
      <c r="AF10" s="31"/>
      <c r="AH10" s="82"/>
      <c r="AI10" s="56"/>
      <c r="AJ10" s="56"/>
      <c r="AK10" s="56"/>
      <c r="AL10" s="5"/>
      <c r="AM10" s="8" t="s">
        <v>54</v>
      </c>
      <c r="AN10">
        <v>24</v>
      </c>
      <c r="AO10">
        <f t="shared" si="10"/>
        <v>25.200000000000003</v>
      </c>
      <c r="AP10">
        <f t="shared" si="11"/>
        <v>26.160000000000004</v>
      </c>
      <c r="AQ10">
        <f t="shared" si="12"/>
        <v>27.36</v>
      </c>
      <c r="AR10">
        <f t="shared" si="13"/>
        <v>27.839999999999996</v>
      </c>
      <c r="AS10">
        <f t="shared" si="14"/>
        <v>29.04</v>
      </c>
      <c r="AT10">
        <f t="shared" si="15"/>
        <v>30.96</v>
      </c>
      <c r="AU10">
        <f t="shared" si="16"/>
        <v>31.44</v>
      </c>
      <c r="AV10">
        <f t="shared" si="17"/>
        <v>32.880000000000003</v>
      </c>
      <c r="AW10">
        <f t="shared" si="18"/>
        <v>34.56</v>
      </c>
      <c r="AX10">
        <f t="shared" si="19"/>
        <v>35.880000000000003</v>
      </c>
      <c r="AY10">
        <f t="shared" si="20"/>
        <v>37.92</v>
      </c>
      <c r="AZ10">
        <f t="shared" si="21"/>
        <v>38.880000000000003</v>
      </c>
      <c r="BI10" s="68"/>
      <c r="BJ10" s="68"/>
    </row>
    <row r="11" spans="1:65">
      <c r="A11" s="5"/>
      <c r="B11" s="8">
        <v>0.41666666666666669</v>
      </c>
      <c r="C11">
        <v>250</v>
      </c>
      <c r="D11">
        <v>320</v>
      </c>
      <c r="E11">
        <v>250</v>
      </c>
      <c r="F11">
        <v>220</v>
      </c>
      <c r="G11">
        <v>200</v>
      </c>
      <c r="H11">
        <v>215</v>
      </c>
      <c r="I11" s="20">
        <v>86</v>
      </c>
      <c r="J11" s="22">
        <f t="shared" si="0"/>
        <v>14</v>
      </c>
      <c r="K11">
        <f t="shared" si="1"/>
        <v>1</v>
      </c>
      <c r="L11">
        <f t="shared" si="2"/>
        <v>3.2</v>
      </c>
      <c r="M11">
        <f t="shared" si="3"/>
        <v>4.75</v>
      </c>
      <c r="N11">
        <f t="shared" si="4"/>
        <v>7.26</v>
      </c>
      <c r="O11">
        <f t="shared" si="5"/>
        <v>11</v>
      </c>
      <c r="P11">
        <f t="shared" si="6"/>
        <v>13.76</v>
      </c>
      <c r="Q11" s="13">
        <f t="shared" si="7"/>
        <v>40.97</v>
      </c>
      <c r="R11" s="26">
        <f t="shared" si="8"/>
        <v>35.234200000000001</v>
      </c>
      <c r="S11" s="18">
        <f t="shared" si="9"/>
        <v>5.7358000000000002</v>
      </c>
      <c r="V11" s="28"/>
      <c r="W11" s="10"/>
      <c r="X11" s="10"/>
      <c r="Y11" s="10"/>
      <c r="Z11" s="10"/>
      <c r="AA11" s="10"/>
      <c r="AB11" s="29"/>
      <c r="AC11" s="29"/>
      <c r="AF11" s="31"/>
      <c r="AH11" s="82"/>
      <c r="AI11" s="56"/>
      <c r="AJ11" s="56"/>
      <c r="AK11" s="56"/>
      <c r="AL11" s="69" t="s">
        <v>55</v>
      </c>
      <c r="AM11" s="70"/>
      <c r="AN11" s="71"/>
      <c r="AO11" s="71"/>
      <c r="AP11" s="71"/>
      <c r="AQ11" s="71"/>
      <c r="AR11" s="71"/>
      <c r="AS11" s="71"/>
      <c r="AT11" s="71"/>
      <c r="AU11" s="71"/>
      <c r="AV11" s="71"/>
      <c r="AW11" s="71"/>
      <c r="AX11" s="71"/>
      <c r="AY11" s="71"/>
      <c r="AZ11" s="71"/>
      <c r="BA11" s="72"/>
    </row>
    <row r="12" spans="1:65" ht="15.75" customHeight="1">
      <c r="A12" s="5"/>
      <c r="B12" s="8">
        <v>0.54166666666666663</v>
      </c>
      <c r="C12">
        <v>200</v>
      </c>
      <c r="D12">
        <v>300</v>
      </c>
      <c r="E12">
        <v>190</v>
      </c>
      <c r="F12">
        <v>200</v>
      </c>
      <c r="G12">
        <v>180</v>
      </c>
      <c r="H12">
        <v>250</v>
      </c>
      <c r="I12" s="20">
        <v>92</v>
      </c>
      <c r="J12" s="22">
        <f t="shared" si="0"/>
        <v>8</v>
      </c>
      <c r="K12">
        <f t="shared" si="1"/>
        <v>0.8</v>
      </c>
      <c r="L12">
        <f t="shared" si="2"/>
        <v>3</v>
      </c>
      <c r="M12">
        <f t="shared" si="3"/>
        <v>3.61</v>
      </c>
      <c r="N12">
        <f t="shared" si="4"/>
        <v>6.6</v>
      </c>
      <c r="O12">
        <f t="shared" si="5"/>
        <v>9.9</v>
      </c>
      <c r="P12">
        <f t="shared" si="6"/>
        <v>16</v>
      </c>
      <c r="Q12" s="13">
        <f t="shared" si="7"/>
        <v>39.909999999999997</v>
      </c>
      <c r="R12" s="26">
        <f t="shared" si="8"/>
        <v>36.717199999999998</v>
      </c>
      <c r="S12" s="18">
        <f t="shared" si="9"/>
        <v>3.1927999999999996</v>
      </c>
      <c r="V12" s="76" t="s">
        <v>12</v>
      </c>
      <c r="W12" s="76" t="s">
        <v>13</v>
      </c>
      <c r="X12" s="76" t="s">
        <v>14</v>
      </c>
      <c r="Y12" s="76" t="s">
        <v>15</v>
      </c>
      <c r="Z12" s="76" t="s">
        <v>16</v>
      </c>
      <c r="AA12" s="76" t="s">
        <v>17</v>
      </c>
      <c r="AB12" s="68" t="s">
        <v>56</v>
      </c>
      <c r="AC12" s="68"/>
      <c r="AF12" s="31"/>
      <c r="AH12" s="82"/>
      <c r="AI12" s="56"/>
      <c r="AJ12" s="56"/>
      <c r="AK12" s="56"/>
      <c r="AL12" s="6">
        <v>45446</v>
      </c>
      <c r="AM12" s="8" t="s">
        <v>41</v>
      </c>
      <c r="BC12" s="40"/>
      <c r="BD12" s="40"/>
      <c r="BE12" s="73" t="s">
        <v>57</v>
      </c>
      <c r="BF12" s="73"/>
      <c r="BG12" s="73"/>
      <c r="BH12" s="73"/>
      <c r="BI12" s="73"/>
      <c r="BJ12" s="73"/>
      <c r="BK12" s="40"/>
      <c r="BL12" s="40"/>
      <c r="BM12" s="40"/>
    </row>
    <row r="13" spans="1:65">
      <c r="A13" s="5"/>
      <c r="B13" s="8">
        <v>0.66666666666666663</v>
      </c>
      <c r="C13">
        <v>120</v>
      </c>
      <c r="D13">
        <v>250</v>
      </c>
      <c r="E13">
        <v>120</v>
      </c>
      <c r="F13">
        <v>200</v>
      </c>
      <c r="G13">
        <v>100</v>
      </c>
      <c r="H13">
        <v>180</v>
      </c>
      <c r="I13" s="20">
        <v>89</v>
      </c>
      <c r="J13" s="22">
        <f t="shared" si="0"/>
        <v>11</v>
      </c>
      <c r="K13">
        <f t="shared" si="1"/>
        <v>0.48</v>
      </c>
      <c r="L13">
        <f t="shared" si="2"/>
        <v>2.5</v>
      </c>
      <c r="M13">
        <f t="shared" si="3"/>
        <v>2.2799999999999998</v>
      </c>
      <c r="N13">
        <f t="shared" si="4"/>
        <v>6.6</v>
      </c>
      <c r="O13">
        <f t="shared" si="5"/>
        <v>5.5</v>
      </c>
      <c r="P13">
        <f t="shared" si="6"/>
        <v>11.52</v>
      </c>
      <c r="Q13" s="13">
        <f t="shared" si="7"/>
        <v>28.88</v>
      </c>
      <c r="R13" s="26">
        <f t="shared" si="8"/>
        <v>25.703199999999999</v>
      </c>
      <c r="S13" s="18">
        <f t="shared" si="9"/>
        <v>3.1768000000000001</v>
      </c>
      <c r="V13" s="76"/>
      <c r="W13" s="76"/>
      <c r="X13" s="76"/>
      <c r="Y13" s="76"/>
      <c r="Z13" s="76"/>
      <c r="AA13" s="76"/>
      <c r="AB13" s="68"/>
      <c r="AC13" s="68"/>
      <c r="AF13" s="31"/>
      <c r="AH13" s="82"/>
      <c r="AI13" s="56"/>
      <c r="AJ13" s="56"/>
      <c r="AK13" s="56"/>
      <c r="AL13" s="5"/>
      <c r="AM13" s="8" t="s">
        <v>49</v>
      </c>
      <c r="BC13" s="15" t="s">
        <v>10</v>
      </c>
      <c r="BD13" s="15" t="s">
        <v>11</v>
      </c>
      <c r="BE13" s="2" t="s">
        <v>12</v>
      </c>
      <c r="BF13" s="2" t="s">
        <v>13</v>
      </c>
      <c r="BG13" s="2" t="s">
        <v>14</v>
      </c>
      <c r="BH13" s="2" t="s">
        <v>15</v>
      </c>
      <c r="BI13" s="2" t="s">
        <v>16</v>
      </c>
      <c r="BJ13" s="2" t="s">
        <v>17</v>
      </c>
      <c r="BK13" s="4" t="s">
        <v>18</v>
      </c>
      <c r="BL13" s="3" t="s">
        <v>19</v>
      </c>
      <c r="BM13" s="3" t="s">
        <v>20</v>
      </c>
    </row>
    <row r="14" spans="1:65">
      <c r="A14" s="5"/>
      <c r="B14" s="9">
        <v>0.79166666666666663</v>
      </c>
      <c r="C14">
        <v>180</v>
      </c>
      <c r="D14">
        <v>200</v>
      </c>
      <c r="E14">
        <v>90</v>
      </c>
      <c r="F14">
        <v>180</v>
      </c>
      <c r="G14">
        <v>60</v>
      </c>
      <c r="H14">
        <v>100</v>
      </c>
      <c r="I14" s="21">
        <v>97</v>
      </c>
      <c r="J14" s="22">
        <f t="shared" si="0"/>
        <v>3</v>
      </c>
      <c r="K14">
        <f t="shared" si="1"/>
        <v>0.72</v>
      </c>
      <c r="L14">
        <f t="shared" si="2"/>
        <v>2</v>
      </c>
      <c r="M14">
        <f t="shared" si="3"/>
        <v>1.71</v>
      </c>
      <c r="N14">
        <f t="shared" si="4"/>
        <v>5.94</v>
      </c>
      <c r="O14">
        <f t="shared" si="5"/>
        <v>3.3</v>
      </c>
      <c r="P14">
        <f t="shared" si="6"/>
        <v>6.4</v>
      </c>
      <c r="Q14" s="27">
        <f t="shared" si="7"/>
        <v>20.07</v>
      </c>
      <c r="R14" s="26">
        <f t="shared" si="8"/>
        <v>19.4679</v>
      </c>
      <c r="S14" s="18">
        <f t="shared" si="9"/>
        <v>0.60209999999999997</v>
      </c>
      <c r="AF14" s="31"/>
      <c r="AH14" s="82"/>
      <c r="AI14" s="56"/>
      <c r="AJ14" s="56"/>
      <c r="AK14" s="56"/>
      <c r="AL14" s="5"/>
      <c r="AM14" s="8" t="s">
        <v>50</v>
      </c>
      <c r="BC14" s="19">
        <v>93</v>
      </c>
      <c r="BD14" s="22">
        <f>(100-BC14)</f>
        <v>7</v>
      </c>
      <c r="BE14">
        <f>(AN6*4)/1000</f>
        <v>0.08</v>
      </c>
      <c r="BF14">
        <f>(AO6*10)/1000</f>
        <v>0.21</v>
      </c>
      <c r="BG14">
        <f>(AP6*19)/1000</f>
        <v>0.41420000000000001</v>
      </c>
      <c r="BH14">
        <f>(AQ6*33)/1000</f>
        <v>0.75239999999999985</v>
      </c>
      <c r="BI14">
        <f>(AR6*55)/1000</f>
        <v>1.276</v>
      </c>
      <c r="BJ14">
        <f>(AS6*64)/1000</f>
        <v>1.5488</v>
      </c>
      <c r="BK14" s="12">
        <f>SUM(BE14:BJ14)</f>
        <v>4.2813999999999997</v>
      </c>
      <c r="BL14" s="25">
        <f>((BC14/100)*BK14)</f>
        <v>3.9817019999999999</v>
      </c>
      <c r="BM14" s="16">
        <f>((BD14/100)*BK14)</f>
        <v>0.29969800000000002</v>
      </c>
    </row>
    <row r="15" spans="1:65">
      <c r="A15" s="6">
        <v>45476</v>
      </c>
      <c r="B15" s="7">
        <v>0.29166666666666669</v>
      </c>
      <c r="C15">
        <v>220</v>
      </c>
      <c r="D15">
        <v>300</v>
      </c>
      <c r="E15">
        <v>350</v>
      </c>
      <c r="F15">
        <v>420</v>
      </c>
      <c r="G15">
        <v>200</v>
      </c>
      <c r="H15">
        <v>200</v>
      </c>
      <c r="I15" s="19">
        <v>85</v>
      </c>
      <c r="J15" s="22">
        <f t="shared" si="0"/>
        <v>15</v>
      </c>
      <c r="K15">
        <f t="shared" si="1"/>
        <v>0.88</v>
      </c>
      <c r="L15">
        <f t="shared" si="2"/>
        <v>3</v>
      </c>
      <c r="M15">
        <f t="shared" si="3"/>
        <v>6.65</v>
      </c>
      <c r="N15">
        <f t="shared" si="4"/>
        <v>13.86</v>
      </c>
      <c r="O15">
        <f t="shared" si="5"/>
        <v>11</v>
      </c>
      <c r="P15">
        <f t="shared" si="6"/>
        <v>12.8</v>
      </c>
      <c r="Q15" s="12">
        <f t="shared" si="7"/>
        <v>48.19</v>
      </c>
      <c r="R15" s="26">
        <f t="shared" si="8"/>
        <v>40.961499999999994</v>
      </c>
      <c r="S15" s="18">
        <f t="shared" si="9"/>
        <v>7.2284999999999995</v>
      </c>
      <c r="AF15" s="31"/>
      <c r="AH15" s="82"/>
      <c r="AI15" s="56"/>
      <c r="AJ15" s="56"/>
      <c r="AK15" s="56"/>
      <c r="AL15" s="5"/>
      <c r="AM15" s="8" t="s">
        <v>52</v>
      </c>
      <c r="BC15" s="20">
        <v>92</v>
      </c>
      <c r="BD15" s="22">
        <f t="shared" ref="BD15:BD18" si="22">(100-BC15)</f>
        <v>8</v>
      </c>
      <c r="BE15">
        <f>(AN7*4)/1000</f>
        <v>8.4000000000000005E-2</v>
      </c>
      <c r="BF15">
        <f>(AO7*10)/1000</f>
        <v>0.2205</v>
      </c>
      <c r="BG15">
        <f>(AP7*19)/1000</f>
        <v>0.43491000000000002</v>
      </c>
      <c r="BH15">
        <f>(AQ7*33)/1000</f>
        <v>0.79001999999999994</v>
      </c>
      <c r="BI15">
        <f>(AR7*55)/1000</f>
        <v>1.3397999999999999</v>
      </c>
      <c r="BJ15">
        <f>(AS7*64)/1000</f>
        <v>1.6262399999999999</v>
      </c>
      <c r="BK15" s="14">
        <f t="shared" ref="BK15:BK18" si="23">SUM(BE15:BJ15)</f>
        <v>4.4954700000000001</v>
      </c>
      <c r="BL15">
        <f t="shared" ref="BL15:BL18" si="24">((BC15/100)*BK15)</f>
        <v>4.1358324</v>
      </c>
      <c r="BM15" s="17">
        <f t="shared" ref="BM15:BM18" si="25">((BD15/100)*BK15)</f>
        <v>0.3596376</v>
      </c>
    </row>
    <row r="16" spans="1:65">
      <c r="A16" s="5"/>
      <c r="B16" s="8">
        <v>0.41666666666666669</v>
      </c>
      <c r="C16">
        <v>233</v>
      </c>
      <c r="D16">
        <v>330</v>
      </c>
      <c r="E16">
        <v>250</v>
      </c>
      <c r="F16">
        <v>250</v>
      </c>
      <c r="G16">
        <v>220</v>
      </c>
      <c r="H16">
        <v>150</v>
      </c>
      <c r="I16" s="20">
        <v>85</v>
      </c>
      <c r="J16" s="22">
        <f t="shared" si="0"/>
        <v>15</v>
      </c>
      <c r="K16">
        <f t="shared" si="1"/>
        <v>0.93200000000000005</v>
      </c>
      <c r="L16">
        <f t="shared" si="2"/>
        <v>3.3</v>
      </c>
      <c r="M16">
        <f t="shared" si="3"/>
        <v>4.75</v>
      </c>
      <c r="N16">
        <f t="shared" si="4"/>
        <v>8.25</v>
      </c>
      <c r="O16">
        <f t="shared" si="5"/>
        <v>12.1</v>
      </c>
      <c r="P16">
        <f t="shared" si="6"/>
        <v>9.6</v>
      </c>
      <c r="Q16" s="13">
        <f t="shared" si="7"/>
        <v>38.932000000000002</v>
      </c>
      <c r="R16" s="26">
        <f t="shared" si="8"/>
        <v>33.092199999999998</v>
      </c>
      <c r="S16" s="18">
        <f t="shared" si="9"/>
        <v>5.8398000000000003</v>
      </c>
      <c r="AF16" s="31"/>
      <c r="AH16" s="82"/>
      <c r="AI16" s="56"/>
      <c r="AJ16" s="56"/>
      <c r="AK16" s="56"/>
      <c r="AL16" s="5"/>
      <c r="AM16" s="8" t="s">
        <v>54</v>
      </c>
      <c r="BC16" s="20">
        <v>92</v>
      </c>
      <c r="BD16" s="22">
        <f t="shared" si="22"/>
        <v>8</v>
      </c>
      <c r="BE16">
        <f>(AN8*4)/1000</f>
        <v>8.7999999999999995E-2</v>
      </c>
      <c r="BF16">
        <f>(AO8*10)/1000</f>
        <v>0.23100000000000001</v>
      </c>
      <c r="BG16">
        <f>(AP8*19)/1000</f>
        <v>0.45562000000000002</v>
      </c>
      <c r="BH16">
        <f>(AQ8*33)/1000</f>
        <v>0.82763999999999993</v>
      </c>
      <c r="BI16">
        <f>(AR8*55)/1000</f>
        <v>1.4036</v>
      </c>
      <c r="BJ16">
        <f>(AS8*64)/1000</f>
        <v>1.7036799999999999</v>
      </c>
      <c r="BK16" s="13">
        <f t="shared" si="23"/>
        <v>4.7095400000000005</v>
      </c>
      <c r="BL16">
        <f t="shared" si="24"/>
        <v>4.3327768000000004</v>
      </c>
      <c r="BM16" s="17">
        <f t="shared" si="25"/>
        <v>0.37676320000000008</v>
      </c>
    </row>
    <row r="17" spans="1:65">
      <c r="A17" s="5"/>
      <c r="B17" s="8">
        <v>0.54166666666666663</v>
      </c>
      <c r="C17">
        <v>222</v>
      </c>
      <c r="D17">
        <v>250</v>
      </c>
      <c r="E17">
        <v>120</v>
      </c>
      <c r="F17">
        <v>220</v>
      </c>
      <c r="G17">
        <v>250</v>
      </c>
      <c r="H17">
        <v>150</v>
      </c>
      <c r="I17" s="20">
        <v>90</v>
      </c>
      <c r="J17" s="22">
        <f t="shared" si="0"/>
        <v>10</v>
      </c>
      <c r="K17">
        <f t="shared" si="1"/>
        <v>0.88800000000000001</v>
      </c>
      <c r="L17">
        <f t="shared" si="2"/>
        <v>2.5</v>
      </c>
      <c r="M17">
        <f t="shared" si="3"/>
        <v>2.2799999999999998</v>
      </c>
      <c r="N17">
        <f t="shared" si="4"/>
        <v>7.26</v>
      </c>
      <c r="O17">
        <f t="shared" si="5"/>
        <v>13.75</v>
      </c>
      <c r="P17">
        <f t="shared" si="6"/>
        <v>9.6</v>
      </c>
      <c r="Q17" s="13">
        <f t="shared" si="7"/>
        <v>36.277999999999999</v>
      </c>
      <c r="R17" s="26">
        <f t="shared" si="8"/>
        <v>32.650199999999998</v>
      </c>
      <c r="S17" s="18">
        <f t="shared" si="9"/>
        <v>3.6278000000000001</v>
      </c>
      <c r="AF17" s="31"/>
      <c r="AH17" s="82"/>
      <c r="AI17" s="56"/>
      <c r="AJ17" s="56"/>
      <c r="AK17" s="56"/>
      <c r="BC17" s="20">
        <v>93</v>
      </c>
      <c r="BD17" s="22">
        <f t="shared" si="22"/>
        <v>7</v>
      </c>
      <c r="BE17">
        <f>(AN9*4)/1000</f>
        <v>9.1999999999999998E-2</v>
      </c>
      <c r="BF17">
        <f>(AO9*10)/1000</f>
        <v>0.24150000000000002</v>
      </c>
      <c r="BG17">
        <f>(AP9*19)/1000</f>
        <v>0.47632999999999998</v>
      </c>
      <c r="BH17">
        <f>(AQ9*33)/1000</f>
        <v>0.86526000000000003</v>
      </c>
      <c r="BI17">
        <f>(AR9*55)/1000</f>
        <v>1.4674</v>
      </c>
      <c r="BJ17">
        <f>(AS9*64)/1000</f>
        <v>1.7811199999999998</v>
      </c>
      <c r="BK17" s="13">
        <f t="shared" si="23"/>
        <v>4.92361</v>
      </c>
      <c r="BL17">
        <f t="shared" si="24"/>
        <v>4.5789572999999999</v>
      </c>
      <c r="BM17" s="17">
        <f t="shared" si="25"/>
        <v>0.34465270000000003</v>
      </c>
    </row>
    <row r="18" spans="1:65" ht="15" customHeight="1">
      <c r="A18" s="5"/>
      <c r="B18" s="8">
        <v>0.66666666666666663</v>
      </c>
      <c r="C18">
        <v>180</v>
      </c>
      <c r="D18">
        <v>280</v>
      </c>
      <c r="E18">
        <v>100</v>
      </c>
      <c r="F18">
        <v>200</v>
      </c>
      <c r="G18">
        <v>200</v>
      </c>
      <c r="H18">
        <v>120</v>
      </c>
      <c r="I18" s="20">
        <v>88</v>
      </c>
      <c r="J18" s="22">
        <f>(100-I18)</f>
        <v>12</v>
      </c>
      <c r="K18">
        <f t="shared" si="1"/>
        <v>0.72</v>
      </c>
      <c r="L18">
        <f t="shared" si="2"/>
        <v>2.8</v>
      </c>
      <c r="M18">
        <f t="shared" si="3"/>
        <v>1.9</v>
      </c>
      <c r="N18">
        <f t="shared" si="4"/>
        <v>6.6</v>
      </c>
      <c r="O18">
        <f t="shared" si="5"/>
        <v>11</v>
      </c>
      <c r="P18">
        <f t="shared" si="6"/>
        <v>7.68</v>
      </c>
      <c r="Q18" s="13">
        <f t="shared" si="7"/>
        <v>30.7</v>
      </c>
      <c r="R18" s="26">
        <f t="shared" si="8"/>
        <v>27.015999999999998</v>
      </c>
      <c r="S18" s="18">
        <f t="shared" si="9"/>
        <v>3.6839999999999997</v>
      </c>
      <c r="AF18" s="31"/>
      <c r="AH18" s="82"/>
      <c r="AI18" s="56"/>
      <c r="AJ18" s="56"/>
      <c r="AK18" s="56"/>
      <c r="BC18" s="21">
        <v>93</v>
      </c>
      <c r="BD18" s="22">
        <f t="shared" si="22"/>
        <v>7</v>
      </c>
      <c r="BE18">
        <f>(AN10*4)/1000</f>
        <v>9.6000000000000002E-2</v>
      </c>
      <c r="BF18">
        <f>(AO10*10)/1000</f>
        <v>0.252</v>
      </c>
      <c r="BG18">
        <f>(AP10*19)/1000</f>
        <v>0.49704000000000009</v>
      </c>
      <c r="BH18">
        <f>(AQ10*33)/1000</f>
        <v>0.90288000000000002</v>
      </c>
      <c r="BI18">
        <f>(AR10*55)/1000</f>
        <v>1.5311999999999999</v>
      </c>
      <c r="BJ18">
        <f>(AS10*64)/1000</f>
        <v>1.85856</v>
      </c>
      <c r="BK18" s="27">
        <f t="shared" si="23"/>
        <v>5.1376799999999996</v>
      </c>
      <c r="BL18" s="26">
        <f t="shared" si="24"/>
        <v>4.7780423999999995</v>
      </c>
      <c r="BM18" s="18">
        <f t="shared" si="25"/>
        <v>0.3596376</v>
      </c>
    </row>
    <row r="19" spans="1:65" ht="15" customHeight="1">
      <c r="A19" s="5"/>
      <c r="B19" s="8">
        <v>0.79166666666666663</v>
      </c>
      <c r="C19">
        <v>100</v>
      </c>
      <c r="D19">
        <v>200</v>
      </c>
      <c r="E19">
        <v>90</v>
      </c>
      <c r="F19">
        <v>180</v>
      </c>
      <c r="G19">
        <v>120</v>
      </c>
      <c r="H19">
        <v>60</v>
      </c>
      <c r="I19" s="21">
        <v>97</v>
      </c>
      <c r="J19" s="22">
        <f t="shared" si="0"/>
        <v>3</v>
      </c>
      <c r="K19">
        <f t="shared" si="1"/>
        <v>0.4</v>
      </c>
      <c r="L19">
        <f t="shared" si="2"/>
        <v>2</v>
      </c>
      <c r="M19">
        <f t="shared" si="3"/>
        <v>1.71</v>
      </c>
      <c r="N19">
        <f t="shared" si="4"/>
        <v>5.94</v>
      </c>
      <c r="O19">
        <f t="shared" si="5"/>
        <v>6.6</v>
      </c>
      <c r="P19">
        <f t="shared" si="6"/>
        <v>3.84</v>
      </c>
      <c r="Q19" s="27">
        <f t="shared" si="7"/>
        <v>20.49</v>
      </c>
      <c r="R19" s="26">
        <f t="shared" si="8"/>
        <v>19.875299999999999</v>
      </c>
      <c r="S19" s="18">
        <f t="shared" si="9"/>
        <v>0.61469999999999991</v>
      </c>
      <c r="AF19" s="31"/>
      <c r="AH19" s="82"/>
      <c r="AI19" s="56"/>
      <c r="AJ19" s="56"/>
      <c r="AK19" s="56"/>
    </row>
    <row r="20" spans="1:65" ht="15" customHeight="1">
      <c r="A20" s="6">
        <v>45507</v>
      </c>
      <c r="B20" s="7">
        <v>0.29166666666666669</v>
      </c>
      <c r="C20">
        <v>250</v>
      </c>
      <c r="D20">
        <v>360</v>
      </c>
      <c r="E20">
        <v>250</v>
      </c>
      <c r="F20">
        <v>250</v>
      </c>
      <c r="G20">
        <v>220</v>
      </c>
      <c r="H20">
        <v>150</v>
      </c>
      <c r="I20" s="19">
        <v>94</v>
      </c>
      <c r="J20" s="22">
        <f t="shared" si="0"/>
        <v>6</v>
      </c>
      <c r="K20">
        <f t="shared" si="1"/>
        <v>1</v>
      </c>
      <c r="L20">
        <f t="shared" si="2"/>
        <v>3.6</v>
      </c>
      <c r="M20">
        <f t="shared" si="3"/>
        <v>4.75</v>
      </c>
      <c r="N20">
        <f t="shared" si="4"/>
        <v>8.25</v>
      </c>
      <c r="O20">
        <f t="shared" si="5"/>
        <v>12.1</v>
      </c>
      <c r="P20">
        <f t="shared" si="6"/>
        <v>9.6</v>
      </c>
      <c r="Q20" s="12">
        <f t="shared" si="7"/>
        <v>39.300000000000004</v>
      </c>
      <c r="R20" s="26">
        <f t="shared" si="8"/>
        <v>36.942</v>
      </c>
      <c r="S20" s="18">
        <f t="shared" si="9"/>
        <v>2.3580000000000001</v>
      </c>
      <c r="AF20" s="31"/>
      <c r="AH20" s="82"/>
      <c r="AI20" s="56"/>
      <c r="AJ20" s="56"/>
      <c r="AK20" s="56"/>
      <c r="AP20" s="64" t="s">
        <v>58</v>
      </c>
      <c r="AQ20" s="65"/>
      <c r="AR20" s="65"/>
      <c r="AS20" s="65"/>
      <c r="AT20" s="65"/>
      <c r="AU20" s="65"/>
    </row>
    <row r="21" spans="1:65" ht="15" customHeight="1">
      <c r="A21" s="5"/>
      <c r="B21" s="8">
        <v>0.41666666666666669</v>
      </c>
      <c r="C21">
        <v>120</v>
      </c>
      <c r="D21">
        <v>280</v>
      </c>
      <c r="E21">
        <v>100</v>
      </c>
      <c r="F21">
        <v>200</v>
      </c>
      <c r="G21">
        <v>200</v>
      </c>
      <c r="H21">
        <v>120</v>
      </c>
      <c r="I21" s="20">
        <v>96</v>
      </c>
      <c r="J21" s="22">
        <f t="shared" si="0"/>
        <v>4</v>
      </c>
      <c r="K21">
        <f t="shared" si="1"/>
        <v>0.48</v>
      </c>
      <c r="L21">
        <f t="shared" si="2"/>
        <v>2.8</v>
      </c>
      <c r="M21">
        <f t="shared" si="3"/>
        <v>1.9</v>
      </c>
      <c r="N21">
        <f t="shared" si="4"/>
        <v>6.6</v>
      </c>
      <c r="O21">
        <f t="shared" si="5"/>
        <v>11</v>
      </c>
      <c r="P21">
        <f t="shared" si="6"/>
        <v>7.68</v>
      </c>
      <c r="Q21" s="13">
        <f t="shared" si="7"/>
        <v>30.46</v>
      </c>
      <c r="R21" s="26">
        <f t="shared" si="8"/>
        <v>29.241599999999998</v>
      </c>
      <c r="S21" s="18">
        <f t="shared" si="9"/>
        <v>1.2184000000000001</v>
      </c>
      <c r="AF21" s="31"/>
      <c r="AP21" s="65"/>
      <c r="AQ21" s="65"/>
      <c r="AR21" s="65"/>
      <c r="AS21" s="65"/>
      <c r="AT21" s="65"/>
      <c r="AU21" s="65"/>
    </row>
    <row r="22" spans="1:65" ht="15" customHeight="1">
      <c r="A22" s="5"/>
      <c r="B22" s="8">
        <v>0.54166666666666663</v>
      </c>
      <c r="C22">
        <v>100</v>
      </c>
      <c r="D22">
        <v>220</v>
      </c>
      <c r="E22">
        <v>120</v>
      </c>
      <c r="F22">
        <v>180</v>
      </c>
      <c r="G22">
        <v>100</v>
      </c>
      <c r="H22">
        <v>50</v>
      </c>
      <c r="I22" s="20">
        <v>94</v>
      </c>
      <c r="J22" s="22">
        <f t="shared" si="0"/>
        <v>6</v>
      </c>
      <c r="K22">
        <f t="shared" si="1"/>
        <v>0.4</v>
      </c>
      <c r="L22">
        <f t="shared" si="2"/>
        <v>2.2000000000000002</v>
      </c>
      <c r="M22">
        <f t="shared" si="3"/>
        <v>2.2799999999999998</v>
      </c>
      <c r="N22">
        <f t="shared" si="4"/>
        <v>5.94</v>
      </c>
      <c r="O22">
        <f t="shared" si="5"/>
        <v>5.5</v>
      </c>
      <c r="P22">
        <f t="shared" si="6"/>
        <v>3.2</v>
      </c>
      <c r="Q22" s="13">
        <f t="shared" si="7"/>
        <v>19.52</v>
      </c>
      <c r="R22" s="26">
        <f t="shared" si="8"/>
        <v>18.348799999999997</v>
      </c>
      <c r="S22" s="18">
        <f t="shared" si="9"/>
        <v>1.1712</v>
      </c>
      <c r="AF22" s="31"/>
    </row>
    <row r="23" spans="1:65" ht="15" customHeight="1">
      <c r="A23" s="5"/>
      <c r="B23" s="8">
        <v>0.66666666666666663</v>
      </c>
      <c r="C23">
        <v>60</v>
      </c>
      <c r="D23">
        <v>120</v>
      </c>
      <c r="E23">
        <v>85</v>
      </c>
      <c r="F23">
        <v>100</v>
      </c>
      <c r="G23">
        <v>40</v>
      </c>
      <c r="H23">
        <v>50</v>
      </c>
      <c r="I23" s="20">
        <v>88</v>
      </c>
      <c r="J23" s="22">
        <f t="shared" si="0"/>
        <v>12</v>
      </c>
      <c r="K23">
        <f t="shared" si="1"/>
        <v>0.24</v>
      </c>
      <c r="L23">
        <f t="shared" si="2"/>
        <v>1.2</v>
      </c>
      <c r="M23">
        <f t="shared" si="3"/>
        <v>1.615</v>
      </c>
      <c r="N23">
        <f t="shared" si="4"/>
        <v>3.3</v>
      </c>
      <c r="O23">
        <f t="shared" si="5"/>
        <v>2.2000000000000002</v>
      </c>
      <c r="P23">
        <f t="shared" si="6"/>
        <v>3.2</v>
      </c>
      <c r="Q23" s="13">
        <f t="shared" si="7"/>
        <v>11.754999999999999</v>
      </c>
      <c r="R23" s="26">
        <f t="shared" si="8"/>
        <v>10.344399999999998</v>
      </c>
      <c r="S23" s="18">
        <f t="shared" si="9"/>
        <v>1.4105999999999999</v>
      </c>
      <c r="AF23" s="31"/>
      <c r="AL23" s="66"/>
      <c r="AM23" s="66"/>
      <c r="AN23" s="67" t="s">
        <v>59</v>
      </c>
      <c r="AO23" s="67"/>
      <c r="AP23" s="67"/>
      <c r="AQ23" s="67"/>
      <c r="AR23" s="67"/>
      <c r="AS23" s="67"/>
      <c r="AT23" s="67"/>
      <c r="AU23" s="67"/>
      <c r="AV23" s="67"/>
      <c r="AW23" s="67"/>
      <c r="AX23" s="67"/>
    </row>
    <row r="24" spans="1:65" ht="15" customHeight="1">
      <c r="A24" s="5"/>
      <c r="B24" s="9">
        <v>0.79166666666666663</v>
      </c>
      <c r="C24">
        <v>20</v>
      </c>
      <c r="D24">
        <v>70</v>
      </c>
      <c r="E24">
        <v>85</v>
      </c>
      <c r="F24">
        <v>80</v>
      </c>
      <c r="G24">
        <v>20</v>
      </c>
      <c r="H24">
        <v>60</v>
      </c>
      <c r="I24" s="21">
        <v>93</v>
      </c>
      <c r="J24" s="22">
        <f t="shared" si="0"/>
        <v>7</v>
      </c>
      <c r="K24">
        <f t="shared" si="1"/>
        <v>0.08</v>
      </c>
      <c r="L24">
        <f t="shared" si="2"/>
        <v>0.7</v>
      </c>
      <c r="M24">
        <f t="shared" si="3"/>
        <v>1.615</v>
      </c>
      <c r="N24">
        <f t="shared" si="4"/>
        <v>2.64</v>
      </c>
      <c r="O24">
        <f t="shared" si="5"/>
        <v>1.1000000000000001</v>
      </c>
      <c r="P24">
        <f t="shared" si="6"/>
        <v>3.84</v>
      </c>
      <c r="Q24" s="27">
        <f t="shared" si="7"/>
        <v>9.9749999999999996</v>
      </c>
      <c r="R24">
        <f t="shared" si="8"/>
        <v>9.2767499999999998</v>
      </c>
      <c r="S24" s="17">
        <f t="shared" si="9"/>
        <v>0.69825000000000004</v>
      </c>
      <c r="AF24" s="31"/>
      <c r="AL24" s="10" t="s">
        <v>2</v>
      </c>
      <c r="AM24" s="11" t="s">
        <v>3</v>
      </c>
      <c r="AN24" s="32">
        <v>0.29166666666666669</v>
      </c>
      <c r="AO24" s="32">
        <v>0.33333333333333331</v>
      </c>
      <c r="AP24" s="32">
        <v>0.375</v>
      </c>
      <c r="AQ24" s="32">
        <v>0.41666666666666702</v>
      </c>
      <c r="AR24" s="32">
        <v>0.45833333333333398</v>
      </c>
      <c r="AS24" s="32">
        <v>0.5</v>
      </c>
      <c r="AT24" s="32">
        <v>0.54166666666666696</v>
      </c>
      <c r="AU24" s="32">
        <v>0.58333333333333304</v>
      </c>
      <c r="AV24" s="32">
        <v>0.625</v>
      </c>
      <c r="AW24" s="32">
        <v>0.66666666666666696</v>
      </c>
      <c r="AX24" s="32">
        <v>0.70833333333333337</v>
      </c>
      <c r="AY24" s="35" t="s">
        <v>60</v>
      </c>
      <c r="AZ24" s="44" t="s">
        <v>61</v>
      </c>
    </row>
    <row r="25" spans="1:65">
      <c r="A25" s="1">
        <v>45538</v>
      </c>
      <c r="AF25" s="31"/>
      <c r="AL25" s="6">
        <v>45415</v>
      </c>
      <c r="AM25" s="36" t="s">
        <v>62</v>
      </c>
      <c r="AN25" s="30">
        <v>20</v>
      </c>
      <c r="AO25" s="5">
        <f>(AN25*1.05)</f>
        <v>21</v>
      </c>
      <c r="AP25" s="30">
        <f>(AN25*1.09)</f>
        <v>21.8</v>
      </c>
      <c r="AQ25">
        <f>(AN25*1.14)</f>
        <v>22.799999999999997</v>
      </c>
      <c r="AR25">
        <f>(AN25*1.16)</f>
        <v>23.2</v>
      </c>
      <c r="AS25">
        <f>(AN25*1.21)</f>
        <v>24.2</v>
      </c>
      <c r="AT25" s="30">
        <f>(AN25*1.29)</f>
        <v>25.8</v>
      </c>
      <c r="AU25" s="5">
        <f>(AN25*1.31)</f>
        <v>26.200000000000003</v>
      </c>
      <c r="AV25" s="30">
        <f>(AN25*1.37)</f>
        <v>27.400000000000002</v>
      </c>
      <c r="AW25">
        <f>(AN25*1.44)</f>
        <v>28.799999999999997</v>
      </c>
      <c r="AX25">
        <f>(AN25*1.495)</f>
        <v>29.900000000000002</v>
      </c>
      <c r="AZ25">
        <v>40</v>
      </c>
    </row>
    <row r="26" spans="1:65">
      <c r="A26" s="1">
        <v>45568</v>
      </c>
      <c r="AF26" s="31"/>
      <c r="AL26" s="84"/>
      <c r="AM26" s="36" t="s">
        <v>63</v>
      </c>
      <c r="AN26">
        <v>21</v>
      </c>
      <c r="AO26">
        <v>24</v>
      </c>
      <c r="AP26">
        <v>25</v>
      </c>
      <c r="AQ26">
        <v>28</v>
      </c>
      <c r="AR26">
        <v>30</v>
      </c>
      <c r="AS26">
        <v>32</v>
      </c>
      <c r="AT26">
        <v>33</v>
      </c>
      <c r="AU26">
        <v>34</v>
      </c>
      <c r="AV26">
        <v>37</v>
      </c>
      <c r="AW26">
        <v>39</v>
      </c>
      <c r="AX26">
        <v>41</v>
      </c>
      <c r="AZ26">
        <v>20</v>
      </c>
    </row>
    <row r="27" spans="1:65">
      <c r="A27" s="1">
        <v>45599</v>
      </c>
      <c r="AF27" s="31"/>
      <c r="AL27" s="84"/>
      <c r="AM27" s="36" t="s">
        <v>43</v>
      </c>
      <c r="AN27">
        <v>22</v>
      </c>
      <c r="AO27">
        <v>23</v>
      </c>
      <c r="AP27">
        <v>26</v>
      </c>
      <c r="AQ27">
        <v>28</v>
      </c>
      <c r="AR27">
        <v>31</v>
      </c>
      <c r="AS27">
        <v>32</v>
      </c>
      <c r="AT27">
        <v>33</v>
      </c>
      <c r="AU27">
        <v>35</v>
      </c>
      <c r="AV27">
        <v>37</v>
      </c>
      <c r="AW27">
        <v>38</v>
      </c>
      <c r="AX27">
        <v>40</v>
      </c>
      <c r="AZ27">
        <v>12</v>
      </c>
    </row>
    <row r="28" spans="1:65">
      <c r="A28" s="1">
        <v>45629</v>
      </c>
      <c r="AF28" s="31"/>
      <c r="AL28" s="84"/>
      <c r="AM28" s="36" t="s">
        <v>64</v>
      </c>
      <c r="AN28">
        <v>23</v>
      </c>
      <c r="AO28">
        <f t="shared" ref="AO28:AO35" si="26">(AN28*1.05)</f>
        <v>24.150000000000002</v>
      </c>
      <c r="AP28">
        <f t="shared" ref="AP28:AP35" si="27">(AN28*1.09)</f>
        <v>25.07</v>
      </c>
      <c r="AQ28">
        <f t="shared" ref="AQ28:AQ35" si="28">(AN28*1.14)</f>
        <v>26.22</v>
      </c>
      <c r="AR28">
        <f t="shared" ref="AR28:AR35" si="29">(AN28*1.16)</f>
        <v>26.68</v>
      </c>
      <c r="AS28">
        <f t="shared" ref="AS28:AS35" si="30">(AN28*1.21)</f>
        <v>27.83</v>
      </c>
      <c r="AT28">
        <f t="shared" ref="AT28:AT35" si="31">(AN28*1.29)</f>
        <v>29.67</v>
      </c>
      <c r="AU28">
        <f t="shared" ref="AU28:AU35" si="32">(AN28*1.31)</f>
        <v>30.130000000000003</v>
      </c>
      <c r="AV28">
        <f t="shared" ref="AV28:AV35" si="33">(AN28*1.37)</f>
        <v>31.51</v>
      </c>
      <c r="AW28">
        <f t="shared" ref="AW28:AW35" si="34">(AN28*1.44)</f>
        <v>33.119999999999997</v>
      </c>
      <c r="AX28">
        <f t="shared" ref="AX28:AX35" si="35">(AN28*1.495)</f>
        <v>34.385000000000005</v>
      </c>
      <c r="AY28">
        <f t="shared" ref="AY28:AY29" si="36">(AN28*1.58)</f>
        <v>36.340000000000003</v>
      </c>
      <c r="AZ28">
        <f t="shared" ref="AZ28:AZ29" si="37">(AN28*1.62)</f>
        <v>37.260000000000005</v>
      </c>
    </row>
    <row r="29" spans="1:65">
      <c r="A29" s="1" t="s">
        <v>65</v>
      </c>
      <c r="AF29" s="31"/>
      <c r="AL29" s="84"/>
      <c r="AM29" s="36" t="s">
        <v>66</v>
      </c>
      <c r="AN29">
        <v>24</v>
      </c>
      <c r="AO29">
        <f t="shared" si="26"/>
        <v>25.200000000000003</v>
      </c>
      <c r="AP29">
        <f t="shared" si="27"/>
        <v>26.160000000000004</v>
      </c>
      <c r="AQ29">
        <f t="shared" si="28"/>
        <v>27.36</v>
      </c>
      <c r="AR29">
        <f t="shared" si="29"/>
        <v>27.839999999999996</v>
      </c>
      <c r="AS29">
        <f t="shared" si="30"/>
        <v>29.04</v>
      </c>
      <c r="AT29">
        <f t="shared" si="31"/>
        <v>30.96</v>
      </c>
      <c r="AU29">
        <f t="shared" si="32"/>
        <v>31.44</v>
      </c>
      <c r="AV29">
        <f t="shared" si="33"/>
        <v>32.880000000000003</v>
      </c>
      <c r="AW29">
        <f t="shared" si="34"/>
        <v>34.56</v>
      </c>
      <c r="AX29">
        <f t="shared" si="35"/>
        <v>35.880000000000003</v>
      </c>
      <c r="AZ29">
        <v>20</v>
      </c>
      <c r="BC29" s="73" t="s">
        <v>67</v>
      </c>
      <c r="BD29" s="73"/>
      <c r="BE29" s="73"/>
      <c r="BF29" s="73"/>
      <c r="BG29" s="73"/>
      <c r="BH29" s="73"/>
      <c r="BI29" s="40"/>
      <c r="BJ29" s="40"/>
    </row>
    <row r="30" spans="1:65">
      <c r="A30" s="1" t="s">
        <v>68</v>
      </c>
      <c r="AF30" s="31"/>
      <c r="AL30" s="84"/>
      <c r="AM30" s="36" t="s">
        <v>69</v>
      </c>
      <c r="AN30">
        <v>24</v>
      </c>
      <c r="AO30">
        <f t="shared" si="26"/>
        <v>25.200000000000003</v>
      </c>
      <c r="AP30">
        <f t="shared" si="27"/>
        <v>26.160000000000004</v>
      </c>
      <c r="AQ30">
        <f t="shared" si="28"/>
        <v>27.36</v>
      </c>
      <c r="AR30">
        <f t="shared" si="29"/>
        <v>27.839999999999996</v>
      </c>
      <c r="AS30">
        <f t="shared" si="30"/>
        <v>29.04</v>
      </c>
      <c r="AT30">
        <f t="shared" si="31"/>
        <v>30.96</v>
      </c>
      <c r="AU30">
        <f t="shared" si="32"/>
        <v>31.44</v>
      </c>
      <c r="AV30">
        <f t="shared" si="33"/>
        <v>32.880000000000003</v>
      </c>
      <c r="AW30">
        <f t="shared" si="34"/>
        <v>34.56</v>
      </c>
      <c r="AX30">
        <f t="shared" si="35"/>
        <v>35.880000000000003</v>
      </c>
      <c r="AZ30">
        <v>17</v>
      </c>
      <c r="BA30" s="73"/>
      <c r="BB30" s="73"/>
      <c r="BC30" s="2" t="s">
        <v>12</v>
      </c>
      <c r="BD30" s="2" t="s">
        <v>13</v>
      </c>
      <c r="BE30" s="2" t="s">
        <v>14</v>
      </c>
      <c r="BF30" s="2" t="s">
        <v>15</v>
      </c>
      <c r="BG30" s="2" t="s">
        <v>16</v>
      </c>
      <c r="BH30" s="2" t="s">
        <v>17</v>
      </c>
      <c r="BI30" s="78" t="s">
        <v>18</v>
      </c>
      <c r="BJ30" s="78"/>
      <c r="BL30" t="s">
        <v>70</v>
      </c>
    </row>
    <row r="31" spans="1:65">
      <c r="A31" s="1" t="s">
        <v>71</v>
      </c>
      <c r="AL31" s="84"/>
      <c r="AM31" s="36" t="s">
        <v>72</v>
      </c>
      <c r="AN31">
        <v>24</v>
      </c>
      <c r="AO31">
        <f t="shared" si="26"/>
        <v>25.200000000000003</v>
      </c>
      <c r="AP31">
        <f t="shared" si="27"/>
        <v>26.160000000000004</v>
      </c>
      <c r="AQ31">
        <f t="shared" si="28"/>
        <v>27.36</v>
      </c>
      <c r="AR31">
        <f t="shared" si="29"/>
        <v>27.839999999999996</v>
      </c>
      <c r="AS31">
        <f t="shared" si="30"/>
        <v>29.04</v>
      </c>
      <c r="AT31">
        <f t="shared" si="31"/>
        <v>30.96</v>
      </c>
      <c r="AU31">
        <f t="shared" si="32"/>
        <v>31.44</v>
      </c>
      <c r="AV31">
        <f t="shared" si="33"/>
        <v>32.880000000000003</v>
      </c>
      <c r="AW31">
        <f t="shared" si="34"/>
        <v>34.56</v>
      </c>
      <c r="AX31">
        <f t="shared" si="35"/>
        <v>35.880000000000003</v>
      </c>
      <c r="AZ31">
        <v>14</v>
      </c>
      <c r="BC31" cm="1">
        <f t="array" ref="BC31">SUM((AZ25:AZ28)*0.004)</f>
        <v>0.43703999999999998</v>
      </c>
      <c r="BD31" cm="1">
        <f t="array" ref="BD31">SUM((AZ28:AZ30)*0.01)</f>
        <v>0.74260000000000004</v>
      </c>
      <c r="BE31" cm="1">
        <f t="array" ref="BE31">SUM((BA34:BA37)*0.02)</f>
        <v>0</v>
      </c>
      <c r="BI31" s="61">
        <f>SUM(BC31:BH31)</f>
        <v>1.17964</v>
      </c>
      <c r="BJ31" s="62"/>
    </row>
    <row r="32" spans="1:65">
      <c r="A32" s="1" t="s">
        <v>73</v>
      </c>
      <c r="AL32" s="84"/>
      <c r="AM32" s="36" t="s">
        <v>74</v>
      </c>
      <c r="AN32">
        <v>24</v>
      </c>
      <c r="AO32">
        <f t="shared" si="26"/>
        <v>25.200000000000003</v>
      </c>
      <c r="AP32">
        <f t="shared" si="27"/>
        <v>26.160000000000004</v>
      </c>
      <c r="AQ32">
        <f t="shared" si="28"/>
        <v>27.36</v>
      </c>
      <c r="AR32">
        <f t="shared" si="29"/>
        <v>27.839999999999996</v>
      </c>
      <c r="AS32">
        <f t="shared" si="30"/>
        <v>29.04</v>
      </c>
      <c r="AT32">
        <f t="shared" si="31"/>
        <v>30.96</v>
      </c>
      <c r="AU32">
        <f t="shared" si="32"/>
        <v>31.44</v>
      </c>
      <c r="AV32">
        <f t="shared" si="33"/>
        <v>32.880000000000003</v>
      </c>
      <c r="AW32">
        <f t="shared" si="34"/>
        <v>34.56</v>
      </c>
      <c r="AX32">
        <f t="shared" si="35"/>
        <v>35.880000000000003</v>
      </c>
      <c r="AZ32">
        <v>12</v>
      </c>
    </row>
    <row r="33" spans="1:66">
      <c r="A33" s="1" t="s">
        <v>75</v>
      </c>
      <c r="AL33" s="84"/>
      <c r="AM33" s="36" t="s">
        <v>76</v>
      </c>
      <c r="AN33">
        <v>24</v>
      </c>
      <c r="AO33">
        <f t="shared" si="26"/>
        <v>25.200000000000003</v>
      </c>
      <c r="AP33">
        <f t="shared" si="27"/>
        <v>26.160000000000004</v>
      </c>
      <c r="AQ33">
        <f t="shared" si="28"/>
        <v>27.36</v>
      </c>
      <c r="AR33">
        <f t="shared" si="29"/>
        <v>27.839999999999996</v>
      </c>
      <c r="AS33">
        <f t="shared" si="30"/>
        <v>29.04</v>
      </c>
      <c r="AT33">
        <f t="shared" si="31"/>
        <v>30.96</v>
      </c>
      <c r="AU33">
        <f t="shared" si="32"/>
        <v>31.44</v>
      </c>
      <c r="AV33">
        <f t="shared" si="33"/>
        <v>32.880000000000003</v>
      </c>
      <c r="AW33">
        <f t="shared" si="34"/>
        <v>34.56</v>
      </c>
      <c r="AX33">
        <f t="shared" si="35"/>
        <v>35.880000000000003</v>
      </c>
      <c r="AZ33">
        <v>19</v>
      </c>
      <c r="BD33" s="52" t="s">
        <v>77</v>
      </c>
      <c r="BE33" s="53"/>
      <c r="BF33" s="53"/>
      <c r="BG33" s="54"/>
    </row>
    <row r="34" spans="1:66">
      <c r="A34" s="1" t="s">
        <v>78</v>
      </c>
      <c r="AL34" s="84"/>
      <c r="AM34" s="36" t="s">
        <v>79</v>
      </c>
      <c r="AN34">
        <v>24</v>
      </c>
      <c r="AO34">
        <f t="shared" si="26"/>
        <v>25.200000000000003</v>
      </c>
      <c r="AP34">
        <f t="shared" si="27"/>
        <v>26.160000000000004</v>
      </c>
      <c r="AQ34">
        <f t="shared" si="28"/>
        <v>27.36</v>
      </c>
      <c r="AR34">
        <f t="shared" si="29"/>
        <v>27.839999999999996</v>
      </c>
      <c r="AS34">
        <f t="shared" si="30"/>
        <v>29.04</v>
      </c>
      <c r="AT34">
        <f t="shared" si="31"/>
        <v>30.96</v>
      </c>
      <c r="AU34">
        <f t="shared" si="32"/>
        <v>31.44</v>
      </c>
      <c r="AV34">
        <f t="shared" si="33"/>
        <v>32.880000000000003</v>
      </c>
      <c r="AW34">
        <f t="shared" si="34"/>
        <v>34.56</v>
      </c>
      <c r="AX34">
        <f t="shared" si="35"/>
        <v>35.880000000000003</v>
      </c>
      <c r="AZ34">
        <v>7</v>
      </c>
      <c r="BD34" s="55"/>
      <c r="BE34" s="56"/>
      <c r="BF34" s="56"/>
      <c r="BG34" s="57"/>
    </row>
    <row r="35" spans="1:66">
      <c r="A35" s="1">
        <v>45357</v>
      </c>
      <c r="AL35" s="84"/>
      <c r="AM35" s="36" t="s">
        <v>80</v>
      </c>
      <c r="AN35">
        <v>24</v>
      </c>
      <c r="AO35">
        <f t="shared" si="26"/>
        <v>25.200000000000003</v>
      </c>
      <c r="AP35">
        <f t="shared" si="27"/>
        <v>26.160000000000004</v>
      </c>
      <c r="AQ35">
        <f t="shared" si="28"/>
        <v>27.36</v>
      </c>
      <c r="AR35">
        <f t="shared" si="29"/>
        <v>27.839999999999996</v>
      </c>
      <c r="AS35">
        <f t="shared" si="30"/>
        <v>29.04</v>
      </c>
      <c r="AT35">
        <f t="shared" si="31"/>
        <v>30.96</v>
      </c>
      <c r="AU35">
        <f t="shared" si="32"/>
        <v>31.44</v>
      </c>
      <c r="AV35">
        <f t="shared" si="33"/>
        <v>32.880000000000003</v>
      </c>
      <c r="AW35">
        <f t="shared" si="34"/>
        <v>34.56</v>
      </c>
      <c r="AX35">
        <f t="shared" si="35"/>
        <v>35.880000000000003</v>
      </c>
      <c r="AZ35">
        <v>4</v>
      </c>
      <c r="BD35" s="55"/>
      <c r="BE35" s="56"/>
      <c r="BF35" s="56"/>
      <c r="BG35" s="57"/>
    </row>
    <row r="36" spans="1:66">
      <c r="AL36" s="84"/>
      <c r="AM36" s="36" t="s">
        <v>60</v>
      </c>
      <c r="AZ36">
        <v>18</v>
      </c>
      <c r="BD36" s="58"/>
      <c r="BE36" s="59"/>
      <c r="BF36" s="59"/>
      <c r="BG36" s="60"/>
    </row>
    <row r="37" spans="1:66">
      <c r="AL37" s="85"/>
      <c r="AM37" s="42" t="s">
        <v>81</v>
      </c>
      <c r="AN37" s="43"/>
      <c r="AO37" s="43"/>
      <c r="AP37" s="43"/>
      <c r="AQ37" s="43"/>
      <c r="AR37" s="43"/>
      <c r="AS37" s="43"/>
      <c r="AT37" s="43"/>
      <c r="AU37" s="43"/>
      <c r="AV37" s="43"/>
      <c r="AW37" s="43"/>
      <c r="AX37" s="43"/>
      <c r="AY37" s="43"/>
      <c r="AZ37" s="43">
        <v>24</v>
      </c>
    </row>
    <row r="38" spans="1:66">
      <c r="AL38" s="6">
        <v>45446</v>
      </c>
      <c r="AM38" s="36" t="s">
        <v>62</v>
      </c>
      <c r="AN38">
        <v>21</v>
      </c>
      <c r="AO38">
        <v>23</v>
      </c>
      <c r="AP38">
        <v>24</v>
      </c>
      <c r="AQ38">
        <v>27</v>
      </c>
      <c r="AR38">
        <v>30</v>
      </c>
      <c r="AS38">
        <v>32</v>
      </c>
      <c r="AT38">
        <v>33</v>
      </c>
      <c r="AU38">
        <v>35</v>
      </c>
      <c r="AV38">
        <v>37</v>
      </c>
      <c r="AW38">
        <v>38</v>
      </c>
      <c r="AX38">
        <v>40</v>
      </c>
      <c r="BN38" s="45" t="s">
        <v>82</v>
      </c>
    </row>
    <row r="39" spans="1:66">
      <c r="AL39" s="41"/>
      <c r="AM39" s="36" t="s">
        <v>63</v>
      </c>
    </row>
    <row r="40" spans="1:66">
      <c r="AL40" s="41"/>
      <c r="AM40" s="36" t="s">
        <v>43</v>
      </c>
    </row>
    <row r="41" spans="1:66">
      <c r="AL41" s="41"/>
      <c r="AM41" s="36" t="s">
        <v>64</v>
      </c>
    </row>
    <row r="42" spans="1:66">
      <c r="AL42" s="41"/>
      <c r="AM42" s="36" t="s">
        <v>66</v>
      </c>
    </row>
    <row r="50" spans="9:9">
      <c r="I50" s="37"/>
    </row>
    <row r="51" spans="9:9">
      <c r="I51" s="37"/>
    </row>
    <row r="52" spans="9:9">
      <c r="I52" s="37"/>
    </row>
    <row r="53" spans="9:9">
      <c r="I53" s="37"/>
    </row>
    <row r="54" spans="9:9">
      <c r="I54" s="37"/>
    </row>
    <row r="55" spans="9:9">
      <c r="I55" s="37"/>
    </row>
    <row r="56" spans="9:9">
      <c r="I56" s="37"/>
    </row>
    <row r="57" spans="9:9">
      <c r="I57" s="37"/>
    </row>
    <row r="58" spans="9:9">
      <c r="I58" s="37"/>
    </row>
    <row r="59" spans="9:9">
      <c r="I59" s="37"/>
    </row>
    <row r="60" spans="9:9">
      <c r="I60" s="37"/>
    </row>
    <row r="61" spans="9:9">
      <c r="I61" s="37"/>
    </row>
    <row r="62" spans="9:9">
      <c r="I62" s="37"/>
    </row>
  </sheetData>
  <mergeCells count="36">
    <mergeCell ref="BC29:BH29"/>
    <mergeCell ref="BI30:BJ30"/>
    <mergeCell ref="V5:AE9"/>
    <mergeCell ref="Z12:Z13"/>
    <mergeCell ref="AA12:AA13"/>
    <mergeCell ref="AB12:AC13"/>
    <mergeCell ref="V10:AA10"/>
    <mergeCell ref="AB10:AC10"/>
    <mergeCell ref="V12:V13"/>
    <mergeCell ref="W12:W13"/>
    <mergeCell ref="X12:X13"/>
    <mergeCell ref="Y12:Y13"/>
    <mergeCell ref="AH5:AK20"/>
    <mergeCell ref="BF6:BF7"/>
    <mergeCell ref="BG6:BG7"/>
    <mergeCell ref="BH6:BH7"/>
    <mergeCell ref="BI6:BJ7"/>
    <mergeCell ref="D2:G2"/>
    <mergeCell ref="AL4:AM4"/>
    <mergeCell ref="BC4:BH4"/>
    <mergeCell ref="AR2:AW2"/>
    <mergeCell ref="BD33:BG36"/>
    <mergeCell ref="BI31:BJ31"/>
    <mergeCell ref="BI8:BJ8"/>
    <mergeCell ref="AL26:AL37"/>
    <mergeCell ref="AP20:AU21"/>
    <mergeCell ref="AL23:AM23"/>
    <mergeCell ref="AN23:AX23"/>
    <mergeCell ref="BI9:BJ10"/>
    <mergeCell ref="AL11:BA11"/>
    <mergeCell ref="BA30:BB30"/>
    <mergeCell ref="BE12:BJ12"/>
    <mergeCell ref="BI4:BJ4"/>
    <mergeCell ref="BC6:BC7"/>
    <mergeCell ref="BD6:BD7"/>
    <mergeCell ref="BE6:BE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Ayan Kundu</cp:lastModifiedBy>
  <cp:revision/>
  <dcterms:created xsi:type="dcterms:W3CDTF">2024-03-05T17:37:47Z</dcterms:created>
  <dcterms:modified xsi:type="dcterms:W3CDTF">2024-03-14T17:44:41Z</dcterms:modified>
  <cp:category/>
  <cp:contentStatus/>
</cp:coreProperties>
</file>