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6 year business plan\"/>
    </mc:Choice>
  </mc:AlternateContent>
  <xr:revisionPtr revIDLastSave="0" documentId="13_ncr:1_{1CEE3B99-B3CE-4FFB-9637-C421D41DB2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Configuration" sheetId="51" r:id="rId1"/>
  </sheets>
  <calcPr calcId="181029"/>
</workbook>
</file>

<file path=xl/calcChain.xml><?xml version="1.0" encoding="utf-8"?>
<calcChain xmlns="http://schemas.openxmlformats.org/spreadsheetml/2006/main">
  <c r="Q20" i="51" l="1"/>
  <c r="W20" i="51"/>
  <c r="V20" i="51"/>
  <c r="R20" i="51"/>
  <c r="S20" i="51" s="1"/>
  <c r="M20" i="51"/>
  <c r="J20" i="51"/>
  <c r="W40" i="51"/>
  <c r="X40" i="51"/>
  <c r="V40" i="51"/>
  <c r="H40" i="51"/>
  <c r="V31" i="51"/>
  <c r="V13" i="51"/>
  <c r="W17" i="51"/>
  <c r="V17" i="51"/>
  <c r="V16" i="51"/>
  <c r="W16" i="51"/>
  <c r="N44" i="51"/>
  <c r="G44" i="51"/>
  <c r="C47" i="51"/>
  <c r="W41" i="51"/>
  <c r="X41" i="51"/>
  <c r="V41" i="51"/>
  <c r="W39" i="51"/>
  <c r="V39" i="51"/>
  <c r="V32" i="51"/>
  <c r="W24" i="51"/>
  <c r="V24" i="51"/>
  <c r="X20" i="51" l="1"/>
  <c r="Z20" i="51"/>
  <c r="T20" i="51"/>
  <c r="AA20" i="51" s="1"/>
  <c r="Y20" i="51"/>
  <c r="AB20" i="51" s="1"/>
  <c r="W45" i="51"/>
  <c r="V45" i="51"/>
  <c r="V47" i="51" s="1"/>
  <c r="W26" i="51"/>
  <c r="V26" i="51"/>
  <c r="V18" i="51"/>
  <c r="P45" i="51"/>
  <c r="O45" i="51"/>
  <c r="O47" i="51" s="1"/>
  <c r="P26" i="51"/>
  <c r="O26" i="51"/>
  <c r="O18" i="51"/>
  <c r="O10" i="51"/>
  <c r="V10" i="51" s="1"/>
  <c r="N43" i="51"/>
  <c r="N22" i="51"/>
  <c r="N21" i="51"/>
  <c r="N26" i="51" s="1"/>
  <c r="N15" i="51"/>
  <c r="N18" i="51"/>
  <c r="N35" i="51"/>
  <c r="H39" i="51"/>
  <c r="I39" i="51"/>
  <c r="K39" i="51" s="1"/>
  <c r="M39" i="51" s="1"/>
  <c r="Q39" i="51" s="1"/>
  <c r="X39" i="51" s="1"/>
  <c r="I44" i="51"/>
  <c r="C46" i="51"/>
  <c r="G22" i="51"/>
  <c r="C26" i="51"/>
  <c r="G43" i="51"/>
  <c r="I43" i="51" s="1"/>
  <c r="I41" i="51"/>
  <c r="G21" i="51"/>
  <c r="C25" i="51"/>
  <c r="H31" i="51"/>
  <c r="N45" i="51" l="1"/>
  <c r="N47" i="51" s="1"/>
  <c r="X45" i="51"/>
  <c r="R39" i="51"/>
  <c r="Y39" i="51" s="1"/>
  <c r="Q45" i="51"/>
  <c r="O28" i="51"/>
  <c r="O49" i="51" s="1"/>
  <c r="V28" i="51"/>
  <c r="C27" i="51"/>
  <c r="V49" i="51"/>
  <c r="J44" i="51"/>
  <c r="K44" i="51" s="1"/>
  <c r="M44" i="51" s="1"/>
  <c r="J43" i="51"/>
  <c r="K43" i="51" s="1"/>
  <c r="M43" i="51" s="1"/>
  <c r="K8" i="51"/>
  <c r="L8" i="51" s="1"/>
  <c r="I40" i="51"/>
  <c r="J41" i="51" s="1"/>
  <c r="K41" i="51" s="1"/>
  <c r="M41" i="51" s="1"/>
  <c r="R41" i="51" s="1"/>
  <c r="I37" i="51"/>
  <c r="J37" i="51" s="1"/>
  <c r="I38" i="51"/>
  <c r="I33" i="51"/>
  <c r="J33" i="51" s="1"/>
  <c r="I34" i="51"/>
  <c r="H32" i="51"/>
  <c r="I32" i="51" s="1"/>
  <c r="K32" i="51" s="1"/>
  <c r="I31" i="51"/>
  <c r="K31" i="51" s="1"/>
  <c r="G23" i="51"/>
  <c r="G24" i="51" s="1"/>
  <c r="I24" i="51" s="1"/>
  <c r="K24" i="51" s="1"/>
  <c r="M24" i="51" s="1"/>
  <c r="Q24" i="51" s="1"/>
  <c r="X24" i="51" s="1"/>
  <c r="I22" i="51"/>
  <c r="J22" i="51" s="1"/>
  <c r="F15" i="51"/>
  <c r="I15" i="51" s="1"/>
  <c r="J15" i="51" s="1"/>
  <c r="I17" i="51"/>
  <c r="K17" i="51" s="1"/>
  <c r="M17" i="51" s="1"/>
  <c r="Q17" i="51" s="1"/>
  <c r="X17" i="51" s="1"/>
  <c r="I16" i="51"/>
  <c r="K16" i="51" s="1"/>
  <c r="M16" i="51" s="1"/>
  <c r="Q16" i="51" s="1"/>
  <c r="X16" i="51" s="1"/>
  <c r="I13" i="51"/>
  <c r="K13" i="51" s="1"/>
  <c r="M13" i="51" s="1"/>
  <c r="P13" i="51" s="1"/>
  <c r="W13" i="51" s="1"/>
  <c r="I10" i="51"/>
  <c r="K10" i="51" s="1"/>
  <c r="A13" i="51"/>
  <c r="A14" i="51" s="1"/>
  <c r="A15" i="51" s="1"/>
  <c r="A16" i="51" s="1"/>
  <c r="A17" i="51" s="1"/>
  <c r="A20" i="51" s="1"/>
  <c r="Y41" i="51" l="1"/>
  <c r="S41" i="51"/>
  <c r="Z41" i="51" s="1"/>
  <c r="P18" i="51"/>
  <c r="Q13" i="51"/>
  <c r="X13" i="51" s="1"/>
  <c r="R16" i="51"/>
  <c r="Y16" i="51" s="1"/>
  <c r="X26" i="51"/>
  <c r="R24" i="51"/>
  <c r="Y24" i="51" s="1"/>
  <c r="Q26" i="51"/>
  <c r="M10" i="51"/>
  <c r="P10" i="51"/>
  <c r="S39" i="51"/>
  <c r="Z39" i="51" s="1"/>
  <c r="R17" i="51"/>
  <c r="Y17" i="51" s="1"/>
  <c r="K37" i="51"/>
  <c r="M37" i="51" s="1"/>
  <c r="J38" i="51"/>
  <c r="K38" i="51" s="1"/>
  <c r="M38" i="51" s="1"/>
  <c r="K40" i="51"/>
  <c r="M40" i="51" s="1"/>
  <c r="R40" i="51" s="1"/>
  <c r="R45" i="51" s="1"/>
  <c r="C48" i="51"/>
  <c r="K33" i="51"/>
  <c r="M33" i="51" s="1"/>
  <c r="J34" i="51"/>
  <c r="K34" i="51" s="1"/>
  <c r="M34" i="51" s="1"/>
  <c r="M8" i="51"/>
  <c r="N8" i="51" s="1"/>
  <c r="N11" i="51" s="1"/>
  <c r="N28" i="51" s="1"/>
  <c r="N49" i="51" s="1"/>
  <c r="K22" i="51"/>
  <c r="M22" i="51" s="1"/>
  <c r="K15" i="51"/>
  <c r="M15" i="51" s="1"/>
  <c r="M18" i="51" s="1"/>
  <c r="I23" i="51"/>
  <c r="A21" i="51"/>
  <c r="A22" i="51" s="1"/>
  <c r="A23" i="51" s="1"/>
  <c r="A24" i="51" s="1"/>
  <c r="I21" i="51"/>
  <c r="I20" i="51"/>
  <c r="T41" i="51" l="1"/>
  <c r="AA41" i="51" s="1"/>
  <c r="Y40" i="51"/>
  <c r="S40" i="51"/>
  <c r="S45" i="51" s="1"/>
  <c r="M11" i="51"/>
  <c r="T39" i="51"/>
  <c r="AA39" i="51" s="1"/>
  <c r="Y26" i="51"/>
  <c r="S24" i="51"/>
  <c r="Z24" i="51" s="1"/>
  <c r="R26" i="51"/>
  <c r="S17" i="51"/>
  <c r="Z17" i="51" s="1"/>
  <c r="W10" i="51"/>
  <c r="Q10" i="51"/>
  <c r="P28" i="51"/>
  <c r="M45" i="51"/>
  <c r="S16" i="51"/>
  <c r="Z16" i="51" s="1"/>
  <c r="W18" i="51"/>
  <c r="X18" i="51"/>
  <c r="R13" i="51"/>
  <c r="Y13" i="51" s="1"/>
  <c r="Q18" i="51"/>
  <c r="M32" i="51"/>
  <c r="P32" i="51" s="1"/>
  <c r="W32" i="51" s="1"/>
  <c r="M31" i="51"/>
  <c r="J21" i="51"/>
  <c r="K21" i="51" s="1"/>
  <c r="M21" i="51" s="1"/>
  <c r="K20" i="51"/>
  <c r="J23" i="51"/>
  <c r="K23" i="51" s="1"/>
  <c r="M23" i="51" s="1"/>
  <c r="A31" i="51"/>
  <c r="A32" i="51" s="1"/>
  <c r="A33" i="51" s="1"/>
  <c r="U41" i="51" l="1"/>
  <c r="Z40" i="51"/>
  <c r="Z45" i="51" s="1"/>
  <c r="T40" i="51"/>
  <c r="AA40" i="51" s="1"/>
  <c r="AA45" i="51" s="1"/>
  <c r="U40" i="51"/>
  <c r="AB40" i="51"/>
  <c r="Y45" i="51"/>
  <c r="AB41" i="51"/>
  <c r="W28" i="51"/>
  <c r="Q32" i="51"/>
  <c r="X32" i="51" s="1"/>
  <c r="X10" i="51"/>
  <c r="X28" i="51" s="1"/>
  <c r="Q28" i="51"/>
  <c r="R10" i="51"/>
  <c r="T17" i="51"/>
  <c r="AA17" i="51" s="1"/>
  <c r="T16" i="51"/>
  <c r="AA16" i="51" s="1"/>
  <c r="AB16" i="51" s="1"/>
  <c r="M35" i="51"/>
  <c r="M47" i="51" s="1"/>
  <c r="P31" i="51"/>
  <c r="W31" i="51" s="1"/>
  <c r="Z26" i="51"/>
  <c r="T24" i="51"/>
  <c r="AA24" i="51" s="1"/>
  <c r="S26" i="51"/>
  <c r="Y18" i="51"/>
  <c r="R18" i="51"/>
  <c r="S13" i="51"/>
  <c r="Z13" i="51" s="1"/>
  <c r="T45" i="51"/>
  <c r="M26" i="51"/>
  <c r="M28" i="51" s="1"/>
  <c r="A34" i="51"/>
  <c r="A37" i="51" s="1"/>
  <c r="A38" i="51" s="1"/>
  <c r="A39" i="51" s="1"/>
  <c r="A40" i="51" s="1"/>
  <c r="A41" i="51" s="1"/>
  <c r="M49" i="51" l="1"/>
  <c r="AB39" i="51"/>
  <c r="AB45" i="51" s="1"/>
  <c r="U39" i="51"/>
  <c r="U45" i="51" s="1"/>
  <c r="AA26" i="51"/>
  <c r="T26" i="51"/>
  <c r="W35" i="51"/>
  <c r="W47" i="51" s="1"/>
  <c r="W49" i="51" s="1"/>
  <c r="Q31" i="51"/>
  <c r="X31" i="51" s="1"/>
  <c r="P35" i="51"/>
  <c r="P47" i="51" s="1"/>
  <c r="P49" i="51" s="1"/>
  <c r="U16" i="51"/>
  <c r="Y10" i="51"/>
  <c r="Y28" i="51" s="1"/>
  <c r="S10" i="51"/>
  <c r="R28" i="51"/>
  <c r="U17" i="51"/>
  <c r="R32" i="51"/>
  <c r="Y32" i="51" s="1"/>
  <c r="S18" i="51"/>
  <c r="T13" i="51"/>
  <c r="AA13" i="51" s="1"/>
  <c r="A42" i="51"/>
  <c r="A43" i="51" s="1"/>
  <c r="A44" i="51" s="1"/>
  <c r="AB17" i="51" l="1"/>
  <c r="Z10" i="51"/>
  <c r="S28" i="51"/>
  <c r="T10" i="51"/>
  <c r="U18" i="51"/>
  <c r="Q35" i="51"/>
  <c r="Q47" i="51" s="1"/>
  <c r="Q49" i="51" s="1"/>
  <c r="R31" i="51"/>
  <c r="Y31" i="51" s="1"/>
  <c r="AB24" i="51"/>
  <c r="AB26" i="51" s="1"/>
  <c r="AA18" i="51"/>
  <c r="T18" i="51"/>
  <c r="U24" i="51"/>
  <c r="U26" i="51" s="1"/>
  <c r="Z18" i="51"/>
  <c r="S32" i="51"/>
  <c r="Z32" i="51" s="1"/>
  <c r="X35" i="51" l="1"/>
  <c r="X47" i="51" s="1"/>
  <c r="X49" i="51" s="1"/>
  <c r="AA10" i="51"/>
  <c r="T28" i="51"/>
  <c r="U10" i="51"/>
  <c r="U28" i="51" s="1"/>
  <c r="Y35" i="51"/>
  <c r="Y47" i="51" s="1"/>
  <c r="Y49" i="51" s="1"/>
  <c r="S31" i="51"/>
  <c r="Z31" i="51" s="1"/>
  <c r="R35" i="51"/>
  <c r="R47" i="51" s="1"/>
  <c r="R49" i="51" s="1"/>
  <c r="Z28" i="51"/>
  <c r="T32" i="51"/>
  <c r="AA32" i="51" s="1"/>
  <c r="AB10" i="51" l="1"/>
  <c r="AB13" i="51"/>
  <c r="AB18" i="51" s="1"/>
  <c r="U32" i="51"/>
  <c r="T31" i="51"/>
  <c r="AA31" i="51" s="1"/>
  <c r="Z35" i="51"/>
  <c r="Z47" i="51" s="1"/>
  <c r="Z49" i="51" s="1"/>
  <c r="S35" i="51"/>
  <c r="S47" i="51" s="1"/>
  <c r="S49" i="51" s="1"/>
  <c r="AA28" i="51"/>
  <c r="AB28" i="51" l="1"/>
  <c r="AB32" i="51"/>
  <c r="T35" i="51"/>
  <c r="T47" i="51" s="1"/>
  <c r="T49" i="51" s="1"/>
  <c r="AA35" i="51" l="1"/>
  <c r="AA47" i="51" s="1"/>
  <c r="AA49" i="51" s="1"/>
  <c r="AB31" i="51"/>
  <c r="AB35" i="51" s="1"/>
  <c r="AB47" i="51" s="1"/>
  <c r="AB49" i="51" s="1"/>
  <c r="U31" i="51"/>
  <c r="U35" i="51" s="1"/>
  <c r="U47" i="51" s="1"/>
  <c r="U49" i="51" s="1"/>
</calcChain>
</file>

<file path=xl/sharedStrings.xml><?xml version="1.0" encoding="utf-8"?>
<sst xmlns="http://schemas.openxmlformats.org/spreadsheetml/2006/main" count="109" uniqueCount="83">
  <si>
    <t>Project Configuration</t>
  </si>
  <si>
    <t>Sl. No.</t>
  </si>
  <si>
    <t>Production from Current Plant Operation</t>
  </si>
  <si>
    <t>Production Facility</t>
  </si>
  <si>
    <t>Production from Phase-I Expansion (Ongoing Project)</t>
  </si>
  <si>
    <t>Production from Phase-II Expansion  (Proposed)</t>
  </si>
  <si>
    <t>Production from Phase-III Expansion (Proposed)</t>
  </si>
  <si>
    <t>Existing Plant in Operation</t>
  </si>
  <si>
    <t>DRI Plant : 2 x 100 TPD</t>
  </si>
  <si>
    <t>Sponge Iron (DRI)</t>
  </si>
  <si>
    <t>Total Production Capacity</t>
  </si>
  <si>
    <t>High Grade Concentrate</t>
  </si>
  <si>
    <t>Iron Ore Pellet</t>
  </si>
  <si>
    <t>Steel Billet</t>
  </si>
  <si>
    <t>TMT Rebar</t>
  </si>
  <si>
    <t>Iron ore Beneficiation Plant : 0.85 MTPA Input</t>
  </si>
  <si>
    <t>Iron Ore Pellet Plant : 0.6 MTPA Output</t>
  </si>
  <si>
    <t>( A )</t>
  </si>
  <si>
    <t>( B )</t>
  </si>
  <si>
    <t>( C )</t>
  </si>
  <si>
    <t xml:space="preserve">Captive Power Plant : WHRB (4 MW) &amp; AFBC (6MW) </t>
  </si>
  <si>
    <t>Steel Melting Shop : 8 x 20 T IF with CCM, AOD, VDG &amp; LRF</t>
  </si>
  <si>
    <t>Steel/Special Steel  Billet</t>
  </si>
  <si>
    <t>Section/Rebar</t>
  </si>
  <si>
    <t>Steel Melting Shop : 3 x 12 T IF with CCM &amp; LRF</t>
  </si>
  <si>
    <t>Product Description &amp; UoM</t>
  </si>
  <si>
    <r>
      <t xml:space="preserve">Installed Production Capacity in TPA </t>
    </r>
    <r>
      <rPr>
        <sz val="11"/>
        <rFont val="Calibri"/>
        <family val="2"/>
        <scheme val="minor"/>
      </rPr>
      <t>(unless stated otherwise)</t>
    </r>
  </si>
  <si>
    <r>
      <t xml:space="preserve">Electric Power, </t>
    </r>
    <r>
      <rPr>
        <b/>
        <sz val="11"/>
        <rFont val="Aptos"/>
        <family val="2"/>
      </rPr>
      <t>Munit</t>
    </r>
  </si>
  <si>
    <t>( D )</t>
  </si>
  <si>
    <t>Ongoing Expansion Project : Phase 1 ( Location : Bonai, Odisha)</t>
  </si>
  <si>
    <t>Proposed Expansion Project : Phase 2 ( Location : Bonai, Odisha)</t>
  </si>
  <si>
    <t>Location : Vikram Pvt. Ltd. Sundergarh, Odisha</t>
  </si>
  <si>
    <t>#</t>
  </si>
  <si>
    <t>##</t>
  </si>
  <si>
    <t>Submerged Electric Arc Furnace : 2 x 5 MVA</t>
  </si>
  <si>
    <t>SiMn / FeMn</t>
  </si>
  <si>
    <t>Capacity Enhancement of Manganese Ore Mines</t>
  </si>
  <si>
    <t>Capacity Enhancement of Iron Ore Mines</t>
  </si>
  <si>
    <t>Mn Ore</t>
  </si>
  <si>
    <t>Fe Ore</t>
  </si>
  <si>
    <t>Takeover of Operating Facilities</t>
  </si>
  <si>
    <t>( E )</t>
  </si>
  <si>
    <t>Proposed Expansion Projects</t>
  </si>
  <si>
    <t xml:space="preserve">Captive Power Plant with WHRB (25 MW) &amp; AFBC  using kiln waste as fuel (10 MW) </t>
  </si>
  <si>
    <t>Power Requirement to Run the Facilities in MW</t>
  </si>
  <si>
    <t>Net Power Generation, MW</t>
  </si>
  <si>
    <t>Balance Power from State Grid, MW</t>
  </si>
  <si>
    <t>Captive Consumption, TPA</t>
  </si>
  <si>
    <t>Qty, Available for Sale, TPA</t>
  </si>
  <si>
    <t>Sub-total</t>
  </si>
  <si>
    <t>Submerged Electric Arc Furnace : 9 x 9 MVA</t>
  </si>
  <si>
    <t>Acquisition of Manganese &amp; Iron Ore Mines</t>
  </si>
  <si>
    <t>DRI Plant : 3 x 350 TPD</t>
  </si>
  <si>
    <t>Iron ore Beneficiation Plant : 1 MTPA Input</t>
  </si>
  <si>
    <t>Iron Ore Pellet Plant : 0.85 MTPA Output</t>
  </si>
  <si>
    <t>Location : Haldia Port , West Bengal</t>
  </si>
  <si>
    <t>Captive Power Plant with WHRB (35 MW) ,  AFBC  using kiln waste as fuel (10 MW), CFBC Coal Fired ( 30 MW)</t>
  </si>
  <si>
    <t>Rolling Mill-1</t>
  </si>
  <si>
    <t>Rolling Mill-2</t>
  </si>
  <si>
    <t>Sub-total of Power Demand, MW</t>
  </si>
  <si>
    <t>Submerged Electric Arc Furnace : 3 x 12 MVA</t>
  </si>
  <si>
    <t>Total Bonai T.O.</t>
  </si>
  <si>
    <t>Total Haldia T.O.</t>
  </si>
  <si>
    <t xml:space="preserve"> </t>
  </si>
  <si>
    <t>Investment,         Rs. In Cr.</t>
  </si>
  <si>
    <t>Grand Total, Rs. In Cr.</t>
  </si>
  <si>
    <t>Y 2025</t>
  </si>
  <si>
    <t>Y 2026</t>
  </si>
  <si>
    <t>Y 2027</t>
  </si>
  <si>
    <t>Y 2028</t>
  </si>
  <si>
    <t>Y 2029</t>
  </si>
  <si>
    <t>Y 2030</t>
  </si>
  <si>
    <t>All the figures : Rs. In Cr</t>
  </si>
  <si>
    <t>Avg. Sales Realisation, Rs./ton</t>
  </si>
  <si>
    <t>Avg. Net Turn Over, Rs. In Cr.</t>
  </si>
  <si>
    <t>7 Year Net TO  Projection</t>
  </si>
  <si>
    <t>Total</t>
  </si>
  <si>
    <t>7 Year EBITDA  Projection</t>
  </si>
  <si>
    <t>Thermal Power Plant : 95 MW</t>
  </si>
  <si>
    <t>DRI Plant : 1 x 900 TPD</t>
  </si>
  <si>
    <t>Strategic Expansion Plan (Vikram Private Limited, Bonai, Sundergarh, Odisha)</t>
  </si>
  <si>
    <t>Dtd.14.02.2025</t>
  </si>
  <si>
    <t>Pellet Plant : 0.6 MTPA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</si>
</sst>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* #,##0.00\ _D_M_-;\-* #,##0.00\ _D_M_-;_-* &quot;-&quot;??\ _D_M_-;_-@_-"/>
    <numFmt numFmtId="165" formatCode="_ * #,##0_ ;_ * \-#,##0_ ;_ * &quot;-&quot;??_ ;_ @_ "/>
    <numFmt numFmtId="166" formatCode="_ * #,##0.0_ ;_ * \-#,##0.0_ ;_ * &quot;-&quot;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Aptos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ptos"/>
      <family val="2"/>
    </font>
    <font>
      <b/>
      <u/>
      <sz val="11"/>
      <name val="Aptos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auto="1"/>
      </right>
      <top style="hair">
        <color indexed="64"/>
      </top>
      <bottom style="hair">
        <color auto="1"/>
      </bottom>
      <diagonal/>
    </border>
    <border>
      <left style="hair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65" fontId="4" fillId="0" borderId="1" xfId="13" applyNumberFormat="1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165" fontId="8" fillId="0" borderId="1" xfId="13" applyNumberFormat="1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3" fontId="8" fillId="0" borderId="1" xfId="13" applyFont="1" applyBorder="1" applyAlignment="1">
      <alignment horizontal="center" vertical="center" wrapText="1"/>
    </xf>
    <xf numFmtId="165" fontId="8" fillId="0" borderId="1" xfId="13" applyNumberFormat="1" applyFont="1" applyBorder="1" applyAlignment="1">
      <alignment horizontal="right" vertical="center" wrapText="1"/>
    </xf>
    <xf numFmtId="43" fontId="4" fillId="0" borderId="1" xfId="13" applyFont="1" applyBorder="1" applyAlignment="1">
      <alignment vertical="center" wrapText="1"/>
    </xf>
    <xf numFmtId="165" fontId="8" fillId="0" borderId="1" xfId="13" applyNumberFormat="1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165" fontId="6" fillId="0" borderId="12" xfId="0" applyNumberFormat="1" applyFont="1" applyBorder="1" applyAlignment="1">
      <alignment vertical="center"/>
    </xf>
    <xf numFmtId="1" fontId="6" fillId="0" borderId="6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65" fontId="7" fillId="0" borderId="16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65" fontId="8" fillId="0" borderId="16" xfId="13" applyNumberFormat="1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43" fontId="6" fillId="0" borderId="12" xfId="13" applyFont="1" applyBorder="1" applyAlignment="1">
      <alignment horizontal="center" vertical="center"/>
    </xf>
    <xf numFmtId="43" fontId="6" fillId="0" borderId="1" xfId="13" applyFont="1" applyBorder="1" applyAlignment="1">
      <alignment horizontal="center" vertical="center"/>
    </xf>
    <xf numFmtId="43" fontId="7" fillId="0" borderId="16" xfId="13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65" fontId="4" fillId="0" borderId="1" xfId="13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166" fontId="6" fillId="0" borderId="12" xfId="0" applyNumberFormat="1" applyFont="1" applyBorder="1" applyAlignment="1">
      <alignment horizontal="center" vertical="center"/>
    </xf>
    <xf numFmtId="166" fontId="6" fillId="0" borderId="13" xfId="0" applyNumberFormat="1" applyFont="1" applyBorder="1" applyAlignment="1">
      <alignment horizontal="center" vertical="center"/>
    </xf>
    <xf numFmtId="165" fontId="6" fillId="0" borderId="12" xfId="13" applyNumberFormat="1" applyFont="1" applyBorder="1" applyAlignment="1">
      <alignment horizontal="center" vertical="center"/>
    </xf>
    <xf numFmtId="165" fontId="6" fillId="0" borderId="8" xfId="13" applyNumberFormat="1" applyFont="1" applyBorder="1" applyAlignment="1">
      <alignment horizontal="center" vertical="center"/>
    </xf>
    <xf numFmtId="43" fontId="6" fillId="0" borderId="12" xfId="13" applyFont="1" applyBorder="1" applyAlignment="1">
      <alignment horizontal="center" vertical="center"/>
    </xf>
    <xf numFmtId="43" fontId="6" fillId="0" borderId="8" xfId="13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</cellXfs>
  <cellStyles count="14">
    <cellStyle name="Comma" xfId="13" builtinId="3"/>
    <cellStyle name="Dezimal_CasT_CoverSheet_PIDs_BOP" xfId="1" xr:uid="{00000000-0005-0000-0000-000000000000}"/>
    <cellStyle name="Normal" xfId="0" builtinId="0"/>
    <cellStyle name="Normal 2 2" xfId="2" xr:uid="{00000000-0005-0000-0000-000002000000}"/>
    <cellStyle name="Normal 2 3" xfId="3" xr:uid="{00000000-0005-0000-0000-000003000000}"/>
    <cellStyle name="Normal 2 4" xfId="4" xr:uid="{00000000-0005-0000-0000-000004000000}"/>
    <cellStyle name="Normal 2 5" xfId="5" xr:uid="{00000000-0005-0000-0000-000005000000}"/>
    <cellStyle name="Normal 2 6" xfId="6" xr:uid="{00000000-0005-0000-0000-000006000000}"/>
    <cellStyle name="Normal 3" xfId="7" xr:uid="{00000000-0005-0000-0000-000007000000}"/>
    <cellStyle name="Normal 3 2" xfId="8" xr:uid="{00000000-0005-0000-0000-000008000000}"/>
    <cellStyle name="Normal 4" xfId="9" xr:uid="{00000000-0005-0000-0000-000009000000}"/>
    <cellStyle name="Normal 4 2" xfId="10" xr:uid="{00000000-0005-0000-0000-00000A000000}"/>
    <cellStyle name="Normal 7" xfId="11" xr:uid="{00000000-0005-0000-0000-00000B000000}"/>
    <cellStyle name="Standard_CasT_CoverSheet_PIDs_BOP" xfId="12" xr:uid="{00000000-0005-0000-0000-00000C000000}"/>
  </cellStyles>
  <dxfs count="0"/>
  <tableStyles count="0" defaultTableStyle="TableStyleMedium2" defaultPivotStyle="PivotStyleLight16"/>
  <colors>
    <mruColors>
      <color rgb="FF05EB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E658-58C6-49C0-9A9A-898D0C47E8FC}">
  <dimension ref="A1:AB50"/>
  <sheetViews>
    <sheetView showGridLines="0" tabSelected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1" sqref="A21"/>
    </sheetView>
  </sheetViews>
  <sheetFormatPr defaultRowHeight="14.4" x14ac:dyDescent="0.3"/>
  <cols>
    <col min="1" max="1" width="8.88671875" style="1"/>
    <col min="2" max="2" width="61.5546875" style="1" customWidth="1"/>
    <col min="3" max="3" width="19.33203125" style="1" customWidth="1"/>
    <col min="4" max="4" width="24.33203125" style="1" customWidth="1"/>
    <col min="5" max="6" width="16.77734375" style="1" customWidth="1"/>
    <col min="7" max="8" width="18.109375" style="1" customWidth="1"/>
    <col min="9" max="11" width="16.77734375" style="1" customWidth="1"/>
    <col min="12" max="12" width="17.33203125" style="1" customWidth="1"/>
    <col min="13" max="13" width="15.88671875" style="1" customWidth="1"/>
    <col min="14" max="14" width="17.33203125" style="1" customWidth="1"/>
    <col min="15" max="15" width="11.33203125" style="1" bestFit="1" customWidth="1"/>
    <col min="16" max="16384" width="8.88671875" style="1"/>
  </cols>
  <sheetData>
    <row r="1" spans="1:28" ht="15.6" x14ac:dyDescent="0.3">
      <c r="A1" s="2" t="s">
        <v>80</v>
      </c>
    </row>
    <row r="2" spans="1:28" ht="15.6" x14ac:dyDescent="0.3">
      <c r="A2" s="2" t="s">
        <v>0</v>
      </c>
      <c r="D2" s="15" t="s">
        <v>81</v>
      </c>
      <c r="J2" s="2"/>
    </row>
    <row r="3" spans="1:28" x14ac:dyDescent="0.3">
      <c r="G3" s="3"/>
    </row>
    <row r="4" spans="1:28" x14ac:dyDescent="0.3">
      <c r="A4" s="49" t="s">
        <v>1</v>
      </c>
      <c r="B4" s="51" t="s">
        <v>3</v>
      </c>
      <c r="C4" s="51" t="s">
        <v>44</v>
      </c>
      <c r="D4" s="51" t="s">
        <v>25</v>
      </c>
      <c r="E4" s="53" t="s">
        <v>26</v>
      </c>
      <c r="F4" s="53"/>
      <c r="G4" s="53"/>
      <c r="H4" s="53"/>
      <c r="I4" s="53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7"/>
      <c r="W4" s="17"/>
      <c r="X4" s="17"/>
      <c r="Y4" s="17"/>
      <c r="Z4" s="17"/>
      <c r="AA4" s="17"/>
      <c r="AB4" s="18"/>
    </row>
    <row r="5" spans="1:28" ht="14.4" customHeight="1" x14ac:dyDescent="0.3">
      <c r="A5" s="50"/>
      <c r="B5" s="52"/>
      <c r="C5" s="52"/>
      <c r="D5" s="52"/>
      <c r="E5" s="52" t="s">
        <v>2</v>
      </c>
      <c r="F5" s="52" t="s">
        <v>4</v>
      </c>
      <c r="G5" s="52" t="s">
        <v>5</v>
      </c>
      <c r="H5" s="52" t="s">
        <v>6</v>
      </c>
      <c r="I5" s="52" t="s">
        <v>10</v>
      </c>
      <c r="J5" s="52" t="s">
        <v>47</v>
      </c>
      <c r="K5" s="52" t="s">
        <v>48</v>
      </c>
      <c r="L5" s="52" t="s">
        <v>73</v>
      </c>
      <c r="M5" s="52" t="s">
        <v>74</v>
      </c>
      <c r="N5" s="52" t="s">
        <v>64</v>
      </c>
      <c r="O5" s="57" t="s">
        <v>75</v>
      </c>
      <c r="P5" s="57"/>
      <c r="Q5" s="57"/>
      <c r="R5" s="57"/>
      <c r="S5" s="57"/>
      <c r="T5" s="57"/>
      <c r="U5" s="20"/>
      <c r="V5" s="57" t="s">
        <v>77</v>
      </c>
      <c r="W5" s="57"/>
      <c r="X5" s="57"/>
      <c r="Y5" s="57"/>
      <c r="Z5" s="57"/>
      <c r="AA5" s="57"/>
      <c r="AB5" s="20"/>
    </row>
    <row r="6" spans="1:28" x14ac:dyDescent="0.3">
      <c r="A6" s="50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8" t="s">
        <v>72</v>
      </c>
      <c r="P6" s="59"/>
      <c r="Q6" s="59"/>
      <c r="R6" s="59"/>
      <c r="S6" s="59"/>
      <c r="T6" s="59"/>
      <c r="U6" s="60"/>
      <c r="V6" s="58" t="s">
        <v>72</v>
      </c>
      <c r="W6" s="59"/>
      <c r="X6" s="59"/>
      <c r="Y6" s="59"/>
      <c r="Z6" s="59"/>
      <c r="AA6" s="59"/>
      <c r="AB6" s="60"/>
    </row>
    <row r="7" spans="1:28" x14ac:dyDescent="0.3">
      <c r="A7" s="50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19" t="s">
        <v>66</v>
      </c>
      <c r="P7" s="19" t="s">
        <v>67</v>
      </c>
      <c r="Q7" s="19" t="s">
        <v>68</v>
      </c>
      <c r="R7" s="19" t="s">
        <v>69</v>
      </c>
      <c r="S7" s="19" t="s">
        <v>70</v>
      </c>
      <c r="T7" s="19" t="s">
        <v>71</v>
      </c>
      <c r="U7" s="25" t="s">
        <v>76</v>
      </c>
      <c r="V7" s="19" t="s">
        <v>66</v>
      </c>
      <c r="W7" s="19" t="s">
        <v>67</v>
      </c>
      <c r="X7" s="19" t="s">
        <v>68</v>
      </c>
      <c r="Y7" s="19" t="s">
        <v>69</v>
      </c>
      <c r="Z7" s="19" t="s">
        <v>70</v>
      </c>
      <c r="AA7" s="19" t="s">
        <v>71</v>
      </c>
      <c r="AB7" s="25" t="s">
        <v>76</v>
      </c>
    </row>
    <row r="8" spans="1:28" x14ac:dyDescent="0.3">
      <c r="A8" s="4" t="s">
        <v>32</v>
      </c>
      <c r="B8" s="6" t="s">
        <v>31</v>
      </c>
      <c r="C8" s="6"/>
      <c r="D8" s="5"/>
      <c r="E8" s="5"/>
      <c r="F8" s="5"/>
      <c r="G8" s="5"/>
      <c r="H8" s="5"/>
      <c r="I8" s="5"/>
      <c r="J8" s="5"/>
      <c r="K8" s="21">
        <f>I8-J8</f>
        <v>0</v>
      </c>
      <c r="L8" s="21">
        <f t="shared" ref="L8:N8" si="0">J8-K8</f>
        <v>0</v>
      </c>
      <c r="M8" s="21">
        <f t="shared" si="0"/>
        <v>0</v>
      </c>
      <c r="N8" s="21">
        <f t="shared" si="0"/>
        <v>0</v>
      </c>
      <c r="O8" s="16"/>
      <c r="P8" s="16"/>
      <c r="Q8" s="16" t="s">
        <v>63</v>
      </c>
      <c r="R8" s="16"/>
      <c r="S8" s="16"/>
      <c r="T8" s="16"/>
      <c r="U8" s="20"/>
      <c r="V8" s="16"/>
      <c r="W8" s="16"/>
      <c r="X8" s="16" t="s">
        <v>63</v>
      </c>
      <c r="Y8" s="16"/>
      <c r="Z8" s="16"/>
      <c r="AA8" s="16"/>
      <c r="AB8" s="20"/>
    </row>
    <row r="9" spans="1:28" x14ac:dyDescent="0.3">
      <c r="A9" s="4" t="s">
        <v>17</v>
      </c>
      <c r="B9" s="7" t="s">
        <v>7</v>
      </c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8"/>
      <c r="P9" s="28"/>
      <c r="Q9" s="28"/>
      <c r="R9" s="28"/>
      <c r="S9" s="28"/>
      <c r="T9" s="28"/>
      <c r="U9" s="34"/>
      <c r="V9" s="28"/>
      <c r="W9" s="28"/>
      <c r="X9" s="28"/>
      <c r="Y9" s="28"/>
      <c r="Z9" s="28"/>
      <c r="AA9" s="28"/>
      <c r="AB9" s="34"/>
    </row>
    <row r="10" spans="1:28" ht="15" thickBot="1" x14ac:dyDescent="0.35">
      <c r="A10" s="8">
        <v>1</v>
      </c>
      <c r="B10" s="9" t="s">
        <v>8</v>
      </c>
      <c r="C10" s="10">
        <v>1</v>
      </c>
      <c r="D10" s="10" t="s">
        <v>9</v>
      </c>
      <c r="E10" s="11">
        <v>45000</v>
      </c>
      <c r="F10" s="11">
        <v>15000</v>
      </c>
      <c r="G10" s="11">
        <v>0</v>
      </c>
      <c r="H10" s="11">
        <v>0</v>
      </c>
      <c r="I10" s="11">
        <f>SUM(E10:H10)</f>
        <v>60000</v>
      </c>
      <c r="J10" s="11">
        <v>0</v>
      </c>
      <c r="K10" s="11">
        <f t="shared" ref="K10" si="1">SUM(G10:J10)</f>
        <v>60000</v>
      </c>
      <c r="L10" s="11">
        <v>28000</v>
      </c>
      <c r="M10" s="11">
        <f>K10*L10/10000000</f>
        <v>168</v>
      </c>
      <c r="N10" s="11">
        <v>9</v>
      </c>
      <c r="O10" s="37">
        <f>E10*L10/10000000</f>
        <v>126</v>
      </c>
      <c r="P10" s="38">
        <f>K10*28000/10000000</f>
        <v>168</v>
      </c>
      <c r="Q10" s="38">
        <f>P10</f>
        <v>168</v>
      </c>
      <c r="R10" s="38">
        <f t="shared" ref="R10:T10" si="2">Q10</f>
        <v>168</v>
      </c>
      <c r="S10" s="38">
        <f t="shared" si="2"/>
        <v>168</v>
      </c>
      <c r="T10" s="38">
        <f t="shared" si="2"/>
        <v>168</v>
      </c>
      <c r="U10" s="39">
        <f>SUM(O10:T10)</f>
        <v>966</v>
      </c>
      <c r="V10" s="40">
        <f t="shared" ref="V10:AA10" si="3">O10*0.2</f>
        <v>25.200000000000003</v>
      </c>
      <c r="W10" s="40">
        <f t="shared" si="3"/>
        <v>33.6</v>
      </c>
      <c r="X10" s="40">
        <f t="shared" si="3"/>
        <v>33.6</v>
      </c>
      <c r="Y10" s="40">
        <f t="shared" si="3"/>
        <v>33.6</v>
      </c>
      <c r="Z10" s="40">
        <f t="shared" si="3"/>
        <v>33.6</v>
      </c>
      <c r="AA10" s="40">
        <f t="shared" si="3"/>
        <v>33.6</v>
      </c>
      <c r="AB10" s="44">
        <f>SUM(V10:AA10)</f>
        <v>193.2</v>
      </c>
    </row>
    <row r="11" spans="1:28" x14ac:dyDescent="0.3">
      <c r="A11" s="8"/>
      <c r="B11" s="9"/>
      <c r="C11" s="10"/>
      <c r="D11" s="10"/>
      <c r="E11" s="11"/>
      <c r="F11" s="11"/>
      <c r="G11" s="11"/>
      <c r="H11" s="11"/>
      <c r="I11" s="11"/>
      <c r="J11" s="11"/>
      <c r="K11" s="11"/>
      <c r="L11" s="22" t="s">
        <v>49</v>
      </c>
      <c r="M11" s="14">
        <f>SUM(M6:M10)</f>
        <v>168</v>
      </c>
      <c r="N11" s="14">
        <f>SUM(N6:N10)</f>
        <v>9</v>
      </c>
      <c r="O11" s="29"/>
      <c r="P11" s="29"/>
      <c r="Q11" s="29"/>
      <c r="R11" s="29"/>
      <c r="S11" s="29"/>
      <c r="T11" s="29"/>
      <c r="U11" s="35"/>
      <c r="V11" s="29"/>
      <c r="W11" s="29"/>
      <c r="X11" s="29"/>
      <c r="Y11" s="29"/>
      <c r="Z11" s="29"/>
      <c r="AA11" s="29"/>
      <c r="AB11" s="35"/>
    </row>
    <row r="12" spans="1:28" x14ac:dyDescent="0.3">
      <c r="A12" s="4" t="s">
        <v>18</v>
      </c>
      <c r="B12" s="7" t="s">
        <v>29</v>
      </c>
      <c r="C12" s="7"/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6"/>
      <c r="P12" s="16"/>
      <c r="Q12" s="16"/>
      <c r="R12" s="16"/>
      <c r="S12" s="16"/>
      <c r="T12" s="16"/>
      <c r="U12" s="20"/>
      <c r="V12" s="16"/>
      <c r="W12" s="16"/>
      <c r="X12" s="16"/>
      <c r="Y12" s="16"/>
      <c r="Z12" s="16"/>
      <c r="AA12" s="16"/>
      <c r="AB12" s="20"/>
    </row>
    <row r="13" spans="1:28" x14ac:dyDescent="0.3">
      <c r="A13" s="8">
        <f>A10+1</f>
        <v>2</v>
      </c>
      <c r="B13" s="9" t="s">
        <v>15</v>
      </c>
      <c r="C13" s="56">
        <v>6</v>
      </c>
      <c r="D13" s="10" t="s">
        <v>11</v>
      </c>
      <c r="E13" s="55">
        <v>0</v>
      </c>
      <c r="F13" s="55">
        <v>600000</v>
      </c>
      <c r="G13" s="55">
        <v>0</v>
      </c>
      <c r="H13" s="55">
        <v>0</v>
      </c>
      <c r="I13" s="55">
        <f>SUM(E13:H14)</f>
        <v>600000</v>
      </c>
      <c r="J13" s="55">
        <v>90000</v>
      </c>
      <c r="K13" s="55">
        <f>I13-J13</f>
        <v>510000</v>
      </c>
      <c r="L13" s="55">
        <v>9200</v>
      </c>
      <c r="M13" s="55">
        <f>K13*L13/10000000</f>
        <v>469.2</v>
      </c>
      <c r="N13" s="55">
        <v>299</v>
      </c>
      <c r="O13" s="61"/>
      <c r="P13" s="63">
        <f>M13</f>
        <v>469.2</v>
      </c>
      <c r="Q13" s="63">
        <f>P13</f>
        <v>469.2</v>
      </c>
      <c r="R13" s="63">
        <f t="shared" ref="R13:T13" si="4">Q13</f>
        <v>469.2</v>
      </c>
      <c r="S13" s="63">
        <f t="shared" si="4"/>
        <v>469.2</v>
      </c>
      <c r="T13" s="63">
        <f t="shared" si="4"/>
        <v>469.2</v>
      </c>
      <c r="U13" s="63">
        <v>1134</v>
      </c>
      <c r="V13" s="68">
        <f>O13*0.24</f>
        <v>0</v>
      </c>
      <c r="W13" s="66">
        <f t="shared" ref="W13:AA13" si="5">P13*0.24</f>
        <v>112.60799999999999</v>
      </c>
      <c r="X13" s="66">
        <f t="shared" si="5"/>
        <v>112.60799999999999</v>
      </c>
      <c r="Y13" s="66">
        <f t="shared" si="5"/>
        <v>112.60799999999999</v>
      </c>
      <c r="Z13" s="66">
        <f t="shared" si="5"/>
        <v>112.60799999999999</v>
      </c>
      <c r="AA13" s="66">
        <f t="shared" si="5"/>
        <v>112.60799999999999</v>
      </c>
      <c r="AB13" s="70">
        <f>SUM(V13:AA14)</f>
        <v>563.04</v>
      </c>
    </row>
    <row r="14" spans="1:28" x14ac:dyDescent="0.3">
      <c r="A14" s="8">
        <f>A13+1</f>
        <v>3</v>
      </c>
      <c r="B14" s="9" t="s">
        <v>16</v>
      </c>
      <c r="C14" s="56"/>
      <c r="D14" s="10" t="s">
        <v>12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62"/>
      <c r="P14" s="62"/>
      <c r="Q14" s="62"/>
      <c r="R14" s="62"/>
      <c r="S14" s="62"/>
      <c r="T14" s="62"/>
      <c r="U14" s="62"/>
      <c r="V14" s="69"/>
      <c r="W14" s="67"/>
      <c r="X14" s="67"/>
      <c r="Y14" s="67"/>
      <c r="Z14" s="67"/>
      <c r="AA14" s="67"/>
      <c r="AB14" s="71"/>
    </row>
    <row r="15" spans="1:28" x14ac:dyDescent="0.3">
      <c r="A15" s="8">
        <f t="shared" ref="A15:A17" si="6">A14+1</f>
        <v>4</v>
      </c>
      <c r="B15" s="9" t="s">
        <v>20</v>
      </c>
      <c r="C15" s="10">
        <v>1</v>
      </c>
      <c r="D15" s="10" t="s">
        <v>27</v>
      </c>
      <c r="E15" s="11">
        <v>0</v>
      </c>
      <c r="F15" s="11">
        <f>10*0.9*24*330*1000/1000000</f>
        <v>71.28</v>
      </c>
      <c r="G15" s="11">
        <v>0</v>
      </c>
      <c r="H15" s="11">
        <v>0</v>
      </c>
      <c r="I15" s="11">
        <f>SUM(E15:H15)</f>
        <v>71.28</v>
      </c>
      <c r="J15" s="11">
        <f>I15</f>
        <v>71.28</v>
      </c>
      <c r="K15" s="11">
        <f>I15-J15</f>
        <v>0</v>
      </c>
      <c r="L15" s="11">
        <v>0</v>
      </c>
      <c r="M15" s="11">
        <f t="shared" ref="M15" si="7">K15-L15</f>
        <v>0</v>
      </c>
      <c r="N15" s="11">
        <f>10*6.5</f>
        <v>65</v>
      </c>
      <c r="O15" s="16"/>
      <c r="P15" s="16"/>
      <c r="Q15" s="16"/>
      <c r="R15" s="16"/>
      <c r="S15" s="16"/>
      <c r="T15" s="16"/>
      <c r="U15" s="20"/>
      <c r="V15" s="16"/>
      <c r="W15" s="16"/>
      <c r="X15" s="16"/>
      <c r="Y15" s="16"/>
      <c r="Z15" s="16"/>
      <c r="AA15" s="16"/>
      <c r="AB15" s="20"/>
    </row>
    <row r="16" spans="1:28" x14ac:dyDescent="0.3">
      <c r="A16" s="8">
        <f>A15+1</f>
        <v>5</v>
      </c>
      <c r="B16" s="9" t="s">
        <v>24</v>
      </c>
      <c r="C16" s="10">
        <v>12</v>
      </c>
      <c r="D16" s="10" t="s">
        <v>13</v>
      </c>
      <c r="E16" s="11">
        <v>0</v>
      </c>
      <c r="F16" s="11">
        <v>120000</v>
      </c>
      <c r="G16" s="11">
        <v>0</v>
      </c>
      <c r="H16" s="11">
        <v>0</v>
      </c>
      <c r="I16" s="11">
        <f>SUM(E16:H16)</f>
        <v>120000</v>
      </c>
      <c r="J16" s="11">
        <v>100000</v>
      </c>
      <c r="K16" s="11">
        <f t="shared" ref="K16:K24" si="8">I16-J16</f>
        <v>20000</v>
      </c>
      <c r="L16" s="11">
        <v>40000</v>
      </c>
      <c r="M16" s="11">
        <f>K16*L16/10000000</f>
        <v>80</v>
      </c>
      <c r="N16" s="11">
        <v>41</v>
      </c>
      <c r="O16" s="16"/>
      <c r="P16" s="16"/>
      <c r="Q16" s="27">
        <f>M16</f>
        <v>80</v>
      </c>
      <c r="R16" s="27">
        <f>Q16</f>
        <v>80</v>
      </c>
      <c r="S16" s="27">
        <f t="shared" ref="S16:T16" si="9">R16</f>
        <v>80</v>
      </c>
      <c r="T16" s="27">
        <f t="shared" si="9"/>
        <v>80</v>
      </c>
      <c r="U16" s="20">
        <f>SUM(O16:T16)</f>
        <v>320</v>
      </c>
      <c r="V16" s="46">
        <f>O16*0.1</f>
        <v>0</v>
      </c>
      <c r="W16" s="46">
        <f t="shared" ref="W16" si="10">P16*0.117</f>
        <v>0</v>
      </c>
      <c r="X16" s="48">
        <f>Q16*0.1</f>
        <v>8</v>
      </c>
      <c r="Y16" s="48">
        <f t="shared" ref="Y16:AA16" si="11">R16*0.1</f>
        <v>8</v>
      </c>
      <c r="Z16" s="48">
        <f t="shared" si="11"/>
        <v>8</v>
      </c>
      <c r="AA16" s="48">
        <f t="shared" si="11"/>
        <v>8</v>
      </c>
      <c r="AB16" s="33">
        <f>SUM(V16:AA16)</f>
        <v>32</v>
      </c>
    </row>
    <row r="17" spans="1:28" x14ac:dyDescent="0.3">
      <c r="A17" s="8">
        <f t="shared" si="6"/>
        <v>6</v>
      </c>
      <c r="B17" s="9" t="s">
        <v>57</v>
      </c>
      <c r="C17" s="10">
        <v>3</v>
      </c>
      <c r="D17" s="10" t="s">
        <v>14</v>
      </c>
      <c r="E17" s="11">
        <v>0</v>
      </c>
      <c r="F17" s="11">
        <v>100000</v>
      </c>
      <c r="G17" s="11">
        <v>0</v>
      </c>
      <c r="H17" s="11">
        <v>0</v>
      </c>
      <c r="I17" s="11">
        <f>SUM(E17:H17)</f>
        <v>100000</v>
      </c>
      <c r="J17" s="11">
        <v>0</v>
      </c>
      <c r="K17" s="11">
        <f t="shared" si="8"/>
        <v>100000</v>
      </c>
      <c r="L17" s="11">
        <v>49000</v>
      </c>
      <c r="M17" s="11">
        <f>K17*L17/10000000</f>
        <v>490</v>
      </c>
      <c r="N17" s="11">
        <v>45</v>
      </c>
      <c r="O17" s="28"/>
      <c r="P17" s="28"/>
      <c r="Q17" s="30">
        <f>M17</f>
        <v>490</v>
      </c>
      <c r="R17" s="30">
        <f>Q17</f>
        <v>490</v>
      </c>
      <c r="S17" s="30">
        <f t="shared" ref="S17:T17" si="12">R17</f>
        <v>490</v>
      </c>
      <c r="T17" s="30">
        <f t="shared" si="12"/>
        <v>490</v>
      </c>
      <c r="U17" s="34">
        <f>SUM(O17:T17)</f>
        <v>1960</v>
      </c>
      <c r="V17" s="45">
        <f>O17*0.22</f>
        <v>0</v>
      </c>
      <c r="W17" s="45">
        <f t="shared" ref="W17:AA17" si="13">P17*0.22</f>
        <v>0</v>
      </c>
      <c r="X17" s="45">
        <f t="shared" si="13"/>
        <v>107.8</v>
      </c>
      <c r="Y17" s="45">
        <f t="shared" si="13"/>
        <v>107.8</v>
      </c>
      <c r="Z17" s="45">
        <f t="shared" si="13"/>
        <v>107.8</v>
      </c>
      <c r="AA17" s="45">
        <f t="shared" si="13"/>
        <v>107.8</v>
      </c>
      <c r="AB17" s="33">
        <f>SUM(V17:AA17)</f>
        <v>431.2</v>
      </c>
    </row>
    <row r="18" spans="1:28" ht="15" thickBot="1" x14ac:dyDescent="0.35">
      <c r="A18" s="8"/>
      <c r="B18" s="9"/>
      <c r="C18" s="10"/>
      <c r="D18" s="10"/>
      <c r="E18" s="11"/>
      <c r="F18" s="11"/>
      <c r="G18" s="11"/>
      <c r="H18" s="11"/>
      <c r="I18" s="11"/>
      <c r="J18" s="11"/>
      <c r="K18" s="11"/>
      <c r="L18" s="22" t="s">
        <v>49</v>
      </c>
      <c r="M18" s="14">
        <f>SUM(M13:M17)</f>
        <v>1039.2</v>
      </c>
      <c r="N18" s="14">
        <f>SUM(N13:N17)</f>
        <v>450</v>
      </c>
      <c r="O18" s="40">
        <f>SUM(O13:O17)</f>
        <v>0</v>
      </c>
      <c r="P18" s="40">
        <f t="shared" ref="P18:U18" si="14">SUM(P13:P17)</f>
        <v>469.2</v>
      </c>
      <c r="Q18" s="40">
        <f t="shared" si="14"/>
        <v>1039.2</v>
      </c>
      <c r="R18" s="40">
        <f t="shared" si="14"/>
        <v>1039.2</v>
      </c>
      <c r="S18" s="40">
        <f t="shared" si="14"/>
        <v>1039.2</v>
      </c>
      <c r="T18" s="40">
        <f t="shared" si="14"/>
        <v>1039.2</v>
      </c>
      <c r="U18" s="40">
        <f t="shared" si="14"/>
        <v>3414</v>
      </c>
      <c r="V18" s="47">
        <f>SUM(V13:V17)</f>
        <v>0</v>
      </c>
      <c r="W18" s="40">
        <f t="shared" ref="W18" si="15">SUM(W13:W17)</f>
        <v>112.60799999999999</v>
      </c>
      <c r="X18" s="40">
        <f t="shared" ref="X18" si="16">SUM(X13:X17)</f>
        <v>228.40799999999999</v>
      </c>
      <c r="Y18" s="40">
        <f t="shared" ref="Y18" si="17">SUM(Y13:Y17)</f>
        <v>228.40799999999999</v>
      </c>
      <c r="Z18" s="40">
        <f t="shared" ref="Z18" si="18">SUM(Z13:Z17)</f>
        <v>228.40799999999999</v>
      </c>
      <c r="AA18" s="40">
        <f t="shared" ref="AA18" si="19">SUM(AA13:AA17)</f>
        <v>228.40799999999999</v>
      </c>
      <c r="AB18" s="40">
        <f t="shared" ref="AB18" si="20">SUM(AB13:AB17)</f>
        <v>1026.24</v>
      </c>
    </row>
    <row r="19" spans="1:28" x14ac:dyDescent="0.3">
      <c r="A19" s="4" t="s">
        <v>19</v>
      </c>
      <c r="B19" s="7" t="s">
        <v>30</v>
      </c>
      <c r="C19" s="7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29"/>
      <c r="P19" s="29"/>
      <c r="Q19" s="29"/>
      <c r="R19" s="29"/>
      <c r="S19" s="29"/>
      <c r="T19" s="29"/>
      <c r="U19" s="35"/>
      <c r="V19" s="29"/>
      <c r="W19" s="29"/>
      <c r="X19" s="29"/>
      <c r="Y19" s="29"/>
      <c r="Z19" s="29"/>
      <c r="AA19" s="29"/>
      <c r="AB19" s="35"/>
    </row>
    <row r="20" spans="1:28" x14ac:dyDescent="0.3">
      <c r="A20" s="8">
        <f>A17+1</f>
        <v>7</v>
      </c>
      <c r="B20" s="9" t="s">
        <v>82</v>
      </c>
      <c r="C20" s="10">
        <v>7</v>
      </c>
      <c r="D20" s="56" t="s">
        <v>9</v>
      </c>
      <c r="E20" s="11">
        <v>0</v>
      </c>
      <c r="F20" s="11">
        <v>0</v>
      </c>
      <c r="G20" s="11">
        <v>600000</v>
      </c>
      <c r="H20" s="11">
        <v>0</v>
      </c>
      <c r="I20" s="11">
        <f t="shared" ref="I20" si="21">SUM(F20:H20)</f>
        <v>600000</v>
      </c>
      <c r="J20" s="11">
        <f>J21*1.5</f>
        <v>519750</v>
      </c>
      <c r="K20" s="11">
        <f t="shared" si="8"/>
        <v>80250</v>
      </c>
      <c r="L20" s="11">
        <v>9200</v>
      </c>
      <c r="M20" s="11">
        <f>K20*L20/10000000</f>
        <v>73.83</v>
      </c>
      <c r="N20" s="11">
        <v>299</v>
      </c>
      <c r="O20" s="61"/>
      <c r="P20" s="63"/>
      <c r="Q20" s="63">
        <f>M20</f>
        <v>73.83</v>
      </c>
      <c r="R20" s="63">
        <f t="shared" ref="R20" si="22">Q20</f>
        <v>73.83</v>
      </c>
      <c r="S20" s="63">
        <f t="shared" ref="S20" si="23">R20</f>
        <v>73.83</v>
      </c>
      <c r="T20" s="63">
        <f t="shared" ref="T20" si="24">S20</f>
        <v>73.83</v>
      </c>
      <c r="U20" s="63">
        <v>1134</v>
      </c>
      <c r="V20" s="68">
        <f>O20*0.24</f>
        <v>0</v>
      </c>
      <c r="W20" s="66">
        <f t="shared" ref="W20" si="25">P20*0.24</f>
        <v>0</v>
      </c>
      <c r="X20" s="66">
        <f t="shared" ref="X20" si="26">Q20*0.24</f>
        <v>17.719199999999997</v>
      </c>
      <c r="Y20" s="66">
        <f t="shared" ref="Y20" si="27">R20*0.24</f>
        <v>17.719199999999997</v>
      </c>
      <c r="Z20" s="66">
        <f t="shared" ref="Z20" si="28">S20*0.24</f>
        <v>17.719199999999997</v>
      </c>
      <c r="AA20" s="66">
        <f t="shared" ref="AA20" si="29">T20*0.24</f>
        <v>17.719199999999997</v>
      </c>
      <c r="AB20" s="70">
        <f>SUM(V20:AA21)</f>
        <v>70.876799999999989</v>
      </c>
    </row>
    <row r="21" spans="1:28" x14ac:dyDescent="0.3">
      <c r="A21" s="8">
        <f>A20+1</f>
        <v>8</v>
      </c>
      <c r="B21" s="9" t="s">
        <v>52</v>
      </c>
      <c r="C21" s="10">
        <v>4</v>
      </c>
      <c r="D21" s="56"/>
      <c r="E21" s="11">
        <v>0</v>
      </c>
      <c r="F21" s="11">
        <v>0</v>
      </c>
      <c r="G21" s="11">
        <f>3*350*330</f>
        <v>346500</v>
      </c>
      <c r="H21" s="11">
        <v>0</v>
      </c>
      <c r="I21" s="11">
        <f t="shared" ref="I21:I40" si="30">SUM(F21:H21)</f>
        <v>346500</v>
      </c>
      <c r="J21" s="11">
        <f>I21</f>
        <v>346500</v>
      </c>
      <c r="K21" s="11">
        <f t="shared" si="8"/>
        <v>0</v>
      </c>
      <c r="L21" s="11">
        <v>0</v>
      </c>
      <c r="M21" s="11">
        <f t="shared" ref="M20:M22" si="31">K21-L21</f>
        <v>0</v>
      </c>
      <c r="N21" s="11">
        <f>3*120*0.9</f>
        <v>324</v>
      </c>
      <c r="O21" s="62"/>
      <c r="P21" s="62"/>
      <c r="Q21" s="62"/>
      <c r="R21" s="62"/>
      <c r="S21" s="62"/>
      <c r="T21" s="62"/>
      <c r="U21" s="62"/>
      <c r="V21" s="69"/>
      <c r="W21" s="67"/>
      <c r="X21" s="67"/>
      <c r="Y21" s="67"/>
      <c r="Z21" s="67"/>
      <c r="AA21" s="67"/>
      <c r="AB21" s="71"/>
    </row>
    <row r="22" spans="1:28" ht="28.8" x14ac:dyDescent="0.3">
      <c r="A22" s="8">
        <f t="shared" ref="A22:A42" si="32">A21+1</f>
        <v>9</v>
      </c>
      <c r="B22" s="9" t="s">
        <v>56</v>
      </c>
      <c r="C22" s="10">
        <v>7</v>
      </c>
      <c r="D22" s="10" t="s">
        <v>27</v>
      </c>
      <c r="E22" s="11">
        <v>0</v>
      </c>
      <c r="F22" s="11">
        <v>0</v>
      </c>
      <c r="G22" s="11">
        <f>75*0.9*24*330*1000/1000000</f>
        <v>534.6</v>
      </c>
      <c r="H22" s="11">
        <v>0</v>
      </c>
      <c r="I22" s="11">
        <f t="shared" si="30"/>
        <v>534.6</v>
      </c>
      <c r="J22" s="11">
        <f>I22</f>
        <v>534.6</v>
      </c>
      <c r="K22" s="23">
        <f>I22-J22</f>
        <v>0</v>
      </c>
      <c r="L22" s="23">
        <v>0</v>
      </c>
      <c r="M22" s="23">
        <f t="shared" si="31"/>
        <v>0</v>
      </c>
      <c r="N22" s="11">
        <f>ROUND(75*6.5,0)</f>
        <v>488</v>
      </c>
      <c r="O22" s="16"/>
      <c r="P22" s="16"/>
      <c r="Q22" s="16"/>
      <c r="R22" s="16"/>
      <c r="S22" s="16"/>
      <c r="T22" s="16"/>
      <c r="U22" s="20"/>
      <c r="V22" s="16"/>
      <c r="W22" s="16"/>
      <c r="X22" s="16"/>
      <c r="Y22" s="16"/>
      <c r="Z22" s="16"/>
      <c r="AA22" s="16"/>
      <c r="AB22" s="20"/>
    </row>
    <row r="23" spans="1:28" x14ac:dyDescent="0.3">
      <c r="A23" s="8">
        <f t="shared" si="32"/>
        <v>10</v>
      </c>
      <c r="B23" s="9" t="s">
        <v>21</v>
      </c>
      <c r="C23" s="10">
        <v>45</v>
      </c>
      <c r="D23" s="10" t="s">
        <v>22</v>
      </c>
      <c r="E23" s="11">
        <v>0</v>
      </c>
      <c r="F23" s="11">
        <v>0</v>
      </c>
      <c r="G23" s="11">
        <f>8*20*10*330</f>
        <v>528000</v>
      </c>
      <c r="H23" s="11">
        <v>0</v>
      </c>
      <c r="I23" s="11">
        <f t="shared" si="30"/>
        <v>528000</v>
      </c>
      <c r="J23" s="11">
        <f>I23</f>
        <v>528000</v>
      </c>
      <c r="K23" s="11">
        <f t="shared" si="8"/>
        <v>0</v>
      </c>
      <c r="L23" s="11">
        <v>0</v>
      </c>
      <c r="M23" s="11">
        <f>K23*L23/10000000</f>
        <v>0</v>
      </c>
      <c r="N23" s="11">
        <v>200</v>
      </c>
      <c r="O23" s="16"/>
      <c r="P23" s="16"/>
      <c r="Q23" s="16"/>
      <c r="R23" s="16"/>
      <c r="S23" s="16"/>
      <c r="T23" s="16"/>
      <c r="U23" s="20"/>
      <c r="V23" s="16"/>
      <c r="W23" s="16"/>
      <c r="X23" s="16"/>
      <c r="Y23" s="16"/>
      <c r="Z23" s="16"/>
      <c r="AA23" s="16"/>
      <c r="AB23" s="20"/>
    </row>
    <row r="24" spans="1:28" x14ac:dyDescent="0.3">
      <c r="A24" s="8">
        <f t="shared" si="32"/>
        <v>11</v>
      </c>
      <c r="B24" s="9" t="s">
        <v>58</v>
      </c>
      <c r="C24" s="10">
        <v>7</v>
      </c>
      <c r="D24" s="10" t="s">
        <v>23</v>
      </c>
      <c r="E24" s="11">
        <v>0</v>
      </c>
      <c r="F24" s="11">
        <v>0</v>
      </c>
      <c r="G24" s="11">
        <f>G23*0.97</f>
        <v>512160</v>
      </c>
      <c r="H24" s="11">
        <v>0</v>
      </c>
      <c r="I24" s="11">
        <f t="shared" si="30"/>
        <v>512160</v>
      </c>
      <c r="J24" s="11">
        <v>0</v>
      </c>
      <c r="K24" s="11">
        <f t="shared" si="8"/>
        <v>512160</v>
      </c>
      <c r="L24" s="11">
        <v>50000</v>
      </c>
      <c r="M24" s="11">
        <f>K24*L24/10000000</f>
        <v>2560.8000000000002</v>
      </c>
      <c r="N24" s="11">
        <v>200</v>
      </c>
      <c r="O24" s="16"/>
      <c r="P24" s="16"/>
      <c r="Q24" s="27">
        <f>M24</f>
        <v>2560.8000000000002</v>
      </c>
      <c r="R24" s="27">
        <f>Q24</f>
        <v>2560.8000000000002</v>
      </c>
      <c r="S24" s="27">
        <f t="shared" ref="S24:T24" si="33">R24</f>
        <v>2560.8000000000002</v>
      </c>
      <c r="T24" s="27">
        <f t="shared" si="33"/>
        <v>2560.8000000000002</v>
      </c>
      <c r="U24" s="20">
        <f>SUM(O24:T24)</f>
        <v>10243.200000000001</v>
      </c>
      <c r="V24" s="46">
        <f t="shared" ref="V24:W24" si="34">O24*0.233</f>
        <v>0</v>
      </c>
      <c r="W24" s="46">
        <f t="shared" si="34"/>
        <v>0</v>
      </c>
      <c r="X24" s="48">
        <f>Q24*0.22</f>
        <v>563.37600000000009</v>
      </c>
      <c r="Y24" s="48">
        <f t="shared" ref="Y24:AA24" si="35">R24*0.22</f>
        <v>563.37600000000009</v>
      </c>
      <c r="Z24" s="48">
        <f t="shared" si="35"/>
        <v>563.37600000000009</v>
      </c>
      <c r="AA24" s="48">
        <f t="shared" si="35"/>
        <v>563.37600000000009</v>
      </c>
      <c r="AB24" s="33">
        <f>SUM(V24:AA24)</f>
        <v>2253.5040000000004</v>
      </c>
    </row>
    <row r="25" spans="1:28" x14ac:dyDescent="0.3">
      <c r="A25" s="8"/>
      <c r="B25" s="12" t="s">
        <v>59</v>
      </c>
      <c r="C25" s="13">
        <f>SUM(C10:C24)</f>
        <v>93</v>
      </c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8"/>
      <c r="P25" s="28"/>
      <c r="Q25" s="28"/>
      <c r="R25" s="28"/>
      <c r="S25" s="28"/>
      <c r="T25" s="28"/>
      <c r="U25" s="34"/>
      <c r="V25" s="28"/>
      <c r="W25" s="28"/>
      <c r="X25" s="28"/>
      <c r="Y25" s="28"/>
      <c r="Z25" s="28"/>
      <c r="AA25" s="28"/>
      <c r="AB25" s="34"/>
    </row>
    <row r="26" spans="1:28" ht="15" thickBot="1" x14ac:dyDescent="0.35">
      <c r="A26" s="8"/>
      <c r="B26" s="12" t="s">
        <v>45</v>
      </c>
      <c r="C26" s="5">
        <f>ROUND(85*0.9,0)</f>
        <v>77</v>
      </c>
      <c r="D26" s="10"/>
      <c r="E26" s="11"/>
      <c r="F26" s="11"/>
      <c r="G26" s="11"/>
      <c r="H26" s="11"/>
      <c r="I26" s="11"/>
      <c r="J26" s="11"/>
      <c r="K26" s="11"/>
      <c r="L26" s="24" t="s">
        <v>49</v>
      </c>
      <c r="M26" s="14">
        <f>SUM(M20:M24)</f>
        <v>2634.63</v>
      </c>
      <c r="N26" s="14">
        <f>SUM(N20:N24)</f>
        <v>1511</v>
      </c>
      <c r="O26" s="41">
        <f t="shared" ref="O26:U26" si="36">SUM(O20:O24)</f>
        <v>0</v>
      </c>
      <c r="P26" s="41">
        <f t="shared" si="36"/>
        <v>0</v>
      </c>
      <c r="Q26" s="41">
        <f t="shared" si="36"/>
        <v>2634.63</v>
      </c>
      <c r="R26" s="41">
        <f t="shared" si="36"/>
        <v>2634.63</v>
      </c>
      <c r="S26" s="41">
        <f t="shared" si="36"/>
        <v>2634.63</v>
      </c>
      <c r="T26" s="41">
        <f t="shared" si="36"/>
        <v>2634.63</v>
      </c>
      <c r="U26" s="41">
        <f t="shared" si="36"/>
        <v>11377.2</v>
      </c>
      <c r="V26" s="41">
        <f t="shared" ref="V26:AB26" si="37">SUM(V20:V24)</f>
        <v>0</v>
      </c>
      <c r="W26" s="41">
        <f t="shared" si="37"/>
        <v>0</v>
      </c>
      <c r="X26" s="41">
        <f t="shared" si="37"/>
        <v>581.09520000000009</v>
      </c>
      <c r="Y26" s="41">
        <f t="shared" si="37"/>
        <v>581.09520000000009</v>
      </c>
      <c r="Z26" s="41">
        <f t="shared" si="37"/>
        <v>581.09520000000009</v>
      </c>
      <c r="AA26" s="41">
        <f t="shared" si="37"/>
        <v>581.09520000000009</v>
      </c>
      <c r="AB26" s="41">
        <f t="shared" si="37"/>
        <v>2324.3808000000004</v>
      </c>
    </row>
    <row r="27" spans="1:28" x14ac:dyDescent="0.3">
      <c r="A27" s="8"/>
      <c r="B27" s="12" t="s">
        <v>46</v>
      </c>
      <c r="C27" s="13">
        <f>C25-C26</f>
        <v>16</v>
      </c>
      <c r="D27" s="10"/>
      <c r="E27" s="11"/>
      <c r="F27" s="11"/>
      <c r="G27" s="11"/>
      <c r="H27" s="11"/>
      <c r="I27" s="11"/>
      <c r="J27" s="11"/>
      <c r="K27" s="11"/>
      <c r="L27" s="22"/>
      <c r="M27" s="14"/>
      <c r="N27" s="14"/>
      <c r="O27" s="42"/>
      <c r="P27" s="42"/>
      <c r="Q27" s="42"/>
      <c r="R27" s="42"/>
      <c r="S27" s="42"/>
      <c r="T27" s="42"/>
      <c r="U27" s="43"/>
      <c r="V27" s="42"/>
      <c r="W27" s="42"/>
      <c r="X27" s="42"/>
      <c r="Y27" s="42"/>
      <c r="Z27" s="42"/>
      <c r="AA27" s="42"/>
      <c r="AB27" s="43"/>
    </row>
    <row r="28" spans="1:28" ht="15" thickBot="1" x14ac:dyDescent="0.35">
      <c r="A28" s="8"/>
      <c r="B28" s="9"/>
      <c r="C28" s="9"/>
      <c r="D28" s="10"/>
      <c r="E28" s="11"/>
      <c r="F28" s="11"/>
      <c r="G28" s="11"/>
      <c r="H28" s="11"/>
      <c r="I28" s="11"/>
      <c r="J28" s="11"/>
      <c r="K28" s="11"/>
      <c r="L28" s="24" t="s">
        <v>61</v>
      </c>
      <c r="M28" s="14">
        <f>M11+M18+M26</f>
        <v>3841.83</v>
      </c>
      <c r="N28" s="14">
        <f>N11+N18+N26</f>
        <v>1970</v>
      </c>
      <c r="O28" s="38">
        <f>O10+O18+O26</f>
        <v>126</v>
      </c>
      <c r="P28" s="38">
        <f>P10+P18+P26</f>
        <v>637.20000000000005</v>
      </c>
      <c r="Q28" s="38">
        <f>Q10+Q18+Q26</f>
        <v>3841.83</v>
      </c>
      <c r="R28" s="38">
        <f>R10+R18+R26</f>
        <v>3841.83</v>
      </c>
      <c r="S28" s="38">
        <f>S10+S18+S26</f>
        <v>3841.83</v>
      </c>
      <c r="T28" s="38">
        <f>T10+T18+T26</f>
        <v>3841.83</v>
      </c>
      <c r="U28" s="38">
        <f>U10+U18+U26</f>
        <v>15757.2</v>
      </c>
      <c r="V28" s="38">
        <f>V10+V18+V26</f>
        <v>25.200000000000003</v>
      </c>
      <c r="W28" s="38">
        <f>W10+W18+W26</f>
        <v>146.208</v>
      </c>
      <c r="X28" s="38">
        <f>X10+X18+X26</f>
        <v>843.10320000000002</v>
      </c>
      <c r="Y28" s="38">
        <f>Y10+Y18+Y26</f>
        <v>843.10320000000002</v>
      </c>
      <c r="Z28" s="38">
        <f>Z10+Z18+Z26</f>
        <v>843.10320000000002</v>
      </c>
      <c r="AA28" s="38">
        <f>AA10+AA18+AA26</f>
        <v>843.10320000000002</v>
      </c>
      <c r="AB28" s="38">
        <f>AB10+AB18+AB26</f>
        <v>3543.8208000000004</v>
      </c>
    </row>
    <row r="29" spans="1:28" x14ac:dyDescent="0.3">
      <c r="A29" s="4" t="s">
        <v>33</v>
      </c>
      <c r="B29" s="6" t="s">
        <v>55</v>
      </c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29"/>
      <c r="P29" s="29"/>
      <c r="Q29" s="29"/>
      <c r="R29" s="29"/>
      <c r="S29" s="29"/>
      <c r="T29" s="29"/>
      <c r="U29" s="35"/>
      <c r="V29" s="29"/>
      <c r="W29" s="29"/>
      <c r="X29" s="29"/>
      <c r="Y29" s="29"/>
      <c r="Z29" s="29"/>
      <c r="AA29" s="29"/>
      <c r="AB29" s="35"/>
    </row>
    <row r="30" spans="1:28" x14ac:dyDescent="0.3">
      <c r="A30" s="4" t="s">
        <v>28</v>
      </c>
      <c r="B30" s="7" t="s">
        <v>40</v>
      </c>
      <c r="C30" s="7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6"/>
      <c r="P30" s="16"/>
      <c r="Q30" s="16"/>
      <c r="R30" s="16"/>
      <c r="S30" s="16"/>
      <c r="T30" s="16"/>
      <c r="U30" s="20"/>
      <c r="V30" s="16"/>
      <c r="W30" s="16"/>
      <c r="X30" s="16"/>
      <c r="Y30" s="16"/>
      <c r="Z30" s="16"/>
      <c r="AA30" s="16"/>
      <c r="AB30" s="20"/>
    </row>
    <row r="31" spans="1:28" x14ac:dyDescent="0.3">
      <c r="A31" s="8">
        <f>A24+1</f>
        <v>12</v>
      </c>
      <c r="B31" s="9" t="s">
        <v>50</v>
      </c>
      <c r="C31" s="10">
        <v>65</v>
      </c>
      <c r="D31" s="10" t="s">
        <v>35</v>
      </c>
      <c r="E31" s="11">
        <v>0</v>
      </c>
      <c r="F31" s="11">
        <v>0</v>
      </c>
      <c r="G31" s="11">
        <v>0</v>
      </c>
      <c r="H31" s="11">
        <f>9*9*0.8*24/4*330</f>
        <v>128303.99999999999</v>
      </c>
      <c r="I31" s="11">
        <f t="shared" si="30"/>
        <v>128303.99999999999</v>
      </c>
      <c r="J31" s="11">
        <v>0</v>
      </c>
      <c r="K31" s="11">
        <f>I31-J31</f>
        <v>128303.99999999999</v>
      </c>
      <c r="L31" s="11">
        <v>70000</v>
      </c>
      <c r="M31" s="11">
        <f>K31*L31/10000000</f>
        <v>898.12799999999982</v>
      </c>
      <c r="N31" s="55">
        <v>270</v>
      </c>
      <c r="O31" s="32"/>
      <c r="P31" s="32">
        <f>M31</f>
        <v>898.12799999999982</v>
      </c>
      <c r="Q31" s="32">
        <f>P31</f>
        <v>898.12799999999982</v>
      </c>
      <c r="R31" s="32">
        <f t="shared" ref="R31:T31" si="38">Q31</f>
        <v>898.12799999999982</v>
      </c>
      <c r="S31" s="32">
        <f t="shared" si="38"/>
        <v>898.12799999999982</v>
      </c>
      <c r="T31" s="32">
        <f t="shared" si="38"/>
        <v>898.12799999999982</v>
      </c>
      <c r="U31" s="33">
        <f>SUM(O31:T31)</f>
        <v>4490.6399999999994</v>
      </c>
      <c r="V31" s="32">
        <f>O31*0.11</f>
        <v>0</v>
      </c>
      <c r="W31" s="32">
        <f t="shared" ref="W31:AA32" si="39">P31*0.11</f>
        <v>98.79407999999998</v>
      </c>
      <c r="X31" s="32">
        <f t="shared" si="39"/>
        <v>98.79407999999998</v>
      </c>
      <c r="Y31" s="32">
        <f t="shared" si="39"/>
        <v>98.79407999999998</v>
      </c>
      <c r="Z31" s="32">
        <f t="shared" si="39"/>
        <v>98.79407999999998</v>
      </c>
      <c r="AA31" s="32">
        <f t="shared" si="39"/>
        <v>98.79407999999998</v>
      </c>
      <c r="AB31" s="33">
        <f>SUM(V31:AA31)</f>
        <v>493.97039999999993</v>
      </c>
    </row>
    <row r="32" spans="1:28" x14ac:dyDescent="0.3">
      <c r="A32" s="8">
        <f t="shared" si="32"/>
        <v>13</v>
      </c>
      <c r="B32" s="9" t="s">
        <v>34</v>
      </c>
      <c r="C32" s="10">
        <v>8</v>
      </c>
      <c r="D32" s="10" t="s">
        <v>35</v>
      </c>
      <c r="E32" s="11">
        <v>0</v>
      </c>
      <c r="F32" s="11">
        <v>0</v>
      </c>
      <c r="G32" s="11">
        <v>0</v>
      </c>
      <c r="H32" s="11">
        <f>2*5*0.8*24/4*330</f>
        <v>15840</v>
      </c>
      <c r="I32" s="11">
        <f t="shared" si="30"/>
        <v>15840</v>
      </c>
      <c r="J32" s="11">
        <v>0</v>
      </c>
      <c r="K32" s="11">
        <f>I32-J32</f>
        <v>15840</v>
      </c>
      <c r="L32" s="11">
        <v>70000</v>
      </c>
      <c r="M32" s="11">
        <f>K32*L32/10000000</f>
        <v>110.88</v>
      </c>
      <c r="N32" s="55"/>
      <c r="O32" s="31"/>
      <c r="P32" s="32">
        <f>M32</f>
        <v>110.88</v>
      </c>
      <c r="Q32" s="32">
        <f>P32</f>
        <v>110.88</v>
      </c>
      <c r="R32" s="32">
        <f t="shared" ref="R32:T32" si="40">Q32</f>
        <v>110.88</v>
      </c>
      <c r="S32" s="32">
        <f t="shared" si="40"/>
        <v>110.88</v>
      </c>
      <c r="T32" s="32">
        <f t="shared" si="40"/>
        <v>110.88</v>
      </c>
      <c r="U32" s="33">
        <f>SUM(O32:T32)</f>
        <v>554.4</v>
      </c>
      <c r="V32" s="32">
        <f t="shared" ref="V32" si="41">O32*0.183</f>
        <v>0</v>
      </c>
      <c r="W32" s="32">
        <f>P32*0.11</f>
        <v>12.1968</v>
      </c>
      <c r="X32" s="32">
        <f t="shared" si="39"/>
        <v>12.1968</v>
      </c>
      <c r="Y32" s="32">
        <f t="shared" si="39"/>
        <v>12.1968</v>
      </c>
      <c r="Z32" s="32">
        <f t="shared" si="39"/>
        <v>12.1968</v>
      </c>
      <c r="AA32" s="32">
        <f t="shared" si="39"/>
        <v>12.1968</v>
      </c>
      <c r="AB32" s="33">
        <f>SUM(V32:AA32)</f>
        <v>60.983999999999995</v>
      </c>
    </row>
    <row r="33" spans="1:28" x14ac:dyDescent="0.3">
      <c r="A33" s="8">
        <f t="shared" si="32"/>
        <v>14</v>
      </c>
      <c r="B33" s="54" t="s">
        <v>51</v>
      </c>
      <c r="C33" s="10">
        <v>0.5</v>
      </c>
      <c r="D33" s="10" t="s">
        <v>38</v>
      </c>
      <c r="E33" s="11">
        <v>0</v>
      </c>
      <c r="F33" s="11">
        <v>0</v>
      </c>
      <c r="G33" s="11">
        <v>0</v>
      </c>
      <c r="H33" s="11">
        <v>190000</v>
      </c>
      <c r="I33" s="11">
        <f t="shared" si="30"/>
        <v>190000</v>
      </c>
      <c r="J33" s="11">
        <f>I33</f>
        <v>190000</v>
      </c>
      <c r="K33" s="11">
        <f t="shared" ref="K33:K34" si="42">I33-J33</f>
        <v>0</v>
      </c>
      <c r="L33" s="11">
        <v>0</v>
      </c>
      <c r="M33" s="11">
        <f>K33*L33/10000000</f>
        <v>0</v>
      </c>
      <c r="N33" s="55">
        <v>1130</v>
      </c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1:28" x14ac:dyDescent="0.3">
      <c r="A34" s="8">
        <f t="shared" si="32"/>
        <v>15</v>
      </c>
      <c r="B34" s="54"/>
      <c r="C34" s="10">
        <v>0.5</v>
      </c>
      <c r="D34" s="10" t="s">
        <v>39</v>
      </c>
      <c r="E34" s="11">
        <v>0</v>
      </c>
      <c r="F34" s="11">
        <v>0</v>
      </c>
      <c r="G34" s="11">
        <v>0</v>
      </c>
      <c r="H34" s="11">
        <v>140000</v>
      </c>
      <c r="I34" s="11">
        <f t="shared" si="30"/>
        <v>140000</v>
      </c>
      <c r="J34" s="11">
        <f>I34</f>
        <v>140000</v>
      </c>
      <c r="K34" s="11">
        <f t="shared" si="42"/>
        <v>0</v>
      </c>
      <c r="L34" s="11">
        <v>0</v>
      </c>
      <c r="M34" s="11">
        <f>K34*L34/10000000</f>
        <v>0</v>
      </c>
      <c r="N34" s="5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</row>
    <row r="35" spans="1:28" ht="15" thickBot="1" x14ac:dyDescent="0.35">
      <c r="A35" s="8"/>
      <c r="B35" s="9"/>
      <c r="C35" s="10"/>
      <c r="D35" s="10"/>
      <c r="E35" s="11"/>
      <c r="F35" s="11"/>
      <c r="G35" s="11"/>
      <c r="H35" s="11"/>
      <c r="I35" s="11"/>
      <c r="J35" s="11"/>
      <c r="K35" s="11"/>
      <c r="L35" s="22" t="s">
        <v>49</v>
      </c>
      <c r="M35" s="14">
        <f>SUM(M29:M33)</f>
        <v>1009.0079999999998</v>
      </c>
      <c r="N35" s="14">
        <f>SUM(N29:N33)</f>
        <v>1400</v>
      </c>
      <c r="O35" s="36"/>
      <c r="P35" s="38">
        <f>SUM(P31:P34)</f>
        <v>1009.0079999999998</v>
      </c>
      <c r="Q35" s="38">
        <f t="shared" ref="Q35:U35" si="43">SUM(Q31:Q34)</f>
        <v>1009.0079999999998</v>
      </c>
      <c r="R35" s="38">
        <f t="shared" si="43"/>
        <v>1009.0079999999998</v>
      </c>
      <c r="S35" s="38">
        <f t="shared" si="43"/>
        <v>1009.0079999999998</v>
      </c>
      <c r="T35" s="38">
        <f t="shared" si="43"/>
        <v>1009.0079999999998</v>
      </c>
      <c r="U35" s="38">
        <f t="shared" si="43"/>
        <v>5045.0399999999991</v>
      </c>
      <c r="V35" s="36"/>
      <c r="W35" s="38">
        <f>SUM(W31:W34)</f>
        <v>110.99087999999998</v>
      </c>
      <c r="X35" s="38">
        <f t="shared" ref="X35" si="44">SUM(X31:X34)</f>
        <v>110.99087999999998</v>
      </c>
      <c r="Y35" s="38">
        <f t="shared" ref="Y35" si="45">SUM(Y31:Y34)</f>
        <v>110.99087999999998</v>
      </c>
      <c r="Z35" s="38">
        <f t="shared" ref="Z35" si="46">SUM(Z31:Z34)</f>
        <v>110.99087999999998</v>
      </c>
      <c r="AA35" s="38">
        <f t="shared" ref="AA35" si="47">SUM(AA31:AA34)</f>
        <v>110.99087999999998</v>
      </c>
      <c r="AB35" s="38">
        <f t="shared" ref="AB35" si="48">SUM(AB31:AB34)</f>
        <v>554.95439999999996</v>
      </c>
    </row>
    <row r="36" spans="1:28" x14ac:dyDescent="0.3">
      <c r="A36" s="4" t="s">
        <v>41</v>
      </c>
      <c r="B36" s="7" t="s">
        <v>42</v>
      </c>
      <c r="C36" s="7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9"/>
      <c r="P36" s="29"/>
      <c r="Q36" s="29"/>
      <c r="R36" s="29"/>
      <c r="S36" s="29"/>
      <c r="T36" s="29"/>
      <c r="U36" s="35"/>
      <c r="V36" s="29"/>
      <c r="W36" s="29"/>
      <c r="X36" s="29"/>
      <c r="Y36" s="29"/>
      <c r="Z36" s="29"/>
      <c r="AA36" s="29"/>
      <c r="AB36" s="35"/>
    </row>
    <row r="37" spans="1:28" x14ac:dyDescent="0.3">
      <c r="A37" s="8">
        <f>A34+1</f>
        <v>16</v>
      </c>
      <c r="B37" s="9" t="s">
        <v>36</v>
      </c>
      <c r="C37" s="10">
        <v>1</v>
      </c>
      <c r="D37" s="10" t="s">
        <v>38</v>
      </c>
      <c r="E37" s="11">
        <v>0</v>
      </c>
      <c r="F37" s="11">
        <v>0</v>
      </c>
      <c r="G37" s="11">
        <v>0</v>
      </c>
      <c r="H37" s="11">
        <v>500000</v>
      </c>
      <c r="I37" s="11">
        <f t="shared" si="30"/>
        <v>500000</v>
      </c>
      <c r="J37" s="11">
        <f>I37</f>
        <v>500000</v>
      </c>
      <c r="K37" s="11">
        <f t="shared" ref="K37:K38" si="49">I37-J37</f>
        <v>0</v>
      </c>
      <c r="L37" s="11">
        <v>0</v>
      </c>
      <c r="M37" s="11">
        <f>K37*L37/10000000</f>
        <v>0</v>
      </c>
      <c r="N37" s="11">
        <v>50</v>
      </c>
      <c r="O37" s="16"/>
      <c r="P37" s="16"/>
      <c r="Q37" s="16"/>
      <c r="R37" s="16"/>
      <c r="S37" s="16"/>
      <c r="T37" s="16"/>
      <c r="U37" s="20"/>
      <c r="V37" s="16"/>
      <c r="W37" s="16"/>
      <c r="X37" s="16"/>
      <c r="Y37" s="16"/>
      <c r="Z37" s="16"/>
      <c r="AA37" s="16"/>
      <c r="AB37" s="20"/>
    </row>
    <row r="38" spans="1:28" x14ac:dyDescent="0.3">
      <c r="A38" s="8">
        <f t="shared" si="32"/>
        <v>17</v>
      </c>
      <c r="B38" s="9" t="s">
        <v>37</v>
      </c>
      <c r="C38" s="10">
        <v>1</v>
      </c>
      <c r="D38" s="10" t="s">
        <v>39</v>
      </c>
      <c r="E38" s="11">
        <v>0</v>
      </c>
      <c r="F38" s="11">
        <v>0</v>
      </c>
      <c r="G38" s="11">
        <v>0</v>
      </c>
      <c r="H38" s="11">
        <v>500000</v>
      </c>
      <c r="I38" s="11">
        <f t="shared" si="30"/>
        <v>500000</v>
      </c>
      <c r="J38" s="11">
        <f>I38</f>
        <v>500000</v>
      </c>
      <c r="K38" s="11">
        <f t="shared" si="49"/>
        <v>0</v>
      </c>
      <c r="L38" s="11">
        <v>0</v>
      </c>
      <c r="M38" s="11">
        <f>K38*L38/10000000</f>
        <v>0</v>
      </c>
      <c r="N38" s="11">
        <v>50</v>
      </c>
      <c r="O38" s="16"/>
      <c r="P38" s="16"/>
      <c r="Q38" s="16"/>
      <c r="R38" s="16"/>
      <c r="S38" s="16"/>
      <c r="T38" s="16"/>
      <c r="U38" s="20"/>
      <c r="V38" s="16"/>
      <c r="W38" s="16"/>
      <c r="X38" s="16"/>
      <c r="Y38" s="16"/>
      <c r="Z38" s="16"/>
      <c r="AA38" s="16"/>
      <c r="AB38" s="20"/>
    </row>
    <row r="39" spans="1:28" x14ac:dyDescent="0.3">
      <c r="A39" s="8">
        <f t="shared" si="32"/>
        <v>18</v>
      </c>
      <c r="B39" s="9" t="s">
        <v>60</v>
      </c>
      <c r="C39" s="10">
        <v>26</v>
      </c>
      <c r="D39" s="10" t="s">
        <v>35</v>
      </c>
      <c r="E39" s="11">
        <v>0</v>
      </c>
      <c r="F39" s="11">
        <v>0</v>
      </c>
      <c r="G39" s="11">
        <v>0</v>
      </c>
      <c r="H39" s="11">
        <f>3*12*0.8*24/4*330</f>
        <v>57024.000000000007</v>
      </c>
      <c r="I39" s="11">
        <f t="shared" ref="I39" si="50">SUM(F39:H39)</f>
        <v>57024.000000000007</v>
      </c>
      <c r="J39" s="11">
        <v>0</v>
      </c>
      <c r="K39" s="11">
        <f>I39-J39</f>
        <v>57024.000000000007</v>
      </c>
      <c r="L39" s="11">
        <v>70000</v>
      </c>
      <c r="M39" s="11">
        <f>K39*L39/10000000</f>
        <v>399.16800000000006</v>
      </c>
      <c r="N39" s="11">
        <v>108</v>
      </c>
      <c r="O39" s="16"/>
      <c r="P39" s="16"/>
      <c r="Q39" s="27">
        <f>M39</f>
        <v>399.16800000000006</v>
      </c>
      <c r="R39" s="27">
        <f>Q39</f>
        <v>399.16800000000006</v>
      </c>
      <c r="S39" s="27">
        <f t="shared" ref="S39:T39" si="51">R39</f>
        <v>399.16800000000006</v>
      </c>
      <c r="T39" s="27">
        <f t="shared" si="51"/>
        <v>399.16800000000006</v>
      </c>
      <c r="U39" s="33">
        <f>SUM(O39:T39)</f>
        <v>1596.6720000000003</v>
      </c>
      <c r="V39" s="32">
        <f t="shared" ref="V39:W39" si="52">O39*0.183</f>
        <v>0</v>
      </c>
      <c r="W39" s="32">
        <f t="shared" si="52"/>
        <v>0</v>
      </c>
      <c r="X39" s="32">
        <f>Q39*0.11</f>
        <v>43.908480000000004</v>
      </c>
      <c r="Y39" s="32">
        <f t="shared" ref="Y39:AA39" si="53">R39*0.11</f>
        <v>43.908480000000004</v>
      </c>
      <c r="Z39" s="32">
        <f t="shared" si="53"/>
        <v>43.908480000000004</v>
      </c>
      <c r="AA39" s="32">
        <f t="shared" si="53"/>
        <v>43.908480000000004</v>
      </c>
      <c r="AB39" s="33">
        <f>SUM(V39:AA39)</f>
        <v>175.63392000000002</v>
      </c>
    </row>
    <row r="40" spans="1:28" x14ac:dyDescent="0.3">
      <c r="A40" s="8">
        <f t="shared" si="32"/>
        <v>19</v>
      </c>
      <c r="B40" s="9" t="s">
        <v>79</v>
      </c>
      <c r="C40" s="10">
        <v>4</v>
      </c>
      <c r="D40" s="10" t="s">
        <v>9</v>
      </c>
      <c r="E40" s="11">
        <v>0</v>
      </c>
      <c r="F40" s="11">
        <v>0</v>
      </c>
      <c r="G40" s="11">
        <v>0</v>
      </c>
      <c r="H40" s="11">
        <f>900*330</f>
        <v>297000</v>
      </c>
      <c r="I40" s="11">
        <f t="shared" si="30"/>
        <v>297000</v>
      </c>
      <c r="J40" s="11">
        <v>0</v>
      </c>
      <c r="K40" s="11">
        <f t="shared" ref="K40" si="54">I40-J40</f>
        <v>297000</v>
      </c>
      <c r="L40" s="11">
        <v>25000</v>
      </c>
      <c r="M40" s="11">
        <f>K40*L40/10000000</f>
        <v>742.5</v>
      </c>
      <c r="N40" s="11">
        <v>308</v>
      </c>
      <c r="O40" s="16"/>
      <c r="P40" s="16"/>
      <c r="Q40" s="16"/>
      <c r="R40" s="27">
        <f>M40</f>
        <v>742.5</v>
      </c>
      <c r="S40" s="27">
        <f>R40</f>
        <v>742.5</v>
      </c>
      <c r="T40" s="27">
        <f>S40</f>
        <v>742.5</v>
      </c>
      <c r="U40" s="33">
        <f>SUM(O40:T40)</f>
        <v>2227.5</v>
      </c>
      <c r="V40" s="46">
        <f>O40*0.14</f>
        <v>0</v>
      </c>
      <c r="W40" s="46">
        <f t="shared" ref="W40:AA40" si="55">P40*0.14</f>
        <v>0</v>
      </c>
      <c r="X40" s="46">
        <f t="shared" si="55"/>
        <v>0</v>
      </c>
      <c r="Y40" s="48">
        <f t="shared" si="55"/>
        <v>103.95</v>
      </c>
      <c r="Z40" s="48">
        <f t="shared" si="55"/>
        <v>103.95</v>
      </c>
      <c r="AA40" s="48">
        <f t="shared" si="55"/>
        <v>103.95</v>
      </c>
      <c r="AB40" s="33">
        <f>SUM(V40:AA40)</f>
        <v>311.85000000000002</v>
      </c>
    </row>
    <row r="41" spans="1:28" x14ac:dyDescent="0.3">
      <c r="A41" s="8">
        <f t="shared" si="32"/>
        <v>20</v>
      </c>
      <c r="B41" s="9" t="s">
        <v>53</v>
      </c>
      <c r="C41" s="56">
        <v>7</v>
      </c>
      <c r="D41" s="10" t="s">
        <v>11</v>
      </c>
      <c r="E41" s="55">
        <v>0</v>
      </c>
      <c r="F41" s="55">
        <v>850000</v>
      </c>
      <c r="G41" s="55">
        <v>0</v>
      </c>
      <c r="H41" s="55">
        <v>0</v>
      </c>
      <c r="I41" s="55">
        <f>SUM(E41:H42)</f>
        <v>850000</v>
      </c>
      <c r="J41" s="55">
        <f>I40*1.5</f>
        <v>445500</v>
      </c>
      <c r="K41" s="55">
        <f>I41-J41</f>
        <v>404500</v>
      </c>
      <c r="L41" s="55">
        <v>9200</v>
      </c>
      <c r="M41" s="55">
        <f>K41*L41/10000000</f>
        <v>372.14</v>
      </c>
      <c r="N41" s="55">
        <v>350</v>
      </c>
      <c r="O41" s="61"/>
      <c r="P41" s="61"/>
      <c r="Q41" s="61"/>
      <c r="R41" s="63">
        <f>M41</f>
        <v>372.14</v>
      </c>
      <c r="S41" s="63">
        <f>R41</f>
        <v>372.14</v>
      </c>
      <c r="T41" s="63">
        <f t="shared" ref="T41" si="56">S41</f>
        <v>372.14</v>
      </c>
      <c r="U41" s="70">
        <f>SUM(R41:T42)</f>
        <v>1116.42</v>
      </c>
      <c r="V41" s="68">
        <f t="shared" ref="V41:X41" si="57">O41*0.25</f>
        <v>0</v>
      </c>
      <c r="W41" s="68">
        <f t="shared" si="57"/>
        <v>0</v>
      </c>
      <c r="X41" s="68">
        <f t="shared" si="57"/>
        <v>0</v>
      </c>
      <c r="Y41" s="66">
        <f>R41*0.24</f>
        <v>89.313599999999994</v>
      </c>
      <c r="Z41" s="66">
        <f t="shared" ref="Z41:AA41" si="58">S41*0.24</f>
        <v>89.313599999999994</v>
      </c>
      <c r="AA41" s="66">
        <f t="shared" si="58"/>
        <v>89.313599999999994</v>
      </c>
      <c r="AB41" s="70">
        <f>SUM(Y41:AA42)</f>
        <v>267.94079999999997</v>
      </c>
    </row>
    <row r="42" spans="1:28" x14ac:dyDescent="0.3">
      <c r="A42" s="8">
        <f t="shared" si="32"/>
        <v>21</v>
      </c>
      <c r="B42" s="9" t="s">
        <v>54</v>
      </c>
      <c r="C42" s="56"/>
      <c r="D42" s="10" t="s">
        <v>12</v>
      </c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62"/>
      <c r="P42" s="62"/>
      <c r="Q42" s="62"/>
      <c r="R42" s="62"/>
      <c r="S42" s="62"/>
      <c r="T42" s="62"/>
      <c r="U42" s="71"/>
      <c r="V42" s="69"/>
      <c r="W42" s="69"/>
      <c r="X42" s="69"/>
      <c r="Y42" s="67"/>
      <c r="Z42" s="67"/>
      <c r="AA42" s="67"/>
      <c r="AB42" s="71"/>
    </row>
    <row r="43" spans="1:28" ht="28.8" x14ac:dyDescent="0.3">
      <c r="A43" s="8">
        <f>A42+1</f>
        <v>22</v>
      </c>
      <c r="B43" s="9" t="s">
        <v>43</v>
      </c>
      <c r="C43" s="10">
        <v>3.5</v>
      </c>
      <c r="D43" s="56" t="s">
        <v>27</v>
      </c>
      <c r="E43" s="11">
        <v>0</v>
      </c>
      <c r="F43" s="11">
        <v>0</v>
      </c>
      <c r="G43" s="11">
        <f>45*0.9*24*330*1000/1000000</f>
        <v>320.76</v>
      </c>
      <c r="H43" s="11">
        <v>0</v>
      </c>
      <c r="I43" s="11">
        <f t="shared" ref="I43" si="59">SUM(F43:H43)</f>
        <v>320.76</v>
      </c>
      <c r="J43" s="11">
        <f>I43</f>
        <v>320.76</v>
      </c>
      <c r="K43" s="23">
        <f>I43-J43</f>
        <v>0</v>
      </c>
      <c r="L43" s="23">
        <v>0</v>
      </c>
      <c r="M43" s="23">
        <f t="shared" ref="M43" si="60">K43-L43</f>
        <v>0</v>
      </c>
      <c r="N43" s="11">
        <f>ROUND(35*6.5,0)</f>
        <v>228</v>
      </c>
      <c r="O43" s="16"/>
      <c r="P43" s="16"/>
      <c r="Q43" s="16"/>
      <c r="R43" s="16"/>
      <c r="S43" s="16"/>
      <c r="T43" s="16"/>
      <c r="U43" s="20"/>
      <c r="V43" s="16"/>
      <c r="W43" s="16"/>
      <c r="X43" s="16"/>
      <c r="Y43" s="16"/>
      <c r="Z43" s="16"/>
      <c r="AA43" s="16"/>
      <c r="AB43" s="20"/>
    </row>
    <row r="44" spans="1:28" x14ac:dyDescent="0.3">
      <c r="A44" s="8">
        <f>A43+1</f>
        <v>23</v>
      </c>
      <c r="B44" s="9" t="s">
        <v>78</v>
      </c>
      <c r="C44" s="10">
        <v>10</v>
      </c>
      <c r="D44" s="56"/>
      <c r="E44" s="11">
        <v>0</v>
      </c>
      <c r="F44" s="11">
        <v>0</v>
      </c>
      <c r="G44" s="11">
        <f>95*0.9*24*330*1000/1000000</f>
        <v>677.16</v>
      </c>
      <c r="H44" s="11">
        <v>0</v>
      </c>
      <c r="I44" s="11">
        <f t="shared" ref="I44" si="61">SUM(F44:H44)</f>
        <v>677.16</v>
      </c>
      <c r="J44" s="11">
        <f>I44</f>
        <v>677.16</v>
      </c>
      <c r="K44" s="23">
        <f>I44-J44</f>
        <v>0</v>
      </c>
      <c r="L44" s="23">
        <v>0</v>
      </c>
      <c r="M44" s="23">
        <f t="shared" ref="M44" si="62">K44-L44</f>
        <v>0</v>
      </c>
      <c r="N44" s="11">
        <f>ROUND(95*6.5,0)</f>
        <v>618</v>
      </c>
      <c r="O44" s="28"/>
      <c r="P44" s="28"/>
      <c r="Q44" s="28"/>
      <c r="R44" s="28"/>
      <c r="S44" s="28"/>
      <c r="T44" s="28"/>
      <c r="U44" s="34"/>
      <c r="V44" s="28"/>
      <c r="W44" s="28"/>
      <c r="X44" s="28"/>
      <c r="Y44" s="28"/>
      <c r="Z44" s="28"/>
      <c r="AA44" s="28"/>
      <c r="AB44" s="34"/>
    </row>
    <row r="45" spans="1:28" ht="15" thickBot="1" x14ac:dyDescent="0.35">
      <c r="A45" s="8"/>
      <c r="B45" s="12"/>
      <c r="C45" s="13"/>
      <c r="D45" s="10"/>
      <c r="E45" s="11"/>
      <c r="F45" s="11"/>
      <c r="G45" s="11"/>
      <c r="H45" s="11"/>
      <c r="I45" s="11"/>
      <c r="J45" s="11"/>
      <c r="K45" s="11"/>
      <c r="L45" s="22" t="s">
        <v>49</v>
      </c>
      <c r="M45" s="14">
        <f t="shared" ref="M45:AB45" si="63">SUM(M37:M44)</f>
        <v>1513.808</v>
      </c>
      <c r="N45" s="14">
        <f t="shared" si="63"/>
        <v>1712</v>
      </c>
      <c r="O45" s="41">
        <f t="shared" si="63"/>
        <v>0</v>
      </c>
      <c r="P45" s="41">
        <f t="shared" si="63"/>
        <v>0</v>
      </c>
      <c r="Q45" s="41">
        <f t="shared" si="63"/>
        <v>399.16800000000006</v>
      </c>
      <c r="R45" s="41">
        <f t="shared" si="63"/>
        <v>1513.808</v>
      </c>
      <c r="S45" s="41">
        <f t="shared" si="63"/>
        <v>1513.808</v>
      </c>
      <c r="T45" s="41">
        <f t="shared" si="63"/>
        <v>1513.808</v>
      </c>
      <c r="U45" s="41">
        <f t="shared" si="63"/>
        <v>4940.5920000000006</v>
      </c>
      <c r="V45" s="41">
        <f t="shared" si="63"/>
        <v>0</v>
      </c>
      <c r="W45" s="41">
        <f t="shared" si="63"/>
        <v>0</v>
      </c>
      <c r="X45" s="41">
        <f t="shared" si="63"/>
        <v>43.908480000000004</v>
      </c>
      <c r="Y45" s="41">
        <f t="shared" si="63"/>
        <v>237.17207999999999</v>
      </c>
      <c r="Z45" s="41">
        <f t="shared" si="63"/>
        <v>237.17207999999999</v>
      </c>
      <c r="AA45" s="41">
        <f t="shared" si="63"/>
        <v>237.17207999999999</v>
      </c>
      <c r="AB45" s="41">
        <f t="shared" si="63"/>
        <v>755.42471999999998</v>
      </c>
    </row>
    <row r="46" spans="1:28" x14ac:dyDescent="0.3">
      <c r="A46" s="8"/>
      <c r="B46" s="12" t="s">
        <v>59</v>
      </c>
      <c r="C46" s="13">
        <f>SUM(C30:C44)</f>
        <v>126.5</v>
      </c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42"/>
      <c r="P46" s="42"/>
      <c r="Q46" s="42"/>
      <c r="R46" s="42"/>
      <c r="S46" s="42"/>
      <c r="T46" s="42"/>
      <c r="U46" s="43"/>
      <c r="V46" s="42"/>
      <c r="W46" s="42"/>
      <c r="X46" s="42"/>
      <c r="Y46" s="42"/>
      <c r="Z46" s="42"/>
      <c r="AA46" s="42"/>
      <c r="AB46" s="43"/>
    </row>
    <row r="47" spans="1:28" s="15" customFormat="1" ht="15" thickBot="1" x14ac:dyDescent="0.35">
      <c r="A47" s="4"/>
      <c r="B47" s="12" t="s">
        <v>45</v>
      </c>
      <c r="C47" s="5">
        <f>130*0.9</f>
        <v>117</v>
      </c>
      <c r="D47" s="5"/>
      <c r="E47" s="14"/>
      <c r="F47" s="14"/>
      <c r="G47" s="14"/>
      <c r="H47" s="14"/>
      <c r="I47" s="14"/>
      <c r="J47" s="14"/>
      <c r="K47" s="14"/>
      <c r="L47" s="24" t="s">
        <v>62</v>
      </c>
      <c r="M47" s="14">
        <f t="shared" ref="M47:AB47" si="64">M35+M45</f>
        <v>2522.8159999999998</v>
      </c>
      <c r="N47" s="14">
        <f t="shared" si="64"/>
        <v>3112</v>
      </c>
      <c r="O47" s="41">
        <f t="shared" si="64"/>
        <v>0</v>
      </c>
      <c r="P47" s="41">
        <f t="shared" si="64"/>
        <v>1009.0079999999998</v>
      </c>
      <c r="Q47" s="41">
        <f t="shared" si="64"/>
        <v>1408.1759999999999</v>
      </c>
      <c r="R47" s="41">
        <f t="shared" si="64"/>
        <v>2522.8159999999998</v>
      </c>
      <c r="S47" s="41">
        <f t="shared" si="64"/>
        <v>2522.8159999999998</v>
      </c>
      <c r="T47" s="41">
        <f t="shared" si="64"/>
        <v>2522.8159999999998</v>
      </c>
      <c r="U47" s="41">
        <f t="shared" si="64"/>
        <v>9985.6319999999996</v>
      </c>
      <c r="V47" s="41">
        <f t="shared" si="64"/>
        <v>0</v>
      </c>
      <c r="W47" s="41">
        <f t="shared" si="64"/>
        <v>110.99087999999998</v>
      </c>
      <c r="X47" s="41">
        <f t="shared" si="64"/>
        <v>154.89935999999997</v>
      </c>
      <c r="Y47" s="41">
        <f t="shared" si="64"/>
        <v>348.16296</v>
      </c>
      <c r="Z47" s="41">
        <f t="shared" si="64"/>
        <v>348.16296</v>
      </c>
      <c r="AA47" s="41">
        <f t="shared" si="64"/>
        <v>348.16296</v>
      </c>
      <c r="AB47" s="41">
        <f t="shared" si="64"/>
        <v>1310.3791200000001</v>
      </c>
    </row>
    <row r="48" spans="1:28" x14ac:dyDescent="0.3">
      <c r="A48" s="8"/>
      <c r="B48" s="12" t="s">
        <v>46</v>
      </c>
      <c r="C48" s="13">
        <f>C46-C47</f>
        <v>9.5</v>
      </c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42"/>
      <c r="P48" s="42"/>
      <c r="Q48" s="42"/>
      <c r="R48" s="42"/>
      <c r="S48" s="42"/>
      <c r="T48" s="42"/>
      <c r="U48" s="43"/>
      <c r="V48" s="42"/>
      <c r="W48" s="42"/>
      <c r="X48" s="42"/>
      <c r="Y48" s="42"/>
      <c r="Z48" s="42"/>
      <c r="AA48" s="42"/>
      <c r="AB48" s="43"/>
    </row>
    <row r="49" spans="1:28" ht="29.4" thickBot="1" x14ac:dyDescent="0.35">
      <c r="A49" s="8"/>
      <c r="B49" s="16"/>
      <c r="C49" s="16"/>
      <c r="D49" s="10"/>
      <c r="E49" s="11"/>
      <c r="F49" s="11"/>
      <c r="G49" s="11"/>
      <c r="H49" s="11"/>
      <c r="I49" s="11"/>
      <c r="J49" s="11"/>
      <c r="K49" s="11"/>
      <c r="L49" s="14" t="s">
        <v>65</v>
      </c>
      <c r="M49" s="14">
        <f t="shared" ref="M49:AB49" si="65">M28+M47</f>
        <v>6364.6459999999997</v>
      </c>
      <c r="N49" s="14">
        <f t="shared" si="65"/>
        <v>5082</v>
      </c>
      <c r="O49" s="41">
        <f t="shared" si="65"/>
        <v>126</v>
      </c>
      <c r="P49" s="41">
        <f t="shared" si="65"/>
        <v>1646.2079999999999</v>
      </c>
      <c r="Q49" s="41">
        <f t="shared" si="65"/>
        <v>5250.0059999999994</v>
      </c>
      <c r="R49" s="41">
        <f t="shared" si="65"/>
        <v>6364.6459999999997</v>
      </c>
      <c r="S49" s="41">
        <f t="shared" si="65"/>
        <v>6364.6459999999997</v>
      </c>
      <c r="T49" s="41">
        <f t="shared" si="65"/>
        <v>6364.6459999999997</v>
      </c>
      <c r="U49" s="41">
        <f t="shared" si="65"/>
        <v>25742.832000000002</v>
      </c>
      <c r="V49" s="41">
        <f t="shared" si="65"/>
        <v>25.200000000000003</v>
      </c>
      <c r="W49" s="41">
        <f t="shared" si="65"/>
        <v>257.19887999999997</v>
      </c>
      <c r="X49" s="41">
        <f t="shared" si="65"/>
        <v>998.00256000000002</v>
      </c>
      <c r="Y49" s="41">
        <f t="shared" si="65"/>
        <v>1191.2661600000001</v>
      </c>
      <c r="Z49" s="41">
        <f t="shared" si="65"/>
        <v>1191.2661600000001</v>
      </c>
      <c r="AA49" s="41">
        <f t="shared" si="65"/>
        <v>1191.2661600000001</v>
      </c>
      <c r="AB49" s="41">
        <f t="shared" si="65"/>
        <v>4854.1999200000009</v>
      </c>
    </row>
    <row r="50" spans="1:28" x14ac:dyDescent="0.3">
      <c r="A50" s="2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29"/>
      <c r="P50" s="29"/>
      <c r="Q50" s="29"/>
      <c r="R50" s="29"/>
      <c r="S50" s="29"/>
      <c r="T50" s="29"/>
      <c r="U50" s="35"/>
      <c r="V50" s="29"/>
      <c r="W50" s="29"/>
      <c r="X50" s="29"/>
      <c r="Y50" s="29"/>
      <c r="Z50" s="29"/>
      <c r="AA50" s="29"/>
      <c r="AB50" s="35"/>
    </row>
  </sheetData>
  <mergeCells count="102">
    <mergeCell ref="Z20:Z21"/>
    <mergeCell ref="AA20:AA21"/>
    <mergeCell ref="AB20:AB21"/>
    <mergeCell ref="Y41:Y42"/>
    <mergeCell ref="O20:O21"/>
    <mergeCell ref="P20:P21"/>
    <mergeCell ref="Q20:Q21"/>
    <mergeCell ref="R20:R21"/>
    <mergeCell ref="S20:S21"/>
    <mergeCell ref="T20:T21"/>
    <mergeCell ref="U20:U21"/>
    <mergeCell ref="V20:V21"/>
    <mergeCell ref="W20:W21"/>
    <mergeCell ref="X20:X21"/>
    <mergeCell ref="Y20:Y21"/>
    <mergeCell ref="T41:T42"/>
    <mergeCell ref="U41:U42"/>
    <mergeCell ref="V33:V34"/>
    <mergeCell ref="W33:W34"/>
    <mergeCell ref="X33:X34"/>
    <mergeCell ref="T33:T34"/>
    <mergeCell ref="U33:U34"/>
    <mergeCell ref="V41:V42"/>
    <mergeCell ref="W41:W42"/>
    <mergeCell ref="X41:X42"/>
    <mergeCell ref="Z41:Z42"/>
    <mergeCell ref="Y33:Y34"/>
    <mergeCell ref="V5:AA5"/>
    <mergeCell ref="V6:AB6"/>
    <mergeCell ref="V13:V14"/>
    <mergeCell ref="W13:W14"/>
    <mergeCell ref="X13:X14"/>
    <mergeCell ref="Y13:Y14"/>
    <mergeCell ref="Z13:Z14"/>
    <mergeCell ref="AA13:AA14"/>
    <mergeCell ref="AB13:AB14"/>
    <mergeCell ref="Z33:Z34"/>
    <mergeCell ref="AA33:AA34"/>
    <mergeCell ref="AB33:AB34"/>
    <mergeCell ref="AA41:AA42"/>
    <mergeCell ref="AB41:AB42"/>
    <mergeCell ref="O41:O42"/>
    <mergeCell ref="P41:P42"/>
    <mergeCell ref="Q41:Q42"/>
    <mergeCell ref="R41:R42"/>
    <mergeCell ref="S41:S42"/>
    <mergeCell ref="O33:O34"/>
    <mergeCell ref="P33:P34"/>
    <mergeCell ref="Q33:Q34"/>
    <mergeCell ref="R33:R34"/>
    <mergeCell ref="S33:S34"/>
    <mergeCell ref="O5:T5"/>
    <mergeCell ref="O6:U6"/>
    <mergeCell ref="O13:O14"/>
    <mergeCell ref="P13:P14"/>
    <mergeCell ref="Q13:Q14"/>
    <mergeCell ref="R13:R14"/>
    <mergeCell ref="S13:S14"/>
    <mergeCell ref="T13:T14"/>
    <mergeCell ref="U13:U14"/>
    <mergeCell ref="D43:D44"/>
    <mergeCell ref="N5:N7"/>
    <mergeCell ref="N13:N14"/>
    <mergeCell ref="N41:N42"/>
    <mergeCell ref="N31:N32"/>
    <mergeCell ref="N33:N34"/>
    <mergeCell ref="H41:H42"/>
    <mergeCell ref="I41:I42"/>
    <mergeCell ref="J41:J42"/>
    <mergeCell ref="K41:K42"/>
    <mergeCell ref="L41:L42"/>
    <mergeCell ref="L5:L7"/>
    <mergeCell ref="K5:K7"/>
    <mergeCell ref="M5:M7"/>
    <mergeCell ref="J5:J7"/>
    <mergeCell ref="I13:I14"/>
    <mergeCell ref="B33:B34"/>
    <mergeCell ref="E41:E42"/>
    <mergeCell ref="F41:F42"/>
    <mergeCell ref="C41:C42"/>
    <mergeCell ref="M13:M14"/>
    <mergeCell ref="L13:L14"/>
    <mergeCell ref="K13:K14"/>
    <mergeCell ref="C13:C14"/>
    <mergeCell ref="J13:J14"/>
    <mergeCell ref="D20:D21"/>
    <mergeCell ref="G41:G42"/>
    <mergeCell ref="M41:M42"/>
    <mergeCell ref="E13:E14"/>
    <mergeCell ref="F13:F14"/>
    <mergeCell ref="G13:G14"/>
    <mergeCell ref="H13:H14"/>
    <mergeCell ref="A4:A7"/>
    <mergeCell ref="B4:B7"/>
    <mergeCell ref="D4:D7"/>
    <mergeCell ref="E5:E7"/>
    <mergeCell ref="F5:F7"/>
    <mergeCell ref="C4:C7"/>
    <mergeCell ref="E4:I4"/>
    <mergeCell ref="I5:I7"/>
    <mergeCell ref="G5:G7"/>
    <mergeCell ref="H5:H7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Configuration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</dc:creator>
  <cp:lastModifiedBy>Dibyaranjan Behera</cp:lastModifiedBy>
  <cp:lastPrinted>2024-07-11T08:57:58Z</cp:lastPrinted>
  <dcterms:created xsi:type="dcterms:W3CDTF">2022-07-13T06:29:39Z</dcterms:created>
  <dcterms:modified xsi:type="dcterms:W3CDTF">2025-02-15T05:15:25Z</dcterms:modified>
</cp:coreProperties>
</file>