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Oxygen\"/>
    </mc:Choice>
  </mc:AlternateContent>
  <xr:revisionPtr revIDLastSave="0" documentId="13_ncr:1_{00F8777C-ECFD-4E96-B736-AB31D33F9771}" xr6:coauthVersionLast="47" xr6:coauthVersionMax="47" xr10:uidLastSave="{00000000-0000-0000-0000-000000000000}"/>
  <bookViews>
    <workbookView xWindow="15264" yWindow="0" windowWidth="15552" windowHeight="16656" activeTab="1" xr2:uid="{42E6EE07-670D-426A-9B2A-C8B215AEFB6C}"/>
  </bookViews>
  <sheets>
    <sheet name="Reagents" sheetId="1" r:id="rId1"/>
    <sheet name="Samples" sheetId="3" r:id="rId2"/>
    <sheet name="GAK1" sheetId="9" r:id="rId3"/>
    <sheet name="Standards" sheetId="2" r:id="rId4"/>
    <sheet name="SKQ202207S" sheetId="10" r:id="rId5"/>
    <sheet name="SKQ202210S" sheetId="11" r:id="rId6"/>
    <sheet name="TGX2022" sheetId="12" r:id="rId7"/>
    <sheet name="Flasks" sheetId="4" r:id="rId8"/>
    <sheet name="Log Sheet" sheetId="5" r:id="rId9"/>
    <sheet name="Log Sheet (2)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8" i="3" l="1"/>
  <c r="E182" i="3"/>
  <c r="L181" i="3" l="1"/>
  <c r="M181" i="3" s="1"/>
  <c r="L180" i="3"/>
  <c r="M180" i="3" s="1"/>
  <c r="L179" i="3"/>
  <c r="M179" i="3" s="1"/>
  <c r="L178" i="3"/>
  <c r="M178" i="3" s="1"/>
  <c r="M177" i="3"/>
  <c r="L177" i="3"/>
  <c r="M176" i="3"/>
  <c r="L176" i="3"/>
  <c r="L175" i="3"/>
  <c r="M175" i="3" s="1"/>
  <c r="L174" i="3"/>
  <c r="M174" i="3" s="1"/>
  <c r="M173" i="3"/>
  <c r="L173" i="3"/>
  <c r="M172" i="3"/>
  <c r="L172" i="3"/>
  <c r="L171" i="3"/>
  <c r="M171" i="3" s="1"/>
  <c r="L170" i="3"/>
  <c r="M170" i="3" s="1"/>
  <c r="M169" i="3"/>
  <c r="L169" i="3"/>
  <c r="M168" i="3"/>
  <c r="L168" i="3"/>
  <c r="L167" i="3"/>
  <c r="M167" i="3" s="1"/>
  <c r="L166" i="3"/>
  <c r="M166" i="3" s="1"/>
  <c r="M165" i="3"/>
  <c r="L165" i="3"/>
  <c r="M164" i="3"/>
  <c r="L164" i="3"/>
  <c r="L163" i="3"/>
  <c r="M163" i="3" s="1"/>
  <c r="L162" i="3"/>
  <c r="M162" i="3" s="1"/>
  <c r="M161" i="3"/>
  <c r="L161" i="3"/>
  <c r="M160" i="3"/>
  <c r="L160" i="3"/>
  <c r="L159" i="3"/>
  <c r="M159" i="3" s="1"/>
  <c r="L158" i="3"/>
  <c r="M158" i="3" s="1"/>
  <c r="M157" i="3"/>
  <c r="L157" i="3"/>
  <c r="M156" i="3"/>
  <c r="L156" i="3"/>
  <c r="E181" i="3"/>
  <c r="E180" i="3"/>
  <c r="E179" i="3"/>
  <c r="E178" i="3"/>
  <c r="E177" i="3"/>
  <c r="L63" i="2"/>
  <c r="F63" i="2" a="1"/>
  <c r="F63" i="2" s="1"/>
  <c r="L62" i="2"/>
  <c r="F62" i="2" a="1"/>
  <c r="F62" i="2" s="1"/>
  <c r="L61" i="2"/>
  <c r="F61" i="2" a="1"/>
  <c r="F61" i="2" s="1"/>
  <c r="L155" i="3"/>
  <c r="L154" i="3"/>
  <c r="L153" i="3"/>
  <c r="L152" i="3"/>
  <c r="L151" i="3"/>
  <c r="L150" i="3"/>
  <c r="L149" i="3"/>
  <c r="L148" i="3"/>
  <c r="L147" i="3"/>
  <c r="L146" i="3" l="1"/>
  <c r="L145" i="3"/>
  <c r="L144" i="3"/>
  <c r="L143" i="3"/>
  <c r="L142" i="3"/>
  <c r="L141" i="3"/>
  <c r="L140" i="3"/>
  <c r="L139" i="3"/>
  <c r="L138" i="3"/>
  <c r="L13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G5" i="1"/>
  <c r="L60" i="2"/>
  <c r="F60" i="2" a="1"/>
  <c r="F60" i="2" s="1"/>
  <c r="L136" i="3"/>
  <c r="L135" i="3"/>
  <c r="L134" i="3"/>
  <c r="L133" i="3"/>
  <c r="L131" i="3"/>
  <c r="L130" i="3"/>
  <c r="L129" i="3"/>
  <c r="L128" i="3" l="1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L108" i="3"/>
  <c r="L107" i="3"/>
  <c r="L106" i="3"/>
  <c r="L46" i="2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L47" i="2"/>
  <c r="F47" i="2" a="1"/>
  <c r="F47" i="2" s="1"/>
  <c r="F46" i="2" a="1"/>
  <c r="F46" i="2" s="1"/>
  <c r="F45" i="2" a="1"/>
  <c r="F45" i="2" s="1"/>
  <c r="W19" i="2"/>
  <c r="S20" i="2"/>
  <c r="W17" i="2"/>
  <c r="W15" i="2"/>
  <c r="W13" i="2"/>
  <c r="T16" i="2"/>
  <c r="T14" i="2"/>
  <c r="T12" i="2"/>
  <c r="V19" i="2"/>
  <c r="V17" i="2"/>
  <c r="V15" i="2"/>
  <c r="V13" i="2"/>
  <c r="S18" i="2"/>
  <c r="S16" i="2"/>
  <c r="S14" i="2"/>
  <c r="S12" i="2"/>
  <c r="K31" i="2"/>
  <c r="K32" i="2" s="1"/>
  <c r="K30" i="2"/>
  <c r="L30" i="2" s="1"/>
  <c r="K29" i="2"/>
  <c r="L39" i="2"/>
  <c r="L38" i="2"/>
  <c r="L37" i="2"/>
  <c r="L31" i="2"/>
  <c r="L29" i="2"/>
  <c r="L28" i="2"/>
  <c r="L27" i="2"/>
  <c r="L26" i="2"/>
  <c r="L25" i="2"/>
  <c r="L24" i="2"/>
  <c r="L23" i="2"/>
  <c r="L22" i="2"/>
  <c r="L21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E115" i="3"/>
  <c r="E114" i="3"/>
  <c r="E113" i="3"/>
  <c r="E112" i="3"/>
  <c r="E111" i="3"/>
  <c r="E110" i="3"/>
  <c r="E109" i="3"/>
  <c r="E108" i="3"/>
  <c r="E107" i="3"/>
  <c r="E106" i="3"/>
  <c r="E105" i="3"/>
  <c r="L105" i="3" s="1"/>
  <c r="E104" i="3"/>
  <c r="L104" i="3" s="1"/>
  <c r="E103" i="3"/>
  <c r="L103" i="3" s="1"/>
  <c r="E102" i="3"/>
  <c r="L102" i="3" s="1"/>
  <c r="E101" i="3"/>
  <c r="L101" i="3" s="1"/>
  <c r="E100" i="3"/>
  <c r="L100" i="3" s="1"/>
  <c r="E99" i="3"/>
  <c r="L99" i="3" s="1"/>
  <c r="E98" i="3"/>
  <c r="L98" i="3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E97" i="3"/>
  <c r="L97" i="3" s="1"/>
  <c r="E96" i="3"/>
  <c r="L96" i="3" s="1"/>
  <c r="E95" i="3"/>
  <c r="L95" i="3" s="1"/>
  <c r="E94" i="3"/>
  <c r="L94" i="3" s="1"/>
  <c r="E93" i="3"/>
  <c r="L93" i="3" s="1"/>
  <c r="E92" i="3"/>
  <c r="L92" i="3" s="1"/>
  <c r="E91" i="3"/>
  <c r="L91" i="3" s="1"/>
  <c r="E90" i="3"/>
  <c r="L90" i="3" s="1"/>
  <c r="E89" i="3"/>
  <c r="L89" i="3" s="1"/>
  <c r="E88" i="3"/>
  <c r="L88" i="3" s="1"/>
  <c r="E87" i="3"/>
  <c r="E86" i="3"/>
  <c r="L86" i="3" s="1"/>
  <c r="E85" i="3"/>
  <c r="L85" i="3" s="1"/>
  <c r="E84" i="3"/>
  <c r="L84" i="3" s="1"/>
  <c r="E83" i="3"/>
  <c r="L83" i="3" s="1"/>
  <c r="E82" i="3"/>
  <c r="L82" i="3" s="1"/>
  <c r="E81" i="3"/>
  <c r="L81" i="3" s="1"/>
  <c r="E80" i="3"/>
  <c r="L80" i="3" s="1"/>
  <c r="E79" i="3"/>
  <c r="L79" i="3" s="1"/>
  <c r="E78" i="3"/>
  <c r="L78" i="3" s="1"/>
  <c r="E77" i="3"/>
  <c r="L77" i="3" s="1"/>
  <c r="E76" i="3"/>
  <c r="L76" i="3" s="1"/>
  <c r="E75" i="3"/>
  <c r="L75" i="3" s="1"/>
  <c r="E74" i="3"/>
  <c r="L74" i="3" s="1"/>
  <c r="E73" i="3"/>
  <c r="L73" i="3" s="1"/>
  <c r="E72" i="3"/>
  <c r="L72" i="3" s="1"/>
  <c r="E71" i="3"/>
  <c r="L71" i="3" s="1"/>
  <c r="E70" i="3"/>
  <c r="L70" i="3" s="1"/>
  <c r="E69" i="3"/>
  <c r="L69" i="3" s="1"/>
  <c r="E68" i="3"/>
  <c r="L68" i="3" s="1"/>
  <c r="E67" i="3"/>
  <c r="L67" i="3" s="1"/>
  <c r="E66" i="3"/>
  <c r="E65" i="3"/>
  <c r="L65" i="3" s="1"/>
  <c r="E64" i="3"/>
  <c r="L64" i="3" s="1"/>
  <c r="E63" i="3"/>
  <c r="L63" i="3" s="1"/>
  <c r="E62" i="3"/>
  <c r="L62" i="3" s="1"/>
  <c r="E61" i="3"/>
  <c r="L61" i="3" s="1"/>
  <c r="E60" i="3"/>
  <c r="L60" i="3" s="1"/>
  <c r="E59" i="3"/>
  <c r="L59" i="3" s="1"/>
  <c r="E58" i="3"/>
  <c r="L58" i="3" s="1"/>
  <c r="E57" i="3"/>
  <c r="L57" i="3" s="1"/>
  <c r="E56" i="3"/>
  <c r="L56" i="3" s="1"/>
  <c r="E55" i="3"/>
  <c r="E54" i="3"/>
  <c r="L54" i="3" s="1"/>
  <c r="E53" i="3"/>
  <c r="L53" i="3" s="1"/>
  <c r="E52" i="3"/>
  <c r="E51" i="3"/>
  <c r="L51" i="3" s="1"/>
  <c r="E50" i="3"/>
  <c r="L50" i="3" s="1"/>
  <c r="E49" i="3"/>
  <c r="L49" i="3" s="1"/>
  <c r="E48" i="3"/>
  <c r="L48" i="3" s="1"/>
  <c r="E47" i="3"/>
  <c r="L47" i="3" s="1"/>
  <c r="E46" i="3"/>
  <c r="L46" i="3" s="1"/>
  <c r="E45" i="3"/>
  <c r="L45" i="3" s="1"/>
  <c r="E44" i="3"/>
  <c r="L44" i="3" s="1"/>
  <c r="E43" i="3"/>
  <c r="L43" i="3" s="1"/>
  <c r="E42" i="3"/>
  <c r="L42" i="3" s="1"/>
  <c r="E41" i="3"/>
  <c r="L41" i="3" s="1"/>
  <c r="E40" i="3"/>
  <c r="L40" i="3" s="1"/>
  <c r="E39" i="3"/>
  <c r="E38" i="3"/>
  <c r="L38" i="3" s="1"/>
  <c r="E37" i="3"/>
  <c r="L37" i="3" s="1"/>
  <c r="E36" i="3"/>
  <c r="E35" i="3"/>
  <c r="L35" i="3" s="1"/>
  <c r="E34" i="3"/>
  <c r="E33" i="3"/>
  <c r="L33" i="3" s="1"/>
  <c r="E32" i="3"/>
  <c r="L32" i="3" s="1"/>
  <c r="E31" i="3"/>
  <c r="L31" i="3" s="1"/>
  <c r="E30" i="3"/>
  <c r="L30" i="3" s="1"/>
  <c r="E29" i="3"/>
  <c r="L29" i="3" s="1"/>
  <c r="E28" i="3"/>
  <c r="L28" i="3" s="1"/>
  <c r="E27" i="3"/>
  <c r="L27" i="3" s="1"/>
  <c r="E26" i="3"/>
  <c r="L26" i="3" s="1"/>
  <c r="E25" i="3"/>
  <c r="L25" i="3" s="1"/>
  <c r="E24" i="3"/>
  <c r="L24" i="3" s="1"/>
  <c r="E23" i="3"/>
  <c r="E22" i="3"/>
  <c r="L22" i="3" s="1"/>
  <c r="E21" i="3"/>
  <c r="L21" i="3" s="1"/>
  <c r="E20" i="3"/>
  <c r="E19" i="3"/>
  <c r="L19" i="3" s="1"/>
  <c r="E18" i="3"/>
  <c r="E17" i="3"/>
  <c r="L17" i="3" s="1"/>
  <c r="E16" i="3"/>
  <c r="L16" i="3" s="1"/>
  <c r="E15" i="3"/>
  <c r="L15" i="3" s="1"/>
  <c r="E14" i="3"/>
  <c r="L14" i="3" s="1"/>
  <c r="E13" i="3"/>
  <c r="L13" i="3" s="1"/>
  <c r="E12" i="3"/>
  <c r="L12" i="3" s="1"/>
  <c r="E11" i="3"/>
  <c r="L11" i="3" s="1"/>
  <c r="E10" i="3"/>
  <c r="L10" i="3" s="1"/>
  <c r="E9" i="3"/>
  <c r="E8" i="3"/>
  <c r="L8" i="3" s="1"/>
  <c r="E7" i="3"/>
  <c r="E6" i="3"/>
  <c r="L6" i="3" s="1"/>
  <c r="E5" i="3"/>
  <c r="L5" i="3" s="1"/>
  <c r="E4" i="3"/>
  <c r="D3" i="4"/>
  <c r="E3" i="3"/>
  <c r="G4" i="1"/>
  <c r="G3" i="1"/>
  <c r="I17" i="12"/>
  <c r="I16" i="12"/>
  <c r="I15" i="12"/>
  <c r="I14" i="12"/>
  <c r="C14" i="12"/>
  <c r="C12" i="12"/>
  <c r="J12" i="12" s="1"/>
  <c r="C11" i="12"/>
  <c r="J11" i="12" s="1"/>
  <c r="C10" i="12"/>
  <c r="J10" i="12" s="1"/>
  <c r="C9" i="12"/>
  <c r="J9" i="12" s="1"/>
  <c r="C8" i="12"/>
  <c r="J8" i="12" s="1"/>
  <c r="C7" i="12"/>
  <c r="J7" i="12" s="1"/>
  <c r="C6" i="12"/>
  <c r="J6" i="12" s="1"/>
  <c r="C5" i="12"/>
  <c r="J5" i="12" s="1"/>
  <c r="C4" i="12"/>
  <c r="J4" i="12" s="1"/>
  <c r="C3" i="12"/>
  <c r="J3" i="12" s="1"/>
  <c r="C34" i="11"/>
  <c r="J34" i="11" s="1"/>
  <c r="C33" i="11"/>
  <c r="J33" i="11" s="1"/>
  <c r="C32" i="11"/>
  <c r="J32" i="11" s="1"/>
  <c r="C31" i="11"/>
  <c r="J31" i="11" s="1"/>
  <c r="C30" i="11"/>
  <c r="J30" i="11" s="1"/>
  <c r="C29" i="11"/>
  <c r="J29" i="11" s="1"/>
  <c r="C28" i="11"/>
  <c r="J28" i="11" s="1"/>
  <c r="C27" i="11"/>
  <c r="J27" i="11" s="1"/>
  <c r="C26" i="11"/>
  <c r="J26" i="11" s="1"/>
  <c r="C25" i="11"/>
  <c r="J25" i="11" s="1"/>
  <c r="C24" i="11"/>
  <c r="J24" i="11" s="1"/>
  <c r="C23" i="11"/>
  <c r="J23" i="11" s="1"/>
  <c r="C22" i="11"/>
  <c r="J22" i="11" s="1"/>
  <c r="C21" i="11"/>
  <c r="J21" i="11" s="1"/>
  <c r="C20" i="11"/>
  <c r="J20" i="11" s="1"/>
  <c r="J19" i="11"/>
  <c r="I19" i="11"/>
  <c r="C19" i="11"/>
  <c r="C18" i="11"/>
  <c r="J18" i="11" s="1"/>
  <c r="C17" i="11"/>
  <c r="J17" i="11" s="1"/>
  <c r="C16" i="11"/>
  <c r="J16" i="11" s="1"/>
  <c r="C15" i="11"/>
  <c r="I15" i="11" s="1"/>
  <c r="C14" i="11"/>
  <c r="J14" i="11" s="1"/>
  <c r="C13" i="11"/>
  <c r="J13" i="11" s="1"/>
  <c r="C12" i="11"/>
  <c r="J12" i="11" s="1"/>
  <c r="C11" i="11"/>
  <c r="J11" i="11" s="1"/>
  <c r="C10" i="11"/>
  <c r="J10" i="11" s="1"/>
  <c r="C9" i="11"/>
  <c r="J9" i="11" s="1"/>
  <c r="C8" i="11"/>
  <c r="J8" i="11" s="1"/>
  <c r="C7" i="11"/>
  <c r="J7" i="11" s="1"/>
  <c r="C6" i="11"/>
  <c r="J6" i="11" s="1"/>
  <c r="C5" i="11"/>
  <c r="J5" i="11" s="1"/>
  <c r="C4" i="11"/>
  <c r="J4" i="11" s="1"/>
  <c r="C3" i="11"/>
  <c r="I3" i="11" s="1"/>
  <c r="I100" i="10"/>
  <c r="I99" i="10"/>
  <c r="I98" i="10"/>
  <c r="I97" i="10"/>
  <c r="C97" i="10"/>
  <c r="C53" i="10"/>
  <c r="J53" i="10" s="1"/>
  <c r="C52" i="10"/>
  <c r="J52" i="10" s="1"/>
  <c r="C51" i="10"/>
  <c r="J51" i="10" s="1"/>
  <c r="C50" i="10"/>
  <c r="J50" i="10" s="1"/>
  <c r="C49" i="10"/>
  <c r="J49" i="10" s="1"/>
  <c r="C48" i="10"/>
  <c r="J48" i="10" s="1"/>
  <c r="C47" i="10"/>
  <c r="I47" i="10" s="1"/>
  <c r="C46" i="10"/>
  <c r="J46" i="10" s="1"/>
  <c r="C45" i="10"/>
  <c r="J45" i="10" s="1"/>
  <c r="C44" i="10"/>
  <c r="J44" i="10" s="1"/>
  <c r="C43" i="10"/>
  <c r="J43" i="10" s="1"/>
  <c r="C42" i="10"/>
  <c r="J42" i="10" s="1"/>
  <c r="C41" i="10"/>
  <c r="J41" i="10" s="1"/>
  <c r="C40" i="10"/>
  <c r="J40" i="10" s="1"/>
  <c r="C39" i="10"/>
  <c r="J39" i="10" s="1"/>
  <c r="C38" i="10"/>
  <c r="J38" i="10" s="1"/>
  <c r="C37" i="10"/>
  <c r="J37" i="10" s="1"/>
  <c r="C36" i="10"/>
  <c r="J36" i="10" s="1"/>
  <c r="C35" i="10"/>
  <c r="I35" i="10" s="1"/>
  <c r="C34" i="10"/>
  <c r="J34" i="10" s="1"/>
  <c r="C33" i="10"/>
  <c r="J33" i="10" s="1"/>
  <c r="C32" i="10"/>
  <c r="J32" i="10" s="1"/>
  <c r="C31" i="10"/>
  <c r="J31" i="10" s="1"/>
  <c r="C30" i="10"/>
  <c r="J30" i="10" s="1"/>
  <c r="C29" i="10"/>
  <c r="J29" i="10" s="1"/>
  <c r="C28" i="10"/>
  <c r="I28" i="10" s="1"/>
  <c r="C27" i="10"/>
  <c r="I27" i="10" s="1"/>
  <c r="C26" i="10"/>
  <c r="J26" i="10" s="1"/>
  <c r="C25" i="10"/>
  <c r="J25" i="10" s="1"/>
  <c r="C24" i="10"/>
  <c r="J24" i="10" s="1"/>
  <c r="C23" i="10"/>
  <c r="J23" i="10" s="1"/>
  <c r="C22" i="10"/>
  <c r="J22" i="10" s="1"/>
  <c r="C21" i="10"/>
  <c r="J21" i="10" s="1"/>
  <c r="C20" i="10"/>
  <c r="J20" i="10" s="1"/>
  <c r="C19" i="10"/>
  <c r="I19" i="10" s="1"/>
  <c r="C18" i="10"/>
  <c r="J18" i="10" s="1"/>
  <c r="C17" i="10"/>
  <c r="J17" i="10" s="1"/>
  <c r="C16" i="10"/>
  <c r="J16" i="10" s="1"/>
  <c r="C15" i="10"/>
  <c r="J15" i="10" s="1"/>
  <c r="C14" i="10"/>
  <c r="J14" i="10" s="1"/>
  <c r="C13" i="10"/>
  <c r="J13" i="10" s="1"/>
  <c r="C12" i="10"/>
  <c r="J12" i="10" s="1"/>
  <c r="C11" i="10"/>
  <c r="J11" i="10" s="1"/>
  <c r="C10" i="10"/>
  <c r="J10" i="10" s="1"/>
  <c r="C9" i="10"/>
  <c r="J9" i="10" s="1"/>
  <c r="C8" i="10"/>
  <c r="I8" i="10" s="1"/>
  <c r="C7" i="10"/>
  <c r="J7" i="10" s="1"/>
  <c r="C6" i="10"/>
  <c r="J6" i="10" s="1"/>
  <c r="C5" i="10"/>
  <c r="J5" i="10" s="1"/>
  <c r="C4" i="10"/>
  <c r="J4" i="10" s="1"/>
  <c r="C3" i="10"/>
  <c r="J3" i="10" s="1"/>
  <c r="D49" i="4"/>
  <c r="C13" i="12" s="1"/>
  <c r="J13" i="12" s="1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L49" i="2" l="1"/>
  <c r="L48" i="2"/>
  <c r="L32" i="2"/>
  <c r="K33" i="2"/>
  <c r="N3" i="2"/>
  <c r="M39" i="2" s="1"/>
  <c r="O3" i="2"/>
  <c r="M17" i="2"/>
  <c r="M29" i="2"/>
  <c r="M37" i="2"/>
  <c r="M22" i="2"/>
  <c r="M38" i="2"/>
  <c r="M5" i="2"/>
  <c r="M57" i="3"/>
  <c r="M65" i="3"/>
  <c r="M81" i="3"/>
  <c r="M56" i="3"/>
  <c r="M70" i="3"/>
  <c r="M100" i="3"/>
  <c r="M59" i="3"/>
  <c r="M75" i="3"/>
  <c r="M72" i="3"/>
  <c r="M48" i="3"/>
  <c r="M80" i="3"/>
  <c r="M54" i="3"/>
  <c r="M60" i="3"/>
  <c r="M102" i="3"/>
  <c r="M21" i="3"/>
  <c r="M61" i="3"/>
  <c r="M69" i="3"/>
  <c r="M78" i="3"/>
  <c r="M94" i="3"/>
  <c r="M98" i="3"/>
  <c r="M63" i="3"/>
  <c r="M95" i="3"/>
  <c r="L7" i="3"/>
  <c r="L23" i="3"/>
  <c r="M23" i="3" s="1"/>
  <c r="L39" i="3"/>
  <c r="L55" i="3"/>
  <c r="L87" i="3"/>
  <c r="M87" i="3" s="1"/>
  <c r="L9" i="3"/>
  <c r="M9" i="3" s="1"/>
  <c r="L18" i="3"/>
  <c r="L34" i="3"/>
  <c r="L66" i="3"/>
  <c r="M66" i="3" s="1"/>
  <c r="L3" i="3"/>
  <c r="L4" i="3"/>
  <c r="M4" i="3" s="1"/>
  <c r="L20" i="3"/>
  <c r="M20" i="3" s="1"/>
  <c r="L36" i="3"/>
  <c r="L52" i="3"/>
  <c r="M68" i="3"/>
  <c r="M50" i="3"/>
  <c r="I23" i="11"/>
  <c r="J15" i="11"/>
  <c r="K17" i="10"/>
  <c r="K33" i="10"/>
  <c r="K49" i="10"/>
  <c r="K9" i="11"/>
  <c r="K22" i="11"/>
  <c r="K4" i="12"/>
  <c r="K18" i="10"/>
  <c r="K50" i="10"/>
  <c r="K6" i="12"/>
  <c r="K20" i="10"/>
  <c r="K23" i="11"/>
  <c r="K53" i="10"/>
  <c r="K8" i="12"/>
  <c r="K6" i="10"/>
  <c r="K14" i="11"/>
  <c r="K7" i="10"/>
  <c r="K10" i="12"/>
  <c r="K9" i="10"/>
  <c r="K10" i="11"/>
  <c r="K11" i="11"/>
  <c r="K4" i="10"/>
  <c r="K52" i="10"/>
  <c r="K7" i="12"/>
  <c r="K5" i="10"/>
  <c r="K37" i="10"/>
  <c r="K13" i="11"/>
  <c r="K22" i="10"/>
  <c r="K9" i="12"/>
  <c r="K39" i="10"/>
  <c r="K40" i="10"/>
  <c r="K27" i="11"/>
  <c r="K41" i="10"/>
  <c r="K28" i="11"/>
  <c r="K26" i="10"/>
  <c r="K17" i="11"/>
  <c r="K29" i="11"/>
  <c r="K11" i="10"/>
  <c r="K30" i="11"/>
  <c r="K44" i="10"/>
  <c r="K4" i="11"/>
  <c r="K13" i="10"/>
  <c r="K45" i="10"/>
  <c r="K32" i="11"/>
  <c r="K14" i="10"/>
  <c r="K46" i="10"/>
  <c r="K19" i="11"/>
  <c r="K15" i="10"/>
  <c r="K31" i="10"/>
  <c r="K7" i="11"/>
  <c r="K20" i="11"/>
  <c r="K34" i="11"/>
  <c r="K34" i="10"/>
  <c r="K5" i="12"/>
  <c r="K3" i="10"/>
  <c r="K51" i="10"/>
  <c r="K36" i="10"/>
  <c r="K12" i="11"/>
  <c r="K21" i="10"/>
  <c r="K24" i="11"/>
  <c r="K38" i="10"/>
  <c r="K25" i="11"/>
  <c r="K23" i="10"/>
  <c r="K26" i="11"/>
  <c r="K24" i="10"/>
  <c r="K15" i="11"/>
  <c r="K11" i="12"/>
  <c r="K25" i="10"/>
  <c r="K16" i="11"/>
  <c r="K12" i="12"/>
  <c r="K10" i="10"/>
  <c r="K42" i="10"/>
  <c r="K13" i="12"/>
  <c r="K43" i="10"/>
  <c r="K18" i="11"/>
  <c r="K12" i="10"/>
  <c r="K31" i="11"/>
  <c r="K29" i="10"/>
  <c r="K5" i="11"/>
  <c r="K30" i="10"/>
  <c r="K6" i="11"/>
  <c r="K33" i="11"/>
  <c r="K16" i="10"/>
  <c r="K32" i="10"/>
  <c r="K48" i="10"/>
  <c r="K8" i="11"/>
  <c r="K21" i="11"/>
  <c r="K3" i="12"/>
  <c r="I11" i="12"/>
  <c r="I7" i="12"/>
  <c r="I3" i="12"/>
  <c r="J3" i="11"/>
  <c r="K3" i="11" s="1"/>
  <c r="I27" i="11"/>
  <c r="I7" i="11"/>
  <c r="I31" i="11"/>
  <c r="I11" i="11"/>
  <c r="I4" i="12"/>
  <c r="I8" i="12"/>
  <c r="I12" i="12"/>
  <c r="I5" i="12"/>
  <c r="I9" i="12"/>
  <c r="I13" i="12"/>
  <c r="I6" i="12"/>
  <c r="I10" i="12"/>
  <c r="I4" i="11"/>
  <c r="I8" i="11"/>
  <c r="I12" i="11"/>
  <c r="I16" i="11"/>
  <c r="I20" i="11"/>
  <c r="I24" i="11"/>
  <c r="I28" i="11"/>
  <c r="I32" i="11"/>
  <c r="I5" i="11"/>
  <c r="I9" i="11"/>
  <c r="I13" i="11"/>
  <c r="I17" i="11"/>
  <c r="I21" i="11"/>
  <c r="I25" i="11"/>
  <c r="I29" i="11"/>
  <c r="I33" i="11"/>
  <c r="I6" i="11"/>
  <c r="I10" i="11"/>
  <c r="I14" i="11"/>
  <c r="I18" i="11"/>
  <c r="I22" i="11"/>
  <c r="I26" i="11"/>
  <c r="I30" i="11"/>
  <c r="I34" i="11"/>
  <c r="I7" i="10"/>
  <c r="I14" i="10"/>
  <c r="I18" i="10"/>
  <c r="I22" i="10"/>
  <c r="I30" i="10"/>
  <c r="I34" i="10"/>
  <c r="I38" i="10"/>
  <c r="I42" i="10"/>
  <c r="I46" i="10"/>
  <c r="I50" i="10"/>
  <c r="I3" i="10"/>
  <c r="I10" i="10"/>
  <c r="I26" i="10"/>
  <c r="I4" i="10"/>
  <c r="I11" i="10"/>
  <c r="I15" i="10"/>
  <c r="I23" i="10"/>
  <c r="I31" i="10"/>
  <c r="I39" i="10"/>
  <c r="I43" i="10"/>
  <c r="I51" i="10"/>
  <c r="J8" i="10"/>
  <c r="K8" i="10" s="1"/>
  <c r="J19" i="10"/>
  <c r="K19" i="10" s="1"/>
  <c r="J27" i="10"/>
  <c r="K27" i="10" s="1"/>
  <c r="J35" i="10"/>
  <c r="K35" i="10" s="1"/>
  <c r="J47" i="10"/>
  <c r="K47" i="10" s="1"/>
  <c r="I16" i="10"/>
  <c r="I36" i="10"/>
  <c r="I48" i="10"/>
  <c r="I5" i="10"/>
  <c r="I12" i="10"/>
  <c r="I20" i="10"/>
  <c r="I24" i="10"/>
  <c r="I32" i="10"/>
  <c r="I40" i="10"/>
  <c r="I44" i="10"/>
  <c r="I52" i="10"/>
  <c r="J28" i="10"/>
  <c r="K28" i="10" s="1"/>
  <c r="I9" i="10"/>
  <c r="I17" i="10"/>
  <c r="I21" i="10"/>
  <c r="I33" i="10"/>
  <c r="I37" i="10"/>
  <c r="I41" i="10"/>
  <c r="I45" i="10"/>
  <c r="I49" i="10"/>
  <c r="I53" i="10"/>
  <c r="I6" i="10"/>
  <c r="I25" i="10"/>
  <c r="I13" i="10"/>
  <c r="I29" i="10"/>
  <c r="M49" i="3"/>
  <c r="M51" i="3"/>
  <c r="M67" i="3"/>
  <c r="M83" i="3"/>
  <c r="M19" i="3"/>
  <c r="M34" i="3"/>
  <c r="M35" i="3"/>
  <c r="M33" i="3"/>
  <c r="M5" i="3"/>
  <c r="M52" i="3"/>
  <c r="M37" i="3"/>
  <c r="M7" i="3"/>
  <c r="M39" i="3"/>
  <c r="M40" i="3"/>
  <c r="M88" i="3"/>
  <c r="M25" i="3"/>
  <c r="M41" i="3"/>
  <c r="M10" i="3"/>
  <c r="M90" i="3"/>
  <c r="M11" i="3"/>
  <c r="M43" i="3"/>
  <c r="M91" i="3"/>
  <c r="M12" i="3"/>
  <c r="M44" i="3"/>
  <c r="M13" i="3"/>
  <c r="M29" i="3"/>
  <c r="M45" i="3"/>
  <c r="M77" i="3"/>
  <c r="M14" i="3"/>
  <c r="M46" i="3"/>
  <c r="M31" i="3"/>
  <c r="M47" i="3"/>
  <c r="M79" i="3"/>
  <c r="L50" i="2" l="1"/>
  <c r="K34" i="2"/>
  <c r="L33" i="2"/>
  <c r="M32" i="2"/>
  <c r="M33" i="2"/>
  <c r="M12" i="2"/>
  <c r="M25" i="2"/>
  <c r="M11" i="2"/>
  <c r="M7" i="2"/>
  <c r="M3" i="2"/>
  <c r="M24" i="2"/>
  <c r="M27" i="2"/>
  <c r="M86" i="3"/>
  <c r="M36" i="3"/>
  <c r="M32" i="3"/>
  <c r="M64" i="3"/>
  <c r="M38" i="3"/>
  <c r="M53" i="3"/>
  <c r="M96" i="3"/>
  <c r="M27" i="3"/>
  <c r="M73" i="3"/>
  <c r="M30" i="2"/>
  <c r="M21" i="2"/>
  <c r="M9" i="2"/>
  <c r="M15" i="2"/>
  <c r="M15" i="3"/>
  <c r="M92" i="3"/>
  <c r="M26" i="3"/>
  <c r="M24" i="3"/>
  <c r="M85" i="3"/>
  <c r="M18" i="3"/>
  <c r="M82" i="3"/>
  <c r="M71" i="3"/>
  <c r="M62" i="3"/>
  <c r="M101" i="3"/>
  <c r="M97" i="3"/>
  <c r="M74" i="3"/>
  <c r="M31" i="2"/>
  <c r="M4" i="2"/>
  <c r="M26" i="2"/>
  <c r="M14" i="2"/>
  <c r="M22" i="3"/>
  <c r="M58" i="3"/>
  <c r="M23" i="2"/>
  <c r="M28" i="2"/>
  <c r="M10" i="2"/>
  <c r="M16" i="2"/>
  <c r="M6" i="2"/>
  <c r="M30" i="3"/>
  <c r="M28" i="3"/>
  <c r="M89" i="3"/>
  <c r="M55" i="3"/>
  <c r="M6" i="3"/>
  <c r="M17" i="3"/>
  <c r="M16" i="3"/>
  <c r="M84" i="3"/>
  <c r="M3" i="3"/>
  <c r="M42" i="3"/>
  <c r="M93" i="3"/>
  <c r="M76" i="3"/>
  <c r="M8" i="3"/>
  <c r="M99" i="3"/>
  <c r="M13" i="2"/>
  <c r="M18" i="2"/>
  <c r="M8" i="2"/>
  <c r="O4" i="2"/>
  <c r="L51" i="2" l="1"/>
  <c r="K35" i="2"/>
  <c r="L34" i="2"/>
  <c r="M34" i="2" s="1"/>
  <c r="K36" i="2" l="1"/>
  <c r="L36" i="2" s="1"/>
  <c r="M36" i="2" s="1"/>
  <c r="L35" i="2"/>
  <c r="L53" i="2" l="1"/>
  <c r="M35" i="2"/>
  <c r="T20" i="2"/>
  <c r="L54" i="2" l="1"/>
  <c r="L56" i="2" l="1"/>
  <c r="L57" i="2" l="1"/>
  <c r="L59" i="2" l="1"/>
  <c r="L58" i="2"/>
  <c r="N46" i="2" l="1"/>
  <c r="O46" i="2"/>
  <c r="M151" i="3" l="1"/>
  <c r="M147" i="3"/>
  <c r="P63" i="2"/>
  <c r="P62" i="2"/>
  <c r="M153" i="3"/>
  <c r="M154" i="3"/>
  <c r="M149" i="3"/>
  <c r="M155" i="3"/>
  <c r="M150" i="3"/>
  <c r="M152" i="3"/>
  <c r="M138" i="3"/>
  <c r="M142" i="3"/>
  <c r="M137" i="3"/>
  <c r="M141" i="3"/>
  <c r="M143" i="3"/>
  <c r="M144" i="3"/>
  <c r="M139" i="3"/>
  <c r="M145" i="3"/>
  <c r="M140" i="3"/>
  <c r="P60" i="2"/>
  <c r="M146" i="3"/>
  <c r="P46" i="2"/>
  <c r="P49" i="2"/>
  <c r="M129" i="3"/>
  <c r="M111" i="3"/>
  <c r="M104" i="3"/>
  <c r="M126" i="3"/>
  <c r="M136" i="3"/>
  <c r="M115" i="3"/>
  <c r="M120" i="3"/>
  <c r="M106" i="3"/>
  <c r="M135" i="3"/>
  <c r="M118" i="3"/>
  <c r="M131" i="3"/>
  <c r="M122" i="3"/>
  <c r="M113" i="3"/>
  <c r="M108" i="3"/>
  <c r="M130" i="3"/>
  <c r="M110" i="3"/>
  <c r="M117" i="3"/>
  <c r="M119" i="3"/>
  <c r="M133" i="3"/>
  <c r="M123" i="3"/>
  <c r="M103" i="3"/>
  <c r="M128" i="3"/>
  <c r="M114" i="3"/>
  <c r="M116" i="3"/>
  <c r="M121" i="3"/>
  <c r="M125" i="3"/>
  <c r="M109" i="3"/>
  <c r="M105" i="3"/>
  <c r="M112" i="3"/>
  <c r="M124" i="3"/>
  <c r="M134" i="3"/>
  <c r="M127" i="3"/>
  <c r="P48" i="2"/>
  <c r="M107" i="3"/>
  <c r="P53" i="2"/>
  <c r="P54" i="2"/>
  <c r="P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<sst xmlns="http://schemas.openxmlformats.org/spreadsheetml/2006/main" count="728" uniqueCount="107">
  <si>
    <t>Quantity Added</t>
  </si>
  <si>
    <t>Final Vol</t>
  </si>
  <si>
    <t>KIO3 Standard Solution</t>
  </si>
  <si>
    <t>ml</t>
  </si>
  <si>
    <t>g</t>
  </si>
  <si>
    <t>Molar Mass</t>
  </si>
  <si>
    <t>g mol-1</t>
  </si>
  <si>
    <t>M</t>
  </si>
  <si>
    <t>mol L-1</t>
  </si>
  <si>
    <t>Final Concentration</t>
  </si>
  <si>
    <t>Endpoint</t>
  </si>
  <si>
    <t>Flask</t>
  </si>
  <si>
    <t>T</t>
  </si>
  <si>
    <t>C_Thio</t>
  </si>
  <si>
    <t>uL</t>
  </si>
  <si>
    <t>Thiosulfate</t>
  </si>
  <si>
    <t>Datetime</t>
  </si>
  <si>
    <t>C</t>
  </si>
  <si>
    <t>mL</t>
  </si>
  <si>
    <t>Flask Vol</t>
  </si>
  <si>
    <t>C_KIO3</t>
  </si>
  <si>
    <t>Stn</t>
  </si>
  <si>
    <t>Cast</t>
  </si>
  <si>
    <t>Niskin</t>
  </si>
  <si>
    <t>Depth</t>
  </si>
  <si>
    <t>ul</t>
  </si>
  <si>
    <t>m</t>
  </si>
  <si>
    <t>MID10</t>
  </si>
  <si>
    <t>Notes</t>
  </si>
  <si>
    <t>Sampled @ 1815Z</t>
  </si>
  <si>
    <t>Datetime Collected</t>
  </si>
  <si>
    <t>Datetime Analyzed</t>
  </si>
  <si>
    <t>MID9</t>
  </si>
  <si>
    <t>Sampled 30 minutes later</t>
  </si>
  <si>
    <t>sampled 10 minutes later</t>
  </si>
  <si>
    <t>MID5</t>
  </si>
  <si>
    <t>PWS2</t>
  </si>
  <si>
    <t>Loose stopper, don't use 34;</t>
  </si>
  <si>
    <t>Tare</t>
  </si>
  <si>
    <t>Filled</t>
  </si>
  <si>
    <t>Diff</t>
  </si>
  <si>
    <t>Datetime (UTC)</t>
  </si>
  <si>
    <t>Oxygen Titration Log</t>
  </si>
  <si>
    <t>Comments:</t>
  </si>
  <si>
    <t>Discrete FRRF Sample Log</t>
  </si>
  <si>
    <t>ID</t>
  </si>
  <si>
    <t>Datetime Run (UTC)</t>
  </si>
  <si>
    <t>UTC</t>
  </si>
  <si>
    <t>Vol</t>
  </si>
  <si>
    <t>Normalized Endpoint</t>
  </si>
  <si>
    <t>ul ml-1</t>
  </si>
  <si>
    <t>KOD10</t>
  </si>
  <si>
    <t>KOD9</t>
  </si>
  <si>
    <t>Bad reagent addition?</t>
  </si>
  <si>
    <t>GEO</t>
  </si>
  <si>
    <t>V_KIO3</t>
  </si>
  <si>
    <t>GAK1</t>
  </si>
  <si>
    <t>GAK2</t>
  </si>
  <si>
    <t>GAK5</t>
  </si>
  <si>
    <t>GAK8</t>
  </si>
  <si>
    <t>GAK10</t>
  </si>
  <si>
    <t>UW</t>
  </si>
  <si>
    <t>Temperature</t>
  </si>
  <si>
    <t>Mass</t>
  </si>
  <si>
    <t>kg</t>
  </si>
  <si>
    <t>Real Oxy</t>
  </si>
  <si>
    <t>Cruise</t>
  </si>
  <si>
    <t>SKQ202207S</t>
  </si>
  <si>
    <t>SKQ202210S</t>
  </si>
  <si>
    <t>RES2.5</t>
  </si>
  <si>
    <t>PWS3</t>
  </si>
  <si>
    <t>PWS1</t>
  </si>
  <si>
    <t>MID8</t>
  </si>
  <si>
    <t>MID6</t>
  </si>
  <si>
    <t>GAK11i</t>
  </si>
  <si>
    <t>TGX22</t>
  </si>
  <si>
    <t>GAK5i</t>
  </si>
  <si>
    <t>GAK6i</t>
  </si>
  <si>
    <t>GAK9i</t>
  </si>
  <si>
    <t>GAK14</t>
  </si>
  <si>
    <t>Rho</t>
  </si>
  <si>
    <t>g/ml</t>
  </si>
  <si>
    <t>umol kg</t>
  </si>
  <si>
    <t>L</t>
  </si>
  <si>
    <t>Calc Thiosulfate</t>
  </si>
  <si>
    <t>Avg Thio</t>
  </si>
  <si>
    <t>SD Thio</t>
  </si>
  <si>
    <t>umol L-1</t>
  </si>
  <si>
    <t>Flag</t>
  </si>
  <si>
    <t>1 = good, 2 = test, 3 = unknown</t>
  </si>
  <si>
    <t>TEST202303</t>
  </si>
  <si>
    <t>TK</t>
  </si>
  <si>
    <t>LW</t>
  </si>
  <si>
    <t>DI Water Initial Test</t>
  </si>
  <si>
    <t>Oxygen</t>
  </si>
  <si>
    <t>Rel Dev</t>
  </si>
  <si>
    <t>Pipette Cal</t>
  </si>
  <si>
    <t>g real / g indicated</t>
  </si>
  <si>
    <t>Blank</t>
  </si>
  <si>
    <t>Tk</t>
  </si>
  <si>
    <t>SKQ202307S</t>
  </si>
  <si>
    <t>NA</t>
  </si>
  <si>
    <t>MID1</t>
  </si>
  <si>
    <t>MID2</t>
  </si>
  <si>
    <t>MID7</t>
  </si>
  <si>
    <t>GAK12</t>
  </si>
  <si>
    <t>TGX202209S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</si>
</sst>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E+00"/>
    <numFmt numFmtId="166" formatCode="0.0000"/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  <font>
      <sz val="16"/>
      <color theme="1"/>
      <name val="Segoe UI Historic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1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22" fontId="0" fillId="0" borderId="0" xfId="0" applyNumberForma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 wrapText="1"/>
    </xf>
    <xf numFmtId="0" fontId="1" fillId="0" borderId="1" xfId="0" applyFont="1" applyBorder="1"/>
    <xf numFmtId="11" fontId="1" fillId="0" borderId="1" xfId="0" applyNumberFormat="1" applyFont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0" fillId="0" borderId="0" xfId="0" quotePrefix="1"/>
    <xf numFmtId="165" fontId="0" fillId="0" borderId="0" xfId="0" applyNumberFormat="1"/>
    <xf numFmtId="165" fontId="1" fillId="0" borderId="0" xfId="0" applyNumberFormat="1" applyFont="1"/>
    <xf numFmtId="165" fontId="0" fillId="2" borderId="0" xfId="0" applyNumberForma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6" fontId="0" fillId="0" borderId="0" xfId="0" applyNumberFormat="1"/>
    <xf numFmtId="166" fontId="0" fillId="2" borderId="0" xfId="0" applyNumberFormat="1" applyFill="1"/>
    <xf numFmtId="2" fontId="0" fillId="2" borderId="0" xfId="0" applyNumberFormat="1" applyFill="1"/>
    <xf numFmtId="166" fontId="1" fillId="2" borderId="0" xfId="0" applyNumberFormat="1" applyFont="1" applyFill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164" fontId="1" fillId="2" borderId="0" xfId="0" applyNumberFormat="1" applyFont="1" applyFill="1"/>
    <xf numFmtId="166" fontId="1" fillId="2" borderId="0" xfId="0" applyNumberFormat="1" applyFont="1" applyFill="1"/>
    <xf numFmtId="2" fontId="1" fillId="2" borderId="0" xfId="0" applyNumberFormat="1" applyFont="1" applyFill="1"/>
    <xf numFmtId="1" fontId="0" fillId="0" borderId="0" xfId="0" applyNumberFormat="1"/>
    <xf numFmtId="9" fontId="0" fillId="0" borderId="0" xfId="1" applyFont="1"/>
    <xf numFmtId="167" fontId="0" fillId="0" borderId="0" xfId="1" applyNumberFormat="1" applyFont="1"/>
    <xf numFmtId="167" fontId="1" fillId="0" borderId="0" xfId="1" applyNumberFormat="1" applyFont="1"/>
    <xf numFmtId="167" fontId="0" fillId="2" borderId="0" xfId="1" applyNumberFormat="1" applyFont="1" applyFill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50662939916531"/>
                  <c:y val="-0.120356398964773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Standards!$S$12:$S$28</c:f>
              <c:numCache>
                <c:formatCode>General</c:formatCode>
                <c:ptCount val="17"/>
                <c:pt idx="0">
                  <c:v>1</c:v>
                </c:pt>
                <c:pt idx="2">
                  <c:v>1</c:v>
                </c:pt>
                <c:pt idx="4">
                  <c:v>5</c:v>
                </c:pt>
                <c:pt idx="6">
                  <c:v>10</c:v>
                </c:pt>
                <c:pt idx="8">
                  <c:v>10</c:v>
                </c:pt>
              </c:numCache>
            </c:numRef>
          </c:xVal>
          <c:yVal>
            <c:numRef>
              <c:f>Standards!$T$12:$T$28</c:f>
              <c:numCache>
                <c:formatCode>General</c:formatCode>
                <c:ptCount val="17"/>
                <c:pt idx="0" formatCode="0.000E+00">
                  <c:v>0.10995843763885252</c:v>
                </c:pt>
                <c:pt idx="2" formatCode="0.000E+00">
                  <c:v>0.10827137129423028</c:v>
                </c:pt>
                <c:pt idx="4" formatCode="0.000E+00">
                  <c:v>0.10957820164243608</c:v>
                </c:pt>
                <c:pt idx="8" formatCode="0.000E+00">
                  <c:v>0.11254158349948271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F-4447-826F-E5FEAF29715E}"/>
            </c:ext>
          </c:extLst>
        </c:ser>
        <c:ser>
          <c:idx val="1"/>
          <c:order val="1"/>
          <c:tx>
            <c:v>LW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66737116661916"/>
                  <c:y val="7.4825967535090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Standards!$V$12:$V$28</c:f>
              <c:numCache>
                <c:formatCode>General</c:formatCode>
                <c:ptCount val="17"/>
                <c:pt idx="1">
                  <c:v>1</c:v>
                </c:pt>
                <c:pt idx="3">
                  <c:v>1</c:v>
                </c:pt>
                <c:pt idx="5">
                  <c:v>5</c:v>
                </c:pt>
                <c:pt idx="7">
                  <c:v>10</c:v>
                </c:pt>
              </c:numCache>
            </c:numRef>
          </c:xVal>
          <c:yVal>
            <c:numRef>
              <c:f>Standards!$W$12:$W$28</c:f>
              <c:numCache>
                <c:formatCode>0.000E+00</c:formatCode>
                <c:ptCount val="17"/>
                <c:pt idx="1">
                  <c:v>0.11117473767530461</c:v>
                </c:pt>
                <c:pt idx="3">
                  <c:v>0.10977646758539013</c:v>
                </c:pt>
                <c:pt idx="5">
                  <c:v>0.10415939852126879</c:v>
                </c:pt>
                <c:pt idx="7">
                  <c:v>0.10809024074934021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F-4447-826F-E5FEAF297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379632"/>
        <c:axId val="435869200"/>
      </c:scatterChart>
      <c:valAx>
        <c:axId val="54337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69200"/>
        <c:crosses val="autoZero"/>
        <c:crossBetween val="midCat"/>
      </c:valAx>
      <c:valAx>
        <c:axId val="435869200"/>
        <c:scaling>
          <c:orientation val="minMax"/>
          <c:max val="0.15000000000000002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7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129540</xdr:colOff>
      <xdr:row>20</xdr:row>
      <xdr:rowOff>158115</xdr:rowOff>
    </xdr:from>
    <xdr:to>
      <xdr:col>24</xdr:col>
      <xdr:colOff>241935</xdr:colOff>
      <xdr:row>36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55F0F-B87D-913F-D4B6-9DE9014C2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773906</xdr:colOff>
      <xdr:row>6</xdr:row>
      <xdr:rowOff>126207</xdr:rowOff>
    </xdr:from>
    <xdr:to>
      <xdr:col>7</xdr:col>
      <xdr:colOff>1073263</xdr:colOff>
      <xdr:row>25</xdr:row>
      <xdr:rowOff>183356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CDFC6F-7B30-4CC3-B7B2-7AF576D9F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" y="1709738"/>
          <a:ext cx="5107781" cy="50339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773906</xdr:colOff>
      <xdr:row>6</xdr:row>
      <xdr:rowOff>126207</xdr:rowOff>
    </xdr:from>
    <xdr:to>
      <xdr:col>6</xdr:col>
      <xdr:colOff>1644763</xdr:colOff>
      <xdr:row>25</xdr:row>
      <xdr:rowOff>183356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91109-0937-4BAB-97DE-24FE6DF93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" y="1726407"/>
          <a:ext cx="5124450" cy="5124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B66C-D08A-446B-82DE-E31186AE2894}">
  <dimension ref="B1:G5"/>
  <sheetViews>
    <sheetView workbookViewId="0">
      <selection activeCell="G5" sqref="G5"/>
    </sheetView>
  </sheetViews>
  <sheetFormatPr defaultRowHeight="14.4" x14ac:dyDescent="0.3"/>
  <cols>
    <col min="2" max="3" width="23" style="3" customWidth="1"/>
    <col min="4" max="4" width="18.33203125" customWidth="1"/>
    <col min="5" max="5" width="15.109375" bestFit="1" customWidth="1"/>
    <col min="6" max="6" width="13.109375" customWidth="1"/>
    <col min="7" max="7" width="18.5546875" style="2" bestFit="1" customWidth="1"/>
  </cols>
  <sheetData>
    <row r="1" spans="2:7" x14ac:dyDescent="0.3">
      <c r="C1" t="s">
        <v>17</v>
      </c>
      <c r="D1" t="s">
        <v>6</v>
      </c>
      <c r="E1" t="s">
        <v>4</v>
      </c>
      <c r="F1" t="s">
        <v>83</v>
      </c>
      <c r="G1" s="2" t="s">
        <v>8</v>
      </c>
    </row>
    <row r="2" spans="2:7" s="33" customFormat="1" x14ac:dyDescent="0.3">
      <c r="C2" s="33" t="s">
        <v>62</v>
      </c>
      <c r="D2" s="33" t="s">
        <v>5</v>
      </c>
      <c r="E2" s="33" t="s">
        <v>0</v>
      </c>
      <c r="F2" s="33" t="s">
        <v>1</v>
      </c>
      <c r="G2" s="34" t="s">
        <v>9</v>
      </c>
    </row>
    <row r="3" spans="2:7" x14ac:dyDescent="0.3">
      <c r="B3" s="3" t="s">
        <v>2</v>
      </c>
      <c r="C3">
        <v>20</v>
      </c>
      <c r="D3">
        <v>213.995</v>
      </c>
      <c r="E3">
        <v>0.35487999999999997</v>
      </c>
      <c r="F3">
        <v>1</v>
      </c>
      <c r="G3" s="38">
        <f>E3/D3/(F3*(1+0.000009*(C3-20)))</f>
        <v>1.6583565036566274E-3</v>
      </c>
    </row>
    <row r="4" spans="2:7" x14ac:dyDescent="0.3">
      <c r="B4" s="3" t="s">
        <v>15</v>
      </c>
      <c r="C4">
        <v>20</v>
      </c>
      <c r="D4">
        <v>248.17</v>
      </c>
      <c r="E4">
        <v>27.4</v>
      </c>
      <c r="F4">
        <v>1</v>
      </c>
      <c r="G4" s="38">
        <f>E4/D4/F4</f>
        <v>0.11040818793568924</v>
      </c>
    </row>
    <row r="5" spans="2:7" x14ac:dyDescent="0.3">
      <c r="B5" s="3" t="s">
        <v>15</v>
      </c>
      <c r="C5">
        <v>20</v>
      </c>
      <c r="D5">
        <v>248.17</v>
      </c>
      <c r="E5">
        <v>40</v>
      </c>
      <c r="F5">
        <v>1</v>
      </c>
      <c r="G5" s="38">
        <f>E5/D5/F5</f>
        <v>0.16117983640246605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7CBB-A511-49F7-80CE-A049617481B1}">
  <dimension ref="A1:P182"/>
  <sheetViews>
    <sheetView tabSelected="1" topLeftCell="D1" zoomScale="110" zoomScaleNormal="110" workbookViewId="0">
      <pane ySplit="2" topLeftCell="A3" activePane="bottomLeft" state="frozen"/>
      <selection pane="bottomLeft" activeCell="O23" sqref="O23"/>
    </sheetView>
  </sheetViews>
  <sheetFormatPr defaultRowHeight="14.4" x14ac:dyDescent="0.3"/>
  <cols>
    <col min="1" max="1" width="13.6640625" customWidth="1"/>
    <col min="2" max="2" width="18.44140625" hidden="1" customWidth="1"/>
    <col min="3" max="3" width="18.109375" hidden="1" customWidth="1"/>
    <col min="4" max="4" width="9.109375" style="35"/>
    <col min="5" max="5" width="9.109375" style="30"/>
    <col min="6" max="6" width="9.109375" style="24"/>
    <col min="10" max="11" width="13" style="1" customWidth="1"/>
    <col min="12" max="12" width="11.5546875" style="45" bestFit="1" customWidth="1"/>
    <col min="13" max="14" width="9.109375" style="46"/>
    <col min="15" max="15" width="9.109375" style="55"/>
    <col min="16" max="16" width="36.44140625" customWidth="1"/>
  </cols>
  <sheetData>
    <row r="1" spans="1:16" x14ac:dyDescent="0.3">
      <c r="B1" t="s">
        <v>47</v>
      </c>
      <c r="C1" t="s">
        <v>47</v>
      </c>
      <c r="E1" s="29" t="s">
        <v>3</v>
      </c>
      <c r="I1" t="s">
        <v>26</v>
      </c>
      <c r="J1" s="1" t="s">
        <v>25</v>
      </c>
      <c r="K1" s="1" t="s">
        <v>25</v>
      </c>
      <c r="L1" s="45" t="s">
        <v>64</v>
      </c>
      <c r="M1" s="46" t="s">
        <v>82</v>
      </c>
      <c r="N1" s="46" t="s">
        <v>87</v>
      </c>
      <c r="O1" s="55" t="s">
        <v>89</v>
      </c>
    </row>
    <row r="2" spans="1:16" s="25" customFormat="1" x14ac:dyDescent="0.3">
      <c r="A2" s="25" t="s">
        <v>66</v>
      </c>
      <c r="B2" s="25" t="s">
        <v>30</v>
      </c>
      <c r="C2" s="25" t="s">
        <v>31</v>
      </c>
      <c r="D2" s="36" t="s">
        <v>11</v>
      </c>
      <c r="E2" s="28" t="s">
        <v>48</v>
      </c>
      <c r="F2" s="25" t="s">
        <v>21</v>
      </c>
      <c r="G2" s="25" t="s">
        <v>22</v>
      </c>
      <c r="H2" s="25" t="s">
        <v>23</v>
      </c>
      <c r="I2" s="25" t="s">
        <v>24</v>
      </c>
      <c r="J2" s="26" t="s">
        <v>10</v>
      </c>
      <c r="K2" s="26" t="s">
        <v>98</v>
      </c>
      <c r="L2" s="47" t="s">
        <v>63</v>
      </c>
      <c r="M2" s="28" t="s">
        <v>94</v>
      </c>
      <c r="N2" s="28" t="s">
        <v>94</v>
      </c>
      <c r="O2" s="36" t="s">
        <v>88</v>
      </c>
      <c r="P2" s="25" t="s">
        <v>28</v>
      </c>
    </row>
    <row r="3" spans="1:16" x14ac:dyDescent="0.3">
      <c r="A3" t="s">
        <v>67</v>
      </c>
      <c r="C3" s="4">
        <v>44677.806944444441</v>
      </c>
      <c r="D3" s="35">
        <v>48</v>
      </c>
      <c r="E3" s="30">
        <f>IF(D3="","",_xlfn.XLOOKUP(D3,Flasks!A$3:A$50,Flasks!D$3:D$50)/0.999)</f>
        <v>143.31831831831832</v>
      </c>
      <c r="F3" s="24" t="s">
        <v>35</v>
      </c>
      <c r="G3">
        <v>17</v>
      </c>
      <c r="H3">
        <v>15</v>
      </c>
      <c r="I3">
        <v>0</v>
      </c>
      <c r="J3" s="1">
        <v>1683.58</v>
      </c>
      <c r="L3" s="45">
        <f>E3*0.001*1.0227</f>
        <v>0.14657164414414414</v>
      </c>
      <c r="M3" s="46">
        <f>((J3-2)*Standards!$N$3/4-0.076)/L3</f>
        <v>310.43051694419449</v>
      </c>
      <c r="O3" s="55">
        <v>1</v>
      </c>
    </row>
    <row r="4" spans="1:16" x14ac:dyDescent="0.3">
      <c r="A4" t="s">
        <v>67</v>
      </c>
      <c r="C4" s="4">
        <v>44677.81527777778</v>
      </c>
      <c r="D4" s="35">
        <v>34</v>
      </c>
      <c r="E4" s="30">
        <f>IF(D4="","",_xlfn.XLOOKUP(D4,Flasks!A$3:A$50,Flasks!D$3:D$50)/0.999)</f>
        <v>139.42542542542543</v>
      </c>
      <c r="F4" s="24" t="s">
        <v>35</v>
      </c>
      <c r="G4">
        <v>17</v>
      </c>
      <c r="H4">
        <v>15</v>
      </c>
      <c r="I4">
        <v>0</v>
      </c>
      <c r="J4" s="1">
        <v>1628.19</v>
      </c>
      <c r="L4" s="45">
        <f t="shared" ref="L4:L67" si="0">E4*0.001*1.0227</f>
        <v>0.14259038258258258</v>
      </c>
      <c r="M4" s="46">
        <f>((J4-2)*Standards!$N$3/4-0.076)/L4</f>
        <v>308.56962805043463</v>
      </c>
      <c r="O4" s="55">
        <v>3</v>
      </c>
      <c r="P4" t="s">
        <v>37</v>
      </c>
    </row>
    <row r="5" spans="1:16" x14ac:dyDescent="0.3">
      <c r="A5" t="s">
        <v>67</v>
      </c>
      <c r="C5" s="4">
        <v>44677.822222222225</v>
      </c>
      <c r="D5" s="35">
        <v>35</v>
      </c>
      <c r="E5" s="30">
        <f>IF(D5="","",_xlfn.XLOOKUP(D5,Flasks!A$3:A$50,Flasks!D$3:D$50)/0.999)</f>
        <v>135.26726726726727</v>
      </c>
      <c r="F5" s="24" t="s">
        <v>35</v>
      </c>
      <c r="G5">
        <v>17</v>
      </c>
      <c r="H5">
        <v>15</v>
      </c>
      <c r="I5">
        <v>0</v>
      </c>
      <c r="J5" s="1">
        <v>1585.55</v>
      </c>
      <c r="L5" s="45">
        <f t="shared" si="0"/>
        <v>0.13833783423423424</v>
      </c>
      <c r="M5" s="46">
        <f>((J5-2)*Standards!$N$3/4-0.076)/L5</f>
        <v>309.70108980699712</v>
      </c>
      <c r="O5" s="55">
        <v>1</v>
      </c>
    </row>
    <row r="6" spans="1:16" x14ac:dyDescent="0.3">
      <c r="A6" t="s">
        <v>67</v>
      </c>
      <c r="C6" s="4">
        <v>44677.842361111114</v>
      </c>
      <c r="D6" s="35">
        <v>38</v>
      </c>
      <c r="E6" s="30">
        <f>IF(D6="","",_xlfn.XLOOKUP(D6,Flasks!A$3:A$50,Flasks!D$3:D$50)/0.999)</f>
        <v>141.41741741741743</v>
      </c>
      <c r="F6" s="24" t="s">
        <v>35</v>
      </c>
      <c r="G6">
        <v>17</v>
      </c>
      <c r="H6">
        <v>1</v>
      </c>
      <c r="I6">
        <v>90</v>
      </c>
      <c r="J6" s="1">
        <v>1546.95</v>
      </c>
      <c r="L6" s="45">
        <f t="shared" si="0"/>
        <v>0.1446275927927928</v>
      </c>
      <c r="M6" s="46">
        <f>((J6-2)*Standards!$N$3/4-0.076)/L6</f>
        <v>288.99873890691742</v>
      </c>
      <c r="O6" s="55">
        <v>1</v>
      </c>
    </row>
    <row r="7" spans="1:16" x14ac:dyDescent="0.3">
      <c r="A7" t="s">
        <v>67</v>
      </c>
      <c r="C7" s="4">
        <v>44677.93472222222</v>
      </c>
      <c r="D7" s="35">
        <v>31</v>
      </c>
      <c r="E7" s="30">
        <f>IF(D7="","",_xlfn.XLOOKUP(D7,Flasks!A$3:A$50,Flasks!D$3:D$50)/0.999)</f>
        <v>143.11111111111114</v>
      </c>
      <c r="F7" s="24" t="s">
        <v>35</v>
      </c>
      <c r="G7">
        <v>17</v>
      </c>
      <c r="H7">
        <v>15</v>
      </c>
      <c r="I7">
        <v>0</v>
      </c>
      <c r="J7" s="1">
        <v>1673.9</v>
      </c>
      <c r="L7" s="45">
        <f t="shared" si="0"/>
        <v>0.14635973333333335</v>
      </c>
      <c r="M7" s="46">
        <f>((J7-2)*Standards!$N$3/4-0.076)/L7</f>
        <v>309.08741502070671</v>
      </c>
      <c r="O7" s="55">
        <v>1</v>
      </c>
    </row>
    <row r="8" spans="1:16" x14ac:dyDescent="0.3">
      <c r="A8" t="s">
        <v>67</v>
      </c>
      <c r="C8" s="4">
        <v>44677.866666666669</v>
      </c>
      <c r="D8" s="35">
        <v>21</v>
      </c>
      <c r="E8" s="30">
        <f>IF(D8="","",_xlfn.XLOOKUP(D8,Flasks!A$3:A$50,Flasks!D$3:D$50)/0.999)</f>
        <v>142.40040040040037</v>
      </c>
      <c r="F8" s="24" t="s">
        <v>36</v>
      </c>
      <c r="G8">
        <v>3</v>
      </c>
      <c r="H8">
        <v>2</v>
      </c>
      <c r="I8">
        <v>720</v>
      </c>
      <c r="J8" s="1">
        <v>783.84</v>
      </c>
      <c r="L8" s="45">
        <f t="shared" si="0"/>
        <v>0.14563288948948944</v>
      </c>
      <c r="M8" s="46">
        <f>((J8-2)*Standards!$N$3/4-0.076)/L8</f>
        <v>144.98385722507112</v>
      </c>
      <c r="O8" s="55">
        <v>1</v>
      </c>
    </row>
    <row r="9" spans="1:16" x14ac:dyDescent="0.3">
      <c r="A9" t="s">
        <v>67</v>
      </c>
      <c r="C9" s="4">
        <v>44678.048611111109</v>
      </c>
      <c r="D9" s="35">
        <v>9</v>
      </c>
      <c r="E9" s="30">
        <f>IF(D9="","",_xlfn.XLOOKUP(D9,Flasks!A$3:A$50,Flasks!D$3:D$50)/0.999)</f>
        <v>138.04604604604606</v>
      </c>
      <c r="F9" s="24" t="s">
        <v>32</v>
      </c>
      <c r="G9">
        <v>26</v>
      </c>
      <c r="H9">
        <v>22</v>
      </c>
      <c r="I9">
        <v>0</v>
      </c>
      <c r="J9" s="1">
        <v>1630.78</v>
      </c>
      <c r="L9" s="45">
        <f t="shared" si="0"/>
        <v>0.14117969129129129</v>
      </c>
      <c r="M9" s="46">
        <f>((J9-2)*Standards!$N$3/4-0.076)/L9</f>
        <v>312.1501284980875</v>
      </c>
      <c r="O9" s="55">
        <v>1</v>
      </c>
    </row>
    <row r="10" spans="1:16" x14ac:dyDescent="0.3">
      <c r="A10" t="s">
        <v>67</v>
      </c>
      <c r="C10" s="4">
        <v>44678.054166666669</v>
      </c>
      <c r="D10" s="35">
        <v>18</v>
      </c>
      <c r="E10" s="30">
        <f>IF(D10="","",_xlfn.XLOOKUP(D10,Flasks!A$3:A$50,Flasks!D$3:D$50)/0.999)</f>
        <v>145.14014014014015</v>
      </c>
      <c r="F10" s="24" t="s">
        <v>32</v>
      </c>
      <c r="G10">
        <v>26</v>
      </c>
      <c r="H10">
        <v>3</v>
      </c>
      <c r="I10">
        <v>1000</v>
      </c>
      <c r="J10" s="1">
        <v>82.57</v>
      </c>
      <c r="L10" s="45">
        <f t="shared" si="0"/>
        <v>0.14843482132132133</v>
      </c>
      <c r="M10" s="46">
        <f>((J10-2)*Standards!$N$3/4-0.076)/L10</f>
        <v>14.19956706484234</v>
      </c>
      <c r="O10" s="55">
        <v>1</v>
      </c>
    </row>
    <row r="11" spans="1:16" x14ac:dyDescent="0.3">
      <c r="A11" t="s">
        <v>67</v>
      </c>
      <c r="C11" s="4">
        <v>44678.829861111109</v>
      </c>
      <c r="D11" s="35">
        <v>14</v>
      </c>
      <c r="E11" s="30">
        <f>IF(D11="","",_xlfn.XLOOKUP(D11,Flasks!A$3:A$50,Flasks!D$3:D$50)/0.999)</f>
        <v>134.50550550550548</v>
      </c>
      <c r="F11" s="24" t="s">
        <v>32</v>
      </c>
      <c r="G11">
        <v>26</v>
      </c>
      <c r="H11">
        <v>3</v>
      </c>
      <c r="I11">
        <v>1000</v>
      </c>
      <c r="J11" s="1">
        <v>76.739999999999995</v>
      </c>
      <c r="L11" s="45">
        <f t="shared" si="0"/>
        <v>0.13755878048048045</v>
      </c>
      <c r="M11" s="46">
        <f>((J11-2)*Standards!$N$3/4-0.076)/L11</f>
        <v>14.173563826951423</v>
      </c>
      <c r="O11" s="55">
        <v>1</v>
      </c>
    </row>
    <row r="12" spans="1:16" x14ac:dyDescent="0.3">
      <c r="A12" t="s">
        <v>67</v>
      </c>
      <c r="C12" s="4">
        <v>44678.834027777775</v>
      </c>
      <c r="D12" s="35">
        <v>17</v>
      </c>
      <c r="E12" s="30">
        <f>IF(D12="","",_xlfn.XLOOKUP(D12,Flasks!A$3:A$50,Flasks!D$3:D$50)/0.999)</f>
        <v>142.01301301301299</v>
      </c>
      <c r="F12" s="24" t="s">
        <v>32</v>
      </c>
      <c r="G12">
        <v>26</v>
      </c>
      <c r="H12">
        <v>3</v>
      </c>
      <c r="I12">
        <v>1000</v>
      </c>
      <c r="J12" s="1">
        <v>85.47</v>
      </c>
      <c r="L12" s="45">
        <f t="shared" si="0"/>
        <v>0.14523670840840838</v>
      </c>
      <c r="M12" s="46">
        <f>((J12-2)*Standards!$N$3/4-0.076)/L12</f>
        <v>15.053423460047785</v>
      </c>
      <c r="O12" s="55">
        <v>1</v>
      </c>
    </row>
    <row r="13" spans="1:16" x14ac:dyDescent="0.3">
      <c r="A13" t="s">
        <v>67</v>
      </c>
      <c r="C13" s="4">
        <v>44678.84375</v>
      </c>
      <c r="D13" s="35">
        <v>26</v>
      </c>
      <c r="E13" s="30">
        <f>IF(D13="","",_xlfn.XLOOKUP(D13,Flasks!A$3:A$50,Flasks!D$3:D$50)/0.999)</f>
        <v>143.17817817817817</v>
      </c>
      <c r="F13" s="24" t="s">
        <v>32</v>
      </c>
      <c r="G13">
        <v>26</v>
      </c>
      <c r="H13">
        <v>3</v>
      </c>
      <c r="I13">
        <v>1000</v>
      </c>
      <c r="J13" s="1">
        <v>83.97</v>
      </c>
      <c r="L13" s="45">
        <f t="shared" si="0"/>
        <v>0.14642832282282281</v>
      </c>
      <c r="M13" s="46">
        <f>((J13-2)*Standards!$N$3/4-0.076)/L13</f>
        <v>14.653276990152731</v>
      </c>
      <c r="O13" s="55">
        <v>2</v>
      </c>
      <c r="P13" t="s">
        <v>34</v>
      </c>
    </row>
    <row r="14" spans="1:16" x14ac:dyDescent="0.3">
      <c r="A14" t="s">
        <v>67</v>
      </c>
      <c r="C14" s="4">
        <v>44678.847222222219</v>
      </c>
      <c r="D14" s="35">
        <v>29</v>
      </c>
      <c r="E14" s="30">
        <f>IF(D14="","",_xlfn.XLOOKUP(D14,Flasks!A$3:A$50,Flasks!D$3:D$50)/0.999)</f>
        <v>143.88288288288285</v>
      </c>
      <c r="F14" s="24" t="s">
        <v>32</v>
      </c>
      <c r="G14">
        <v>26</v>
      </c>
      <c r="H14">
        <v>3</v>
      </c>
      <c r="I14">
        <v>1000</v>
      </c>
      <c r="J14" s="1">
        <v>85.2</v>
      </c>
      <c r="L14" s="45">
        <f t="shared" si="0"/>
        <v>0.14714902432432431</v>
      </c>
      <c r="M14" s="46">
        <f>((J14-2)*Standards!$N$3/4-0.076)/L14</f>
        <v>14.808061430272437</v>
      </c>
      <c r="O14" s="55">
        <v>2</v>
      </c>
      <c r="P14" t="s">
        <v>33</v>
      </c>
    </row>
    <row r="15" spans="1:16" x14ac:dyDescent="0.3">
      <c r="A15" t="s">
        <v>67</v>
      </c>
      <c r="B15" s="4">
        <v>44677.670138888891</v>
      </c>
      <c r="D15" s="35">
        <v>39</v>
      </c>
      <c r="E15" s="30">
        <f>IF(D15="","",_xlfn.XLOOKUP(D15,Flasks!A$3:A$50,Flasks!D$3:D$50)/0.999)</f>
        <v>141.31031031031031</v>
      </c>
      <c r="F15" s="24" t="s">
        <v>27</v>
      </c>
      <c r="G15">
        <v>30</v>
      </c>
      <c r="H15">
        <v>3</v>
      </c>
      <c r="I15">
        <v>1000</v>
      </c>
      <c r="J15" s="1">
        <v>92.09</v>
      </c>
      <c r="L15" s="45">
        <f t="shared" si="0"/>
        <v>0.14451805435435436</v>
      </c>
      <c r="M15" s="46">
        <f>((J15-2)*Standards!$N$3/4-0.076)/L15</f>
        <v>16.369811439201541</v>
      </c>
      <c r="O15" s="55">
        <v>1</v>
      </c>
    </row>
    <row r="16" spans="1:16" x14ac:dyDescent="0.3">
      <c r="A16" t="s">
        <v>67</v>
      </c>
      <c r="B16" s="4">
        <v>44677.670138888891</v>
      </c>
      <c r="D16" s="35">
        <v>15</v>
      </c>
      <c r="E16" s="30">
        <f>IF(D16="","",_xlfn.XLOOKUP(D16,Flasks!A$3:A$50,Flasks!D$3:D$50)/0.999)</f>
        <v>143.45545545545548</v>
      </c>
      <c r="F16" s="24" t="s">
        <v>27</v>
      </c>
      <c r="G16">
        <v>30</v>
      </c>
      <c r="H16">
        <v>3</v>
      </c>
      <c r="I16">
        <v>1000</v>
      </c>
      <c r="J16" s="1">
        <v>91.2</v>
      </c>
      <c r="L16" s="45">
        <f t="shared" si="0"/>
        <v>0.14671189429429432</v>
      </c>
      <c r="M16" s="46">
        <f>((J16-2)*Standards!$N$3/4-0.076)/L16</f>
        <v>15.960610441426413</v>
      </c>
      <c r="O16" s="55">
        <v>2</v>
      </c>
      <c r="P16" t="s">
        <v>29</v>
      </c>
    </row>
    <row r="17" spans="1:16" x14ac:dyDescent="0.3">
      <c r="A17" t="s">
        <v>67</v>
      </c>
      <c r="B17" s="4">
        <v>44677.670138888891</v>
      </c>
      <c r="D17" s="35">
        <v>22</v>
      </c>
      <c r="E17" s="30">
        <f>IF(D17="","",_xlfn.XLOOKUP(D17,Flasks!A$3:A$50,Flasks!D$3:D$50)/0.999)</f>
        <v>141.65765765765764</v>
      </c>
      <c r="F17" s="24" t="s">
        <v>27</v>
      </c>
      <c r="G17">
        <v>30</v>
      </c>
      <c r="H17">
        <v>3</v>
      </c>
      <c r="I17">
        <v>1000</v>
      </c>
      <c r="J17" s="1">
        <v>85.29</v>
      </c>
      <c r="L17" s="45">
        <f t="shared" si="0"/>
        <v>0.14487328648648645</v>
      </c>
      <c r="M17" s="46">
        <f>((J17-2)*Standards!$N$3/4-0.076)/L17</f>
        <v>15.057510866974521</v>
      </c>
      <c r="O17" s="55">
        <v>1</v>
      </c>
    </row>
    <row r="18" spans="1:16" x14ac:dyDescent="0.3">
      <c r="A18" t="s">
        <v>67</v>
      </c>
      <c r="B18" s="4">
        <v>44677.670138888891</v>
      </c>
      <c r="D18" s="35">
        <v>36</v>
      </c>
      <c r="E18" s="30">
        <f>IF(D18="","",_xlfn.XLOOKUP(D18,Flasks!A$3:A$50,Flasks!D$3:D$50)/0.999)</f>
        <v>140.27927927927928</v>
      </c>
      <c r="F18" s="24" t="s">
        <v>27</v>
      </c>
      <c r="G18">
        <v>30</v>
      </c>
      <c r="H18">
        <v>3</v>
      </c>
      <c r="I18">
        <v>1000</v>
      </c>
      <c r="J18" s="1">
        <v>83.7</v>
      </c>
      <c r="L18" s="45">
        <f t="shared" si="0"/>
        <v>0.1434636189189189</v>
      </c>
      <c r="M18" s="46">
        <f>((J18-2)*Standards!$N$3/4-0.076)/L18</f>
        <v>14.905081215878422</v>
      </c>
      <c r="O18" s="55">
        <v>1</v>
      </c>
    </row>
    <row r="19" spans="1:16" x14ac:dyDescent="0.3">
      <c r="A19" t="s">
        <v>67</v>
      </c>
      <c r="B19" s="4">
        <v>44677.670138888891</v>
      </c>
      <c r="D19" s="35">
        <v>17</v>
      </c>
      <c r="E19" s="30">
        <f>IF(D19="","",_xlfn.XLOOKUP(D19,Flasks!A$3:A$50,Flasks!D$3:D$50)/0.999)</f>
        <v>142.01301301301299</v>
      </c>
      <c r="F19" s="24" t="s">
        <v>51</v>
      </c>
      <c r="G19">
        <v>33</v>
      </c>
      <c r="H19">
        <v>4</v>
      </c>
      <c r="I19">
        <v>150</v>
      </c>
      <c r="J19" s="1">
        <v>319.07</v>
      </c>
      <c r="L19" s="45">
        <f t="shared" si="0"/>
        <v>0.14523670840840838</v>
      </c>
      <c r="M19" s="46">
        <f>((J19-2)*Standards!$N$3/4-0.076)/L19</f>
        <v>58.646556191882361</v>
      </c>
      <c r="O19" s="55">
        <v>1</v>
      </c>
    </row>
    <row r="20" spans="1:16" x14ac:dyDescent="0.3">
      <c r="A20" t="s">
        <v>67</v>
      </c>
      <c r="B20" s="4">
        <v>44677.670138888891</v>
      </c>
      <c r="D20" s="35">
        <v>52</v>
      </c>
      <c r="E20" s="30">
        <f>IF(D20="","",_xlfn.XLOOKUP(D20,Flasks!A$3:A$50,Flasks!D$3:D$50)/0.999)</f>
        <v>139.39139139139141</v>
      </c>
      <c r="F20" s="24" t="s">
        <v>51</v>
      </c>
      <c r="G20">
        <v>33</v>
      </c>
      <c r="H20">
        <v>8</v>
      </c>
      <c r="I20">
        <v>750</v>
      </c>
      <c r="J20" s="1">
        <v>116.7</v>
      </c>
      <c r="L20" s="45">
        <f t="shared" si="0"/>
        <v>0.14255557597597601</v>
      </c>
      <c r="M20" s="46">
        <f>((J20-2)*Standards!$N$3/4-0.076)/L20</f>
        <v>21.27412184829473</v>
      </c>
      <c r="O20" s="55">
        <v>1</v>
      </c>
    </row>
    <row r="21" spans="1:16" x14ac:dyDescent="0.3">
      <c r="A21" t="s">
        <v>67</v>
      </c>
      <c r="B21" s="4">
        <v>44679.09375</v>
      </c>
      <c r="C21" s="4">
        <v>44681.909722222219</v>
      </c>
      <c r="D21" s="35">
        <v>19</v>
      </c>
      <c r="E21" s="30">
        <f>IF(D21="","",_xlfn.XLOOKUP(D21,Flasks!A$3:A$50,Flasks!D$3:D$50)/0.999)</f>
        <v>141.45545545545548</v>
      </c>
      <c r="F21" s="24" t="s">
        <v>52</v>
      </c>
      <c r="G21">
        <v>34</v>
      </c>
      <c r="H21">
        <v>10</v>
      </c>
      <c r="I21">
        <v>100</v>
      </c>
      <c r="J21" s="1">
        <v>800.81</v>
      </c>
      <c r="L21" s="45">
        <f t="shared" si="0"/>
        <v>0.14466649429429432</v>
      </c>
      <c r="M21" s="46">
        <f>((J21-2)*Standards!$N$3/4-0.076)/L21</f>
        <v>149.13170184016138</v>
      </c>
      <c r="O21" s="55">
        <v>3</v>
      </c>
    </row>
    <row r="22" spans="1:16" x14ac:dyDescent="0.3">
      <c r="A22" t="s">
        <v>67</v>
      </c>
      <c r="B22" s="4">
        <v>44679.09375</v>
      </c>
      <c r="C22" s="4">
        <v>44681.909722222219</v>
      </c>
      <c r="D22" s="35">
        <v>21</v>
      </c>
      <c r="E22" s="30">
        <f>IF(D22="","",_xlfn.XLOOKUP(D22,Flasks!A$3:A$50,Flasks!D$3:D$50)/0.999)</f>
        <v>142.40040040040037</v>
      </c>
      <c r="F22" s="24" t="s">
        <v>52</v>
      </c>
      <c r="G22">
        <v>34</v>
      </c>
      <c r="H22">
        <v>10</v>
      </c>
      <c r="I22">
        <v>100</v>
      </c>
      <c r="J22" s="1">
        <v>814.88</v>
      </c>
      <c r="L22" s="45">
        <f t="shared" si="0"/>
        <v>0.14563288948948944</v>
      </c>
      <c r="M22" s="46">
        <f>((J22-2)*Standards!$N$3/4-0.076)/L22</f>
        <v>150.76061137808324</v>
      </c>
      <c r="O22" s="55">
        <v>3</v>
      </c>
    </row>
    <row r="23" spans="1:16" x14ac:dyDescent="0.3">
      <c r="A23" t="s">
        <v>67</v>
      </c>
      <c r="B23" s="4">
        <v>44680.8125</v>
      </c>
      <c r="C23" s="4">
        <v>44681.909722222219</v>
      </c>
      <c r="D23" s="35">
        <v>14</v>
      </c>
      <c r="E23" s="30">
        <f>IF(D23="","",_xlfn.XLOOKUP(D23,Flasks!A$3:A$50,Flasks!D$3:D$50)/0.999)</f>
        <v>134.50550550550548</v>
      </c>
      <c r="F23" s="24" t="s">
        <v>54</v>
      </c>
      <c r="G23">
        <v>43</v>
      </c>
      <c r="H23">
        <v>3</v>
      </c>
      <c r="I23">
        <v>200</v>
      </c>
      <c r="J23" s="1">
        <v>447.24</v>
      </c>
      <c r="L23" s="45">
        <f t="shared" si="0"/>
        <v>0.13755878048048045</v>
      </c>
      <c r="M23" s="46">
        <f>((J23-2)*Standards!$N$3/4-0.076)/L23</f>
        <v>87.17334099050602</v>
      </c>
      <c r="O23" s="55">
        <v>3</v>
      </c>
      <c r="P23" t="s">
        <v>53</v>
      </c>
    </row>
    <row r="24" spans="1:16" x14ac:dyDescent="0.3">
      <c r="A24" t="s">
        <v>67</v>
      </c>
      <c r="B24" s="4">
        <v>44680.8125</v>
      </c>
      <c r="C24" s="4">
        <v>44681.909722222219</v>
      </c>
      <c r="D24" s="35">
        <v>31</v>
      </c>
      <c r="E24" s="30">
        <f>IF(D24="","",_xlfn.XLOOKUP(D24,Flasks!A$3:A$50,Flasks!D$3:D$50)/0.999)</f>
        <v>143.11111111111114</v>
      </c>
      <c r="F24" s="24" t="s">
        <v>54</v>
      </c>
      <c r="G24">
        <v>43</v>
      </c>
      <c r="H24">
        <v>4</v>
      </c>
      <c r="I24">
        <v>150</v>
      </c>
      <c r="J24" s="1">
        <v>1221.49</v>
      </c>
      <c r="L24" s="45">
        <f t="shared" si="0"/>
        <v>0.14635973333333335</v>
      </c>
      <c r="M24" s="46">
        <f>((J24-2)*Standards!$N$3/4-0.076)/L24</f>
        <v>225.30898347927982</v>
      </c>
      <c r="O24" s="55">
        <v>1</v>
      </c>
    </row>
    <row r="25" spans="1:16" x14ac:dyDescent="0.3">
      <c r="A25" t="s">
        <v>67</v>
      </c>
      <c r="B25" s="4">
        <v>44680.8125</v>
      </c>
      <c r="C25" s="4">
        <v>44681.909722222219</v>
      </c>
      <c r="D25" s="35">
        <v>18</v>
      </c>
      <c r="E25" s="30">
        <f>IF(D25="","",_xlfn.XLOOKUP(D25,Flasks!A$3:A$50,Flasks!D$3:D$50)/0.999)</f>
        <v>145.14014014014015</v>
      </c>
      <c r="F25" s="24" t="s">
        <v>54</v>
      </c>
      <c r="G25">
        <v>43</v>
      </c>
      <c r="H25">
        <v>5</v>
      </c>
      <c r="I25">
        <v>125</v>
      </c>
      <c r="J25" s="1">
        <v>1324.39</v>
      </c>
      <c r="L25" s="45">
        <f t="shared" si="0"/>
        <v>0.14843482132132133</v>
      </c>
      <c r="M25" s="46">
        <f>((J25-2)*Standards!$N$3/4-0.076)/L25</f>
        <v>240.94810481369836</v>
      </c>
      <c r="O25" s="55">
        <v>1</v>
      </c>
    </row>
    <row r="26" spans="1:16" x14ac:dyDescent="0.3">
      <c r="A26" t="s">
        <v>67</v>
      </c>
      <c r="D26" s="35">
        <v>19</v>
      </c>
      <c r="E26" s="30">
        <f>IF(D26="","",_xlfn.XLOOKUP(D26,Flasks!A$3:A$50,Flasks!D$3:D$50)/0.999)</f>
        <v>141.45545545545548</v>
      </c>
      <c r="F26" s="24" t="s">
        <v>56</v>
      </c>
      <c r="G26">
        <v>47</v>
      </c>
      <c r="H26">
        <v>22</v>
      </c>
      <c r="I26">
        <v>2</v>
      </c>
      <c r="J26" s="1">
        <v>1833.89</v>
      </c>
      <c r="L26" s="45">
        <f t="shared" si="0"/>
        <v>0.14466649429429432</v>
      </c>
      <c r="M26" s="46">
        <f>((J26-2)*Standards!$N$3/4-0.076)/L26</f>
        <v>342.67923284127255</v>
      </c>
      <c r="O26" s="55">
        <v>3</v>
      </c>
    </row>
    <row r="27" spans="1:16" x14ac:dyDescent="0.3">
      <c r="A27" t="s">
        <v>67</v>
      </c>
      <c r="D27" s="35">
        <v>14</v>
      </c>
      <c r="E27" s="30">
        <f>IF(D27="","",_xlfn.XLOOKUP(D27,Flasks!A$3:A$50,Flasks!D$3:D$50)/0.999)</f>
        <v>134.50550550550548</v>
      </c>
      <c r="F27" s="24" t="s">
        <v>56</v>
      </c>
      <c r="G27">
        <v>47</v>
      </c>
      <c r="H27">
        <v>22</v>
      </c>
      <c r="I27">
        <v>2</v>
      </c>
      <c r="J27" s="1">
        <v>1736.58</v>
      </c>
      <c r="L27" s="45">
        <f t="shared" si="0"/>
        <v>0.13755878048048045</v>
      </c>
      <c r="M27" s="46">
        <f>((J27-2)*Standards!$N$3/4-0.076)/L27</f>
        <v>341.21256551967605</v>
      </c>
      <c r="O27" s="55">
        <v>1</v>
      </c>
    </row>
    <row r="28" spans="1:16" x14ac:dyDescent="0.3">
      <c r="A28" t="s">
        <v>67</v>
      </c>
      <c r="D28" s="35">
        <v>21</v>
      </c>
      <c r="E28" s="30">
        <f>IF(D28="","",_xlfn.XLOOKUP(D28,Flasks!A$3:A$50,Flasks!D$3:D$50)/0.999)</f>
        <v>142.40040040040037</v>
      </c>
      <c r="F28" s="24" t="s">
        <v>56</v>
      </c>
      <c r="G28">
        <v>47</v>
      </c>
      <c r="H28">
        <v>22</v>
      </c>
      <c r="I28">
        <v>2</v>
      </c>
      <c r="J28" s="1">
        <v>1838.67</v>
      </c>
      <c r="L28" s="45">
        <f t="shared" si="0"/>
        <v>0.14563288948948944</v>
      </c>
      <c r="M28" s="46">
        <f>((J28-2)*Standards!$N$3/4-0.076)/L28</f>
        <v>341.29486183917516</v>
      </c>
      <c r="O28" s="55">
        <v>1</v>
      </c>
    </row>
    <row r="29" spans="1:16" x14ac:dyDescent="0.3">
      <c r="A29" t="s">
        <v>67</v>
      </c>
      <c r="D29" s="35">
        <v>9</v>
      </c>
      <c r="E29" s="30">
        <f>IF(D29="","",_xlfn.XLOOKUP(D29,Flasks!A$3:A$50,Flasks!D$3:D$50)/0.999)</f>
        <v>138.04604604604606</v>
      </c>
      <c r="F29" s="24" t="s">
        <v>56</v>
      </c>
      <c r="G29">
        <v>47</v>
      </c>
      <c r="H29">
        <v>1</v>
      </c>
      <c r="I29">
        <v>265</v>
      </c>
      <c r="J29" s="1">
        <v>991.47</v>
      </c>
      <c r="L29" s="45">
        <f t="shared" si="0"/>
        <v>0.14117969129129129</v>
      </c>
      <c r="M29" s="46">
        <f>((J29-2)*Standards!$N$3/4-0.076)/L29</f>
        <v>189.41725316676471</v>
      </c>
      <c r="O29" s="55">
        <v>1</v>
      </c>
    </row>
    <row r="30" spans="1:16" x14ac:dyDescent="0.3">
      <c r="A30" t="s">
        <v>67</v>
      </c>
      <c r="D30" s="35">
        <v>26</v>
      </c>
      <c r="E30" s="30">
        <f>IF(D30="","",_xlfn.XLOOKUP(D30,Flasks!A$3:A$50,Flasks!D$3:D$50)/0.999)</f>
        <v>143.17817817817817</v>
      </c>
      <c r="F30" s="24" t="s">
        <v>56</v>
      </c>
      <c r="G30">
        <v>47</v>
      </c>
      <c r="H30">
        <v>1</v>
      </c>
      <c r="I30">
        <v>265</v>
      </c>
      <c r="J30" s="1">
        <v>1028.94</v>
      </c>
      <c r="L30" s="45">
        <f t="shared" si="0"/>
        <v>0.14642832282282281</v>
      </c>
      <c r="M30" s="46">
        <f>((J30-2)*Standards!$N$3/4-0.076)/L30</f>
        <v>189.56324976238329</v>
      </c>
      <c r="O30" s="55">
        <v>1</v>
      </c>
    </row>
    <row r="31" spans="1:16" x14ac:dyDescent="0.3">
      <c r="A31" t="s">
        <v>67</v>
      </c>
      <c r="D31" s="35">
        <v>39</v>
      </c>
      <c r="E31" s="30">
        <f>IF(D31="","",_xlfn.XLOOKUP(D31,Flasks!A$3:A$50,Flasks!D$3:D$50)/0.999)</f>
        <v>141.31031031031031</v>
      </c>
      <c r="F31" s="24" t="s">
        <v>56</v>
      </c>
      <c r="G31">
        <v>47</v>
      </c>
      <c r="H31">
        <v>1</v>
      </c>
      <c r="I31">
        <v>265</v>
      </c>
      <c r="J31" s="1">
        <v>1018.19</v>
      </c>
      <c r="L31" s="45">
        <f t="shared" si="0"/>
        <v>0.14451805435435436</v>
      </c>
      <c r="M31" s="46">
        <f>((J31-2)*Standards!$N$3/4-0.076)/L31</f>
        <v>190.05285351337213</v>
      </c>
      <c r="O31" s="55">
        <v>1</v>
      </c>
    </row>
    <row r="32" spans="1:16" x14ac:dyDescent="0.3">
      <c r="A32" t="s">
        <v>67</v>
      </c>
      <c r="D32" s="35">
        <v>40</v>
      </c>
      <c r="E32" s="30">
        <f>IF(D32="","",_xlfn.XLOOKUP(D32,Flasks!A$3:A$50,Flasks!D$3:D$50)/0.999)</f>
        <v>136.95395395395397</v>
      </c>
      <c r="F32" s="24" t="s">
        <v>56</v>
      </c>
      <c r="G32">
        <v>47</v>
      </c>
      <c r="H32">
        <v>1</v>
      </c>
      <c r="I32">
        <v>265</v>
      </c>
      <c r="J32" s="1">
        <v>1043.8800000000001</v>
      </c>
      <c r="L32" s="45">
        <f t="shared" si="0"/>
        <v>0.14006280870870871</v>
      </c>
      <c r="M32" s="46">
        <f>((J32-2)*Standards!$N$3/4-0.076)/L32</f>
        <v>201.0694473149197</v>
      </c>
      <c r="O32" s="55">
        <v>3</v>
      </c>
    </row>
    <row r="33" spans="1:15" x14ac:dyDescent="0.3">
      <c r="A33" t="s">
        <v>67</v>
      </c>
      <c r="D33" s="35">
        <v>35</v>
      </c>
      <c r="E33" s="30">
        <f>IF(D33="","",_xlfn.XLOOKUP(D33,Flasks!A$3:A$50,Flasks!D$3:D$50)/0.999)</f>
        <v>135.26726726726727</v>
      </c>
      <c r="F33" s="24" t="s">
        <v>56</v>
      </c>
      <c r="H33" t="s">
        <v>61</v>
      </c>
      <c r="I33">
        <v>5</v>
      </c>
      <c r="J33" s="1">
        <v>1752.52</v>
      </c>
      <c r="L33" s="45">
        <f t="shared" si="0"/>
        <v>0.13833783423423424</v>
      </c>
      <c r="M33" s="46">
        <f>((J33-2)*Standards!$N$3/4-0.076)/L33</f>
        <v>342.41399492281533</v>
      </c>
      <c r="O33" s="55">
        <v>2</v>
      </c>
    </row>
    <row r="34" spans="1:15" x14ac:dyDescent="0.3">
      <c r="A34" t="s">
        <v>67</v>
      </c>
      <c r="D34" s="35">
        <v>25</v>
      </c>
      <c r="E34" s="30">
        <f>IF(D34="","",_xlfn.XLOOKUP(D34,Flasks!A$3:A$50,Flasks!D$3:D$50)/0.999)</f>
        <v>145.38138138138137</v>
      </c>
      <c r="F34" s="24" t="s">
        <v>56</v>
      </c>
      <c r="H34" t="s">
        <v>61</v>
      </c>
      <c r="I34">
        <v>5</v>
      </c>
      <c r="J34" s="1">
        <v>1881.01</v>
      </c>
      <c r="L34" s="45">
        <f t="shared" si="0"/>
        <v>0.14868153873873871</v>
      </c>
      <c r="M34" s="46">
        <f>((J34-2)*Standards!$N$3/4-0.076)/L34</f>
        <v>342.01495116409347</v>
      </c>
      <c r="O34" s="55">
        <v>2</v>
      </c>
    </row>
    <row r="35" spans="1:15" x14ac:dyDescent="0.3">
      <c r="A35" t="s">
        <v>67</v>
      </c>
      <c r="D35" s="35">
        <v>17</v>
      </c>
      <c r="E35" s="30">
        <f>IF(D35="","",_xlfn.XLOOKUP(D35,Flasks!A$3:A$50,Flasks!D$3:D$50)/0.999)</f>
        <v>142.01301301301299</v>
      </c>
      <c r="F35" s="24" t="s">
        <v>57</v>
      </c>
      <c r="G35">
        <v>48</v>
      </c>
      <c r="H35">
        <v>14</v>
      </c>
      <c r="I35">
        <v>40</v>
      </c>
      <c r="J35" s="1">
        <v>1716.97</v>
      </c>
      <c r="L35" s="45">
        <f t="shared" si="0"/>
        <v>0.14523670840840838</v>
      </c>
      <c r="M35" s="46">
        <f>((J35-2)*Standards!$N$3/4-0.076)/L35</f>
        <v>319.51487916205173</v>
      </c>
      <c r="O35" s="55">
        <v>1</v>
      </c>
    </row>
    <row r="36" spans="1:15" x14ac:dyDescent="0.3">
      <c r="A36" t="s">
        <v>67</v>
      </c>
      <c r="D36" s="35">
        <v>38</v>
      </c>
      <c r="E36" s="30">
        <f>IF(D36="","",_xlfn.XLOOKUP(D36,Flasks!A$3:A$50,Flasks!D$3:D$50)/0.999)</f>
        <v>141.41741741741743</v>
      </c>
      <c r="F36" s="24" t="s">
        <v>57</v>
      </c>
      <c r="G36">
        <v>48</v>
      </c>
      <c r="H36">
        <v>12</v>
      </c>
      <c r="I36">
        <v>50</v>
      </c>
      <c r="J36" s="1">
        <v>1695.58</v>
      </c>
      <c r="L36" s="45">
        <f t="shared" si="0"/>
        <v>0.1446275927927928</v>
      </c>
      <c r="M36" s="46">
        <f>((J36-2)*Standards!$N$3/4-0.076)/L36</f>
        <v>316.85205828871563</v>
      </c>
      <c r="O36" s="55">
        <v>1</v>
      </c>
    </row>
    <row r="37" spans="1:15" x14ac:dyDescent="0.3">
      <c r="A37" t="s">
        <v>67</v>
      </c>
      <c r="D37" s="35">
        <v>15</v>
      </c>
      <c r="E37" s="30">
        <f>IF(D37="","",_xlfn.XLOOKUP(D37,Flasks!A$3:A$50,Flasks!D$3:D$50)/0.999)</f>
        <v>143.45545545545548</v>
      </c>
      <c r="F37" s="24" t="s">
        <v>57</v>
      </c>
      <c r="G37">
        <v>48</v>
      </c>
      <c r="H37">
        <v>18</v>
      </c>
      <c r="I37">
        <v>20</v>
      </c>
      <c r="J37" s="1">
        <v>1664.02</v>
      </c>
      <c r="L37" s="45">
        <f t="shared" si="0"/>
        <v>0.14671189429429432</v>
      </c>
      <c r="M37" s="46">
        <f>((J37-2)*Standards!$N$3/4-0.076)/L37</f>
        <v>306.52028303622319</v>
      </c>
      <c r="O37" s="55">
        <v>1</v>
      </c>
    </row>
    <row r="38" spans="1:15" x14ac:dyDescent="0.3">
      <c r="A38" t="s">
        <v>67</v>
      </c>
      <c r="D38" s="35">
        <v>40</v>
      </c>
      <c r="E38" s="30">
        <f>IF(D38="","",_xlfn.XLOOKUP(D38,Flasks!A$3:A$50,Flasks!D$3:D$50)/0.999)</f>
        <v>136.95395395395397</v>
      </c>
      <c r="F38" s="24" t="s">
        <v>58</v>
      </c>
      <c r="G38">
        <v>51</v>
      </c>
      <c r="H38">
        <v>1</v>
      </c>
      <c r="I38">
        <v>40</v>
      </c>
      <c r="J38" s="1">
        <v>1651.15</v>
      </c>
      <c r="L38" s="45">
        <f t="shared" si="0"/>
        <v>0.14006280870870871</v>
      </c>
      <c r="M38" s="46">
        <f>((J38-2)*Standards!$N$3/4-0.076)/L38</f>
        <v>318.58101899059034</v>
      </c>
      <c r="O38" s="55">
        <v>1</v>
      </c>
    </row>
    <row r="39" spans="1:15" x14ac:dyDescent="0.3">
      <c r="A39" t="s">
        <v>67</v>
      </c>
      <c r="D39" s="35">
        <v>35</v>
      </c>
      <c r="E39" s="30">
        <f>IF(D39="","",_xlfn.XLOOKUP(D39,Flasks!A$3:A$50,Flasks!D$3:D$50)/0.999)</f>
        <v>135.26726726726727</v>
      </c>
      <c r="F39" s="24" t="s">
        <v>58</v>
      </c>
      <c r="G39">
        <v>51</v>
      </c>
      <c r="H39">
        <v>1</v>
      </c>
      <c r="I39">
        <v>40</v>
      </c>
      <c r="J39" s="1">
        <v>1651.28</v>
      </c>
      <c r="L39" s="45">
        <f t="shared" si="0"/>
        <v>0.13833783423423424</v>
      </c>
      <c r="M39" s="46">
        <f>((J39-2)*Standards!$N$3/4-0.076)/L39</f>
        <v>322.57896758901029</v>
      </c>
      <c r="O39" s="55">
        <v>1</v>
      </c>
    </row>
    <row r="40" spans="1:15" x14ac:dyDescent="0.3">
      <c r="A40" t="s">
        <v>67</v>
      </c>
      <c r="D40" s="35">
        <v>25</v>
      </c>
      <c r="E40" s="30">
        <f>IF(D40="","",_xlfn.XLOOKUP(D40,Flasks!A$3:A$50,Flasks!D$3:D$50)/0.999)</f>
        <v>145.38138138138137</v>
      </c>
      <c r="F40" s="24" t="s">
        <v>58</v>
      </c>
      <c r="G40">
        <v>51</v>
      </c>
      <c r="H40">
        <v>1</v>
      </c>
      <c r="I40">
        <v>40</v>
      </c>
      <c r="J40" s="1">
        <v>1754.4</v>
      </c>
      <c r="L40" s="45">
        <f t="shared" si="0"/>
        <v>0.14868153873873871</v>
      </c>
      <c r="M40" s="46">
        <f>((J40-2)*Standards!$N$3/4-0.076)/L40</f>
        <v>318.93512142004766</v>
      </c>
      <c r="O40" s="55">
        <v>1</v>
      </c>
    </row>
    <row r="41" spans="1:15" x14ac:dyDescent="0.3">
      <c r="A41" t="s">
        <v>67</v>
      </c>
      <c r="D41" s="35">
        <v>18</v>
      </c>
      <c r="E41" s="30">
        <f>IF(D41="","",_xlfn.XLOOKUP(D41,Flasks!A$3:A$50,Flasks!D$3:D$50)/0.999)</f>
        <v>145.14014014014015</v>
      </c>
      <c r="F41" s="24" t="s">
        <v>59</v>
      </c>
      <c r="G41">
        <v>55</v>
      </c>
      <c r="H41">
        <v>6</v>
      </c>
      <c r="I41">
        <v>125</v>
      </c>
      <c r="J41" s="1">
        <v>938.42</v>
      </c>
      <c r="L41" s="45">
        <f t="shared" si="0"/>
        <v>0.14843482132132133</v>
      </c>
      <c r="M41" s="46">
        <f>((J41-2)*Standards!$N$3/4-0.076)/L41</f>
        <v>170.47240534443068</v>
      </c>
      <c r="O41" s="55">
        <v>1</v>
      </c>
    </row>
    <row r="42" spans="1:15" x14ac:dyDescent="0.3">
      <c r="A42" t="s">
        <v>67</v>
      </c>
      <c r="D42" s="35">
        <v>52</v>
      </c>
      <c r="E42" s="30">
        <f>IF(D42="","",_xlfn.XLOOKUP(D42,Flasks!A$3:A$50,Flasks!D$3:D$50)/0.999)</f>
        <v>139.39139139139141</v>
      </c>
      <c r="F42" s="24" t="s">
        <v>59</v>
      </c>
      <c r="G42">
        <v>55</v>
      </c>
      <c r="H42">
        <v>2</v>
      </c>
      <c r="I42">
        <v>281</v>
      </c>
      <c r="J42" s="1">
        <v>353.84</v>
      </c>
      <c r="L42" s="45">
        <f t="shared" si="0"/>
        <v>0.14255557597597601</v>
      </c>
      <c r="M42" s="46">
        <f>((J42-2)*Standards!$N$3/4-0.076)/L42</f>
        <v>66.360177776934933</v>
      </c>
      <c r="O42" s="55">
        <v>1</v>
      </c>
    </row>
    <row r="43" spans="1:15" x14ac:dyDescent="0.3">
      <c r="A43" t="s">
        <v>67</v>
      </c>
      <c r="D43" s="35">
        <v>46</v>
      </c>
      <c r="E43" s="30">
        <f>IF(D43="","",_xlfn.XLOOKUP(D43,Flasks!A$3:A$50,Flasks!D$3:D$50)/0.999)</f>
        <v>134.96796796796801</v>
      </c>
      <c r="F43" s="24" t="s">
        <v>60</v>
      </c>
      <c r="G43">
        <v>58</v>
      </c>
      <c r="H43">
        <v>2</v>
      </c>
      <c r="I43">
        <v>1000</v>
      </c>
      <c r="J43" s="1">
        <v>78.86</v>
      </c>
      <c r="L43" s="45">
        <f t="shared" si="0"/>
        <v>0.13803174084084088</v>
      </c>
      <c r="M43" s="46">
        <f>((J43-2)*Standards!$N$3/4-0.076)/L43</f>
        <v>14.54127194462529</v>
      </c>
      <c r="O43" s="55">
        <v>1</v>
      </c>
    </row>
    <row r="44" spans="1:15" x14ac:dyDescent="0.3">
      <c r="A44" t="s">
        <v>67</v>
      </c>
      <c r="D44" s="35">
        <v>48</v>
      </c>
      <c r="E44" s="30">
        <f>IF(D44="","",_xlfn.XLOOKUP(D44,Flasks!A$3:A$50,Flasks!D$3:D$50)/0.999)</f>
        <v>143.31831831831832</v>
      </c>
      <c r="F44" s="24" t="s">
        <v>60</v>
      </c>
      <c r="G44">
        <v>58</v>
      </c>
      <c r="H44">
        <v>2</v>
      </c>
      <c r="I44">
        <v>1000</v>
      </c>
      <c r="J44" s="1">
        <v>82.6</v>
      </c>
      <c r="L44" s="45">
        <f t="shared" si="0"/>
        <v>0.14657164414414414</v>
      </c>
      <c r="M44" s="46">
        <f>((J44-2)*Standards!$N$3/4-0.076)/L44</f>
        <v>14.385615378907588</v>
      </c>
      <c r="O44" s="55">
        <v>1</v>
      </c>
    </row>
    <row r="45" spans="1:15" x14ac:dyDescent="0.3">
      <c r="A45" t="s">
        <v>67</v>
      </c>
      <c r="D45" s="35">
        <v>4</v>
      </c>
      <c r="E45" s="30">
        <f>IF(D45="","",_xlfn.XLOOKUP(D45,Flasks!A$3:A$50,Flasks!D$3:D$50)/0.999)</f>
        <v>137.88288288288288</v>
      </c>
      <c r="F45" s="24" t="s">
        <v>60</v>
      </c>
      <c r="G45">
        <v>58</v>
      </c>
      <c r="H45">
        <v>2</v>
      </c>
      <c r="I45">
        <v>1000</v>
      </c>
      <c r="J45" s="1">
        <v>80.58</v>
      </c>
      <c r="L45" s="45">
        <f t="shared" si="0"/>
        <v>0.14101282432432433</v>
      </c>
      <c r="M45" s="46">
        <f>((J45-2)*Standards!$N$3/4-0.076)/L45</f>
        <v>14.564453333703467</v>
      </c>
      <c r="O45" s="55">
        <v>1</v>
      </c>
    </row>
    <row r="46" spans="1:15" x14ac:dyDescent="0.3">
      <c r="A46" t="s">
        <v>67</v>
      </c>
      <c r="D46" s="35">
        <v>31</v>
      </c>
      <c r="E46" s="30">
        <f>IF(D46="","",_xlfn.XLOOKUP(D46,Flasks!A$3:A$50,Flasks!D$3:D$50)/0.999)</f>
        <v>143.11111111111114</v>
      </c>
      <c r="F46" s="24" t="s">
        <v>60</v>
      </c>
      <c r="G46">
        <v>58</v>
      </c>
      <c r="H46">
        <v>2</v>
      </c>
      <c r="I46">
        <v>1000</v>
      </c>
      <c r="J46" s="1">
        <v>83.5</v>
      </c>
      <c r="L46" s="45">
        <f t="shared" si="0"/>
        <v>0.14635973333333335</v>
      </c>
      <c r="M46" s="46">
        <f>((J46-2)*Standards!$N$3/4-0.076)/L46</f>
        <v>14.573108255857674</v>
      </c>
      <c r="O46" s="55">
        <v>1</v>
      </c>
    </row>
    <row r="47" spans="1:15" x14ac:dyDescent="0.3">
      <c r="A47" t="s">
        <v>67</v>
      </c>
      <c r="D47" s="35">
        <v>17</v>
      </c>
      <c r="E47" s="30">
        <f>IF(D47="","",_xlfn.XLOOKUP(D47,Flasks!A$3:A$50,Flasks!D$3:D$50)/0.999)</f>
        <v>142.01301301301299</v>
      </c>
      <c r="F47" s="24" t="s">
        <v>60</v>
      </c>
      <c r="G47">
        <v>58</v>
      </c>
      <c r="H47">
        <v>2</v>
      </c>
      <c r="I47">
        <v>1000</v>
      </c>
      <c r="J47" s="1">
        <v>81.739999999999995</v>
      </c>
      <c r="L47" s="45">
        <f t="shared" si="0"/>
        <v>0.14523670840840838</v>
      </c>
      <c r="M47" s="46">
        <f>((J47-2)*Standards!$N$3/4-0.076)/L47</f>
        <v>14.357351606067722</v>
      </c>
      <c r="O47" s="55">
        <v>1</v>
      </c>
    </row>
    <row r="48" spans="1:15" x14ac:dyDescent="0.3">
      <c r="A48" t="s">
        <v>67</v>
      </c>
      <c r="D48" s="35">
        <v>38</v>
      </c>
      <c r="E48" s="30">
        <f>IF(D48="","",_xlfn.XLOOKUP(D48,Flasks!A$3:A$50,Flasks!D$3:D$50)/0.999)</f>
        <v>141.41741741741743</v>
      </c>
      <c r="F48" s="24" t="s">
        <v>60</v>
      </c>
      <c r="G48">
        <v>58</v>
      </c>
      <c r="H48">
        <v>2</v>
      </c>
      <c r="I48">
        <v>1000</v>
      </c>
      <c r="J48" s="1">
        <v>80.28</v>
      </c>
      <c r="L48" s="45">
        <f t="shared" si="0"/>
        <v>0.1446275927927928</v>
      </c>
      <c r="M48" s="46">
        <f>((J48-2)*Standards!$N$3/4-0.076)/L48</f>
        <v>14.144214667517447</v>
      </c>
      <c r="O48" s="55">
        <v>1</v>
      </c>
    </row>
    <row r="49" spans="1:15" x14ac:dyDescent="0.3">
      <c r="A49" t="s">
        <v>67</v>
      </c>
      <c r="D49" s="35">
        <v>34</v>
      </c>
      <c r="E49" s="30">
        <f>IF(D49="","",_xlfn.XLOOKUP(D49,Flasks!A$3:A$50,Flasks!D$3:D$50)/0.999)</f>
        <v>139.42542542542543</v>
      </c>
      <c r="F49" s="24" t="s">
        <v>60</v>
      </c>
      <c r="G49">
        <v>58</v>
      </c>
      <c r="H49">
        <v>6</v>
      </c>
      <c r="I49">
        <v>500</v>
      </c>
      <c r="J49" s="1">
        <v>166.74</v>
      </c>
      <c r="L49" s="45">
        <f t="shared" si="0"/>
        <v>0.14259038258258258</v>
      </c>
      <c r="M49" s="46">
        <f>((J49-2)*Standards!$N$3/4-0.076)/L49</f>
        <v>30.780422079949798</v>
      </c>
      <c r="O49" s="55">
        <v>1</v>
      </c>
    </row>
    <row r="50" spans="1:15" x14ac:dyDescent="0.3">
      <c r="A50" t="s">
        <v>67</v>
      </c>
      <c r="D50" s="35">
        <v>36</v>
      </c>
      <c r="E50" s="30">
        <f>IF(D50="","",_xlfn.XLOOKUP(D50,Flasks!A$3:A$50,Flasks!D$3:D$50)/0.999)</f>
        <v>140.27927927927928</v>
      </c>
      <c r="F50" s="24" t="s">
        <v>60</v>
      </c>
      <c r="G50">
        <v>58</v>
      </c>
      <c r="H50">
        <v>6</v>
      </c>
      <c r="I50">
        <v>500</v>
      </c>
      <c r="J50" s="1">
        <v>165.68</v>
      </c>
      <c r="L50" s="45">
        <f t="shared" si="0"/>
        <v>0.1434636189189189</v>
      </c>
      <c r="M50" s="46">
        <f>((J50-2)*Standards!$N$3/4-0.076)/L50</f>
        <v>30.39281129641785</v>
      </c>
      <c r="O50" s="55">
        <v>1</v>
      </c>
    </row>
    <row r="51" spans="1:15" x14ac:dyDescent="0.3">
      <c r="A51" t="s">
        <v>67</v>
      </c>
      <c r="D51" s="35">
        <v>15</v>
      </c>
      <c r="E51" s="30">
        <f>IF(D51="","",_xlfn.XLOOKUP(D51,Flasks!A$3:A$50,Flasks!D$3:D$50)/0.999)</f>
        <v>143.45545545545548</v>
      </c>
      <c r="F51" s="24" t="s">
        <v>60</v>
      </c>
      <c r="G51">
        <v>58</v>
      </c>
      <c r="H51">
        <v>2</v>
      </c>
      <c r="I51">
        <v>1000</v>
      </c>
      <c r="J51" s="1">
        <v>87.15</v>
      </c>
      <c r="L51" s="45">
        <f t="shared" si="0"/>
        <v>0.14671189429429432</v>
      </c>
      <c r="M51" s="46">
        <f>((J51-2)*Standards!$N$3/4-0.076)/L51</f>
        <v>15.212421408982186</v>
      </c>
      <c r="O51" s="55">
        <v>1</v>
      </c>
    </row>
    <row r="52" spans="1:15" x14ac:dyDescent="0.3">
      <c r="A52" t="s">
        <v>67</v>
      </c>
      <c r="D52" s="35">
        <v>29</v>
      </c>
      <c r="E52" s="30">
        <f>IF(D52="","",_xlfn.XLOOKUP(D52,Flasks!A$3:A$50,Flasks!D$3:D$50)/0.999)</f>
        <v>143.88288288288285</v>
      </c>
      <c r="F52" s="24" t="s">
        <v>60</v>
      </c>
      <c r="G52">
        <v>58</v>
      </c>
      <c r="H52">
        <v>2</v>
      </c>
      <c r="I52">
        <v>1000</v>
      </c>
      <c r="J52" s="1">
        <v>82.01</v>
      </c>
      <c r="L52" s="45">
        <f t="shared" si="0"/>
        <v>0.14714902432432431</v>
      </c>
      <c r="M52" s="46">
        <f>((J52-2)*Standards!$N$3/4-0.076)/L52</f>
        <v>14.220497759682088</v>
      </c>
      <c r="O52" s="55">
        <v>1</v>
      </c>
    </row>
    <row r="53" spans="1:15" x14ac:dyDescent="0.3">
      <c r="A53" t="s">
        <v>67</v>
      </c>
      <c r="D53" s="35">
        <v>22</v>
      </c>
      <c r="E53" s="30">
        <f>IF(D53="","",_xlfn.XLOOKUP(D53,Flasks!A$3:A$50,Flasks!D$3:D$50)/0.999)</f>
        <v>141.65765765765764</v>
      </c>
      <c r="F53" s="24" t="s">
        <v>60</v>
      </c>
      <c r="G53">
        <v>58</v>
      </c>
      <c r="H53">
        <v>6</v>
      </c>
      <c r="I53">
        <v>500</v>
      </c>
      <c r="J53" s="1">
        <v>169.03</v>
      </c>
      <c r="L53" s="45">
        <f t="shared" si="0"/>
        <v>0.14487328648648645</v>
      </c>
      <c r="M53" s="46">
        <f>((J53-2)*Standards!$N$3/4-0.076)/L53</f>
        <v>30.723805258956641</v>
      </c>
      <c r="O53" s="55">
        <v>1</v>
      </c>
    </row>
    <row r="54" spans="1:15" x14ac:dyDescent="0.3">
      <c r="A54" t="s">
        <v>68</v>
      </c>
      <c r="B54" s="4">
        <v>44749.673611111109</v>
      </c>
      <c r="C54" s="4">
        <v>44750.627083333333</v>
      </c>
      <c r="D54" s="35">
        <v>48</v>
      </c>
      <c r="E54" s="30">
        <f>IF(D54="","",_xlfn.XLOOKUP(D54,Flasks!A$3:A$50,Flasks!D$3:D$50)/0.999)</f>
        <v>143.31831831831832</v>
      </c>
      <c r="F54" s="24" t="s">
        <v>69</v>
      </c>
      <c r="G54">
        <v>1</v>
      </c>
      <c r="H54">
        <v>1</v>
      </c>
      <c r="I54">
        <v>288</v>
      </c>
      <c r="J54" s="1">
        <v>809.96</v>
      </c>
      <c r="L54" s="45">
        <f t="shared" si="0"/>
        <v>0.14657164414414414</v>
      </c>
      <c r="M54" s="46">
        <f>((J54-2)*Standards!$N$3/4-0.076)/L54</f>
        <v>148.88524660636023</v>
      </c>
      <c r="O54" s="55">
        <v>1</v>
      </c>
    </row>
    <row r="55" spans="1:15" x14ac:dyDescent="0.3">
      <c r="A55" t="s">
        <v>68</v>
      </c>
      <c r="B55" s="4">
        <v>44749.673611111109</v>
      </c>
      <c r="C55" s="4">
        <v>44750.635416666664</v>
      </c>
      <c r="D55" s="35">
        <v>18</v>
      </c>
      <c r="E55" s="30">
        <f>IF(D55="","",_xlfn.XLOOKUP(D55,Flasks!A$3:A$50,Flasks!D$3:D$50)/0.999)</f>
        <v>145.14014014014015</v>
      </c>
      <c r="F55" s="24" t="s">
        <v>69</v>
      </c>
      <c r="G55">
        <v>1</v>
      </c>
      <c r="H55">
        <v>17</v>
      </c>
      <c r="I55">
        <v>0</v>
      </c>
      <c r="J55" s="1">
        <v>1504.74</v>
      </c>
      <c r="L55" s="45">
        <f t="shared" si="0"/>
        <v>0.14843482132132133</v>
      </c>
      <c r="M55" s="46">
        <f>((J55-2)*Standards!$N$3/4-0.076)/L55</f>
        <v>273.87888285158317</v>
      </c>
      <c r="O55" s="55">
        <v>1</v>
      </c>
    </row>
    <row r="56" spans="1:15" x14ac:dyDescent="0.3">
      <c r="A56" t="s">
        <v>68</v>
      </c>
      <c r="B56" s="4">
        <v>44749.673611111109</v>
      </c>
      <c r="C56" s="4">
        <v>44750.63958333333</v>
      </c>
      <c r="D56" s="35">
        <v>38</v>
      </c>
      <c r="E56" s="30">
        <f>IF(D56="","",_xlfn.XLOOKUP(D56,Flasks!A$3:A$50,Flasks!D$3:D$50)/0.999)</f>
        <v>141.41741741741743</v>
      </c>
      <c r="F56" s="24" t="s">
        <v>69</v>
      </c>
      <c r="G56">
        <v>1</v>
      </c>
      <c r="H56">
        <v>17</v>
      </c>
      <c r="I56">
        <v>0</v>
      </c>
      <c r="J56" s="1">
        <v>1464.06</v>
      </c>
      <c r="L56" s="45">
        <f t="shared" si="0"/>
        <v>0.1446275927927928</v>
      </c>
      <c r="M56" s="46">
        <f>((J56-2)*Standards!$N$3/4-0.076)/L56</f>
        <v>273.46512090545571</v>
      </c>
      <c r="O56" s="55">
        <v>1</v>
      </c>
    </row>
    <row r="57" spans="1:15" x14ac:dyDescent="0.3">
      <c r="A57" t="s">
        <v>68</v>
      </c>
      <c r="B57" s="4">
        <v>44749.673611111109</v>
      </c>
      <c r="C57" s="4">
        <v>44750.654166666667</v>
      </c>
      <c r="D57" s="35">
        <v>4</v>
      </c>
      <c r="E57" s="30">
        <f>IF(D57="","",_xlfn.XLOOKUP(D57,Flasks!A$3:A$50,Flasks!D$3:D$50)/0.999)</f>
        <v>137.88288288288288</v>
      </c>
      <c r="F57" s="24" t="s">
        <v>69</v>
      </c>
      <c r="G57">
        <v>1</v>
      </c>
      <c r="H57">
        <v>17</v>
      </c>
      <c r="I57">
        <v>0</v>
      </c>
      <c r="J57" s="1">
        <v>1427.06</v>
      </c>
      <c r="L57" s="45">
        <f t="shared" si="0"/>
        <v>0.14101282432432433</v>
      </c>
      <c r="M57" s="46">
        <f>((J57-2)*Standards!$N$3/4-0.076)/L57</f>
        <v>273.36365656947174</v>
      </c>
      <c r="O57" s="55">
        <v>1</v>
      </c>
    </row>
    <row r="58" spans="1:15" x14ac:dyDescent="0.3">
      <c r="A58" t="s">
        <v>68</v>
      </c>
      <c r="B58" s="4">
        <v>44749.84097222222</v>
      </c>
      <c r="C58" s="4">
        <v>44750.679861111108</v>
      </c>
      <c r="D58" s="35">
        <v>46</v>
      </c>
      <c r="E58" s="30">
        <f>IF(D58="","",_xlfn.XLOOKUP(D58,Flasks!A$3:A$50,Flasks!D$3:D$50)/0.999)</f>
        <v>134.96796796796801</v>
      </c>
      <c r="F58" s="24" t="s">
        <v>56</v>
      </c>
      <c r="G58">
        <v>2</v>
      </c>
      <c r="H58">
        <v>1</v>
      </c>
      <c r="I58">
        <v>263</v>
      </c>
      <c r="J58" s="1">
        <v>674.89</v>
      </c>
      <c r="L58" s="45">
        <f t="shared" si="0"/>
        <v>0.13803174084084088</v>
      </c>
      <c r="M58" s="46">
        <f>((J58-2)*Standards!$N$3/4-0.076)/L58</f>
        <v>131.5749336825906</v>
      </c>
      <c r="O58" s="55">
        <v>1</v>
      </c>
    </row>
    <row r="59" spans="1:15" x14ac:dyDescent="0.3">
      <c r="A59" t="s">
        <v>68</v>
      </c>
      <c r="B59" s="4">
        <v>44749.84097222222</v>
      </c>
      <c r="C59" s="4">
        <v>44750.698611111111</v>
      </c>
      <c r="D59" s="35">
        <v>31</v>
      </c>
      <c r="E59" s="30">
        <f>IF(D59="","",_xlfn.XLOOKUP(D59,Flasks!A$3:A$50,Flasks!D$3:D$50)/0.999)</f>
        <v>143.11111111111114</v>
      </c>
      <c r="F59" s="24" t="s">
        <v>56</v>
      </c>
      <c r="G59">
        <v>2</v>
      </c>
      <c r="H59">
        <v>1</v>
      </c>
      <c r="I59">
        <v>263</v>
      </c>
      <c r="J59" s="1">
        <v>692.86</v>
      </c>
      <c r="L59" s="45">
        <f t="shared" si="0"/>
        <v>0.14635973333333335</v>
      </c>
      <c r="M59" s="46">
        <f>((J59-2)*Standards!$N$3/4-0.076)/L59</f>
        <v>127.41593897154455</v>
      </c>
      <c r="O59" s="55">
        <v>1</v>
      </c>
    </row>
    <row r="60" spans="1:15" x14ac:dyDescent="0.3">
      <c r="A60" t="s">
        <v>68</v>
      </c>
      <c r="B60" s="4">
        <v>44749.84097222222</v>
      </c>
      <c r="C60" s="4">
        <v>44750.666666666664</v>
      </c>
      <c r="D60" s="35">
        <v>17</v>
      </c>
      <c r="E60" s="30">
        <f>IF(D60="","",_xlfn.XLOOKUP(D60,Flasks!A$3:A$50,Flasks!D$3:D$50)/0.999)</f>
        <v>142.01301301301299</v>
      </c>
      <c r="F60" s="24" t="s">
        <v>56</v>
      </c>
      <c r="G60">
        <v>2</v>
      </c>
      <c r="H60">
        <v>1</v>
      </c>
      <c r="I60">
        <v>263</v>
      </c>
      <c r="J60" s="1">
        <v>683.7</v>
      </c>
      <c r="L60" s="45">
        <f t="shared" si="0"/>
        <v>0.14523670840840838</v>
      </c>
      <c r="M60" s="46">
        <f>((J60-2)*Standards!$N$3/4-0.076)/L60</f>
        <v>126.6917787432901</v>
      </c>
      <c r="O60" s="55">
        <v>1</v>
      </c>
    </row>
    <row r="61" spans="1:15" x14ac:dyDescent="0.3">
      <c r="A61" t="s">
        <v>68</v>
      </c>
      <c r="B61" s="4">
        <v>44749.84097222222</v>
      </c>
      <c r="C61" s="4">
        <v>44750.677777777775</v>
      </c>
      <c r="D61" s="35">
        <v>52</v>
      </c>
      <c r="E61" s="30">
        <f>IF(D61="","",_xlfn.XLOOKUP(D61,Flasks!A$3:A$50,Flasks!D$3:D$50)/0.999)</f>
        <v>139.39139139139141</v>
      </c>
      <c r="F61" s="24" t="s">
        <v>56</v>
      </c>
      <c r="G61">
        <v>2</v>
      </c>
      <c r="H61">
        <v>17</v>
      </c>
      <c r="I61">
        <v>0</v>
      </c>
      <c r="J61" s="1">
        <v>1511.88</v>
      </c>
      <c r="L61" s="45">
        <f t="shared" si="0"/>
        <v>0.14255557597597601</v>
      </c>
      <c r="M61" s="46">
        <f>((J61-2)*Standards!$N$3/4-0.076)/L61</f>
        <v>286.53162168181188</v>
      </c>
      <c r="O61" s="55">
        <v>1</v>
      </c>
    </row>
    <row r="62" spans="1:15" x14ac:dyDescent="0.3">
      <c r="A62" t="s">
        <v>68</v>
      </c>
      <c r="B62" s="4">
        <v>44749.84097222222</v>
      </c>
      <c r="C62" s="4">
        <v>44750.68472222222</v>
      </c>
      <c r="D62" s="35">
        <v>36</v>
      </c>
      <c r="E62" s="30">
        <f>IF(D62="","",_xlfn.XLOOKUP(D62,Flasks!A$3:A$50,Flasks!D$3:D$50)/0.999)</f>
        <v>140.27927927927928</v>
      </c>
      <c r="F62" s="24" t="s">
        <v>56</v>
      </c>
      <c r="G62">
        <v>2</v>
      </c>
      <c r="H62">
        <v>17</v>
      </c>
      <c r="I62">
        <v>0</v>
      </c>
      <c r="J62" s="1">
        <v>1519.79</v>
      </c>
      <c r="L62" s="45">
        <f t="shared" si="0"/>
        <v>0.1434636189189189</v>
      </c>
      <c r="M62" s="46">
        <f>((J62-2)*Standards!$N$3/4-0.076)/L62</f>
        <v>286.2124036281968</v>
      </c>
      <c r="O62" s="55">
        <v>1</v>
      </c>
    </row>
    <row r="63" spans="1:15" x14ac:dyDescent="0.3">
      <c r="A63" t="s">
        <v>68</v>
      </c>
      <c r="B63" s="4">
        <v>44749.84097222222</v>
      </c>
      <c r="C63" s="4">
        <v>44750.659722222219</v>
      </c>
      <c r="D63" s="35">
        <v>9</v>
      </c>
      <c r="E63" s="30">
        <f>IF(D63="","",_xlfn.XLOOKUP(D63,Flasks!A$3:A$50,Flasks!D$3:D$50)/0.999)</f>
        <v>138.04604604604606</v>
      </c>
      <c r="F63" s="24" t="s">
        <v>56</v>
      </c>
      <c r="G63">
        <v>2</v>
      </c>
      <c r="H63">
        <v>17</v>
      </c>
      <c r="I63">
        <v>0</v>
      </c>
      <c r="J63" s="1">
        <v>1496.88</v>
      </c>
      <c r="L63" s="45">
        <f t="shared" si="0"/>
        <v>0.14117969129129129</v>
      </c>
      <c r="M63" s="46">
        <f>((J63-2)*Standards!$N$3/4-0.076)/L63</f>
        <v>286.44439574423706</v>
      </c>
      <c r="O63" s="55">
        <v>1</v>
      </c>
    </row>
    <row r="64" spans="1:15" x14ac:dyDescent="0.3">
      <c r="A64" t="s">
        <v>68</v>
      </c>
      <c r="B64" s="4">
        <v>44750.666666666664</v>
      </c>
      <c r="C64" s="4">
        <v>44753.038888888892</v>
      </c>
      <c r="D64" s="35">
        <v>4</v>
      </c>
      <c r="E64" s="30">
        <f>IF(D64="","",_xlfn.XLOOKUP(D64,Flasks!A$3:A$50,Flasks!D$3:D$50)/0.999)</f>
        <v>137.88288288288288</v>
      </c>
      <c r="F64" s="24" t="s">
        <v>70</v>
      </c>
      <c r="G64">
        <v>3</v>
      </c>
      <c r="H64">
        <v>18</v>
      </c>
      <c r="I64">
        <v>0</v>
      </c>
      <c r="J64" s="1">
        <v>1642</v>
      </c>
      <c r="L64" s="45">
        <f t="shared" si="0"/>
        <v>0.14101282432432433</v>
      </c>
      <c r="M64" s="46">
        <f>((J64-2)*Standards!$N$3/4-0.076)/L64</f>
        <v>314.67604200668291</v>
      </c>
      <c r="O64" s="55">
        <v>1</v>
      </c>
    </row>
    <row r="65" spans="1:15" x14ac:dyDescent="0.3">
      <c r="A65" t="s">
        <v>68</v>
      </c>
      <c r="B65" s="4"/>
      <c r="C65" s="4"/>
      <c r="D65" s="35">
        <v>17</v>
      </c>
      <c r="E65" s="30">
        <f>IF(D65="","",_xlfn.XLOOKUP(D65,Flasks!A$3:A$50,Flasks!D$3:D$50)/0.999)</f>
        <v>142.01301301301299</v>
      </c>
      <c r="F65" s="24" t="s">
        <v>71</v>
      </c>
      <c r="G65">
        <v>6</v>
      </c>
      <c r="H65">
        <v>17</v>
      </c>
      <c r="I65">
        <v>0</v>
      </c>
      <c r="J65" s="1">
        <v>1518.29</v>
      </c>
      <c r="L65" s="45">
        <f t="shared" si="0"/>
        <v>0.14523670840840838</v>
      </c>
      <c r="M65" s="46">
        <f>((J65-2)*Standards!$N$3/4-0.076)/L65</f>
        <v>282.4383226074246</v>
      </c>
      <c r="O65" s="55">
        <v>1</v>
      </c>
    </row>
    <row r="66" spans="1:15" x14ac:dyDescent="0.3">
      <c r="A66" t="s">
        <v>68</v>
      </c>
      <c r="B66" s="4"/>
      <c r="D66" s="35">
        <v>9</v>
      </c>
      <c r="E66" s="30">
        <f>IF(D66="","",_xlfn.XLOOKUP(D66,Flasks!A$3:A$50,Flasks!D$3:D$50)/0.999)</f>
        <v>138.04604604604606</v>
      </c>
      <c r="F66" s="24" t="s">
        <v>71</v>
      </c>
      <c r="G66">
        <v>6</v>
      </c>
      <c r="H66">
        <v>2</v>
      </c>
      <c r="I66">
        <v>345</v>
      </c>
      <c r="J66" s="1">
        <v>855.95</v>
      </c>
      <c r="L66" s="45">
        <f t="shared" si="0"/>
        <v>0.14117969129129129</v>
      </c>
      <c r="M66" s="46">
        <f>((J66-2)*Standards!$N$3/4-0.076)/L66</f>
        <v>163.40051752224036</v>
      </c>
      <c r="O66" s="55">
        <v>1</v>
      </c>
    </row>
    <row r="67" spans="1:15" x14ac:dyDescent="0.3">
      <c r="A67" t="s">
        <v>68</v>
      </c>
      <c r="B67" s="4"/>
      <c r="D67" s="35">
        <v>31</v>
      </c>
      <c r="E67" s="30">
        <f>IF(D67="","",_xlfn.XLOOKUP(D67,Flasks!A$3:A$50,Flasks!D$3:D$50)/0.999)</f>
        <v>143.11111111111114</v>
      </c>
      <c r="F67" s="24" t="s">
        <v>27</v>
      </c>
      <c r="G67">
        <v>13</v>
      </c>
      <c r="H67">
        <v>1</v>
      </c>
      <c r="I67">
        <v>1500</v>
      </c>
      <c r="J67" s="1">
        <v>126.55</v>
      </c>
      <c r="L67" s="45">
        <f t="shared" si="0"/>
        <v>0.14635973333333335</v>
      </c>
      <c r="M67" s="46">
        <f>((J67-2)*Standards!$N$3/4-0.076)/L67</f>
        <v>22.545216471543508</v>
      </c>
      <c r="O67" s="55">
        <v>1</v>
      </c>
    </row>
    <row r="68" spans="1:15" x14ac:dyDescent="0.3">
      <c r="A68" t="s">
        <v>68</v>
      </c>
      <c r="D68" s="35">
        <v>52</v>
      </c>
      <c r="E68" s="30">
        <f>IF(D68="","",_xlfn.XLOOKUP(D68,Flasks!A$3:A$50,Flasks!D$3:D$50)/0.999)</f>
        <v>139.39139139139141</v>
      </c>
      <c r="F68" s="24" t="s">
        <v>27</v>
      </c>
      <c r="G68">
        <v>13</v>
      </c>
      <c r="H68">
        <v>4</v>
      </c>
      <c r="I68">
        <v>750</v>
      </c>
      <c r="J68" s="1">
        <v>74.97</v>
      </c>
      <c r="L68" s="45">
        <f t="shared" ref="L68:L96" si="1">E68*0.001*1.0227</f>
        <v>0.14255557597597601</v>
      </c>
      <c r="M68" s="46">
        <f>((J68-2)*Standards!$N$3/4-0.076)/L68</f>
        <v>13.34023842962999</v>
      </c>
      <c r="O68" s="55">
        <v>1</v>
      </c>
    </row>
    <row r="69" spans="1:15" x14ac:dyDescent="0.3">
      <c r="A69" t="s">
        <v>68</v>
      </c>
      <c r="D69" s="35">
        <v>46</v>
      </c>
      <c r="E69" s="30">
        <f>IF(D69="","",_xlfn.XLOOKUP(D69,Flasks!A$3:A$50,Flasks!D$3:D$50)/0.999)</f>
        <v>134.96796796796801</v>
      </c>
      <c r="F69" s="24" t="s">
        <v>27</v>
      </c>
      <c r="G69">
        <v>13</v>
      </c>
      <c r="H69">
        <v>4</v>
      </c>
      <c r="I69">
        <v>750</v>
      </c>
      <c r="J69" s="1">
        <v>80.23</v>
      </c>
      <c r="L69" s="45">
        <f t="shared" si="1"/>
        <v>0.13803174084084088</v>
      </c>
      <c r="M69" s="46">
        <f>((J69-2)*Standards!$N$3/4-0.076)/L69</f>
        <v>14.810278733849007</v>
      </c>
      <c r="O69" s="55">
        <v>1</v>
      </c>
    </row>
    <row r="70" spans="1:15" x14ac:dyDescent="0.3">
      <c r="A70" t="s">
        <v>68</v>
      </c>
      <c r="D70" s="35">
        <v>36</v>
      </c>
      <c r="E70" s="30">
        <f>IF(D70="","",_xlfn.XLOOKUP(D70,Flasks!A$3:A$50,Flasks!D$3:D$50)/0.999)</f>
        <v>140.27927927927928</v>
      </c>
      <c r="F70" s="24" t="s">
        <v>27</v>
      </c>
      <c r="G70">
        <v>13</v>
      </c>
      <c r="H70">
        <v>20</v>
      </c>
      <c r="I70">
        <v>0</v>
      </c>
      <c r="J70" s="1">
        <v>1455.74</v>
      </c>
      <c r="L70" s="45">
        <f t="shared" si="1"/>
        <v>0.1434636189189189</v>
      </c>
      <c r="M70" s="46">
        <f>((J70-2)*Standards!$N$3/4-0.076)/L70</f>
        <v>274.11202412516496</v>
      </c>
      <c r="O70" s="55">
        <v>1</v>
      </c>
    </row>
    <row r="71" spans="1:15" x14ac:dyDescent="0.3">
      <c r="A71" t="s">
        <v>68</v>
      </c>
      <c r="D71" s="35">
        <v>48</v>
      </c>
      <c r="E71" s="30">
        <f>IF(D71="","",_xlfn.XLOOKUP(D71,Flasks!A$3:A$50,Flasks!D$3:D$50)/0.999)</f>
        <v>143.31831831831832</v>
      </c>
      <c r="F71" s="24" t="s">
        <v>32</v>
      </c>
      <c r="G71">
        <v>14</v>
      </c>
      <c r="H71">
        <v>2</v>
      </c>
      <c r="I71">
        <v>1000</v>
      </c>
      <c r="J71" s="1">
        <v>85.69</v>
      </c>
      <c r="L71" s="45">
        <f t="shared" si="1"/>
        <v>0.14657164414414414</v>
      </c>
      <c r="M71" s="46">
        <f>((J71-2)*Standards!$N$3/4-0.076)/L71</f>
        <v>14.957002120676217</v>
      </c>
      <c r="O71" s="55">
        <v>1</v>
      </c>
    </row>
    <row r="72" spans="1:15" x14ac:dyDescent="0.3">
      <c r="A72" t="s">
        <v>68</v>
      </c>
      <c r="D72" s="35">
        <v>21</v>
      </c>
      <c r="E72" s="30">
        <f>IF(D72="","",_xlfn.XLOOKUP(D72,Flasks!A$3:A$50,Flasks!D$3:D$50)/0.999)</f>
        <v>142.40040040040037</v>
      </c>
      <c r="F72" s="24" t="s">
        <v>72</v>
      </c>
      <c r="G72">
        <v>15</v>
      </c>
      <c r="H72">
        <v>2</v>
      </c>
      <c r="I72">
        <v>1000</v>
      </c>
      <c r="J72" s="1">
        <v>121.46</v>
      </c>
      <c r="L72" s="45">
        <f t="shared" si="1"/>
        <v>0.14563288948948944</v>
      </c>
      <c r="M72" s="46">
        <f>((J72-2)*Standards!$N$3/4-0.076)/L72</f>
        <v>21.710454651869508</v>
      </c>
      <c r="O72" s="55">
        <v>1</v>
      </c>
    </row>
    <row r="73" spans="1:15" x14ac:dyDescent="0.3">
      <c r="A73" t="s">
        <v>68</v>
      </c>
      <c r="D73" s="35">
        <v>35</v>
      </c>
      <c r="E73" s="30">
        <f>IF(D73="","",_xlfn.XLOOKUP(D73,Flasks!A$3:A$50,Flasks!D$3:D$50)/0.999)</f>
        <v>135.26726726726727</v>
      </c>
      <c r="F73" s="24" t="s">
        <v>72</v>
      </c>
      <c r="G73">
        <v>15</v>
      </c>
      <c r="H73">
        <v>18</v>
      </c>
      <c r="I73">
        <v>0</v>
      </c>
      <c r="J73" s="1">
        <v>1351.86</v>
      </c>
      <c r="L73" s="45">
        <f t="shared" si="1"/>
        <v>0.13833783423423424</v>
      </c>
      <c r="M73" s="46">
        <f>((J73-2)*Standards!$N$3/4-0.076)/L73</f>
        <v>263.916345262974</v>
      </c>
      <c r="O73" s="55">
        <v>1</v>
      </c>
    </row>
    <row r="74" spans="1:15" x14ac:dyDescent="0.3">
      <c r="A74" t="s">
        <v>68</v>
      </c>
      <c r="D74" s="35">
        <v>46</v>
      </c>
      <c r="E74" s="30">
        <f>IF(D74="","",_xlfn.XLOOKUP(D74,Flasks!A$3:A$50,Flasks!D$3:D$50)/0.999)</f>
        <v>134.96796796796801</v>
      </c>
      <c r="F74" s="24" t="s">
        <v>73</v>
      </c>
      <c r="G74">
        <v>18</v>
      </c>
      <c r="H74">
        <v>2</v>
      </c>
      <c r="I74">
        <v>29</v>
      </c>
      <c r="J74" s="1">
        <v>1405.62</v>
      </c>
      <c r="L74" s="45">
        <f t="shared" si="1"/>
        <v>0.13803174084084088</v>
      </c>
      <c r="M74" s="46">
        <f>((J74-2)*Standards!$N$3/4-0.076)/L74</f>
        <v>275.05765710554476</v>
      </c>
      <c r="O74" s="55">
        <v>1</v>
      </c>
    </row>
    <row r="75" spans="1:15" x14ac:dyDescent="0.3">
      <c r="A75" t="s">
        <v>68</v>
      </c>
      <c r="D75" s="35">
        <v>31</v>
      </c>
      <c r="E75" s="30">
        <f>IF(D75="","",_xlfn.XLOOKUP(D75,Flasks!A$3:A$50,Flasks!D$3:D$50)/0.999)</f>
        <v>143.11111111111114</v>
      </c>
      <c r="F75" s="24" t="s">
        <v>73</v>
      </c>
      <c r="G75">
        <v>18</v>
      </c>
      <c r="H75">
        <v>8</v>
      </c>
      <c r="I75">
        <v>0</v>
      </c>
      <c r="J75" s="1">
        <v>1539.62</v>
      </c>
      <c r="L75" s="45">
        <f t="shared" si="1"/>
        <v>0.14635973333333335</v>
      </c>
      <c r="M75" s="46">
        <f>((J75-2)*Standards!$N$3/4-0.076)/L75</f>
        <v>284.22110395909709</v>
      </c>
      <c r="O75" s="55">
        <v>1</v>
      </c>
    </row>
    <row r="76" spans="1:15" x14ac:dyDescent="0.3">
      <c r="A76" t="s">
        <v>68</v>
      </c>
      <c r="D76" s="35">
        <v>52</v>
      </c>
      <c r="E76" s="30">
        <f>IF(D76="","",_xlfn.XLOOKUP(D76,Flasks!A$3:A$50,Flasks!D$3:D$50)/0.999)</f>
        <v>139.39139139139141</v>
      </c>
      <c r="F76" s="24" t="s">
        <v>73</v>
      </c>
      <c r="G76">
        <v>18</v>
      </c>
      <c r="H76">
        <v>2</v>
      </c>
      <c r="I76">
        <v>29</v>
      </c>
      <c r="J76" s="1">
        <v>1439.47</v>
      </c>
      <c r="L76" s="45">
        <f t="shared" si="1"/>
        <v>0.14255557597597601</v>
      </c>
      <c r="M76" s="46">
        <f>((J76-2)*Standards!$N$3/4-0.076)/L76</f>
        <v>272.76472740082664</v>
      </c>
      <c r="O76" s="55">
        <v>1</v>
      </c>
    </row>
    <row r="77" spans="1:15" x14ac:dyDescent="0.3">
      <c r="A77" t="s">
        <v>68</v>
      </c>
      <c r="D77" s="35">
        <v>29</v>
      </c>
      <c r="E77" s="30">
        <f>IF(D77="","",_xlfn.XLOOKUP(D77,Flasks!A$3:A$50,Flasks!D$3:D$50)/0.999)</f>
        <v>143.88288288288285</v>
      </c>
      <c r="F77" s="24" t="s">
        <v>73</v>
      </c>
      <c r="G77">
        <v>18</v>
      </c>
      <c r="H77">
        <v>8</v>
      </c>
      <c r="I77">
        <v>0</v>
      </c>
      <c r="J77" s="1">
        <v>1537.4</v>
      </c>
      <c r="L77" s="45">
        <f t="shared" si="1"/>
        <v>0.14714902432432431</v>
      </c>
      <c r="M77" s="46">
        <f>((J77-2)*Standards!$N$3/4-0.076)/L77</f>
        <v>282.28767347770315</v>
      </c>
      <c r="O77" s="55">
        <v>1</v>
      </c>
    </row>
    <row r="78" spans="1:15" x14ac:dyDescent="0.3">
      <c r="A78" t="s">
        <v>68</v>
      </c>
      <c r="D78" s="35">
        <v>31</v>
      </c>
      <c r="E78" s="30">
        <f>IF(D78="","",_xlfn.XLOOKUP(D78,Flasks!A$3:A$50,Flasks!D$3:D$50)/0.999)</f>
        <v>143.11111111111114</v>
      </c>
      <c r="F78" s="24" t="s">
        <v>74</v>
      </c>
      <c r="G78">
        <v>35</v>
      </c>
      <c r="H78">
        <v>1</v>
      </c>
      <c r="I78">
        <v>500</v>
      </c>
      <c r="J78" s="1">
        <v>128.36000000000001</v>
      </c>
      <c r="L78" s="45">
        <f t="shared" si="1"/>
        <v>0.14635973333333335</v>
      </c>
      <c r="M78" s="46">
        <f>((J78-2)*Standards!$N$3/4-0.076)/L78</f>
        <v>22.880396863422519</v>
      </c>
      <c r="O78" s="55">
        <v>1</v>
      </c>
    </row>
    <row r="79" spans="1:15" x14ac:dyDescent="0.3">
      <c r="A79" t="s">
        <v>68</v>
      </c>
      <c r="D79" s="35">
        <v>29</v>
      </c>
      <c r="E79" s="30">
        <f>IF(D79="","",_xlfn.XLOOKUP(D79,Flasks!A$3:A$50,Flasks!D$3:D$50)/0.999)</f>
        <v>143.88288288288285</v>
      </c>
      <c r="F79" s="24" t="s">
        <v>74</v>
      </c>
      <c r="G79">
        <v>35</v>
      </c>
      <c r="H79">
        <v>24</v>
      </c>
      <c r="I79">
        <v>0</v>
      </c>
      <c r="J79" s="1">
        <v>1525.46</v>
      </c>
      <c r="L79" s="45">
        <f t="shared" si="1"/>
        <v>0.14714902432432431</v>
      </c>
      <c r="M79" s="46">
        <f>((J79-2)*Standards!$N$3/4-0.076)/L79</f>
        <v>280.08845397085395</v>
      </c>
      <c r="O79" s="55">
        <v>1</v>
      </c>
    </row>
    <row r="80" spans="1:15" x14ac:dyDescent="0.3">
      <c r="A80" t="s">
        <v>68</v>
      </c>
      <c r="D80" s="35">
        <v>36</v>
      </c>
      <c r="E80" s="30">
        <f>IF(D80="","",_xlfn.XLOOKUP(D80,Flasks!A$3:A$50,Flasks!D$3:D$50)/0.999)</f>
        <v>140.27927927927928</v>
      </c>
      <c r="F80" s="24" t="s">
        <v>74</v>
      </c>
      <c r="G80">
        <v>35</v>
      </c>
      <c r="H80">
        <v>24</v>
      </c>
      <c r="I80">
        <v>0</v>
      </c>
      <c r="J80" s="1">
        <v>1463.23</v>
      </c>
      <c r="L80" s="45">
        <f t="shared" si="1"/>
        <v>0.1434636189189189</v>
      </c>
      <c r="M80" s="46">
        <f>((J80-2)*Standards!$N$3/4-0.076)/L80</f>
        <v>275.52704118180367</v>
      </c>
      <c r="O80" s="55">
        <v>1</v>
      </c>
    </row>
    <row r="81" spans="1:15" x14ac:dyDescent="0.3">
      <c r="A81" t="s">
        <v>68</v>
      </c>
      <c r="D81" s="35">
        <v>52</v>
      </c>
      <c r="E81" s="30">
        <f>IF(D81="","",_xlfn.XLOOKUP(D81,Flasks!A$3:A$50,Flasks!D$3:D$50)/0.999)</f>
        <v>139.39139139139141</v>
      </c>
      <c r="F81" s="24" t="s">
        <v>74</v>
      </c>
      <c r="G81">
        <v>35</v>
      </c>
      <c r="H81">
        <v>24</v>
      </c>
      <c r="I81">
        <v>0</v>
      </c>
      <c r="J81" s="1">
        <v>1455.45</v>
      </c>
      <c r="L81" s="45">
        <f t="shared" si="1"/>
        <v>0.14255557597597601</v>
      </c>
      <c r="M81" s="46">
        <f>((J81-2)*Standards!$N$3/4-0.076)/L81</f>
        <v>275.80291232846292</v>
      </c>
      <c r="O81" s="55">
        <v>1</v>
      </c>
    </row>
    <row r="82" spans="1:15" x14ac:dyDescent="0.3">
      <c r="A82" t="s">
        <v>68</v>
      </c>
      <c r="D82" s="35">
        <v>46</v>
      </c>
      <c r="E82" s="30">
        <f>IF(D82="","",_xlfn.XLOOKUP(D82,Flasks!A$3:A$50,Flasks!D$3:D$50)/0.999)</f>
        <v>134.96796796796801</v>
      </c>
      <c r="F82" s="24" t="s">
        <v>56</v>
      </c>
      <c r="G82">
        <v>36</v>
      </c>
      <c r="H82">
        <v>1</v>
      </c>
      <c r="I82">
        <v>261</v>
      </c>
      <c r="J82" s="1">
        <v>624.54999999999995</v>
      </c>
      <c r="L82" s="45">
        <f t="shared" si="1"/>
        <v>0.13803174084084088</v>
      </c>
      <c r="M82" s="46">
        <f>((J82-2)*Standards!$N$3/4-0.076)/L82</f>
        <v>121.69040684352346</v>
      </c>
      <c r="O82" s="55">
        <v>1</v>
      </c>
    </row>
    <row r="83" spans="1:15" x14ac:dyDescent="0.3">
      <c r="A83" t="s">
        <v>68</v>
      </c>
      <c r="D83" s="35">
        <v>35</v>
      </c>
      <c r="E83" s="30">
        <f>IF(D83="","",_xlfn.XLOOKUP(D83,Flasks!A$3:A$50,Flasks!D$3:D$50)/0.999)</f>
        <v>135.26726726726727</v>
      </c>
      <c r="F83" s="24" t="s">
        <v>56</v>
      </c>
      <c r="G83">
        <v>36</v>
      </c>
      <c r="H83">
        <v>23</v>
      </c>
      <c r="I83">
        <v>0</v>
      </c>
      <c r="J83" s="1">
        <v>1458.43</v>
      </c>
      <c r="L83" s="45">
        <f t="shared" si="1"/>
        <v>0.13833783423423424</v>
      </c>
      <c r="M83" s="46">
        <f>((J83-2)*Standards!$N$3/4-0.076)/L83</f>
        <v>284.79563075253947</v>
      </c>
      <c r="O83" s="55">
        <v>1</v>
      </c>
    </row>
    <row r="84" spans="1:15" x14ac:dyDescent="0.3">
      <c r="A84" t="s">
        <v>68</v>
      </c>
      <c r="D84" s="35">
        <v>48</v>
      </c>
      <c r="E84" s="30">
        <f>IF(D84="","",_xlfn.XLOOKUP(D84,Flasks!A$3:A$50,Flasks!D$3:D$50)/0.999)</f>
        <v>143.31831831831832</v>
      </c>
      <c r="F84" s="24" t="s">
        <v>56</v>
      </c>
      <c r="G84">
        <v>37</v>
      </c>
      <c r="H84">
        <v>2</v>
      </c>
      <c r="I84">
        <v>265</v>
      </c>
      <c r="J84" s="1">
        <v>674.26</v>
      </c>
      <c r="L84" s="45">
        <f t="shared" si="1"/>
        <v>0.14657164414414414</v>
      </c>
      <c r="M84" s="46">
        <f>((J84-2)*Standards!$N$3/4-0.076)/L84</f>
        <v>123.79230781736258</v>
      </c>
      <c r="O84" s="55">
        <v>1</v>
      </c>
    </row>
    <row r="85" spans="1:15" x14ac:dyDescent="0.3">
      <c r="A85" t="s">
        <v>68</v>
      </c>
      <c r="D85" s="35">
        <v>38</v>
      </c>
      <c r="E85" s="30">
        <f>IF(D85="","",_xlfn.XLOOKUP(D85,Flasks!A$3:A$50,Flasks!D$3:D$50)/0.999)</f>
        <v>141.41741741741743</v>
      </c>
      <c r="F85" s="24" t="s">
        <v>56</v>
      </c>
      <c r="G85">
        <v>37</v>
      </c>
      <c r="H85">
        <v>18</v>
      </c>
      <c r="I85">
        <v>0</v>
      </c>
      <c r="J85" s="1">
        <v>1421.4</v>
      </c>
      <c r="L85" s="45">
        <f t="shared" si="1"/>
        <v>0.1446275927927928</v>
      </c>
      <c r="M85" s="46">
        <f>((J85-2)*Standards!$N$3/4-0.076)/L85</f>
        <v>265.47062043564802</v>
      </c>
      <c r="O85" s="55">
        <v>1</v>
      </c>
    </row>
    <row r="86" spans="1:15" x14ac:dyDescent="0.3">
      <c r="A86" t="s">
        <v>106</v>
      </c>
      <c r="D86" s="35">
        <v>23</v>
      </c>
      <c r="E86" s="30">
        <f>IF(D86="","",_xlfn.XLOOKUP(D86,Flasks!A$3:A$50,Flasks!D$3:D$50)/0.999)</f>
        <v>141.72672672672672</v>
      </c>
      <c r="F86" s="24" t="s">
        <v>56</v>
      </c>
      <c r="G86">
        <v>4</v>
      </c>
      <c r="H86">
        <v>15</v>
      </c>
      <c r="I86">
        <v>0</v>
      </c>
      <c r="J86" s="1">
        <v>1683.84</v>
      </c>
      <c r="L86" s="45">
        <f t="shared" si="1"/>
        <v>0.14494392342342341</v>
      </c>
      <c r="M86" s="46">
        <f>((J86-2)*Standards!$N$3/4-0.076)/L86</f>
        <v>313.96527039933704</v>
      </c>
      <c r="O86" s="55">
        <v>1</v>
      </c>
    </row>
    <row r="87" spans="1:15" x14ac:dyDescent="0.3">
      <c r="A87" t="s">
        <v>106</v>
      </c>
      <c r="D87" s="35">
        <v>2</v>
      </c>
      <c r="E87" s="30">
        <f>IF(D87="","",_xlfn.XLOOKUP(D87,Flasks!A$3:A$50,Flasks!D$3:D$50)/0.999)</f>
        <v>142.48748748748747</v>
      </c>
      <c r="F87" s="24" t="s">
        <v>76</v>
      </c>
      <c r="G87">
        <v>14</v>
      </c>
      <c r="H87">
        <v>1</v>
      </c>
      <c r="I87">
        <v>165</v>
      </c>
      <c r="J87" s="1">
        <v>1024.82</v>
      </c>
      <c r="L87" s="45">
        <f t="shared" si="1"/>
        <v>0.14572195345345343</v>
      </c>
      <c r="M87" s="46">
        <f>((J87-2)*Standards!$N$3/4-0.076)/L87</f>
        <v>189.7158432031955</v>
      </c>
      <c r="O87" s="55">
        <v>1</v>
      </c>
    </row>
    <row r="88" spans="1:15" x14ac:dyDescent="0.3">
      <c r="A88" t="s">
        <v>106</v>
      </c>
      <c r="D88" s="35">
        <v>44</v>
      </c>
      <c r="E88" s="30">
        <f>IF(D88="","",_xlfn.XLOOKUP(D88,Flasks!A$3:A$50,Flasks!D$3:D$50)/0.999)</f>
        <v>138.99899899899901</v>
      </c>
      <c r="F88" s="24" t="s">
        <v>76</v>
      </c>
      <c r="G88">
        <v>14</v>
      </c>
      <c r="H88">
        <v>1</v>
      </c>
      <c r="I88">
        <v>165</v>
      </c>
      <c r="J88" s="1">
        <v>1002.87</v>
      </c>
      <c r="L88" s="45">
        <f t="shared" si="1"/>
        <v>0.14215427627627628</v>
      </c>
      <c r="M88" s="46">
        <f>((J88-2)*Standards!$N$3/4-0.076)/L88</f>
        <v>190.29217605406998</v>
      </c>
      <c r="O88" s="55">
        <v>1</v>
      </c>
    </row>
    <row r="89" spans="1:15" x14ac:dyDescent="0.3">
      <c r="A89" t="s">
        <v>106</v>
      </c>
      <c r="D89" s="35">
        <v>28</v>
      </c>
      <c r="E89" s="30">
        <f>IF(D89="","",_xlfn.XLOOKUP(D89,Flasks!A$3:A$50,Flasks!D$3:D$50)/0.999)</f>
        <v>138.71971971971973</v>
      </c>
      <c r="F89" s="24" t="s">
        <v>76</v>
      </c>
      <c r="G89">
        <v>14</v>
      </c>
      <c r="H89">
        <v>1</v>
      </c>
      <c r="I89">
        <v>165</v>
      </c>
      <c r="J89" s="1">
        <v>998.48</v>
      </c>
      <c r="L89" s="45">
        <f t="shared" si="1"/>
        <v>0.14186865735735738</v>
      </c>
      <c r="M89" s="46">
        <f>((J89-2)*Standards!$N$3/4-0.076)/L89</f>
        <v>189.8365976583371</v>
      </c>
      <c r="O89" s="55">
        <v>1</v>
      </c>
    </row>
    <row r="90" spans="1:15" x14ac:dyDescent="0.3">
      <c r="A90" t="s">
        <v>106</v>
      </c>
      <c r="D90" s="35">
        <v>7</v>
      </c>
      <c r="E90" s="30">
        <f>IF(D90="","",_xlfn.XLOOKUP(D90,Flasks!A$3:A$50,Flasks!D$3:D$50)/0.999)</f>
        <v>140.16616616616616</v>
      </c>
      <c r="F90" s="24" t="s">
        <v>77</v>
      </c>
      <c r="G90">
        <v>16</v>
      </c>
      <c r="H90">
        <v>1</v>
      </c>
      <c r="I90">
        <v>185</v>
      </c>
      <c r="J90" s="1">
        <v>606.91</v>
      </c>
      <c r="L90" s="45">
        <f t="shared" si="1"/>
        <v>0.14334793813813815</v>
      </c>
      <c r="M90" s="46">
        <f>((J90-2)*Standards!$N$3/4-0.076)/L90</f>
        <v>113.84214720598196</v>
      </c>
      <c r="O90" s="55">
        <v>3</v>
      </c>
    </row>
    <row r="91" spans="1:15" x14ac:dyDescent="0.3">
      <c r="A91" t="s">
        <v>106</v>
      </c>
      <c r="D91" s="35">
        <v>37</v>
      </c>
      <c r="E91" s="30">
        <f>IF(D91="","",_xlfn.XLOOKUP(D91,Flasks!A$3:A$50,Flasks!D$3:D$50)/0.999)</f>
        <v>134.33833833833836</v>
      </c>
      <c r="F91" s="24" t="s">
        <v>77</v>
      </c>
      <c r="G91">
        <v>16</v>
      </c>
      <c r="H91">
        <v>1</v>
      </c>
      <c r="I91">
        <v>185</v>
      </c>
      <c r="J91" s="1">
        <v>586.51</v>
      </c>
      <c r="L91" s="45">
        <f t="shared" si="1"/>
        <v>0.13738781861861862</v>
      </c>
      <c r="M91" s="46">
        <f>((J91-2)*Standards!$N$3/4-0.076)/L91</f>
        <v>114.75639246993535</v>
      </c>
      <c r="O91" s="55">
        <v>3</v>
      </c>
    </row>
    <row r="92" spans="1:15" x14ac:dyDescent="0.3">
      <c r="A92" t="s">
        <v>106</v>
      </c>
      <c r="D92" s="35">
        <v>11</v>
      </c>
      <c r="E92" s="30">
        <f>IF(D92="","",_xlfn.XLOOKUP(D92,Flasks!A$3:A$50,Flasks!D$3:D$50)/0.999)</f>
        <v>133.33433433433433</v>
      </c>
      <c r="F92" s="24" t="s">
        <v>77</v>
      </c>
      <c r="G92">
        <v>16</v>
      </c>
      <c r="H92">
        <v>1</v>
      </c>
      <c r="I92">
        <v>185</v>
      </c>
      <c r="J92" s="1">
        <v>578.69000000000005</v>
      </c>
      <c r="L92" s="45">
        <f t="shared" si="1"/>
        <v>0.13636102372372372</v>
      </c>
      <c r="M92" s="46">
        <f>((J92-2)*Standards!$N$3/4-0.076)/L92</f>
        <v>114.06619328191115</v>
      </c>
      <c r="O92" s="55">
        <v>3</v>
      </c>
    </row>
    <row r="93" spans="1:15" x14ac:dyDescent="0.3">
      <c r="A93" t="s">
        <v>106</v>
      </c>
      <c r="D93" s="35">
        <v>27</v>
      </c>
      <c r="E93" s="30">
        <f>IF(D93="","",_xlfn.XLOOKUP(D93,Flasks!A$3:A$50,Flasks!D$3:D$50)/0.999)</f>
        <v>135.59759759759763</v>
      </c>
      <c r="F93" s="24" t="s">
        <v>78</v>
      </c>
      <c r="G93">
        <v>23</v>
      </c>
      <c r="H93">
        <v>1</v>
      </c>
      <c r="I93">
        <v>650</v>
      </c>
      <c r="J93" s="1">
        <v>98.98</v>
      </c>
      <c r="L93" s="45">
        <f t="shared" si="1"/>
        <v>0.13867566306306309</v>
      </c>
      <c r="M93" s="46">
        <f>((J93-2)*Standards!$N$3/4-0.076)/L93</f>
        <v>18.40607609658321</v>
      </c>
      <c r="O93" s="55">
        <v>1</v>
      </c>
    </row>
    <row r="94" spans="1:15" x14ac:dyDescent="0.3">
      <c r="A94" t="s">
        <v>106</v>
      </c>
      <c r="D94" s="35">
        <v>47</v>
      </c>
      <c r="E94" s="30">
        <f>IF(D94="","",_xlfn.XLOOKUP(D94,Flasks!A$3:A$50,Flasks!D$3:D$50)/0.999)</f>
        <v>139.38438438438439</v>
      </c>
      <c r="F94" s="24" t="s">
        <v>78</v>
      </c>
      <c r="G94">
        <v>23</v>
      </c>
      <c r="H94">
        <v>1</v>
      </c>
      <c r="I94">
        <v>650</v>
      </c>
      <c r="J94" s="1">
        <v>106.88</v>
      </c>
      <c r="L94" s="45">
        <f t="shared" si="1"/>
        <v>0.14254840990990991</v>
      </c>
      <c r="M94" s="46">
        <f>((J94-2)*Standards!$N$3/4-0.076)/L94</f>
        <v>19.408077690704317</v>
      </c>
      <c r="O94" s="55">
        <v>1</v>
      </c>
    </row>
    <row r="95" spans="1:15" x14ac:dyDescent="0.3">
      <c r="A95" t="s">
        <v>106</v>
      </c>
      <c r="D95" s="35">
        <v>55</v>
      </c>
      <c r="E95" s="30">
        <f>IF(D95="","",_xlfn.XLOOKUP(D95,Flasks!A$3:A$50,Flasks!D$3:D$50)/0.999)</f>
        <v>134.1081081081081</v>
      </c>
      <c r="F95" s="24" t="s">
        <v>79</v>
      </c>
      <c r="G95">
        <v>28</v>
      </c>
      <c r="H95">
        <v>4</v>
      </c>
      <c r="I95">
        <v>1000</v>
      </c>
      <c r="J95" s="1">
        <v>354.29</v>
      </c>
      <c r="L95" s="45">
        <f t="shared" si="1"/>
        <v>0.13715236216216214</v>
      </c>
      <c r="M95" s="46">
        <f>((J95-2)*Standards!$N$3/4-0.076)/L95</f>
        <v>69.063410105079569</v>
      </c>
      <c r="O95" s="55">
        <v>3</v>
      </c>
    </row>
    <row r="96" spans="1:15" x14ac:dyDescent="0.3">
      <c r="A96" t="s">
        <v>106</v>
      </c>
      <c r="D96" s="35">
        <v>8</v>
      </c>
      <c r="E96" s="30">
        <f>IF(D96="","",_xlfn.XLOOKUP(D96,Flasks!A$3:A$50,Flasks!D$3:D$50)/0.999)</f>
        <v>140.28859294076685</v>
      </c>
      <c r="F96" s="24" t="s">
        <v>79</v>
      </c>
      <c r="G96">
        <v>28</v>
      </c>
      <c r="H96">
        <v>3</v>
      </c>
      <c r="I96">
        <v>1500</v>
      </c>
      <c r="J96" s="1">
        <v>121.5</v>
      </c>
      <c r="L96" s="45">
        <f t="shared" si="1"/>
        <v>0.14347314400052225</v>
      </c>
      <c r="M96" s="46">
        <f>((J96-2)*Standards!$N$3/4-0.076)/L96</f>
        <v>22.044825153757067</v>
      </c>
      <c r="O96" s="55">
        <v>1</v>
      </c>
    </row>
    <row r="97" spans="1:16" x14ac:dyDescent="0.3">
      <c r="A97" t="s">
        <v>90</v>
      </c>
      <c r="D97" s="35">
        <v>45</v>
      </c>
      <c r="E97" s="30">
        <f>IF(D97="","",_xlfn.XLOOKUP(D97,Flasks!A$3:A$50,Flasks!D$3:D$50)/0.999)</f>
        <v>142.63163163163162</v>
      </c>
      <c r="G97" t="s">
        <v>91</v>
      </c>
      <c r="J97" s="1">
        <v>1294.29</v>
      </c>
      <c r="L97" s="45">
        <f t="shared" ref="L97:L105" si="2">E97*0.001*1.0227</f>
        <v>0.14586936966966965</v>
      </c>
      <c r="M97" s="46">
        <f>((J97-2)*Standards!$N$3/4-0.076)/L97</f>
        <v>239.59300459326028</v>
      </c>
      <c r="O97" s="55">
        <v>2</v>
      </c>
      <c r="P97" t="s">
        <v>93</v>
      </c>
    </row>
    <row r="98" spans="1:16" x14ac:dyDescent="0.3">
      <c r="A98" t="s">
        <v>90</v>
      </c>
      <c r="D98" s="35">
        <v>43</v>
      </c>
      <c r="E98" s="30">
        <f>IF(D98="","",_xlfn.XLOOKUP(D98,Flasks!A$3:A$50,Flasks!D$3:D$50)/0.999)</f>
        <v>141.41441441441441</v>
      </c>
      <c r="G98" t="s">
        <v>92</v>
      </c>
      <c r="J98" s="1">
        <v>1933.5</v>
      </c>
      <c r="L98" s="45">
        <f t="shared" si="2"/>
        <v>0.14462452162162159</v>
      </c>
      <c r="M98" s="46">
        <f>((J98-2)*Standards!$N$3/4-0.076)/L98</f>
        <v>361.4460334599454</v>
      </c>
      <c r="O98" s="55">
        <v>2</v>
      </c>
      <c r="P98" t="s">
        <v>93</v>
      </c>
    </row>
    <row r="99" spans="1:16" x14ac:dyDescent="0.3">
      <c r="A99" t="s">
        <v>90</v>
      </c>
      <c r="D99" s="35">
        <v>45</v>
      </c>
      <c r="E99" s="30">
        <f>IF(D99="","",_xlfn.XLOOKUP(D99,Flasks!A$3:A$50,Flasks!D$3:D$50)/0.999)</f>
        <v>142.63163163163162</v>
      </c>
      <c r="L99" s="45">
        <f t="shared" si="2"/>
        <v>0.14586936966966965</v>
      </c>
      <c r="M99" s="46">
        <f>((J99-2)*Standards!$N$3/4-0.076)/L99</f>
        <v>-0.89262422773722705</v>
      </c>
      <c r="O99" s="55">
        <v>2</v>
      </c>
    </row>
    <row r="100" spans="1:16" x14ac:dyDescent="0.3">
      <c r="A100" t="s">
        <v>90</v>
      </c>
      <c r="D100" s="35">
        <v>43</v>
      </c>
      <c r="E100" s="30">
        <f>IF(D100="","",_xlfn.XLOOKUP(D100,Flasks!A$3:A$50,Flasks!D$3:D$50)/0.999)</f>
        <v>141.41441441441441</v>
      </c>
      <c r="L100" s="45">
        <f t="shared" si="2"/>
        <v>0.14462452162162159</v>
      </c>
      <c r="M100" s="46">
        <f>((J100-2)*Standards!$N$3/4-0.076)/L100</f>
        <v>-0.90030744435277632</v>
      </c>
      <c r="O100" s="55">
        <v>2</v>
      </c>
    </row>
    <row r="101" spans="1:16" x14ac:dyDescent="0.3">
      <c r="A101" t="s">
        <v>90</v>
      </c>
      <c r="D101" s="35">
        <v>43</v>
      </c>
      <c r="E101" s="30">
        <f>IF(D101="","",_xlfn.XLOOKUP(D101,Flasks!A$3:A$50,Flasks!D$3:D$50)/0.999)</f>
        <v>141.41441441441441</v>
      </c>
      <c r="G101" t="s">
        <v>92</v>
      </c>
      <c r="L101" s="45">
        <f t="shared" si="2"/>
        <v>0.14462452162162159</v>
      </c>
      <c r="M101" s="46">
        <f>((J101-2)*Standards!$N$3/4-0.076)/L101</f>
        <v>-0.90030744435277632</v>
      </c>
      <c r="O101" s="55">
        <v>2</v>
      </c>
      <c r="P101" t="s">
        <v>92</v>
      </c>
    </row>
    <row r="102" spans="1:16" x14ac:dyDescent="0.3">
      <c r="A102" t="s">
        <v>90</v>
      </c>
      <c r="D102" s="35">
        <v>45</v>
      </c>
      <c r="E102" s="30">
        <f>IF(D102="","",_xlfn.XLOOKUP(D102,Flasks!A$3:A$50,Flasks!D$3:D$50)/0.999)</f>
        <v>142.63163163163162</v>
      </c>
      <c r="G102" t="s">
        <v>91</v>
      </c>
      <c r="L102" s="45">
        <f t="shared" si="2"/>
        <v>0.14586936966966965</v>
      </c>
      <c r="M102" s="46">
        <f>((J102-2)*Standards!$N$3/4-0.076)/L102</f>
        <v>-0.89262422773722705</v>
      </c>
      <c r="O102" s="55">
        <v>2</v>
      </c>
      <c r="P102" t="s">
        <v>91</v>
      </c>
    </row>
    <row r="103" spans="1:16" x14ac:dyDescent="0.3">
      <c r="A103" t="s">
        <v>100</v>
      </c>
      <c r="D103" s="35">
        <v>2</v>
      </c>
      <c r="E103" s="30">
        <f>IF(D103="","",_xlfn.XLOOKUP(D103,Flasks!A$3:A$50,Flasks!D$3:D$50)/0.999)</f>
        <v>142.48748748748747</v>
      </c>
      <c r="F103" s="24" t="s">
        <v>56</v>
      </c>
      <c r="G103">
        <v>2</v>
      </c>
      <c r="H103">
        <v>1</v>
      </c>
      <c r="I103">
        <v>265</v>
      </c>
      <c r="J103" s="1">
        <v>515.29999999999995</v>
      </c>
      <c r="K103" s="1">
        <v>4</v>
      </c>
      <c r="L103" s="45">
        <f t="shared" si="2"/>
        <v>0.14572195345345343</v>
      </c>
      <c r="M103" s="46">
        <f>((J103-K103)*Standards!$N$46/4-0.076)/L103</f>
        <v>134.747918764829</v>
      </c>
      <c r="O103" s="55">
        <v>1</v>
      </c>
    </row>
    <row r="104" spans="1:16" x14ac:dyDescent="0.3">
      <c r="A104" t="s">
        <v>100</v>
      </c>
      <c r="D104" s="35">
        <v>7</v>
      </c>
      <c r="E104" s="30">
        <f>IF(D104="","",_xlfn.XLOOKUP(D104,Flasks!A$3:A$50,Flasks!D$3:D$50)/0.999)</f>
        <v>140.16616616616616</v>
      </c>
      <c r="F104" s="24" t="s">
        <v>56</v>
      </c>
      <c r="G104">
        <v>2</v>
      </c>
      <c r="H104">
        <v>1</v>
      </c>
      <c r="I104">
        <v>265</v>
      </c>
      <c r="J104" s="1">
        <v>503.32</v>
      </c>
      <c r="K104" s="1">
        <v>4</v>
      </c>
      <c r="L104" s="45">
        <f t="shared" si="2"/>
        <v>0.14334793813813815</v>
      </c>
      <c r="M104" s="46">
        <f>((J104-K104)*Standards!$N$46/4-0.076)/L104</f>
        <v>133.75759059754424</v>
      </c>
      <c r="O104" s="55">
        <v>1</v>
      </c>
    </row>
    <row r="105" spans="1:16" x14ac:dyDescent="0.3">
      <c r="A105" t="s">
        <v>100</v>
      </c>
      <c r="D105" s="35">
        <v>28</v>
      </c>
      <c r="E105" s="30">
        <f>IF(D105="","",_xlfn.XLOOKUP(D105,Flasks!A$3:A$50,Flasks!D$3:D$50)/0.999)</f>
        <v>138.71971971971973</v>
      </c>
      <c r="F105" s="24" t="s">
        <v>56</v>
      </c>
      <c r="G105">
        <v>2</v>
      </c>
      <c r="H105">
        <v>1</v>
      </c>
      <c r="I105">
        <v>265</v>
      </c>
      <c r="J105" s="1">
        <v>500.12</v>
      </c>
      <c r="K105" s="1">
        <v>4</v>
      </c>
      <c r="L105" s="45">
        <f t="shared" si="2"/>
        <v>0.14186865735735738</v>
      </c>
      <c r="M105" s="46">
        <f>((J105-K105)*Standards!$N$46/4-0.076)/L105</f>
        <v>134.28271049709281</v>
      </c>
      <c r="O105" s="55">
        <v>1</v>
      </c>
    </row>
    <row r="106" spans="1:16" x14ac:dyDescent="0.3">
      <c r="A106" t="s">
        <v>100</v>
      </c>
      <c r="D106" s="35">
        <v>37</v>
      </c>
      <c r="E106" s="30">
        <f>IF(D106="","",_xlfn.XLOOKUP(D106,Flasks!A$3:A$50,Flasks!D$3:D$50)/0.999)</f>
        <v>134.33833833833836</v>
      </c>
      <c r="F106" s="24" t="s">
        <v>56</v>
      </c>
      <c r="G106">
        <v>2</v>
      </c>
      <c r="H106">
        <v>20</v>
      </c>
      <c r="I106">
        <v>0</v>
      </c>
      <c r="J106" s="1">
        <v>1317.06</v>
      </c>
      <c r="K106" s="1">
        <v>4</v>
      </c>
      <c r="L106" s="45">
        <f t="shared" ref="L106:L108" si="3">E106*0.001*1.0227</f>
        <v>0.13738781861861862</v>
      </c>
      <c r="M106" s="46">
        <f>((J106-K106)*Standards!$N$46/4-0.076)/L106</f>
        <v>367.90253154001505</v>
      </c>
      <c r="O106" s="55">
        <v>1</v>
      </c>
    </row>
    <row r="107" spans="1:16" x14ac:dyDescent="0.3">
      <c r="A107" t="s">
        <v>100</v>
      </c>
      <c r="D107" s="35">
        <v>44</v>
      </c>
      <c r="E107" s="30">
        <f>IF(D107="","",_xlfn.XLOOKUP(D107,Flasks!A$3:A$50,Flasks!D$3:D$50)/0.999)</f>
        <v>138.99899899899901</v>
      </c>
      <c r="F107" s="24" t="s">
        <v>56</v>
      </c>
      <c r="G107">
        <v>2</v>
      </c>
      <c r="H107">
        <v>20</v>
      </c>
      <c r="I107">
        <v>0</v>
      </c>
      <c r="J107" s="1">
        <v>1362.5</v>
      </c>
      <c r="K107" s="1">
        <v>4</v>
      </c>
      <c r="L107" s="45">
        <f t="shared" si="3"/>
        <v>0.14215427627627628</v>
      </c>
      <c r="M107" s="46">
        <f>((J107-K107)*Standards!$N$46/4-0.076)/L107</f>
        <v>367.89000464436566</v>
      </c>
      <c r="O107" s="55">
        <v>1</v>
      </c>
    </row>
    <row r="108" spans="1:16" x14ac:dyDescent="0.3">
      <c r="A108" t="s">
        <v>100</v>
      </c>
      <c r="D108" s="35">
        <v>55</v>
      </c>
      <c r="E108" s="30">
        <f>IF(D108="","",_xlfn.XLOOKUP(D108,Flasks!A$3:A$50,Flasks!D$3:D$50)/0.999)</f>
        <v>134.1081081081081</v>
      </c>
      <c r="F108" s="24" t="s">
        <v>56</v>
      </c>
      <c r="G108">
        <v>2</v>
      </c>
      <c r="H108">
        <v>20</v>
      </c>
      <c r="I108">
        <v>0</v>
      </c>
      <c r="J108" s="1">
        <v>1315.06</v>
      </c>
      <c r="K108" s="1">
        <v>4</v>
      </c>
      <c r="L108" s="45">
        <f t="shared" si="3"/>
        <v>0.13715236216216214</v>
      </c>
      <c r="M108" s="46">
        <f>((J108-K108)*Standards!$N$46/4-0.076)/L108</f>
        <v>367.97194824583403</v>
      </c>
      <c r="O108" s="55">
        <v>1</v>
      </c>
    </row>
    <row r="109" spans="1:16" x14ac:dyDescent="0.3">
      <c r="A109" t="s">
        <v>100</v>
      </c>
      <c r="D109" s="35">
        <v>5</v>
      </c>
      <c r="E109" s="30">
        <f>IF(D109="","",_xlfn.XLOOKUP(D109,Flasks!A$3:A$50,Flasks!D$3:D$50)/0.999)</f>
        <v>141.82382382382383</v>
      </c>
      <c r="F109" s="24" t="s">
        <v>61</v>
      </c>
      <c r="I109">
        <v>0</v>
      </c>
      <c r="J109" s="1">
        <v>1150.8599999999999</v>
      </c>
      <c r="K109" s="1">
        <v>4</v>
      </c>
      <c r="L109" s="45">
        <f t="shared" ref="L109:L115" si="4">E109*0.001*1.0227</f>
        <v>0.14504322462462463</v>
      </c>
      <c r="M109" s="46">
        <f>((J109-K109)*Standards!$N$46/4-0.076)/L109</f>
        <v>304.30896699448812</v>
      </c>
      <c r="O109" s="55">
        <v>1</v>
      </c>
    </row>
    <row r="110" spans="1:16" x14ac:dyDescent="0.3">
      <c r="A110" t="s">
        <v>100</v>
      </c>
      <c r="D110" s="35">
        <v>50</v>
      </c>
      <c r="E110" s="30">
        <f>IF(D110="","",_xlfn.XLOOKUP(D110,Flasks!A$3:A$50,Flasks!D$3:D$50)/0.999)</f>
        <v>136.70070070070074</v>
      </c>
      <c r="F110" s="24" t="s">
        <v>61</v>
      </c>
      <c r="I110">
        <v>0</v>
      </c>
      <c r="J110" s="1" t="s">
        <v>101</v>
      </c>
      <c r="K110" s="1">
        <v>4</v>
      </c>
      <c r="L110" s="45">
        <f t="shared" si="4"/>
        <v>0.13980380660660663</v>
      </c>
      <c r="M110" s="46" t="e">
        <f>((J110-K110)*Standards!$N$46/4-0.076)/L110</f>
        <v>#VALUE!</v>
      </c>
      <c r="O110" s="55">
        <v>3</v>
      </c>
    </row>
    <row r="111" spans="1:16" x14ac:dyDescent="0.3">
      <c r="A111" t="s">
        <v>100</v>
      </c>
      <c r="D111" s="35">
        <v>12</v>
      </c>
      <c r="E111" s="30">
        <f>IF(D111="","",_xlfn.XLOOKUP(D111,Flasks!A$3:A$50,Flasks!D$3:D$50)/0.999)</f>
        <v>138.09909909909908</v>
      </c>
      <c r="F111" s="24" t="s">
        <v>61</v>
      </c>
      <c r="I111">
        <v>0</v>
      </c>
      <c r="J111" s="1" t="s">
        <v>101</v>
      </c>
      <c r="K111" s="1">
        <v>4</v>
      </c>
      <c r="L111" s="45">
        <f t="shared" si="4"/>
        <v>0.14123394864864863</v>
      </c>
      <c r="M111" s="46" t="e">
        <f>((J111-K111)*Standards!$N$46/4-0.076)/L111</f>
        <v>#VALUE!</v>
      </c>
      <c r="O111" s="55">
        <v>3</v>
      </c>
    </row>
    <row r="112" spans="1:16" x14ac:dyDescent="0.3">
      <c r="A112" t="s">
        <v>100</v>
      </c>
      <c r="D112" s="35">
        <v>3</v>
      </c>
      <c r="E112" s="30">
        <f>IF(D112="","",_xlfn.XLOOKUP(D112,Flasks!A$3:A$50,Flasks!D$3:D$50)/0.999)</f>
        <v>136.78278278278276</v>
      </c>
      <c r="F112" s="24" t="s">
        <v>27</v>
      </c>
      <c r="G112">
        <v>5</v>
      </c>
      <c r="H112">
        <v>1</v>
      </c>
      <c r="I112">
        <v>1000</v>
      </c>
      <c r="J112" s="1">
        <v>49.83</v>
      </c>
      <c r="K112" s="1">
        <v>4</v>
      </c>
      <c r="L112" s="45">
        <f t="shared" si="4"/>
        <v>0.13988775195195194</v>
      </c>
      <c r="M112" s="46">
        <f>((J112-K112)*Standards!$N$46/4-0.076)/L112</f>
        <v>12.087165701000149</v>
      </c>
      <c r="O112" s="55">
        <v>1</v>
      </c>
    </row>
    <row r="113" spans="1:15" x14ac:dyDescent="0.3">
      <c r="A113" t="s">
        <v>100</v>
      </c>
      <c r="D113" s="35">
        <v>13</v>
      </c>
      <c r="E113" s="30">
        <f>IF(D113="","",_xlfn.XLOOKUP(D113,Flasks!A$3:A$50,Flasks!D$3:D$50)/0.999)</f>
        <v>146.98398398398396</v>
      </c>
      <c r="F113" s="24" t="s">
        <v>27</v>
      </c>
      <c r="G113">
        <v>5</v>
      </c>
      <c r="H113">
        <v>1</v>
      </c>
      <c r="I113">
        <v>1000</v>
      </c>
      <c r="J113" s="1">
        <v>55.88</v>
      </c>
      <c r="K113" s="1">
        <v>4</v>
      </c>
      <c r="L113" s="45">
        <f t="shared" si="4"/>
        <v>0.15032052042042038</v>
      </c>
      <c r="M113" s="46">
        <f>((J113-K113)*Standards!$N$46/4-0.076)/L113</f>
        <v>12.799896678752999</v>
      </c>
      <c r="O113" s="55">
        <v>1</v>
      </c>
    </row>
    <row r="114" spans="1:15" x14ac:dyDescent="0.3">
      <c r="A114" t="s">
        <v>100</v>
      </c>
      <c r="D114" s="35">
        <v>27</v>
      </c>
      <c r="E114" s="30">
        <f>IF(D114="","",_xlfn.XLOOKUP(D114,Flasks!A$3:A$50,Flasks!D$3:D$50)/0.999)</f>
        <v>135.59759759759763</v>
      </c>
      <c r="F114" s="24" t="s">
        <v>27</v>
      </c>
      <c r="G114">
        <v>5</v>
      </c>
      <c r="H114">
        <v>20</v>
      </c>
      <c r="I114">
        <v>0</v>
      </c>
      <c r="J114" s="1">
        <v>1111.8</v>
      </c>
      <c r="K114" s="1">
        <v>4</v>
      </c>
      <c r="L114" s="45">
        <f t="shared" si="4"/>
        <v>0.13867566306306309</v>
      </c>
      <c r="M114" s="46">
        <f>((J114-K114)*Standards!$N$46/4-0.076)/L114</f>
        <v>307.42312485668128</v>
      </c>
      <c r="O114" s="55">
        <v>1</v>
      </c>
    </row>
    <row r="115" spans="1:15" x14ac:dyDescent="0.3">
      <c r="A115" t="s">
        <v>100</v>
      </c>
      <c r="D115" s="35">
        <v>45</v>
      </c>
      <c r="E115" s="30">
        <f>IF(D115="","",_xlfn.XLOOKUP(D115,Flasks!A$3:A$50,Flasks!D$3:D$50)/0.999)</f>
        <v>142.63163163163162</v>
      </c>
      <c r="F115" s="24" t="s">
        <v>27</v>
      </c>
      <c r="G115">
        <v>5</v>
      </c>
      <c r="H115">
        <v>20</v>
      </c>
      <c r="I115">
        <v>0</v>
      </c>
      <c r="J115" s="1">
        <v>1169.57</v>
      </c>
      <c r="K115" s="1">
        <v>4</v>
      </c>
      <c r="L115" s="45">
        <f t="shared" si="4"/>
        <v>0.14586936966966965</v>
      </c>
      <c r="M115" s="46">
        <f>((J115-K115)*Standards!$N$46/4-0.076)/L115</f>
        <v>307.53039692897767</v>
      </c>
      <c r="O115" s="55">
        <v>1</v>
      </c>
    </row>
    <row r="116" spans="1:15" x14ac:dyDescent="0.3">
      <c r="A116" t="s">
        <v>100</v>
      </c>
      <c r="D116" s="35">
        <v>47</v>
      </c>
      <c r="E116" s="30">
        <f>IF(D116="","",_xlfn.XLOOKUP(D116,Flasks!A$3:A$50,Flasks!D$3:D$50)/0.999)</f>
        <v>139.38438438438439</v>
      </c>
      <c r="F116" s="24" t="s">
        <v>72</v>
      </c>
      <c r="G116">
        <v>7</v>
      </c>
      <c r="H116">
        <v>1</v>
      </c>
      <c r="I116">
        <v>530</v>
      </c>
      <c r="J116" s="1">
        <v>139.47999999999999</v>
      </c>
      <c r="K116" s="1">
        <v>4</v>
      </c>
      <c r="L116" s="45">
        <f t="shared" ref="L116:L120" si="5">E116*0.001*1.0227</f>
        <v>0.14254840990990991</v>
      </c>
      <c r="M116" s="46">
        <f>((J116-K116)*Standards!$N$46/4-0.076)/L116</f>
        <v>36.107378766108788</v>
      </c>
      <c r="O116" s="55">
        <v>3</v>
      </c>
    </row>
    <row r="117" spans="1:15" x14ac:dyDescent="0.3">
      <c r="A117" t="s">
        <v>100</v>
      </c>
      <c r="D117" s="35">
        <v>2</v>
      </c>
      <c r="E117" s="30">
        <f>IF(D117="","",_xlfn.XLOOKUP(D117,Flasks!A$3:A$50,Flasks!D$3:D$50)/0.999)</f>
        <v>142.48748748748747</v>
      </c>
      <c r="F117" s="24" t="s">
        <v>72</v>
      </c>
      <c r="G117">
        <v>7</v>
      </c>
      <c r="H117">
        <v>1</v>
      </c>
      <c r="I117">
        <v>530</v>
      </c>
      <c r="J117" s="1">
        <v>113.72</v>
      </c>
      <c r="K117" s="1">
        <v>4</v>
      </c>
      <c r="L117" s="45">
        <f t="shared" si="5"/>
        <v>0.14572195345345343</v>
      </c>
      <c r="M117" s="46">
        <f>((J117-K117)*Standards!$N$46/4-0.076)/L117</f>
        <v>28.505967413630191</v>
      </c>
      <c r="O117" s="55">
        <v>1</v>
      </c>
    </row>
    <row r="118" spans="1:15" x14ac:dyDescent="0.3">
      <c r="A118" t="s">
        <v>100</v>
      </c>
      <c r="D118" s="35">
        <v>37</v>
      </c>
      <c r="E118" s="30">
        <f>IF(D118="","",_xlfn.XLOOKUP(D118,Flasks!A$3:A$50,Flasks!D$3:D$50)/0.999)</f>
        <v>134.33833833833836</v>
      </c>
      <c r="F118" s="24" t="s">
        <v>72</v>
      </c>
      <c r="G118">
        <v>7</v>
      </c>
      <c r="H118">
        <v>1</v>
      </c>
      <c r="I118">
        <v>530</v>
      </c>
      <c r="J118" s="1">
        <v>109.73</v>
      </c>
      <c r="K118" s="1">
        <v>4</v>
      </c>
      <c r="L118" s="45">
        <f t="shared" si="5"/>
        <v>0.13738781861861862</v>
      </c>
      <c r="M118" s="46">
        <f>((J118-K118)*Standards!$N$46/4-0.076)/L118</f>
        <v>29.115551117836198</v>
      </c>
      <c r="O118" s="55">
        <v>1</v>
      </c>
    </row>
    <row r="119" spans="1:15" x14ac:dyDescent="0.3">
      <c r="A119" t="s">
        <v>100</v>
      </c>
      <c r="D119" s="35">
        <v>28</v>
      </c>
      <c r="E119" s="30">
        <f>IF(D119="","",_xlfn.XLOOKUP(D119,Flasks!A$3:A$50,Flasks!D$3:D$50)/0.999)</f>
        <v>138.71971971971973</v>
      </c>
      <c r="F119" s="24" t="s">
        <v>72</v>
      </c>
      <c r="G119">
        <v>7</v>
      </c>
      <c r="H119">
        <v>1</v>
      </c>
      <c r="I119">
        <v>530</v>
      </c>
      <c r="J119" s="1">
        <v>110.9</v>
      </c>
      <c r="K119" s="1">
        <v>4</v>
      </c>
      <c r="L119" s="45">
        <f t="shared" si="5"/>
        <v>0.14186865735735738</v>
      </c>
      <c r="M119" s="46">
        <f>((J119-K119)*Standards!$N$46/4-0.076)/L119</f>
        <v>28.513895758406633</v>
      </c>
      <c r="O119" s="55">
        <v>1</v>
      </c>
    </row>
    <row r="120" spans="1:15" x14ac:dyDescent="0.3">
      <c r="A120" t="s">
        <v>100</v>
      </c>
      <c r="D120" s="35">
        <v>7</v>
      </c>
      <c r="E120" s="30">
        <f>IF(D120="","",_xlfn.XLOOKUP(D120,Flasks!A$3:A$50,Flasks!D$3:D$50)/0.999)</f>
        <v>140.16616616616616</v>
      </c>
      <c r="F120" s="24" t="s">
        <v>72</v>
      </c>
      <c r="G120">
        <v>7</v>
      </c>
      <c r="H120">
        <v>1</v>
      </c>
      <c r="I120">
        <v>530</v>
      </c>
      <c r="J120" s="1">
        <v>112.5</v>
      </c>
      <c r="K120" s="1">
        <v>4</v>
      </c>
      <c r="L120" s="45">
        <f t="shared" si="5"/>
        <v>0.14334793813813815</v>
      </c>
      <c r="M120" s="46">
        <f>((J120-K120)*Standards!$N$46/4-0.076)/L120</f>
        <v>28.649952343870478</v>
      </c>
      <c r="O120" s="55">
        <v>1</v>
      </c>
    </row>
    <row r="121" spans="1:15" x14ac:dyDescent="0.3">
      <c r="A121" t="s">
        <v>100</v>
      </c>
      <c r="D121" s="35">
        <v>55</v>
      </c>
      <c r="E121" s="30">
        <f>IF(D121="","",_xlfn.XLOOKUP(D121,Flasks!A$3:A$50,Flasks!D$3:D$50)/0.999)</f>
        <v>134.1081081081081</v>
      </c>
      <c r="F121" s="24" t="s">
        <v>72</v>
      </c>
      <c r="G121">
        <v>7</v>
      </c>
      <c r="H121">
        <v>16</v>
      </c>
      <c r="I121">
        <v>0</v>
      </c>
      <c r="J121" s="1">
        <v>1084.54</v>
      </c>
      <c r="K121" s="1">
        <v>4</v>
      </c>
      <c r="L121" s="45">
        <f t="shared" ref="L121:L128" si="6">E121*0.001*1.0227</f>
        <v>0.13715236216216214</v>
      </c>
      <c r="M121" s="46">
        <f>((J121-K121)*Standards!$N$46/4-0.076)/L121</f>
        <v>303.17504256915919</v>
      </c>
      <c r="O121" s="55">
        <v>1</v>
      </c>
    </row>
    <row r="122" spans="1:15" x14ac:dyDescent="0.3">
      <c r="A122" t="s">
        <v>100</v>
      </c>
      <c r="D122" s="35">
        <v>3</v>
      </c>
      <c r="E122" s="30">
        <f>IF(D122="","",_xlfn.XLOOKUP(D122,Flasks!A$3:A$50,Flasks!D$3:D$50)/0.999)</f>
        <v>136.78278278278276</v>
      </c>
      <c r="F122" s="24" t="s">
        <v>72</v>
      </c>
      <c r="G122">
        <v>7</v>
      </c>
      <c r="H122">
        <v>16</v>
      </c>
      <c r="I122">
        <v>0</v>
      </c>
      <c r="J122" s="1">
        <v>1108.98</v>
      </c>
      <c r="K122" s="1">
        <v>4</v>
      </c>
      <c r="L122" s="45">
        <f t="shared" si="6"/>
        <v>0.13988775195195194</v>
      </c>
      <c r="M122" s="46">
        <f>((J122-K122)*Standards!$N$46/4-0.076)/L122</f>
        <v>303.98221386603586</v>
      </c>
      <c r="O122" s="55">
        <v>1</v>
      </c>
    </row>
    <row r="123" spans="1:15" x14ac:dyDescent="0.3">
      <c r="A123" t="s">
        <v>100</v>
      </c>
      <c r="D123" s="35">
        <v>5</v>
      </c>
      <c r="E123" s="30">
        <f>IF(D123="","",_xlfn.XLOOKUP(D123,Flasks!A$3:A$50,Flasks!D$3:D$50)/0.999)</f>
        <v>141.82382382382383</v>
      </c>
      <c r="F123" s="24" t="s">
        <v>72</v>
      </c>
      <c r="G123">
        <v>7</v>
      </c>
      <c r="H123">
        <v>16</v>
      </c>
      <c r="I123">
        <v>0</v>
      </c>
      <c r="J123" s="1">
        <v>1149.22</v>
      </c>
      <c r="K123" s="1">
        <v>4</v>
      </c>
      <c r="L123" s="45">
        <f t="shared" si="6"/>
        <v>0.14504322462462463</v>
      </c>
      <c r="M123" s="46">
        <f>((J123-K123)*Standards!$N$46/4-0.076)/L123</f>
        <v>303.87305848262895</v>
      </c>
      <c r="O123" s="55">
        <v>1</v>
      </c>
    </row>
    <row r="124" spans="1:15" x14ac:dyDescent="0.3">
      <c r="A124" t="s">
        <v>100</v>
      </c>
      <c r="D124" s="35">
        <v>20</v>
      </c>
      <c r="E124" s="30">
        <f>IF(D124="","",_xlfn.XLOOKUP(D124,Flasks!A$3:A$50,Flasks!D$3:D$50)/0.999)</f>
        <v>146.70070070070071</v>
      </c>
      <c r="F124" s="24" t="s">
        <v>102</v>
      </c>
      <c r="G124">
        <v>9</v>
      </c>
      <c r="H124">
        <v>12</v>
      </c>
      <c r="I124">
        <v>0</v>
      </c>
      <c r="J124" s="1">
        <v>1288.6099999999999</v>
      </c>
      <c r="K124" s="1">
        <v>4</v>
      </c>
      <c r="L124" s="45">
        <f t="shared" si="6"/>
        <v>0.15003080660660661</v>
      </c>
      <c r="M124" s="46">
        <f>((J124-K124)*Standards!$N$46/4-0.076)/L124</f>
        <v>329.58908808533499</v>
      </c>
      <c r="O124" s="55">
        <v>1</v>
      </c>
    </row>
    <row r="125" spans="1:15" x14ac:dyDescent="0.3">
      <c r="A125" t="s">
        <v>100</v>
      </c>
      <c r="D125" s="35">
        <v>13</v>
      </c>
      <c r="E125" s="30">
        <f>IF(D125="","",_xlfn.XLOOKUP(D125,Flasks!A$3:A$50,Flasks!D$3:D$50)/0.999)</f>
        <v>146.98398398398396</v>
      </c>
      <c r="F125" s="24" t="s">
        <v>102</v>
      </c>
      <c r="G125">
        <v>9</v>
      </c>
      <c r="H125">
        <v>12</v>
      </c>
      <c r="I125">
        <v>0</v>
      </c>
      <c r="J125" s="1">
        <v>1287.8800000000001</v>
      </c>
      <c r="K125" s="1">
        <v>4</v>
      </c>
      <c r="L125" s="45">
        <f t="shared" si="6"/>
        <v>0.15032052042042038</v>
      </c>
      <c r="M125" s="46">
        <f>((J125-K125)*Standards!$N$46/4-0.076)/L125</f>
        <v>328.76664812038172</v>
      </c>
      <c r="O125" s="55">
        <v>1</v>
      </c>
    </row>
    <row r="126" spans="1:15" x14ac:dyDescent="0.3">
      <c r="A126" t="s">
        <v>100</v>
      </c>
      <c r="D126" s="35">
        <v>50</v>
      </c>
      <c r="E126" s="30">
        <f>IF(D126="","",_xlfn.XLOOKUP(D126,Flasks!A$3:A$50,Flasks!D$3:D$50)/0.999)</f>
        <v>136.70070070070074</v>
      </c>
      <c r="F126" s="24" t="s">
        <v>102</v>
      </c>
      <c r="G126">
        <v>9</v>
      </c>
      <c r="H126">
        <v>12</v>
      </c>
      <c r="I126">
        <v>0</v>
      </c>
      <c r="J126" s="1">
        <v>1198.27</v>
      </c>
      <c r="K126" s="1">
        <v>4</v>
      </c>
      <c r="L126" s="45">
        <f t="shared" si="6"/>
        <v>0.13980380660660663</v>
      </c>
      <c r="M126" s="46">
        <f>((J126-K126)*Standards!$N$46/4-0.076)/L126</f>
        <v>328.78727592275186</v>
      </c>
      <c r="O126" s="55">
        <v>1</v>
      </c>
    </row>
    <row r="127" spans="1:15" x14ac:dyDescent="0.3">
      <c r="A127" t="s">
        <v>100</v>
      </c>
      <c r="D127" s="35">
        <v>32</v>
      </c>
      <c r="E127" s="30">
        <f>IF(D127="","",_xlfn.XLOOKUP(D127,Flasks!A$3:A$50,Flasks!D$3:D$50)/0.999)</f>
        <v>139.69069069069067</v>
      </c>
      <c r="F127" s="24" t="s">
        <v>103</v>
      </c>
      <c r="G127">
        <v>11</v>
      </c>
      <c r="H127">
        <v>1</v>
      </c>
      <c r="I127">
        <v>113</v>
      </c>
      <c r="J127" s="1">
        <v>1040.56</v>
      </c>
      <c r="K127" s="1">
        <v>4</v>
      </c>
      <c r="L127" s="45">
        <f t="shared" si="6"/>
        <v>0.14286166936936934</v>
      </c>
      <c r="M127" s="46">
        <f>((J127-K127)*Standards!$N$46/4-0.076)/L127</f>
        <v>279.19069201547489</v>
      </c>
      <c r="O127" s="55">
        <v>1</v>
      </c>
    </row>
    <row r="128" spans="1:15" x14ac:dyDescent="0.3">
      <c r="A128" t="s">
        <v>100</v>
      </c>
      <c r="D128" s="35">
        <v>43</v>
      </c>
      <c r="E128" s="30">
        <f>IF(D128="","",_xlfn.XLOOKUP(D128,Flasks!A$3:A$50,Flasks!D$3:D$50)/0.999)</f>
        <v>141.41441441441441</v>
      </c>
      <c r="F128" s="24" t="s">
        <v>103</v>
      </c>
      <c r="G128">
        <v>11</v>
      </c>
      <c r="H128">
        <v>17</v>
      </c>
      <c r="I128">
        <v>0</v>
      </c>
      <c r="J128" s="1">
        <v>1294.58</v>
      </c>
      <c r="K128" s="1">
        <v>4</v>
      </c>
      <c r="L128" s="45">
        <f t="shared" si="6"/>
        <v>0.14462452162162159</v>
      </c>
      <c r="M128" s="46">
        <f>((J128-K128)*Standards!$N$46/4-0.076)/L128</f>
        <v>343.50103768984189</v>
      </c>
      <c r="O128" s="55">
        <v>1</v>
      </c>
    </row>
    <row r="129" spans="1:15" x14ac:dyDescent="0.3">
      <c r="A129" t="s">
        <v>100</v>
      </c>
      <c r="D129" s="35">
        <v>55</v>
      </c>
      <c r="E129" s="30">
        <f>IF(D129="","",_xlfn.XLOOKUP(D129,Flasks!A$3:A$50,Flasks!D$3:D$50)/0.999)</f>
        <v>134.1081081081081</v>
      </c>
      <c r="F129" s="24" t="s">
        <v>103</v>
      </c>
      <c r="G129" t="s">
        <v>61</v>
      </c>
      <c r="J129" s="1">
        <v>1117.76</v>
      </c>
      <c r="K129" s="1">
        <v>4</v>
      </c>
      <c r="L129" s="45">
        <f t="shared" ref="L129:L136" si="7">E129*0.001*1.0227</f>
        <v>0.13715236216216214</v>
      </c>
      <c r="M129" s="46">
        <f>((J129-K129)*Standards!$N$46/4-0.076)/L129</f>
        <v>312.51285797163678</v>
      </c>
      <c r="O129" s="55">
        <v>1</v>
      </c>
    </row>
    <row r="130" spans="1:15" x14ac:dyDescent="0.3">
      <c r="A130" t="s">
        <v>100</v>
      </c>
      <c r="D130" s="35">
        <v>2</v>
      </c>
      <c r="E130" s="30">
        <f>IF(D130="","",_xlfn.XLOOKUP(D130,Flasks!A$3:A$50,Flasks!D$3:D$50)/0.999)</f>
        <v>142.48748748748747</v>
      </c>
      <c r="G130" t="s">
        <v>61</v>
      </c>
      <c r="J130" s="1">
        <v>1326.01</v>
      </c>
      <c r="K130" s="1">
        <v>4</v>
      </c>
      <c r="L130" s="45">
        <f t="shared" si="7"/>
        <v>0.14572195345345343</v>
      </c>
      <c r="M130" s="46">
        <f>((J130-K130)*Standards!$N$46/4-0.076)/L130</f>
        <v>349.22924846234974</v>
      </c>
      <c r="O130" s="55">
        <v>1</v>
      </c>
    </row>
    <row r="131" spans="1:15" x14ac:dyDescent="0.3">
      <c r="A131" t="s">
        <v>100</v>
      </c>
      <c r="D131" s="35">
        <v>28</v>
      </c>
      <c r="E131" s="30">
        <f>IF(D131="","",_xlfn.XLOOKUP(D131,Flasks!A$3:A$50,Flasks!D$3:D$50)/0.999)</f>
        <v>138.71971971971973</v>
      </c>
      <c r="F131" s="24" t="s">
        <v>104</v>
      </c>
      <c r="G131">
        <v>17</v>
      </c>
      <c r="H131">
        <v>1</v>
      </c>
      <c r="I131">
        <v>0</v>
      </c>
      <c r="J131" s="1">
        <v>1059.29</v>
      </c>
      <c r="K131" s="1">
        <v>4</v>
      </c>
      <c r="L131" s="45">
        <f t="shared" si="7"/>
        <v>0.14186865735735738</v>
      </c>
      <c r="M131" s="46">
        <f>((J131-K131)*Standards!$N$46/4-0.076)/L131</f>
        <v>286.23468659655106</v>
      </c>
      <c r="O131" s="55">
        <v>1</v>
      </c>
    </row>
    <row r="132" spans="1:15" x14ac:dyDescent="0.3">
      <c r="A132" t="s">
        <v>100</v>
      </c>
      <c r="D132" s="35">
        <v>37</v>
      </c>
      <c r="E132" s="30">
        <f>IF(D132="","",_xlfn.XLOOKUP(D132,Flasks!A$3:A$50,Flasks!D$3:D$50)/0.999)</f>
        <v>134.33833833833836</v>
      </c>
      <c r="F132" s="24" t="s">
        <v>104</v>
      </c>
      <c r="G132">
        <v>17</v>
      </c>
      <c r="H132">
        <v>12</v>
      </c>
      <c r="I132">
        <v>55</v>
      </c>
      <c r="O132" s="55">
        <v>3</v>
      </c>
    </row>
    <row r="133" spans="1:15" x14ac:dyDescent="0.3">
      <c r="A133" t="s">
        <v>100</v>
      </c>
      <c r="D133" s="35">
        <v>7</v>
      </c>
      <c r="E133" s="30">
        <f>IF(D133="","",_xlfn.XLOOKUP(D133,Flasks!A$3:A$50,Flasks!D$3:D$50)/0.999)</f>
        <v>140.16616616616616</v>
      </c>
      <c r="F133" s="24" t="s">
        <v>35</v>
      </c>
      <c r="G133">
        <v>19</v>
      </c>
      <c r="H133">
        <v>1</v>
      </c>
      <c r="I133">
        <v>0</v>
      </c>
      <c r="J133" s="1">
        <v>1048.51</v>
      </c>
      <c r="K133" s="1">
        <v>3.37</v>
      </c>
      <c r="L133" s="45">
        <f t="shared" si="7"/>
        <v>0.14334793813813815</v>
      </c>
      <c r="M133" s="46">
        <f>((J133-K133)*Standards!$N$46/4-0.076)/L133</f>
        <v>280.55113010836828</v>
      </c>
      <c r="O133" s="55">
        <v>1</v>
      </c>
    </row>
    <row r="134" spans="1:15" x14ac:dyDescent="0.3">
      <c r="A134" t="s">
        <v>100</v>
      </c>
      <c r="D134" s="35">
        <v>13</v>
      </c>
      <c r="E134" s="30">
        <f>IF(D134="","",_xlfn.XLOOKUP(D134,Flasks!A$3:A$50,Flasks!D$3:D$50)/0.999)</f>
        <v>146.98398398398396</v>
      </c>
      <c r="F134" s="24" t="s">
        <v>35</v>
      </c>
      <c r="G134">
        <v>19</v>
      </c>
      <c r="H134">
        <v>13</v>
      </c>
      <c r="I134">
        <v>91</v>
      </c>
      <c r="J134" s="1">
        <v>1231.3900000000001</v>
      </c>
      <c r="K134" s="1">
        <v>3.37</v>
      </c>
      <c r="L134" s="45">
        <f t="shared" si="7"/>
        <v>0.15032052042042038</v>
      </c>
      <c r="M134" s="46">
        <f>((J134-K134)*Standards!$N$46/4-0.076)/L134</f>
        <v>314.44042836751697</v>
      </c>
      <c r="O134" s="55">
        <v>1</v>
      </c>
    </row>
    <row r="135" spans="1:15" x14ac:dyDescent="0.3">
      <c r="A135" t="s">
        <v>100</v>
      </c>
      <c r="D135" s="35">
        <v>45</v>
      </c>
      <c r="E135" s="30">
        <f>IF(D135="","",_xlfn.XLOOKUP(D135,Flasks!A$3:A$50,Flasks!D$3:D$50)/0.999)</f>
        <v>142.63163163163162</v>
      </c>
      <c r="F135" s="24" t="s">
        <v>35</v>
      </c>
      <c r="G135">
        <v>19</v>
      </c>
      <c r="H135">
        <v>13</v>
      </c>
      <c r="I135">
        <v>91</v>
      </c>
      <c r="J135" s="1">
        <v>1196.21</v>
      </c>
      <c r="K135" s="1">
        <v>3.37</v>
      </c>
      <c r="L135" s="45">
        <f t="shared" si="7"/>
        <v>0.14586936966966965</v>
      </c>
      <c r="M135" s="46">
        <f>((J135-K135)*Standards!$N$46/4-0.076)/L135</f>
        <v>314.73765344644778</v>
      </c>
      <c r="O135" s="55">
        <v>1</v>
      </c>
    </row>
    <row r="136" spans="1:15" x14ac:dyDescent="0.3">
      <c r="A136" t="s">
        <v>100</v>
      </c>
      <c r="D136" s="35">
        <v>50</v>
      </c>
      <c r="E136" s="30">
        <f>IF(D136="","",_xlfn.XLOOKUP(D136,Flasks!A$3:A$50,Flasks!D$3:D$50)/0.999)</f>
        <v>136.70070070070074</v>
      </c>
      <c r="F136" s="24" t="s">
        <v>35</v>
      </c>
      <c r="G136">
        <v>19</v>
      </c>
      <c r="H136">
        <v>13</v>
      </c>
      <c r="I136">
        <v>91</v>
      </c>
      <c r="J136" s="1">
        <v>1146.76</v>
      </c>
      <c r="K136" s="1">
        <v>3.37</v>
      </c>
      <c r="L136" s="45">
        <f t="shared" si="7"/>
        <v>0.13980380660660663</v>
      </c>
      <c r="M136" s="46">
        <f>((J136-K136)*Standards!$N$46/4-0.076)/L136</f>
        <v>314.75664973968435</v>
      </c>
      <c r="O136" s="55">
        <v>1</v>
      </c>
    </row>
    <row r="137" spans="1:15" x14ac:dyDescent="0.3">
      <c r="A137" t="s">
        <v>100</v>
      </c>
      <c r="D137" s="35">
        <v>55</v>
      </c>
      <c r="E137" s="30">
        <f>IF(D137="","",_xlfn.XLOOKUP(D137,Flasks!A$3:A$50,Flasks!D$3:D$50)/0.999)</f>
        <v>134.1081081081081</v>
      </c>
      <c r="F137" s="24" t="s">
        <v>36</v>
      </c>
      <c r="G137">
        <v>27</v>
      </c>
      <c r="H137">
        <v>2</v>
      </c>
      <c r="I137">
        <v>730</v>
      </c>
      <c r="J137" s="1">
        <v>545.63</v>
      </c>
      <c r="K137" s="1">
        <v>3.37</v>
      </c>
      <c r="L137" s="45">
        <f t="shared" ref="L137:L146" si="8">E137*0.001*1.0227</f>
        <v>0.13715236216216214</v>
      </c>
      <c r="M137" s="46">
        <f>((J137-K137)*Standards!$N$46/4-0.076)/L137</f>
        <v>151.86982658945874</v>
      </c>
      <c r="O137" s="55">
        <v>3</v>
      </c>
    </row>
    <row r="138" spans="1:15" x14ac:dyDescent="0.3">
      <c r="A138" t="s">
        <v>100</v>
      </c>
      <c r="D138" s="35">
        <v>37</v>
      </c>
      <c r="E138" s="30">
        <f>IF(D138="","",_xlfn.XLOOKUP(D138,Flasks!A$3:A$50,Flasks!D$3:D$50)/0.999)</f>
        <v>134.33833833833836</v>
      </c>
      <c r="F138" s="24" t="s">
        <v>36</v>
      </c>
      <c r="G138">
        <v>27</v>
      </c>
      <c r="H138">
        <v>2</v>
      </c>
      <c r="I138">
        <v>730</v>
      </c>
      <c r="J138" s="1">
        <v>468.75</v>
      </c>
      <c r="K138" s="1">
        <v>3.37</v>
      </c>
      <c r="L138" s="45">
        <f t="shared" si="8"/>
        <v>0.13738781861861862</v>
      </c>
      <c r="M138" s="46">
        <f>((J138-K138)*Standards!$N$46/4-0.076)/L138</f>
        <v>130.03637434664407</v>
      </c>
      <c r="O138" s="55">
        <v>1</v>
      </c>
    </row>
    <row r="139" spans="1:15" x14ac:dyDescent="0.3">
      <c r="A139" t="s">
        <v>100</v>
      </c>
      <c r="D139" s="35">
        <v>50</v>
      </c>
      <c r="E139" s="30">
        <f>IF(D139="","",_xlfn.XLOOKUP(D139,Flasks!A$3:A$50,Flasks!D$3:D$50)/0.999)</f>
        <v>136.70070070070074</v>
      </c>
      <c r="F139" s="24" t="s">
        <v>36</v>
      </c>
      <c r="G139">
        <v>27</v>
      </c>
      <c r="H139">
        <v>2</v>
      </c>
      <c r="I139">
        <v>730</v>
      </c>
      <c r="J139" s="1">
        <v>478.7</v>
      </c>
      <c r="K139" s="1">
        <v>3.37</v>
      </c>
      <c r="L139" s="45">
        <f t="shared" si="8"/>
        <v>0.13980380660660663</v>
      </c>
      <c r="M139" s="46">
        <f>((J139-K139)*Standards!$N$46/4-0.076)/L139</f>
        <v>130.53298370469824</v>
      </c>
      <c r="O139" s="55">
        <v>1</v>
      </c>
    </row>
    <row r="140" spans="1:15" x14ac:dyDescent="0.3">
      <c r="A140" t="s">
        <v>100</v>
      </c>
      <c r="D140" s="35">
        <v>11</v>
      </c>
      <c r="E140" s="30">
        <f>IF(D140="","",_xlfn.XLOOKUP(D140,Flasks!A$3:A$50,Flasks!D$3:D$50)/0.999)</f>
        <v>133.33433433433433</v>
      </c>
      <c r="F140" s="24" t="s">
        <v>36</v>
      </c>
      <c r="G140">
        <v>27</v>
      </c>
      <c r="H140">
        <v>24</v>
      </c>
      <c r="I140">
        <v>0</v>
      </c>
      <c r="J140" s="1">
        <v>1208.54</v>
      </c>
      <c r="K140" s="1">
        <v>3.37</v>
      </c>
      <c r="L140" s="45">
        <f t="shared" si="8"/>
        <v>0.13636102372372372</v>
      </c>
      <c r="M140" s="46">
        <f>((J140-K140)*Standards!$N$46/4-0.076)/L140</f>
        <v>340.17001515369839</v>
      </c>
      <c r="O140" s="55">
        <v>1</v>
      </c>
    </row>
    <row r="141" spans="1:15" x14ac:dyDescent="0.3">
      <c r="A141" t="s">
        <v>100</v>
      </c>
      <c r="D141" s="35">
        <v>28</v>
      </c>
      <c r="E141" s="30">
        <f>IF(D141="","",_xlfn.XLOOKUP(D141,Flasks!A$3:A$50,Flasks!D$3:D$50)/0.999)</f>
        <v>138.71971971971973</v>
      </c>
      <c r="F141" s="24" t="s">
        <v>36</v>
      </c>
      <c r="G141">
        <v>27</v>
      </c>
      <c r="H141">
        <v>24</v>
      </c>
      <c r="I141">
        <v>0</v>
      </c>
      <c r="J141" s="1">
        <v>1260.07</v>
      </c>
      <c r="K141" s="1">
        <v>3.37</v>
      </c>
      <c r="L141" s="45">
        <f t="shared" si="8"/>
        <v>0.14186865735735738</v>
      </c>
      <c r="M141" s="46">
        <f>((J141-K141)*Standards!$N$46/4-0.076)/L141</f>
        <v>340.96696391148549</v>
      </c>
      <c r="O141" s="55">
        <v>1</v>
      </c>
    </row>
    <row r="142" spans="1:15" x14ac:dyDescent="0.3">
      <c r="A142" t="s">
        <v>100</v>
      </c>
      <c r="D142" s="35">
        <v>7</v>
      </c>
      <c r="E142" s="30">
        <f>IF(D142="","",_xlfn.XLOOKUP(D142,Flasks!A$3:A$50,Flasks!D$3:D$50)/0.999)</f>
        <v>140.16616616616616</v>
      </c>
      <c r="F142" s="24" t="s">
        <v>36</v>
      </c>
      <c r="G142">
        <v>27</v>
      </c>
      <c r="H142">
        <v>24</v>
      </c>
      <c r="I142">
        <v>0</v>
      </c>
      <c r="J142" s="1">
        <v>1273.55</v>
      </c>
      <c r="K142" s="1">
        <v>3.37</v>
      </c>
      <c r="L142" s="45">
        <f t="shared" si="8"/>
        <v>0.14334793813813815</v>
      </c>
      <c r="M142" s="46">
        <f>((J142-K142)*Standards!$N$46/4-0.076)/L142</f>
        <v>341.0736799077817</v>
      </c>
      <c r="O142" s="55">
        <v>1</v>
      </c>
    </row>
    <row r="143" spans="1:15" x14ac:dyDescent="0.3">
      <c r="A143" t="s">
        <v>100</v>
      </c>
      <c r="D143" s="35">
        <v>5</v>
      </c>
      <c r="E143" s="30">
        <f>IF(D143="","",_xlfn.XLOOKUP(D143,Flasks!A$3:A$50,Flasks!D$3:D$50)/0.999)</f>
        <v>141.82382382382383</v>
      </c>
      <c r="F143" s="24" t="s">
        <v>71</v>
      </c>
      <c r="G143">
        <v>28</v>
      </c>
      <c r="H143">
        <v>2</v>
      </c>
      <c r="I143">
        <v>322</v>
      </c>
      <c r="J143" s="1">
        <v>595.78</v>
      </c>
      <c r="K143" s="1">
        <v>3.37</v>
      </c>
      <c r="L143" s="45">
        <f t="shared" si="8"/>
        <v>0.14504322462462463</v>
      </c>
      <c r="M143" s="46">
        <f>((J143-K143)*Standards!$N$46/4-0.076)/L143</f>
        <v>156.93733626257998</v>
      </c>
      <c r="O143" s="55">
        <v>3</v>
      </c>
    </row>
    <row r="144" spans="1:15" x14ac:dyDescent="0.3">
      <c r="A144" t="s">
        <v>100</v>
      </c>
      <c r="D144" s="35">
        <v>20</v>
      </c>
      <c r="E144" s="30">
        <f>IF(D144="","",_xlfn.XLOOKUP(D144,Flasks!A$3:A$50,Flasks!D$3:D$50)/0.999)</f>
        <v>146.70070070070071</v>
      </c>
      <c r="F144" s="24" t="s">
        <v>71</v>
      </c>
      <c r="G144">
        <v>28</v>
      </c>
      <c r="H144">
        <v>2</v>
      </c>
      <c r="I144">
        <v>322</v>
      </c>
      <c r="J144" s="1">
        <v>638.23</v>
      </c>
      <c r="K144" s="1">
        <v>3.37</v>
      </c>
      <c r="L144" s="45">
        <f t="shared" si="8"/>
        <v>0.15003080660660661</v>
      </c>
      <c r="M144" s="46">
        <f>((J144-K144)*Standards!$N$46/4-0.076)/L144</f>
        <v>162.62818240003415</v>
      </c>
      <c r="O144" s="55">
        <v>3</v>
      </c>
    </row>
    <row r="145" spans="1:15" x14ac:dyDescent="0.3">
      <c r="A145" t="s">
        <v>100</v>
      </c>
      <c r="D145" s="35">
        <v>43</v>
      </c>
      <c r="E145" s="30">
        <f>IF(D145="","",_xlfn.XLOOKUP(D145,Flasks!A$3:A$50,Flasks!D$3:D$50)/0.999)</f>
        <v>141.41441441441441</v>
      </c>
      <c r="F145" s="24" t="s">
        <v>71</v>
      </c>
      <c r="G145">
        <v>28</v>
      </c>
      <c r="H145">
        <v>24</v>
      </c>
      <c r="I145">
        <v>0</v>
      </c>
      <c r="J145" s="1">
        <v>1265</v>
      </c>
      <c r="K145" s="1">
        <v>3.37</v>
      </c>
      <c r="L145" s="45">
        <f t="shared" si="8"/>
        <v>0.14462452162162159</v>
      </c>
      <c r="M145" s="46">
        <f>((J145-K145)*Standards!$N$46/4-0.076)/L145</f>
        <v>335.78391187906988</v>
      </c>
      <c r="O145" s="55">
        <v>1</v>
      </c>
    </row>
    <row r="146" spans="1:15" x14ac:dyDescent="0.3">
      <c r="A146" t="s">
        <v>100</v>
      </c>
      <c r="D146" s="35">
        <v>2</v>
      </c>
      <c r="E146" s="30">
        <f>IF(D146="","",_xlfn.XLOOKUP(D146,Flasks!A$3:A$50,Flasks!D$3:D$50)/0.999)</f>
        <v>142.48748748748747</v>
      </c>
      <c r="F146" s="24" t="s">
        <v>71</v>
      </c>
      <c r="G146">
        <v>28</v>
      </c>
      <c r="H146">
        <v>24</v>
      </c>
      <c r="I146">
        <v>0</v>
      </c>
      <c r="J146" s="1">
        <v>1273.68</v>
      </c>
      <c r="K146" s="1">
        <v>3.37</v>
      </c>
      <c r="L146" s="45">
        <f t="shared" si="8"/>
        <v>0.14572195345345343</v>
      </c>
      <c r="M146" s="46">
        <f>((J146-K146)*Standards!$N$46/4-0.076)/L146</f>
        <v>335.55150334342704</v>
      </c>
      <c r="O146" s="55">
        <v>1</v>
      </c>
    </row>
    <row r="147" spans="1:15" x14ac:dyDescent="0.3">
      <c r="A147" t="s">
        <v>100</v>
      </c>
      <c r="D147" s="35">
        <v>55</v>
      </c>
      <c r="E147" s="30">
        <f>IF(D147="","",_xlfn.XLOOKUP(D147,Flasks!A$3:A$50,Flasks!D$3:D$50)/0.999)</f>
        <v>134.1081081081081</v>
      </c>
      <c r="F147" s="24" t="s">
        <v>51</v>
      </c>
      <c r="G147">
        <v>35</v>
      </c>
      <c r="H147">
        <v>1</v>
      </c>
      <c r="J147" s="1">
        <v>168.82</v>
      </c>
      <c r="K147" s="1">
        <v>3.37</v>
      </c>
      <c r="L147" s="45">
        <f t="shared" ref="L147:L155" si="9">E147*0.001*1.0227</f>
        <v>0.13715236216216214</v>
      </c>
      <c r="M147" s="46">
        <f>((J147-K147)*Standards!$N$46/4-0.076)/L147</f>
        <v>45.952240141307399</v>
      </c>
      <c r="O147" s="55">
        <v>3</v>
      </c>
    </row>
    <row r="148" spans="1:15" x14ac:dyDescent="0.3">
      <c r="A148" t="s">
        <v>100</v>
      </c>
      <c r="D148" s="35">
        <v>37</v>
      </c>
      <c r="E148" s="30">
        <f>IF(D148="","",_xlfn.XLOOKUP(D148,Flasks!A$3:A$50,Flasks!D$3:D$50)/0.999)</f>
        <v>134.33833833833836</v>
      </c>
      <c r="F148" s="24" t="s">
        <v>51</v>
      </c>
      <c r="G148">
        <v>35</v>
      </c>
      <c r="H148">
        <v>1</v>
      </c>
      <c r="J148" s="1">
        <v>187.62</v>
      </c>
      <c r="K148" s="1">
        <v>3.37</v>
      </c>
      <c r="L148" s="45">
        <f t="shared" si="9"/>
        <v>0.13738781861861862</v>
      </c>
      <c r="M148" s="46">
        <f>((J148-K148)*Standards!$N$46/4-0.076)/L148</f>
        <v>51.148925342571346</v>
      </c>
      <c r="O148" s="55">
        <v>3</v>
      </c>
    </row>
    <row r="149" spans="1:15" x14ac:dyDescent="0.3">
      <c r="A149" t="s">
        <v>100</v>
      </c>
      <c r="D149" s="35">
        <v>20</v>
      </c>
      <c r="E149" s="30">
        <f>IF(D149="","",_xlfn.XLOOKUP(D149,Flasks!A$3:A$50,Flasks!D$3:D$50)/0.999)</f>
        <v>146.70070070070071</v>
      </c>
      <c r="F149" s="24" t="s">
        <v>51</v>
      </c>
      <c r="G149">
        <v>35</v>
      </c>
      <c r="H149">
        <v>1</v>
      </c>
      <c r="J149" s="1">
        <v>177.34</v>
      </c>
      <c r="K149" s="1">
        <v>3.37</v>
      </c>
      <c r="L149" s="45">
        <f t="shared" si="9"/>
        <v>0.15003080660660661</v>
      </c>
      <c r="M149" s="46">
        <f>((J149-K149)*Standards!$N$46/4-0.076)/L149</f>
        <v>44.197075326085255</v>
      </c>
      <c r="O149" s="55">
        <v>3</v>
      </c>
    </row>
    <row r="150" spans="1:15" x14ac:dyDescent="0.3">
      <c r="A150" t="s">
        <v>100</v>
      </c>
      <c r="D150" s="35">
        <v>11</v>
      </c>
      <c r="E150" s="30">
        <f>IF(D150="","",_xlfn.XLOOKUP(D150,Flasks!A$3:A$50,Flasks!D$3:D$50)/0.999)</f>
        <v>133.33433433433433</v>
      </c>
      <c r="F150" s="24" t="s">
        <v>51</v>
      </c>
      <c r="G150">
        <v>35</v>
      </c>
      <c r="H150">
        <v>23</v>
      </c>
      <c r="I150">
        <v>0</v>
      </c>
      <c r="J150" s="1">
        <v>1085.47</v>
      </c>
      <c r="K150" s="1">
        <v>3.37</v>
      </c>
      <c r="L150" s="45">
        <f t="shared" si="9"/>
        <v>0.13636102372372372</v>
      </c>
      <c r="M150" s="46">
        <f>((J150-K150)*Standards!$N$46/4-0.076)/L150</f>
        <v>305.37549148277731</v>
      </c>
      <c r="O150" s="55">
        <v>1</v>
      </c>
    </row>
    <row r="151" spans="1:15" x14ac:dyDescent="0.3">
      <c r="A151" t="s">
        <v>100</v>
      </c>
      <c r="D151" s="35">
        <v>28</v>
      </c>
      <c r="E151" s="30">
        <f>IF(D151="","",_xlfn.XLOOKUP(D151,Flasks!A$3:A$50,Flasks!D$3:D$50)/0.999)</f>
        <v>138.71971971971973</v>
      </c>
      <c r="F151" s="24" t="s">
        <v>51</v>
      </c>
      <c r="G151">
        <v>35</v>
      </c>
      <c r="H151">
        <v>23</v>
      </c>
      <c r="I151">
        <v>0</v>
      </c>
      <c r="J151" s="1">
        <v>1127.1500000000001</v>
      </c>
      <c r="K151" s="1">
        <v>3.37</v>
      </c>
      <c r="L151" s="45">
        <f t="shared" si="9"/>
        <v>0.14186865735735738</v>
      </c>
      <c r="M151" s="46">
        <f>((J151-K151)*Standards!$N$46/4-0.076)/L151</f>
        <v>304.84654138677928</v>
      </c>
      <c r="O151" s="55">
        <v>1</v>
      </c>
    </row>
    <row r="152" spans="1:15" x14ac:dyDescent="0.3">
      <c r="A152" t="s">
        <v>100</v>
      </c>
      <c r="D152" s="35">
        <v>47</v>
      </c>
      <c r="E152" s="30">
        <f>IF(D152="","",_xlfn.XLOOKUP(D152,Flasks!A$3:A$50,Flasks!D$3:D$50)/0.999)</f>
        <v>139.38438438438439</v>
      </c>
      <c r="F152" s="24" t="s">
        <v>52</v>
      </c>
      <c r="G152">
        <v>36</v>
      </c>
      <c r="H152">
        <v>1</v>
      </c>
      <c r="J152" s="1">
        <v>57.74</v>
      </c>
      <c r="K152" s="1">
        <v>3.37</v>
      </c>
      <c r="L152" s="45">
        <f t="shared" si="9"/>
        <v>0.14254840990990991</v>
      </c>
      <c r="M152" s="46">
        <f>((J152-K152)*Standards!$N$46/4-0.076)/L152</f>
        <v>14.171200233484411</v>
      </c>
      <c r="O152" s="55">
        <v>1</v>
      </c>
    </row>
    <row r="153" spans="1:15" x14ac:dyDescent="0.3">
      <c r="A153" t="s">
        <v>100</v>
      </c>
      <c r="D153" s="35">
        <v>43</v>
      </c>
      <c r="E153" s="30">
        <f>IF(D153="","",_xlfn.XLOOKUP(D153,Flasks!A$3:A$50,Flasks!D$3:D$50)/0.999)</f>
        <v>141.41441441441441</v>
      </c>
      <c r="F153" s="24" t="s">
        <v>52</v>
      </c>
      <c r="G153">
        <v>36</v>
      </c>
      <c r="H153">
        <v>1</v>
      </c>
      <c r="J153" s="1">
        <v>57.01</v>
      </c>
      <c r="K153" s="1">
        <v>3.37</v>
      </c>
      <c r="L153" s="45">
        <f t="shared" si="9"/>
        <v>0.14462452162162159</v>
      </c>
      <c r="M153" s="46">
        <f>((J153-K153)*Standards!$N$46/4-0.076)/L153</f>
        <v>13.773175846098102</v>
      </c>
      <c r="O153" s="55">
        <v>1</v>
      </c>
    </row>
    <row r="154" spans="1:15" x14ac:dyDescent="0.3">
      <c r="A154" t="s">
        <v>100</v>
      </c>
      <c r="D154" s="35">
        <v>13</v>
      </c>
      <c r="E154" s="30">
        <f>IF(D154="","",_xlfn.XLOOKUP(D154,Flasks!A$3:A$50,Flasks!D$3:D$50)/0.999)</f>
        <v>146.98398398398396</v>
      </c>
      <c r="F154" s="24" t="s">
        <v>52</v>
      </c>
      <c r="G154">
        <v>36</v>
      </c>
      <c r="H154">
        <v>17</v>
      </c>
      <c r="I154">
        <v>0</v>
      </c>
      <c r="J154" s="1">
        <v>1224.06</v>
      </c>
      <c r="K154" s="1">
        <v>3.37</v>
      </c>
      <c r="L154" s="45">
        <f t="shared" si="9"/>
        <v>0.15032052042042038</v>
      </c>
      <c r="M154" s="46">
        <f>((J154-K154)*Standards!$N$46/4-0.076)/L154</f>
        <v>312.56052878304683</v>
      </c>
      <c r="O154" s="55">
        <v>1</v>
      </c>
    </row>
    <row r="155" spans="1:15" x14ac:dyDescent="0.3">
      <c r="A155" t="s">
        <v>100</v>
      </c>
      <c r="D155" s="35">
        <v>2</v>
      </c>
      <c r="E155" s="30">
        <f>IF(D155="","",_xlfn.XLOOKUP(D155,Flasks!A$3:A$50,Flasks!D$3:D$50)/0.999)</f>
        <v>142.48748748748747</v>
      </c>
      <c r="F155" s="24" t="s">
        <v>52</v>
      </c>
      <c r="G155">
        <v>36</v>
      </c>
      <c r="H155">
        <v>17</v>
      </c>
      <c r="I155">
        <v>0</v>
      </c>
      <c r="J155" s="1">
        <v>1186.28</v>
      </c>
      <c r="K155" s="1">
        <v>3.37</v>
      </c>
      <c r="L155" s="45">
        <f t="shared" si="9"/>
        <v>0.14572195345345343</v>
      </c>
      <c r="M155" s="46">
        <f>((J155-K155)*Standards!$N$46/4-0.076)/L155</f>
        <v>312.42897097604128</v>
      </c>
      <c r="O155" s="55">
        <v>1</v>
      </c>
    </row>
    <row r="156" spans="1:15" x14ac:dyDescent="0.3">
      <c r="A156" t="s">
        <v>100</v>
      </c>
      <c r="D156" s="35">
        <v>7</v>
      </c>
      <c r="E156" s="30">
        <f>IF(D156="","",_xlfn.XLOOKUP(D156,Flasks!A$3:A$50,Flasks!D$3:D$50)/0.999)</f>
        <v>140.16616616616616</v>
      </c>
      <c r="F156" s="24" t="s">
        <v>56</v>
      </c>
      <c r="G156">
        <v>46</v>
      </c>
      <c r="H156">
        <v>1</v>
      </c>
      <c r="I156">
        <v>260</v>
      </c>
      <c r="J156" s="1">
        <v>528.41999999999996</v>
      </c>
      <c r="K156" s="1">
        <v>3.37</v>
      </c>
      <c r="L156" s="45">
        <f t="shared" ref="L156:L181" si="10">E156*0.001*1.0227</f>
        <v>0.14334793813813815</v>
      </c>
      <c r="M156" s="46">
        <f>((J156-K156)*Standards!$N$46/4-0.076)/L156</f>
        <v>140.67745020623119</v>
      </c>
      <c r="O156" s="55">
        <v>3</v>
      </c>
    </row>
    <row r="157" spans="1:15" x14ac:dyDescent="0.3">
      <c r="A157" t="s">
        <v>100</v>
      </c>
      <c r="D157" s="35">
        <v>44</v>
      </c>
      <c r="E157" s="30">
        <f>IF(D157="","",_xlfn.XLOOKUP(D157,Flasks!A$3:A$50,Flasks!D$3:D$50)/0.999)</f>
        <v>138.99899899899901</v>
      </c>
      <c r="F157" s="24" t="s">
        <v>56</v>
      </c>
      <c r="G157">
        <v>46</v>
      </c>
      <c r="H157">
        <v>1</v>
      </c>
      <c r="I157">
        <v>260</v>
      </c>
      <c r="J157" s="1">
        <v>517.16999999999996</v>
      </c>
      <c r="K157" s="1">
        <v>3.37</v>
      </c>
      <c r="L157" s="45">
        <f t="shared" si="10"/>
        <v>0.14215427627627628</v>
      </c>
      <c r="M157" s="46">
        <f>((J157-K157)*Standards!$N$46/4-0.076)/L157</f>
        <v>138.80771591686306</v>
      </c>
      <c r="O157" s="55">
        <v>1</v>
      </c>
    </row>
    <row r="158" spans="1:15" x14ac:dyDescent="0.3">
      <c r="A158" t="s">
        <v>100</v>
      </c>
      <c r="D158" s="35">
        <v>27</v>
      </c>
      <c r="E158" s="30">
        <f>IF(D158="","",_xlfn.XLOOKUP(D158,Flasks!A$3:A$50,Flasks!D$3:D$50)/0.999)</f>
        <v>135.59759759759763</v>
      </c>
      <c r="F158" s="24" t="s">
        <v>56</v>
      </c>
      <c r="G158">
        <v>46</v>
      </c>
      <c r="H158">
        <v>1</v>
      </c>
      <c r="I158">
        <v>260</v>
      </c>
      <c r="J158" s="1">
        <v>501.97</v>
      </c>
      <c r="K158" s="1">
        <v>3.37</v>
      </c>
      <c r="L158" s="45">
        <f t="shared" si="10"/>
        <v>0.13867566306306309</v>
      </c>
      <c r="M158" s="46">
        <f>((J158-K158)*Standards!$N$46/4-0.076)/L158</f>
        <v>138.06400365821085</v>
      </c>
      <c r="O158" s="55">
        <v>1</v>
      </c>
    </row>
    <row r="159" spans="1:15" x14ac:dyDescent="0.3">
      <c r="A159" t="s">
        <v>100</v>
      </c>
      <c r="D159" s="35">
        <v>43</v>
      </c>
      <c r="E159" s="30">
        <f>IF(D159="","",_xlfn.XLOOKUP(D159,Flasks!A$3:A$50,Flasks!D$3:D$50)/0.999)</f>
        <v>141.41441441441441</v>
      </c>
      <c r="F159" s="24" t="s">
        <v>56</v>
      </c>
      <c r="G159">
        <v>46</v>
      </c>
      <c r="H159">
        <v>24</v>
      </c>
      <c r="I159">
        <v>0</v>
      </c>
      <c r="J159" s="1">
        <v>1266.99</v>
      </c>
      <c r="K159" s="1">
        <v>3.37</v>
      </c>
      <c r="L159" s="45">
        <f t="shared" si="10"/>
        <v>0.14462452162162159</v>
      </c>
      <c r="M159" s="46">
        <f>((J159-K159)*Standards!$N$46/4-0.076)/L159</f>
        <v>336.31438097625244</v>
      </c>
      <c r="O159" s="55">
        <v>1</v>
      </c>
    </row>
    <row r="160" spans="1:15" x14ac:dyDescent="0.3">
      <c r="A160" t="s">
        <v>100</v>
      </c>
      <c r="D160" s="35">
        <v>47</v>
      </c>
      <c r="E160" s="30">
        <f>IF(D160="","",_xlfn.XLOOKUP(D160,Flasks!A$3:A$50,Flasks!D$3:D$50)/0.999)</f>
        <v>139.38438438438439</v>
      </c>
      <c r="F160" s="24" t="s">
        <v>56</v>
      </c>
      <c r="G160">
        <v>46</v>
      </c>
      <c r="H160">
        <v>24</v>
      </c>
      <c r="I160">
        <v>0</v>
      </c>
      <c r="J160" s="1">
        <v>1244.1199999999999</v>
      </c>
      <c r="K160" s="1">
        <v>3.37</v>
      </c>
      <c r="L160" s="45">
        <f t="shared" si="10"/>
        <v>0.14254840990990991</v>
      </c>
      <c r="M160" s="46">
        <f>((J160-K160)*Standards!$N$46/4-0.076)/L160</f>
        <v>335.02736454780938</v>
      </c>
      <c r="O160" s="55">
        <v>1</v>
      </c>
    </row>
    <row r="161" spans="1:15" x14ac:dyDescent="0.3">
      <c r="A161" t="s">
        <v>100</v>
      </c>
      <c r="D161" s="35">
        <v>2</v>
      </c>
      <c r="E161" s="30">
        <f>IF(D161="","",_xlfn.XLOOKUP(D161,Flasks!A$3:A$50,Flasks!D$3:D$50)/0.999)</f>
        <v>142.48748748748747</v>
      </c>
      <c r="F161" s="24" t="s">
        <v>56</v>
      </c>
      <c r="G161">
        <v>46</v>
      </c>
      <c r="H161">
        <v>24</v>
      </c>
      <c r="I161">
        <v>0</v>
      </c>
      <c r="J161" s="1">
        <v>1278.1400000000001</v>
      </c>
      <c r="K161" s="1">
        <v>3.37</v>
      </c>
      <c r="L161" s="45">
        <f t="shared" si="10"/>
        <v>0.14572195345345343</v>
      </c>
      <c r="M161" s="46">
        <f>((J161-K161)*Standards!$N$46/4-0.076)/L161</f>
        <v>336.73144034981772</v>
      </c>
      <c r="O161" s="55">
        <v>1</v>
      </c>
    </row>
    <row r="162" spans="1:15" x14ac:dyDescent="0.3">
      <c r="A162" t="s">
        <v>100</v>
      </c>
      <c r="D162" s="35">
        <v>55</v>
      </c>
      <c r="E162" s="30">
        <f>IF(D162="","",_xlfn.XLOOKUP(D162,Flasks!A$3:A$50,Flasks!D$3:D$50)/0.999)</f>
        <v>134.1081081081081</v>
      </c>
      <c r="F162" s="24" t="s">
        <v>57</v>
      </c>
      <c r="G162">
        <v>48</v>
      </c>
      <c r="H162">
        <v>1</v>
      </c>
      <c r="J162" s="1">
        <v>553.6</v>
      </c>
      <c r="K162" s="1">
        <v>3.37</v>
      </c>
      <c r="L162" s="45">
        <f t="shared" si="10"/>
        <v>0.13715236216216214</v>
      </c>
      <c r="M162" s="46">
        <f>((J162-K162)*Standards!$N$46/4-0.076)/L162</f>
        <v>154.11011523358118</v>
      </c>
      <c r="O162" s="55">
        <v>3</v>
      </c>
    </row>
    <row r="163" spans="1:15" x14ac:dyDescent="0.3">
      <c r="A163" t="s">
        <v>100</v>
      </c>
      <c r="D163" s="35">
        <v>37</v>
      </c>
      <c r="E163" s="30">
        <f>IF(D163="","",_xlfn.XLOOKUP(D163,Flasks!A$3:A$50,Flasks!D$3:D$50)/0.999)</f>
        <v>134.33833833833836</v>
      </c>
      <c r="F163" s="24" t="s">
        <v>57</v>
      </c>
      <c r="G163">
        <v>48</v>
      </c>
      <c r="H163">
        <v>1</v>
      </c>
      <c r="J163" s="1">
        <v>548.16</v>
      </c>
      <c r="K163" s="1">
        <v>3.37</v>
      </c>
      <c r="L163" s="45">
        <f t="shared" si="10"/>
        <v>0.13738781861861862</v>
      </c>
      <c r="M163" s="46">
        <f>((J163-K163)*Standards!$N$46/4-0.076)/L163</f>
        <v>152.3194900774925</v>
      </c>
      <c r="O163" s="55">
        <v>1</v>
      </c>
    </row>
    <row r="164" spans="1:15" x14ac:dyDescent="0.3">
      <c r="A164" t="s">
        <v>100</v>
      </c>
      <c r="D164" s="35">
        <v>11</v>
      </c>
      <c r="E164" s="30">
        <f>IF(D164="","",_xlfn.XLOOKUP(D164,Flasks!A$3:A$50,Flasks!D$3:D$50)/0.999)</f>
        <v>133.33433433433433</v>
      </c>
      <c r="F164" s="24" t="s">
        <v>57</v>
      </c>
      <c r="G164">
        <v>48</v>
      </c>
      <c r="H164">
        <v>22</v>
      </c>
      <c r="I164">
        <v>0</v>
      </c>
      <c r="J164" s="1">
        <v>1146.67</v>
      </c>
      <c r="K164" s="1">
        <v>3.37</v>
      </c>
      <c r="L164" s="45">
        <f t="shared" si="10"/>
        <v>0.13636102372372372</v>
      </c>
      <c r="M164" s="46">
        <f>((J164-K164)*Standards!$N$46/4-0.076)/L164</f>
        <v>322.67804164658952</v>
      </c>
      <c r="O164" s="55">
        <v>1</v>
      </c>
    </row>
    <row r="165" spans="1:15" x14ac:dyDescent="0.3">
      <c r="A165" t="s">
        <v>100</v>
      </c>
      <c r="D165" s="35">
        <v>28</v>
      </c>
      <c r="E165" s="30">
        <f>IF(D165="","",_xlfn.XLOOKUP(D165,Flasks!A$3:A$50,Flasks!D$3:D$50)/0.999)</f>
        <v>138.71971971971973</v>
      </c>
      <c r="F165" s="24" t="s">
        <v>57</v>
      </c>
      <c r="G165">
        <v>48</v>
      </c>
      <c r="H165">
        <v>22</v>
      </c>
      <c r="I165">
        <v>0</v>
      </c>
      <c r="J165" s="1">
        <v>1191.58</v>
      </c>
      <c r="K165" s="1">
        <v>3.37</v>
      </c>
      <c r="L165" s="45">
        <f t="shared" si="10"/>
        <v>0.14186865735735738</v>
      </c>
      <c r="M165" s="46">
        <f>((J165-K165)*Standards!$N$46/4-0.076)/L165</f>
        <v>322.35510912125733</v>
      </c>
      <c r="O165" s="55">
        <v>1</v>
      </c>
    </row>
    <row r="166" spans="1:15" x14ac:dyDescent="0.3">
      <c r="A166" t="s">
        <v>100</v>
      </c>
      <c r="D166" s="35">
        <v>32</v>
      </c>
      <c r="E166" s="30">
        <f>IF(D166="","",_xlfn.XLOOKUP(D166,Flasks!A$3:A$50,Flasks!D$3:D$50)/0.999)</f>
        <v>139.69069069069067</v>
      </c>
      <c r="F166" s="24" t="s">
        <v>69</v>
      </c>
      <c r="G166">
        <v>57</v>
      </c>
      <c r="H166">
        <v>1</v>
      </c>
      <c r="J166" s="1">
        <v>529.87</v>
      </c>
      <c r="K166" s="1">
        <v>3.37</v>
      </c>
      <c r="L166" s="45">
        <f t="shared" si="10"/>
        <v>0.14286166936936934</v>
      </c>
      <c r="M166" s="46">
        <f>((J166-K166)*Standards!$N$46/4-0.076)/L166</f>
        <v>141.54757662250097</v>
      </c>
      <c r="O166" s="55">
        <v>1</v>
      </c>
    </row>
    <row r="167" spans="1:15" x14ac:dyDescent="0.3">
      <c r="A167" t="s">
        <v>100</v>
      </c>
      <c r="D167" s="35">
        <v>50</v>
      </c>
      <c r="E167" s="30">
        <f>IF(D167="","",_xlfn.XLOOKUP(D167,Flasks!A$3:A$50,Flasks!D$3:D$50)/0.999)</f>
        <v>136.70070070070074</v>
      </c>
      <c r="F167" s="24" t="s">
        <v>69</v>
      </c>
      <c r="G167">
        <v>57</v>
      </c>
      <c r="H167">
        <v>1</v>
      </c>
      <c r="J167" s="1">
        <v>517.46</v>
      </c>
      <c r="K167" s="1">
        <v>3.37</v>
      </c>
      <c r="L167" s="45">
        <f t="shared" si="10"/>
        <v>0.13980380660660663</v>
      </c>
      <c r="M167" s="46">
        <f>((J167-K167)*Standards!$N$46/4-0.076)/L167</f>
        <v>141.22140883944073</v>
      </c>
      <c r="O167" s="55">
        <v>1</v>
      </c>
    </row>
    <row r="168" spans="1:15" x14ac:dyDescent="0.3">
      <c r="A168" t="s">
        <v>100</v>
      </c>
      <c r="D168" s="35">
        <v>20</v>
      </c>
      <c r="E168" s="30">
        <f>IF(D168="","",_xlfn.XLOOKUP(D168,Flasks!A$3:A$50,Flasks!D$3:D$50)/0.999)</f>
        <v>146.70070070070071</v>
      </c>
      <c r="F168" s="24" t="s">
        <v>69</v>
      </c>
      <c r="G168">
        <v>57</v>
      </c>
      <c r="H168">
        <v>24</v>
      </c>
      <c r="I168">
        <v>0</v>
      </c>
      <c r="J168" s="1">
        <v>1418.1</v>
      </c>
      <c r="K168" s="1">
        <v>3.37</v>
      </c>
      <c r="L168" s="45">
        <f t="shared" si="10"/>
        <v>0.15003080660660661</v>
      </c>
      <c r="M168" s="46">
        <f>((J168-K168)*Standards!$N$46/4-0.076)/L168</f>
        <v>363.02495272215123</v>
      </c>
      <c r="O168" s="55">
        <v>1</v>
      </c>
    </row>
    <row r="169" spans="1:15" x14ac:dyDescent="0.3">
      <c r="A169" t="s">
        <v>100</v>
      </c>
      <c r="D169" s="35">
        <v>5</v>
      </c>
      <c r="E169" s="30">
        <f>IF(D169="","",_xlfn.XLOOKUP(D169,Flasks!A$3:A$50,Flasks!D$3:D$50)/0.999)</f>
        <v>141.82382382382383</v>
      </c>
      <c r="F169" s="24" t="s">
        <v>69</v>
      </c>
      <c r="G169">
        <v>57</v>
      </c>
      <c r="H169">
        <v>24</v>
      </c>
      <c r="I169">
        <v>0</v>
      </c>
      <c r="J169" s="1">
        <v>1373.22</v>
      </c>
      <c r="K169" s="1">
        <v>3.37</v>
      </c>
      <c r="L169" s="45">
        <f t="shared" si="10"/>
        <v>0.14504322462462463</v>
      </c>
      <c r="M169" s="46">
        <f>((J169-K169)*Standards!$N$46/4-0.076)/L169</f>
        <v>363.57923471368412</v>
      </c>
      <c r="O169" s="55">
        <v>1</v>
      </c>
    </row>
    <row r="170" spans="1:15" x14ac:dyDescent="0.3">
      <c r="A170" t="s">
        <v>100</v>
      </c>
      <c r="D170" s="35">
        <v>28</v>
      </c>
      <c r="E170" s="30">
        <f>IF(D170="","",_xlfn.XLOOKUP(D170,Flasks!A$3:A$50,Flasks!D$3:D$50)/0.999)</f>
        <v>138.71971971971973</v>
      </c>
      <c r="F170" s="24" t="s">
        <v>60</v>
      </c>
      <c r="G170">
        <v>63</v>
      </c>
      <c r="H170">
        <v>1</v>
      </c>
      <c r="I170">
        <v>1000</v>
      </c>
      <c r="J170" s="1">
        <v>56.23</v>
      </c>
      <c r="K170" s="1">
        <v>3.37</v>
      </c>
      <c r="L170" s="45">
        <f t="shared" si="10"/>
        <v>0.14186865735735738</v>
      </c>
      <c r="M170" s="46">
        <f>((J170-K170)*Standards!$N$46/4-0.076)/L170</f>
        <v>13.82876460256006</v>
      </c>
      <c r="O170" s="55">
        <v>1</v>
      </c>
    </row>
    <row r="171" spans="1:15" x14ac:dyDescent="0.3">
      <c r="A171" t="s">
        <v>100</v>
      </c>
      <c r="D171" s="35">
        <v>37</v>
      </c>
      <c r="E171" s="30">
        <f>IF(D171="","",_xlfn.XLOOKUP(D171,Flasks!A$3:A$50,Flasks!D$3:D$50)/0.999)</f>
        <v>134.33833833833836</v>
      </c>
      <c r="F171" s="24" t="s">
        <v>60</v>
      </c>
      <c r="G171">
        <v>63</v>
      </c>
      <c r="H171">
        <v>1</v>
      </c>
      <c r="I171">
        <v>1000</v>
      </c>
      <c r="J171" s="1">
        <v>56.25</v>
      </c>
      <c r="K171" s="1">
        <v>3.37</v>
      </c>
      <c r="L171" s="45">
        <f t="shared" si="10"/>
        <v>0.13738781861861862</v>
      </c>
      <c r="M171" s="46">
        <f>((J171-K171)*Standards!$N$46/4-0.076)/L171</f>
        <v>14.285395389649075</v>
      </c>
      <c r="O171" s="55">
        <v>1</v>
      </c>
    </row>
    <row r="172" spans="1:15" x14ac:dyDescent="0.3">
      <c r="A172" t="s">
        <v>100</v>
      </c>
      <c r="D172" s="35">
        <v>11</v>
      </c>
      <c r="E172" s="30">
        <f>IF(D172="","",_xlfn.XLOOKUP(D172,Flasks!A$3:A$50,Flasks!D$3:D$50)/0.999)</f>
        <v>133.33433433433433</v>
      </c>
      <c r="F172" s="24" t="s">
        <v>60</v>
      </c>
      <c r="G172">
        <v>63</v>
      </c>
      <c r="H172">
        <v>1</v>
      </c>
      <c r="I172">
        <v>1000</v>
      </c>
      <c r="J172" s="1">
        <v>59.01</v>
      </c>
      <c r="K172" s="1">
        <v>3.37</v>
      </c>
      <c r="L172" s="45">
        <f t="shared" si="10"/>
        <v>0.13636102372372372</v>
      </c>
      <c r="M172" s="46">
        <f>((J172-K172)*Standards!$N$46/4-0.076)/L172</f>
        <v>15.173275124170534</v>
      </c>
      <c r="O172" s="55">
        <v>3</v>
      </c>
    </row>
    <row r="173" spans="1:15" x14ac:dyDescent="0.3">
      <c r="A173" t="s">
        <v>100</v>
      </c>
      <c r="D173" s="35">
        <v>55</v>
      </c>
      <c r="E173" s="30">
        <f>IF(D173="","",_xlfn.XLOOKUP(D173,Flasks!A$3:A$50,Flasks!D$3:D$50)/0.999)</f>
        <v>134.1081081081081</v>
      </c>
      <c r="F173" s="24" t="s">
        <v>60</v>
      </c>
      <c r="G173">
        <v>63</v>
      </c>
      <c r="H173">
        <v>17</v>
      </c>
      <c r="I173">
        <v>0</v>
      </c>
      <c r="J173" s="1">
        <v>1098.1199999999999</v>
      </c>
      <c r="K173" s="1">
        <v>3.37</v>
      </c>
      <c r="L173" s="45">
        <f t="shared" si="10"/>
        <v>0.13715236216216214</v>
      </c>
      <c r="M173" s="46">
        <f>((J173-K173)*Standards!$N$46/4-0.076)/L173</f>
        <v>307.16933386564341</v>
      </c>
      <c r="O173" s="55">
        <v>1</v>
      </c>
    </row>
    <row r="174" spans="1:15" x14ac:dyDescent="0.3">
      <c r="A174" t="s">
        <v>100</v>
      </c>
      <c r="D174" s="35">
        <v>45</v>
      </c>
      <c r="E174" s="30">
        <f>IF(D174="","",_xlfn.XLOOKUP(D174,Flasks!A$3:A$50,Flasks!D$3:D$50)/0.999)</f>
        <v>142.63163163163162</v>
      </c>
      <c r="F174" s="24" t="s">
        <v>60</v>
      </c>
      <c r="G174">
        <v>63</v>
      </c>
      <c r="H174">
        <v>17</v>
      </c>
      <c r="I174">
        <v>0</v>
      </c>
      <c r="J174" s="1">
        <v>1170.42</v>
      </c>
      <c r="K174" s="1">
        <v>3.37</v>
      </c>
      <c r="L174" s="45">
        <f t="shared" si="10"/>
        <v>0.14586936966966965</v>
      </c>
      <c r="M174" s="46">
        <f>((J174-K174)*Standards!$N$46/4-0.076)/L174</f>
        <v>307.92154983128268</v>
      </c>
      <c r="O174" s="55">
        <v>1</v>
      </c>
    </row>
    <row r="175" spans="1:15" x14ac:dyDescent="0.3">
      <c r="A175" t="s">
        <v>100</v>
      </c>
      <c r="D175" s="35">
        <v>5</v>
      </c>
      <c r="E175" s="30">
        <f>IF(D175="","",_xlfn.XLOOKUP(D175,Flasks!A$3:A$50,Flasks!D$3:D$50)/0.999)</f>
        <v>141.82382382382383</v>
      </c>
      <c r="F175" s="24" t="s">
        <v>105</v>
      </c>
      <c r="H175">
        <v>1</v>
      </c>
      <c r="I175">
        <v>1000</v>
      </c>
      <c r="J175" s="1">
        <v>54.06</v>
      </c>
      <c r="K175" s="1">
        <v>3.37</v>
      </c>
      <c r="L175" s="45">
        <f t="shared" si="10"/>
        <v>0.14504322462462463</v>
      </c>
      <c r="M175" s="46">
        <f>((J175-K175)*Standards!$N$46/4-0.076)/L175</f>
        <v>12.949312455042307</v>
      </c>
      <c r="O175" s="55">
        <v>1</v>
      </c>
    </row>
    <row r="176" spans="1:15" x14ac:dyDescent="0.3">
      <c r="A176" t="s">
        <v>100</v>
      </c>
      <c r="D176" s="35">
        <v>27</v>
      </c>
      <c r="E176" s="30">
        <f>IF(D176="","",_xlfn.XLOOKUP(D176,Flasks!A$3:A$50,Flasks!D$3:D$50)/0.999)</f>
        <v>135.59759759759763</v>
      </c>
      <c r="F176" s="24" t="s">
        <v>105</v>
      </c>
      <c r="H176">
        <v>1</v>
      </c>
      <c r="I176">
        <v>1000</v>
      </c>
      <c r="J176" s="1">
        <v>49.44</v>
      </c>
      <c r="K176" s="1">
        <v>3.37</v>
      </c>
      <c r="L176" s="45">
        <f t="shared" si="10"/>
        <v>0.13867566306306309</v>
      </c>
      <c r="M176" s="46">
        <f>((J176-K176)*Standards!$N$46/4-0.076)/L176</f>
        <v>12.259533671434976</v>
      </c>
      <c r="O176" s="55">
        <v>1</v>
      </c>
    </row>
    <row r="177" spans="1:15" x14ac:dyDescent="0.3">
      <c r="A177" t="s">
        <v>100</v>
      </c>
      <c r="D177" s="35">
        <v>7</v>
      </c>
      <c r="E177" s="30">
        <f>IF(D177="","",_xlfn.XLOOKUP(D177,Flasks!A$3:A$50,Flasks!D$3:D$50)/0.999)</f>
        <v>140.16616616616616</v>
      </c>
      <c r="F177" s="24" t="s">
        <v>105</v>
      </c>
      <c r="H177">
        <v>1</v>
      </c>
      <c r="I177">
        <v>1000</v>
      </c>
      <c r="J177" s="1">
        <v>54.98</v>
      </c>
      <c r="K177" s="1">
        <v>3.37</v>
      </c>
      <c r="L177" s="45">
        <f t="shared" si="10"/>
        <v>0.14334793813813815</v>
      </c>
      <c r="M177" s="46">
        <f>((J177-K177)*Standards!$N$46/4-0.076)/L177</f>
        <v>13.349881876004186</v>
      </c>
      <c r="O177" s="55">
        <v>3</v>
      </c>
    </row>
    <row r="178" spans="1:15" x14ac:dyDescent="0.3">
      <c r="A178" t="s">
        <v>100</v>
      </c>
      <c r="D178" s="35">
        <v>3</v>
      </c>
      <c r="E178" s="30">
        <f>IF(D178="","",_xlfn.XLOOKUP(D178,Flasks!A$3:A$50,Flasks!D$3:D$50)/0.999)</f>
        <v>136.78278278278276</v>
      </c>
      <c r="F178" s="24" t="s">
        <v>105</v>
      </c>
      <c r="H178">
        <v>20</v>
      </c>
      <c r="I178">
        <v>0</v>
      </c>
      <c r="J178" s="1">
        <v>1182.54</v>
      </c>
      <c r="K178" s="1">
        <v>3.37</v>
      </c>
      <c r="L178" s="45">
        <f t="shared" si="10"/>
        <v>0.13988775195195194</v>
      </c>
      <c r="M178" s="46">
        <f>((J178-K178)*Standards!$N$46/4-0.076)/L178</f>
        <v>324.42850912484153</v>
      </c>
      <c r="O178" s="55">
        <v>1</v>
      </c>
    </row>
    <row r="179" spans="1:15" x14ac:dyDescent="0.3">
      <c r="A179" t="s">
        <v>100</v>
      </c>
      <c r="D179" s="35">
        <v>2</v>
      </c>
      <c r="E179" s="30">
        <f>IF(D179="","",_xlfn.XLOOKUP(D179,Flasks!A$3:A$50,Flasks!D$3:D$50)/0.999)</f>
        <v>142.48748748748747</v>
      </c>
      <c r="F179" s="24" t="s">
        <v>105</v>
      </c>
      <c r="H179">
        <v>20</v>
      </c>
      <c r="I179">
        <v>0</v>
      </c>
      <c r="J179" s="1">
        <v>1232.31</v>
      </c>
      <c r="K179" s="1">
        <v>3.37</v>
      </c>
      <c r="L179" s="45">
        <f t="shared" si="10"/>
        <v>0.14572195345345343</v>
      </c>
      <c r="M179" s="46">
        <f>((J179-K179)*Standards!$N$46/4-0.076)/L179</f>
        <v>324.60666164961987</v>
      </c>
      <c r="O179" s="55">
        <v>1</v>
      </c>
    </row>
    <row r="180" spans="1:15" x14ac:dyDescent="0.3">
      <c r="A180" t="s">
        <v>100</v>
      </c>
      <c r="D180" s="35">
        <v>50</v>
      </c>
      <c r="E180" s="30">
        <f>IF(D180="","",_xlfn.XLOOKUP(D180,Flasks!A$3:A$50,Flasks!D$3:D$50)/0.999)</f>
        <v>136.70070070070074</v>
      </c>
      <c r="F180" s="24" t="s">
        <v>105</v>
      </c>
      <c r="H180">
        <v>20</v>
      </c>
      <c r="I180">
        <v>0</v>
      </c>
      <c r="J180" s="1">
        <v>1178.79</v>
      </c>
      <c r="K180" s="1">
        <v>3.37</v>
      </c>
      <c r="L180" s="45">
        <f t="shared" si="10"/>
        <v>0.13980380660660663</v>
      </c>
      <c r="M180" s="46">
        <f>((J180-K180)*Standards!$N$46/4-0.076)/L180</f>
        <v>323.58921571145424</v>
      </c>
      <c r="O180" s="55">
        <v>1</v>
      </c>
    </row>
    <row r="181" spans="1:15" x14ac:dyDescent="0.3">
      <c r="A181" t="s">
        <v>100</v>
      </c>
      <c r="D181" s="35">
        <v>44</v>
      </c>
      <c r="E181" s="30">
        <f>IF(D181="","",_xlfn.XLOOKUP(D181,Flasks!A$3:A$50,Flasks!D$3:D$50)/0.999)</f>
        <v>138.99899899899901</v>
      </c>
      <c r="F181" s="24" t="s">
        <v>105</v>
      </c>
      <c r="H181">
        <v>1</v>
      </c>
      <c r="I181">
        <v>1000</v>
      </c>
      <c r="J181" s="1">
        <v>62.28</v>
      </c>
      <c r="K181" s="1">
        <v>3.37</v>
      </c>
      <c r="L181" s="45">
        <f t="shared" si="10"/>
        <v>0.14215427627627628</v>
      </c>
      <c r="M181" s="46">
        <f>((J181-K181)*Standards!$N$46/4-0.076)/L181</f>
        <v>15.44173708502494</v>
      </c>
      <c r="O181" s="55">
        <v>1</v>
      </c>
    </row>
    <row r="182" spans="1:15" x14ac:dyDescent="0.3">
      <c r="E182" s="30" t="str">
        <f>IF(D182="","",_xlfn.XLOOKUP(D182,Flasks!A$3:A$50,Flasks!D$3:D$50)/0.999)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BA4A-5ED2-4957-BDC7-514DC775C0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C1F-86B1-493C-942D-889AE730D58C}">
  <dimension ref="A1:W63"/>
  <sheetViews>
    <sheetView workbookViewId="0">
      <pane ySplit="2" topLeftCell="A39" activePane="bottomLeft" state="frozen"/>
      <selection pane="bottomLeft" activeCell="K45" sqref="K45:K63"/>
    </sheetView>
  </sheetViews>
  <sheetFormatPr defaultRowHeight="14.4" x14ac:dyDescent="0.3"/>
  <cols>
    <col min="1" max="2" width="18.44140625" customWidth="1"/>
    <col min="9" max="9" width="11.44140625" customWidth="1"/>
    <col min="12" max="12" width="13.33203125" style="38" customWidth="1"/>
    <col min="13" max="13" width="9.33203125" style="57" bestFit="1" customWidth="1"/>
    <col min="14" max="14" width="9.21875" bestFit="1" customWidth="1"/>
    <col min="16" max="16" width="9.88671875" bestFit="1" customWidth="1"/>
    <col min="20" max="20" width="10.5546875" bestFit="1" customWidth="1"/>
    <col min="23" max="23" width="10.5546875" bestFit="1" customWidth="1"/>
  </cols>
  <sheetData>
    <row r="1" spans="1:23" x14ac:dyDescent="0.3">
      <c r="B1" t="s">
        <v>97</v>
      </c>
      <c r="C1" t="s">
        <v>18</v>
      </c>
      <c r="D1" t="s">
        <v>7</v>
      </c>
      <c r="F1" t="s">
        <v>4</v>
      </c>
      <c r="G1" t="s">
        <v>17</v>
      </c>
      <c r="H1" t="s">
        <v>81</v>
      </c>
      <c r="I1" t="s">
        <v>7</v>
      </c>
      <c r="J1" t="s">
        <v>14</v>
      </c>
      <c r="K1" t="s">
        <v>14</v>
      </c>
      <c r="L1" s="38" t="s">
        <v>8</v>
      </c>
      <c r="N1" t="s">
        <v>8</v>
      </c>
      <c r="O1" t="s">
        <v>8</v>
      </c>
    </row>
    <row r="2" spans="1:23" s="3" customFormat="1" x14ac:dyDescent="0.3">
      <c r="A2" s="3" t="s">
        <v>16</v>
      </c>
      <c r="B2" s="3" t="s">
        <v>96</v>
      </c>
      <c r="C2" s="3" t="s">
        <v>55</v>
      </c>
      <c r="D2" s="3" t="s">
        <v>20</v>
      </c>
      <c r="E2" s="3" t="s">
        <v>11</v>
      </c>
      <c r="F2" s="3" t="s">
        <v>19</v>
      </c>
      <c r="G2" s="3" t="s">
        <v>12</v>
      </c>
      <c r="H2" s="3" t="s">
        <v>80</v>
      </c>
      <c r="I2" s="3" t="s">
        <v>13</v>
      </c>
      <c r="J2" s="3" t="s">
        <v>10</v>
      </c>
      <c r="K2" s="3" t="s">
        <v>98</v>
      </c>
      <c r="L2" s="39" t="s">
        <v>84</v>
      </c>
      <c r="M2" s="58" t="s">
        <v>95</v>
      </c>
      <c r="N2" s="3" t="s">
        <v>85</v>
      </c>
      <c r="O2" s="3" t="s">
        <v>86</v>
      </c>
    </row>
    <row r="3" spans="1:23" x14ac:dyDescent="0.3">
      <c r="A3" s="4">
        <v>44677.783333333333</v>
      </c>
      <c r="B3" s="1">
        <v>0.99</v>
      </c>
      <c r="C3">
        <v>10</v>
      </c>
      <c r="D3" s="2">
        <v>1.6583565036566274E-3</v>
      </c>
      <c r="E3">
        <v>25</v>
      </c>
      <c r="F3" s="30" cm="1">
        <f t="array" ref="F3">IF(E3="","",_xlfn.XLOOKUP(E3,Flasks!A$3:A$48,Flasks!D$3:D$48/0.999))</f>
        <v>145.38138138138137</v>
      </c>
      <c r="G3">
        <v>20</v>
      </c>
      <c r="H3">
        <v>0.99819999999999998</v>
      </c>
      <c r="I3" s="2">
        <v>0.11040818793568924</v>
      </c>
      <c r="J3">
        <v>882.63</v>
      </c>
      <c r="K3">
        <v>2</v>
      </c>
      <c r="L3" s="40">
        <f>6*C3*B3*D3/(J3*0.001-K3/1000)</f>
        <v>0.11185898313389693</v>
      </c>
      <c r="M3" s="59">
        <f>L3/$N$3-1</f>
        <v>3.1785063632083999E-2</v>
      </c>
      <c r="N3" s="44">
        <f>AVERAGE(L3:L18)</f>
        <v>0.10841306690380996</v>
      </c>
      <c r="O3" s="44">
        <f>STDEV(L3:L17)</f>
        <v>4.3320143544573596E-3</v>
      </c>
    </row>
    <row r="4" spans="1:23" x14ac:dyDescent="0.3">
      <c r="A4" s="4">
        <v>44677.783333333333</v>
      </c>
      <c r="B4" s="1">
        <v>0.99</v>
      </c>
      <c r="C4">
        <v>10</v>
      </c>
      <c r="D4" s="2">
        <v>1.6583565036566274E-3</v>
      </c>
      <c r="E4">
        <v>46</v>
      </c>
      <c r="F4" s="30" cm="1">
        <f t="array" ref="F4">IF(E4="","",_xlfn.XLOOKUP(E4,Flasks!A$3:A$48,Flasks!D$3:D$48/0.999))</f>
        <v>134.96796796796801</v>
      </c>
      <c r="G4">
        <v>20</v>
      </c>
      <c r="H4">
        <v>0.99819999999999998</v>
      </c>
      <c r="I4" s="2">
        <v>0.11040818793568924</v>
      </c>
      <c r="J4">
        <v>879.87</v>
      </c>
      <c r="K4">
        <v>2</v>
      </c>
      <c r="L4" s="40">
        <f t="shared" ref="L4:L18" si="0">6*C4*B4*D4/(J4*0.001-K4/1000)</f>
        <v>0.11221066481051141</v>
      </c>
      <c r="M4" s="59">
        <f t="shared" ref="M4:M18" si="1">L4/$N$3-1</f>
        <v>3.5028968510510738E-2</v>
      </c>
      <c r="O4" s="56">
        <f>O3/N3</f>
        <v>3.995841532922375E-2</v>
      </c>
    </row>
    <row r="5" spans="1:23" x14ac:dyDescent="0.3">
      <c r="A5" s="4">
        <v>44677.783333333333</v>
      </c>
      <c r="B5" s="1">
        <v>0.99</v>
      </c>
      <c r="C5">
        <v>10</v>
      </c>
      <c r="D5" s="2">
        <v>1.6583565036566274E-3</v>
      </c>
      <c r="E5">
        <v>19</v>
      </c>
      <c r="F5" s="30" cm="1">
        <f t="array" ref="F5">IF(E5="","",_xlfn.XLOOKUP(E5,Flasks!A$3:A$48,Flasks!D$3:D$48/0.999))</f>
        <v>141.45545545545548</v>
      </c>
      <c r="G5">
        <v>20</v>
      </c>
      <c r="H5">
        <v>0.99819999999999998</v>
      </c>
      <c r="I5" s="2">
        <v>0.11040818793568924</v>
      </c>
      <c r="J5">
        <v>883.56</v>
      </c>
      <c r="K5">
        <v>2</v>
      </c>
      <c r="L5" s="40">
        <f t="shared" si="0"/>
        <v>0.11174097771814018</v>
      </c>
      <c r="M5" s="59">
        <f t="shared" si="1"/>
        <v>3.0696583994648252E-2</v>
      </c>
    </row>
    <row r="6" spans="1:23" x14ac:dyDescent="0.3">
      <c r="A6" s="4">
        <v>44682.075694444444</v>
      </c>
      <c r="B6" s="1">
        <v>0.99</v>
      </c>
      <c r="C6">
        <v>10</v>
      </c>
      <c r="D6" s="2">
        <v>1.6583565036566274E-3</v>
      </c>
      <c r="E6">
        <v>21</v>
      </c>
      <c r="F6" s="30" cm="1">
        <f t="array" ref="F6">IF(E6="","",_xlfn.XLOOKUP(E6,Flasks!A$3:A$48,Flasks!D$3:D$48/0.999))</f>
        <v>142.40040040040037</v>
      </c>
      <c r="G6">
        <v>20</v>
      </c>
      <c r="H6">
        <v>0.99819999999999998</v>
      </c>
      <c r="I6" s="2">
        <v>0.11040818793568924</v>
      </c>
      <c r="J6">
        <v>901.96</v>
      </c>
      <c r="K6">
        <v>2</v>
      </c>
      <c r="L6" s="40">
        <f t="shared" si="0"/>
        <v>0.10945639396995828</v>
      </c>
      <c r="M6" s="59">
        <f t="shared" si="1"/>
        <v>9.6236283682853418E-3</v>
      </c>
    </row>
    <row r="7" spans="1:23" x14ac:dyDescent="0.3">
      <c r="A7" s="4">
        <v>44682.075694444444</v>
      </c>
      <c r="B7" s="1">
        <v>0.99</v>
      </c>
      <c r="C7">
        <v>10</v>
      </c>
      <c r="D7" s="2">
        <v>1.6583565036566274E-3</v>
      </c>
      <c r="E7">
        <v>14</v>
      </c>
      <c r="F7" s="30" cm="1">
        <f t="array" ref="F7">IF(E7="","",_xlfn.XLOOKUP(E7,Flasks!A$3:A$48,Flasks!D$3:D$48/0.999))</f>
        <v>134.50550550550548</v>
      </c>
      <c r="G7">
        <v>20</v>
      </c>
      <c r="H7">
        <v>0.99819999999999998</v>
      </c>
      <c r="I7" s="2">
        <v>0.11040818793568924</v>
      </c>
      <c r="J7">
        <v>981.47</v>
      </c>
      <c r="K7">
        <v>2</v>
      </c>
      <c r="L7" s="40">
        <f t="shared" si="0"/>
        <v>0.10057110102116823</v>
      </c>
      <c r="M7" s="59">
        <f t="shared" si="1"/>
        <v>-7.2334139293370958E-2</v>
      </c>
    </row>
    <row r="8" spans="1:23" x14ac:dyDescent="0.3">
      <c r="A8" s="4">
        <v>44682.075694444444</v>
      </c>
      <c r="B8" s="1">
        <v>0.99</v>
      </c>
      <c r="C8">
        <v>10</v>
      </c>
      <c r="D8" s="2">
        <v>1.6583565036566274E-3</v>
      </c>
      <c r="E8">
        <v>18</v>
      </c>
      <c r="F8" s="30" cm="1">
        <f t="array" ref="F8">IF(E8="","",_xlfn.XLOOKUP(E8,Flasks!A$3:A$48,Flasks!D$3:D$48/0.999))</f>
        <v>145.14014014014015</v>
      </c>
      <c r="G8">
        <v>20</v>
      </c>
      <c r="H8">
        <v>0.99819999999999998</v>
      </c>
      <c r="I8" s="2">
        <v>0.11040818793568924</v>
      </c>
      <c r="J8">
        <v>892.13</v>
      </c>
      <c r="K8">
        <v>2</v>
      </c>
      <c r="L8" s="40">
        <f t="shared" si="0"/>
        <v>0.11066515713120967</v>
      </c>
      <c r="M8" s="59">
        <f t="shared" si="1"/>
        <v>2.0773236028807096E-2</v>
      </c>
    </row>
    <row r="9" spans="1:23" x14ac:dyDescent="0.3">
      <c r="A9" s="4">
        <v>44682.075694444444</v>
      </c>
      <c r="B9" s="1">
        <v>0.99</v>
      </c>
      <c r="C9">
        <v>10</v>
      </c>
      <c r="D9" s="2">
        <v>1.6583565036566274E-3</v>
      </c>
      <c r="E9">
        <v>17</v>
      </c>
      <c r="F9" s="30" cm="1">
        <f t="array" ref="F9">IF(E9="","",_xlfn.XLOOKUP(E9,Flasks!A$3:A$48,Flasks!D$3:D$48/0.999))</f>
        <v>142.01301301301299</v>
      </c>
      <c r="G9">
        <v>20</v>
      </c>
      <c r="H9">
        <v>0.99819999999999998</v>
      </c>
      <c r="I9" s="2">
        <v>0.11040818793568924</v>
      </c>
      <c r="J9">
        <v>986.16</v>
      </c>
      <c r="K9">
        <v>2</v>
      </c>
      <c r="L9" s="40">
        <f t="shared" si="0"/>
        <v>0.10009183091895998</v>
      </c>
      <c r="M9" s="59">
        <f t="shared" si="1"/>
        <v>-7.6754917303769599E-2</v>
      </c>
    </row>
    <row r="10" spans="1:23" x14ac:dyDescent="0.3">
      <c r="A10" s="4">
        <v>44682.075694444444</v>
      </c>
      <c r="B10" s="1">
        <v>0.99</v>
      </c>
      <c r="C10">
        <v>10</v>
      </c>
      <c r="D10" s="2">
        <v>1.6583565036566274E-3</v>
      </c>
      <c r="E10" s="37">
        <v>19</v>
      </c>
      <c r="F10" s="30" cm="1">
        <f t="array" ref="F10">IF(E10="","",_xlfn.XLOOKUP(E10,Flasks!A$3:A$48,Flasks!D$3:D$48/0.999))</f>
        <v>141.45545545545548</v>
      </c>
      <c r="G10">
        <v>20</v>
      </c>
      <c r="H10">
        <v>0.99819999999999998</v>
      </c>
      <c r="I10" s="2">
        <v>0.11040818793568924</v>
      </c>
      <c r="J10">
        <v>888.7</v>
      </c>
      <c r="K10">
        <v>2</v>
      </c>
      <c r="L10" s="40">
        <f t="shared" si="0"/>
        <v>0.11109324046149054</v>
      </c>
      <c r="M10" s="59">
        <f t="shared" si="1"/>
        <v>2.4721868260203061E-2</v>
      </c>
    </row>
    <row r="11" spans="1:23" x14ac:dyDescent="0.3">
      <c r="A11" s="4">
        <v>44682.075694444444</v>
      </c>
      <c r="B11" s="1">
        <v>0.99</v>
      </c>
      <c r="C11">
        <v>10</v>
      </c>
      <c r="D11" s="2">
        <v>1.6583565036566274E-3</v>
      </c>
      <c r="E11">
        <v>31</v>
      </c>
      <c r="F11" s="30" cm="1">
        <f t="array" ref="F11">IF(E11="","",_xlfn.XLOOKUP(E11,Flasks!A$3:A$48,Flasks!D$3:D$48/0.999))</f>
        <v>143.11111111111114</v>
      </c>
      <c r="G11">
        <v>20</v>
      </c>
      <c r="H11">
        <v>0.99819999999999998</v>
      </c>
      <c r="I11" s="2">
        <v>0.11040818793568924</v>
      </c>
      <c r="J11">
        <v>912.51</v>
      </c>
      <c r="K11">
        <v>2</v>
      </c>
      <c r="L11" s="40">
        <f t="shared" si="0"/>
        <v>0.10818813227444361</v>
      </c>
      <c r="M11" s="59">
        <f t="shared" si="1"/>
        <v>-2.0747926037911757E-3</v>
      </c>
    </row>
    <row r="12" spans="1:23" x14ac:dyDescent="0.3">
      <c r="A12" s="4">
        <v>44687.840277777781</v>
      </c>
      <c r="B12" s="1">
        <v>0.99</v>
      </c>
      <c r="C12">
        <v>10</v>
      </c>
      <c r="D12" s="2">
        <v>1.6583565036566274E-3</v>
      </c>
      <c r="E12">
        <v>25</v>
      </c>
      <c r="F12" s="30" cm="1">
        <f t="array" ref="F12">IF(E12="","",_xlfn.XLOOKUP(E12,Flasks!A$3:A$48,Flasks!D$3:D$48/0.999))</f>
        <v>145.38138138138137</v>
      </c>
      <c r="G12">
        <v>20</v>
      </c>
      <c r="H12">
        <v>0.99819999999999998</v>
      </c>
      <c r="I12" s="2">
        <v>0.11040818793568924</v>
      </c>
      <c r="J12">
        <v>906.45</v>
      </c>
      <c r="K12">
        <v>2</v>
      </c>
      <c r="L12" s="40">
        <f t="shared" si="0"/>
        <v>0.10891301488993714</v>
      </c>
      <c r="M12" s="59">
        <f t="shared" si="1"/>
        <v>4.6115104055746148E-3</v>
      </c>
      <c r="S12">
        <f>C27</f>
        <v>1</v>
      </c>
      <c r="T12" s="38">
        <f>L27</f>
        <v>0.10995843763885252</v>
      </c>
    </row>
    <row r="13" spans="1:23" x14ac:dyDescent="0.3">
      <c r="A13" s="4">
        <v>44687.840277777781</v>
      </c>
      <c r="B13" s="1">
        <v>0.99</v>
      </c>
      <c r="C13">
        <v>10</v>
      </c>
      <c r="D13" s="2">
        <v>1.6583565036566274E-3</v>
      </c>
      <c r="E13">
        <v>34</v>
      </c>
      <c r="F13" s="30" cm="1">
        <f t="array" ref="F13">IF(E13="","",_xlfn.XLOOKUP(E13,Flasks!A$3:A$48,Flasks!D$3:D$48/0.999))</f>
        <v>139.42542542542543</v>
      </c>
      <c r="G13">
        <v>20</v>
      </c>
      <c r="H13">
        <v>0.99819999999999998</v>
      </c>
      <c r="I13" s="2">
        <v>0.11040818793568924</v>
      </c>
      <c r="J13">
        <v>898.8</v>
      </c>
      <c r="K13">
        <v>2</v>
      </c>
      <c r="L13" s="40">
        <f t="shared" si="0"/>
        <v>0.10984207885504423</v>
      </c>
      <c r="M13" s="59">
        <f t="shared" si="1"/>
        <v>1.3181178173865105E-2</v>
      </c>
      <c r="V13">
        <f>C28</f>
        <v>1</v>
      </c>
      <c r="W13" s="38">
        <f>L28</f>
        <v>0.11117473767530461</v>
      </c>
    </row>
    <row r="14" spans="1:23" x14ac:dyDescent="0.3">
      <c r="A14" s="4">
        <v>44687.840277777781</v>
      </c>
      <c r="B14" s="1">
        <v>0.99</v>
      </c>
      <c r="C14">
        <v>10</v>
      </c>
      <c r="D14" s="2">
        <v>1.6583565036566274E-3</v>
      </c>
      <c r="E14">
        <v>40</v>
      </c>
      <c r="F14" s="30" cm="1">
        <f t="array" ref="F14">IF(E14="","",_xlfn.XLOOKUP(E14,Flasks!A$3:A$48,Flasks!D$3:D$48/0.999))</f>
        <v>136.95395395395397</v>
      </c>
      <c r="G14">
        <v>20</v>
      </c>
      <c r="H14">
        <v>0.99819999999999998</v>
      </c>
      <c r="I14" s="2">
        <v>0.11040818793568924</v>
      </c>
      <c r="J14">
        <v>891.48</v>
      </c>
      <c r="K14">
        <v>2</v>
      </c>
      <c r="L14" s="40">
        <f t="shared" si="0"/>
        <v>0.1107460272487337</v>
      </c>
      <c r="M14" s="59">
        <f t="shared" si="1"/>
        <v>2.151918040464329E-2</v>
      </c>
      <c r="S14">
        <f>C29</f>
        <v>1</v>
      </c>
      <c r="T14" s="38">
        <f>L29</f>
        <v>0.10827137129423028</v>
      </c>
    </row>
    <row r="15" spans="1:23" x14ac:dyDescent="0.3">
      <c r="A15" s="4">
        <v>44687.840277777781</v>
      </c>
      <c r="B15" s="1">
        <v>0.99</v>
      </c>
      <c r="C15">
        <v>10</v>
      </c>
      <c r="D15" s="2">
        <v>1.6583565036566274E-3</v>
      </c>
      <c r="E15">
        <v>15</v>
      </c>
      <c r="F15" s="30" cm="1">
        <f t="array" ref="F15">IF(E15="","",_xlfn.XLOOKUP(E15,Flasks!A$3:A$48,Flasks!D$3:D$48/0.999))</f>
        <v>143.45545545545548</v>
      </c>
      <c r="G15">
        <v>20</v>
      </c>
      <c r="H15">
        <v>0.99819999999999998</v>
      </c>
      <c r="I15" s="2">
        <v>0.11040818793568924</v>
      </c>
      <c r="J15">
        <v>890.48</v>
      </c>
      <c r="K15">
        <v>2</v>
      </c>
      <c r="L15" s="40">
        <f t="shared" si="0"/>
        <v>0.11087067386683286</v>
      </c>
      <c r="M15" s="59">
        <f t="shared" si="1"/>
        <v>2.2668918362058976E-2</v>
      </c>
      <c r="V15">
        <f>C30</f>
        <v>1</v>
      </c>
      <c r="W15" s="38">
        <f>L30</f>
        <v>0.10977646758539013</v>
      </c>
    </row>
    <row r="16" spans="1:23" x14ac:dyDescent="0.3">
      <c r="A16" s="4">
        <v>44751.038888888892</v>
      </c>
      <c r="B16" s="1">
        <v>1</v>
      </c>
      <c r="C16">
        <v>10</v>
      </c>
      <c r="D16" s="2">
        <v>1.6583565036566274E-3</v>
      </c>
      <c r="E16">
        <v>48</v>
      </c>
      <c r="F16" s="30" cm="1">
        <f t="array" ref="F16">IF(E16="","",_xlfn.XLOOKUP(E16,Flasks!A$3:A$48,Flasks!D$3:D$48/0.999))</f>
        <v>143.31831831831832</v>
      </c>
      <c r="G16">
        <v>20</v>
      </c>
      <c r="H16">
        <v>0.99819999999999998</v>
      </c>
      <c r="I16" s="2">
        <v>0.11040818793568924</v>
      </c>
      <c r="J16">
        <v>993.26</v>
      </c>
      <c r="K16">
        <v>2</v>
      </c>
      <c r="L16" s="40">
        <f t="shared" si="0"/>
        <v>0.10037870005790372</v>
      </c>
      <c r="M16" s="59">
        <f t="shared" si="1"/>
        <v>-7.4108841999966368E-2</v>
      </c>
      <c r="S16">
        <f>C31</f>
        <v>5</v>
      </c>
      <c r="T16" s="38">
        <f>L31</f>
        <v>0.10957820164243608</v>
      </c>
    </row>
    <row r="17" spans="1:23" x14ac:dyDescent="0.3">
      <c r="A17" s="4">
        <v>44751.038888888892</v>
      </c>
      <c r="B17" s="1">
        <v>1</v>
      </c>
      <c r="C17">
        <v>10</v>
      </c>
      <c r="D17" s="2">
        <v>1.6583565036566274E-3</v>
      </c>
      <c r="E17">
        <v>18</v>
      </c>
      <c r="F17" s="30" cm="1">
        <f t="array" ref="F17">IF(E17="","",_xlfn.XLOOKUP(E17,Flasks!A$3:A$48,Flasks!D$3:D$48/0.999))</f>
        <v>145.14014014014015</v>
      </c>
      <c r="G17">
        <v>20</v>
      </c>
      <c r="H17">
        <v>0.99819999999999998</v>
      </c>
      <c r="I17" s="2">
        <v>0.11040818793568924</v>
      </c>
      <c r="J17">
        <v>905.56</v>
      </c>
      <c r="K17">
        <v>2</v>
      </c>
      <c r="L17" s="40">
        <f t="shared" si="0"/>
        <v>0.11012150849904562</v>
      </c>
      <c r="M17" s="59">
        <f t="shared" si="1"/>
        <v>1.5758631722424088E-2</v>
      </c>
      <c r="V17">
        <f>C32</f>
        <v>5</v>
      </c>
      <c r="W17" s="38">
        <f>L32</f>
        <v>0.10415939852126879</v>
      </c>
    </row>
    <row r="18" spans="1:23" x14ac:dyDescent="0.3">
      <c r="A18" s="4">
        <v>44987.46875</v>
      </c>
      <c r="B18" s="1">
        <v>1</v>
      </c>
      <c r="C18">
        <v>8</v>
      </c>
      <c r="D18" s="2">
        <v>1.6583565036566274E-3</v>
      </c>
      <c r="E18">
        <v>45</v>
      </c>
      <c r="F18" s="30" cm="1">
        <f t="array" ref="F18">IF(E18="","",_xlfn.XLOOKUP(E18,Flasks!A$3:A$48,Flasks!D$3:D$48/0.999))</f>
        <v>142.63163163163162</v>
      </c>
      <c r="G18">
        <v>20</v>
      </c>
      <c r="H18">
        <v>0.99819999999999998</v>
      </c>
      <c r="I18" s="2">
        <v>0.11040818793568924</v>
      </c>
      <c r="J18">
        <v>740</v>
      </c>
      <c r="K18">
        <v>2</v>
      </c>
      <c r="L18" s="40">
        <f t="shared" si="0"/>
        <v>0.10786058560368308</v>
      </c>
      <c r="M18" s="59">
        <f t="shared" si="1"/>
        <v>-5.0960766622077935E-3</v>
      </c>
      <c r="S18">
        <f>C33</f>
        <v>10</v>
      </c>
      <c r="T18" s="38"/>
    </row>
    <row r="19" spans="1:23" x14ac:dyDescent="0.3">
      <c r="A19" s="4">
        <v>44987.535416666666</v>
      </c>
      <c r="B19" s="1">
        <v>1</v>
      </c>
      <c r="C19">
        <v>8</v>
      </c>
      <c r="D19" s="2">
        <v>1.6583565036566274E-3</v>
      </c>
      <c r="E19">
        <v>45</v>
      </c>
      <c r="F19" s="30" cm="1">
        <f t="array" ref="F19">IF(E19="","",_xlfn.XLOOKUP(E19,Flasks!A$3:A$48,Flasks!D$3:D$48/0.999))</f>
        <v>142.63163163163162</v>
      </c>
      <c r="G19">
        <v>20</v>
      </c>
      <c r="H19">
        <v>0.99819999999999998</v>
      </c>
      <c r="I19" s="2">
        <v>0.11040818793568924</v>
      </c>
      <c r="J19">
        <v>897.6</v>
      </c>
      <c r="L19" s="40"/>
      <c r="M19" s="59"/>
      <c r="P19" t="s">
        <v>92</v>
      </c>
      <c r="V19">
        <f>C34</f>
        <v>10</v>
      </c>
      <c r="W19" s="38">
        <f>L34</f>
        <v>0.10809024074934021</v>
      </c>
    </row>
    <row r="20" spans="1:23" x14ac:dyDescent="0.3">
      <c r="A20" s="4">
        <v>44987.535416666666</v>
      </c>
      <c r="B20" s="1">
        <v>1</v>
      </c>
      <c r="C20">
        <v>8</v>
      </c>
      <c r="D20" s="2">
        <v>1.6583565036566274E-3</v>
      </c>
      <c r="E20">
        <v>43</v>
      </c>
      <c r="F20" s="30" cm="1">
        <f t="array" ref="F20">IF(E20="","",_xlfn.XLOOKUP(E20,Flasks!A$3:A$48,Flasks!D$3:D$48/0.999))</f>
        <v>141.41441441441441</v>
      </c>
      <c r="G20">
        <v>20</v>
      </c>
      <c r="H20">
        <v>0.99819999999999998</v>
      </c>
      <c r="I20" s="2">
        <v>0.11040818793568924</v>
      </c>
      <c r="J20">
        <v>850.26</v>
      </c>
      <c r="L20" s="40"/>
      <c r="M20" s="59"/>
      <c r="P20" t="s">
        <v>91</v>
      </c>
      <c r="S20">
        <f>C35</f>
        <v>10</v>
      </c>
      <c r="T20" s="38">
        <f>L35</f>
        <v>0.11254158349948271</v>
      </c>
    </row>
    <row r="21" spans="1:23" x14ac:dyDescent="0.3">
      <c r="A21" s="4">
        <v>44987.548611111109</v>
      </c>
      <c r="B21" s="1">
        <v>1</v>
      </c>
      <c r="C21">
        <v>8</v>
      </c>
      <c r="D21" s="2">
        <v>1.6583565036566274E-3</v>
      </c>
      <c r="E21">
        <v>45</v>
      </c>
      <c r="F21" s="30" cm="1">
        <f t="array" ref="F21">IF(E21="","",_xlfn.XLOOKUP(E21,Flasks!A$3:A$48,Flasks!D$3:D$48/0.999))</f>
        <v>142.63163163163162</v>
      </c>
      <c r="G21">
        <v>20</v>
      </c>
      <c r="H21">
        <v>0.99819999999999998</v>
      </c>
      <c r="I21" s="2">
        <v>0.11040818793568924</v>
      </c>
      <c r="J21">
        <v>752.9</v>
      </c>
      <c r="K21">
        <v>2</v>
      </c>
      <c r="L21" s="40">
        <f t="shared" ref="L21:L39" si="2">6*C21*B21*D21/(J21*0.001-K21/1000)</f>
        <v>0.10600760710549756</v>
      </c>
      <c r="M21" s="59">
        <f t="shared" ref="M21:M39" si="3">L21/$N$3-1</f>
        <v>-2.218791393888575E-2</v>
      </c>
      <c r="P21" t="s">
        <v>92</v>
      </c>
    </row>
    <row r="22" spans="1:23" x14ac:dyDescent="0.3">
      <c r="A22" s="4">
        <v>44987.548611111109</v>
      </c>
      <c r="B22" s="1">
        <v>1</v>
      </c>
      <c r="C22">
        <v>8</v>
      </c>
      <c r="D22" s="2">
        <v>1.6583565036566274E-3</v>
      </c>
      <c r="E22">
        <v>43</v>
      </c>
      <c r="F22" s="30" cm="1">
        <f t="array" ref="F22">IF(E22="","",_xlfn.XLOOKUP(E22,Flasks!A$3:A$48,Flasks!D$3:D$48/0.999))</f>
        <v>141.41441441441441</v>
      </c>
      <c r="G22">
        <v>20</v>
      </c>
      <c r="H22">
        <v>0.99819999999999998</v>
      </c>
      <c r="I22" s="2">
        <v>0.11040818793568924</v>
      </c>
      <c r="J22">
        <v>742.18</v>
      </c>
      <c r="K22">
        <v>2</v>
      </c>
      <c r="L22" s="40">
        <f t="shared" si="2"/>
        <v>0.10754291142089509</v>
      </c>
      <c r="M22" s="59">
        <f t="shared" si="3"/>
        <v>-8.0262970854512172E-3</v>
      </c>
      <c r="P22" t="s">
        <v>91</v>
      </c>
    </row>
    <row r="23" spans="1:23" x14ac:dyDescent="0.3">
      <c r="A23" s="4">
        <v>44987.561111111114</v>
      </c>
      <c r="B23" s="1">
        <v>1</v>
      </c>
      <c r="C23">
        <v>1</v>
      </c>
      <c r="D23" s="2">
        <v>1.6583565036566274E-3</v>
      </c>
      <c r="E23">
        <v>43</v>
      </c>
      <c r="F23" s="30" cm="1">
        <f t="array" ref="F23">IF(E23="","",_xlfn.XLOOKUP(E23,Flasks!A$3:A$48,Flasks!D$3:D$48/0.999))</f>
        <v>141.41441441441441</v>
      </c>
      <c r="G23">
        <v>20</v>
      </c>
      <c r="H23">
        <v>0.99819999999999998</v>
      </c>
      <c r="I23" s="2">
        <v>0.11040818793568924</v>
      </c>
      <c r="J23">
        <v>104.9</v>
      </c>
      <c r="K23">
        <v>13</v>
      </c>
      <c r="L23" s="40">
        <f t="shared" si="2"/>
        <v>0.10827137129423028</v>
      </c>
      <c r="M23" s="59">
        <f t="shared" si="3"/>
        <v>-1.3069975200074024E-3</v>
      </c>
      <c r="P23" t="s">
        <v>92</v>
      </c>
    </row>
    <row r="24" spans="1:23" x14ac:dyDescent="0.3">
      <c r="A24" s="4">
        <v>44987.561111111114</v>
      </c>
      <c r="B24" s="1">
        <v>1</v>
      </c>
      <c r="C24">
        <v>1</v>
      </c>
      <c r="D24" s="2">
        <v>1.6583565036566274E-3</v>
      </c>
      <c r="E24">
        <v>45</v>
      </c>
      <c r="F24" s="30" cm="1">
        <f t="array" ref="F24">IF(E24="","",_xlfn.XLOOKUP(E24,Flasks!A$3:A$48,Flasks!D$3:D$48/0.999))</f>
        <v>142.63163163163162</v>
      </c>
      <c r="G24">
        <v>20</v>
      </c>
      <c r="H24">
        <v>0.99819999999999998</v>
      </c>
      <c r="I24" s="2">
        <v>0.11040818793568924</v>
      </c>
      <c r="J24">
        <v>95.69</v>
      </c>
      <c r="K24">
        <v>2</v>
      </c>
      <c r="L24" s="40">
        <f t="shared" si="2"/>
        <v>0.10620278601707508</v>
      </c>
      <c r="M24" s="59">
        <f t="shared" si="3"/>
        <v>-2.0387587491607073E-2</v>
      </c>
      <c r="P24" t="s">
        <v>91</v>
      </c>
    </row>
    <row r="25" spans="1:23" x14ac:dyDescent="0.3">
      <c r="A25" s="4">
        <v>44987.587500000001</v>
      </c>
      <c r="B25" s="1">
        <v>1</v>
      </c>
      <c r="C25">
        <v>4</v>
      </c>
      <c r="D25" s="2">
        <v>1.6583565036566274E-3</v>
      </c>
      <c r="E25">
        <v>32</v>
      </c>
      <c r="F25" s="30" cm="1">
        <f t="array" ref="F25">IF(E25="","",_xlfn.XLOOKUP(E25,Flasks!A$3:A$48,Flasks!D$3:D$48/0.999))</f>
        <v>139.69069069069067</v>
      </c>
      <c r="G25">
        <v>20</v>
      </c>
      <c r="H25">
        <v>0.99819999999999998</v>
      </c>
      <c r="I25" s="2">
        <v>0.11040818793568924</v>
      </c>
      <c r="J25">
        <v>368.56</v>
      </c>
      <c r="K25">
        <v>2</v>
      </c>
      <c r="L25" s="40">
        <f t="shared" si="2"/>
        <v>0.10857855763792847</v>
      </c>
      <c r="M25" s="59">
        <f t="shared" si="3"/>
        <v>1.5264832814418927E-3</v>
      </c>
      <c r="P25" t="s">
        <v>91</v>
      </c>
    </row>
    <row r="26" spans="1:23" x14ac:dyDescent="0.3">
      <c r="A26" s="4">
        <v>44987.587500000001</v>
      </c>
      <c r="B26" s="1">
        <v>1</v>
      </c>
      <c r="C26">
        <v>4</v>
      </c>
      <c r="D26" s="2">
        <v>1.6583565036566274E-3</v>
      </c>
      <c r="E26">
        <v>47</v>
      </c>
      <c r="F26" s="30" cm="1">
        <f t="array" ref="F26">IF(E26="","",_xlfn.XLOOKUP(E26,Flasks!A$3:A$48,Flasks!D$3:D$48/0.999))</f>
        <v>139.38438438438439</v>
      </c>
      <c r="G26">
        <v>20</v>
      </c>
      <c r="H26">
        <v>0.99819999999999998</v>
      </c>
      <c r="I26" s="2">
        <v>0.11040818793568924</v>
      </c>
      <c r="J26">
        <v>374.3</v>
      </c>
      <c r="K26">
        <v>2</v>
      </c>
      <c r="L26" s="40">
        <f t="shared" si="2"/>
        <v>0.10690452884168428</v>
      </c>
      <c r="M26" s="59">
        <f t="shared" si="3"/>
        <v>-1.3914725458916699E-2</v>
      </c>
      <c r="P26" t="s">
        <v>92</v>
      </c>
    </row>
    <row r="27" spans="1:23" x14ac:dyDescent="0.3">
      <c r="A27" s="4">
        <v>44987.598611111112</v>
      </c>
      <c r="B27" s="1">
        <v>1</v>
      </c>
      <c r="C27">
        <v>1</v>
      </c>
      <c r="D27" s="2">
        <v>1.6583565036566274E-3</v>
      </c>
      <c r="E27">
        <v>24</v>
      </c>
      <c r="F27" s="30" cm="1">
        <f t="array" ref="F27">IF(E27="","",_xlfn.XLOOKUP(E27,Flasks!A$3:A$48,Flasks!D$3:D$48/0.999))</f>
        <v>138.86386386386388</v>
      </c>
      <c r="G27">
        <v>20</v>
      </c>
      <c r="H27">
        <v>0.99819999999999998</v>
      </c>
      <c r="I27" s="2">
        <v>0.11040818793568924</v>
      </c>
      <c r="J27">
        <v>103.49</v>
      </c>
      <c r="K27">
        <v>13</v>
      </c>
      <c r="L27" s="40">
        <f t="shared" si="2"/>
        <v>0.10995843763885252</v>
      </c>
      <c r="M27" s="59">
        <f t="shared" si="3"/>
        <v>1.4254469310546192E-2</v>
      </c>
      <c r="P27" t="s">
        <v>91</v>
      </c>
    </row>
    <row r="28" spans="1:23" x14ac:dyDescent="0.3">
      <c r="A28" s="4">
        <v>44987.598611111112</v>
      </c>
      <c r="B28" s="1">
        <v>1</v>
      </c>
      <c r="C28">
        <v>1</v>
      </c>
      <c r="D28" s="2">
        <v>1.6583565036566274E-3</v>
      </c>
      <c r="E28">
        <v>6</v>
      </c>
      <c r="F28" s="30" cm="1">
        <f t="array" ref="F28">IF(E28="","",_xlfn.XLOOKUP(E28,Flasks!A$3:A$48,Flasks!D$3:D$48/0.999))</f>
        <v>145.49949949949948</v>
      </c>
      <c r="G28">
        <v>20</v>
      </c>
      <c r="H28">
        <v>0.99819999999999998</v>
      </c>
      <c r="I28" s="2">
        <v>0.11040818793568924</v>
      </c>
      <c r="J28">
        <v>102.5</v>
      </c>
      <c r="K28">
        <v>13</v>
      </c>
      <c r="L28" s="40">
        <f t="shared" si="2"/>
        <v>0.11117473767530461</v>
      </c>
      <c r="M28" s="59">
        <f t="shared" si="3"/>
        <v>2.5473596959902922E-2</v>
      </c>
      <c r="P28" t="s">
        <v>92</v>
      </c>
    </row>
    <row r="29" spans="1:23" x14ac:dyDescent="0.3">
      <c r="A29" s="4">
        <v>44998.46875</v>
      </c>
      <c r="B29" s="1">
        <v>1</v>
      </c>
      <c r="C29">
        <v>1</v>
      </c>
      <c r="D29" s="2">
        <v>1.6583565036566274E-3</v>
      </c>
      <c r="E29">
        <v>20</v>
      </c>
      <c r="F29" s="30" cm="1">
        <f t="array" ref="F29">IF(E29="","",_xlfn.XLOOKUP(E29,Flasks!A$3:A$48,Flasks!D$3:D$48/0.999))</f>
        <v>146.70070070070071</v>
      </c>
      <c r="G29">
        <v>20</v>
      </c>
      <c r="H29">
        <v>0.99819999999999998</v>
      </c>
      <c r="I29" s="2">
        <v>0.11040818793568924</v>
      </c>
      <c r="J29">
        <v>97.96</v>
      </c>
      <c r="K29">
        <f>J29-91.9</f>
        <v>6.0599999999999881</v>
      </c>
      <c r="L29" s="40">
        <f t="shared" si="2"/>
        <v>0.10827137129423028</v>
      </c>
      <c r="M29" s="59">
        <f t="shared" si="3"/>
        <v>-1.3069975200074024E-3</v>
      </c>
      <c r="P29" t="s">
        <v>99</v>
      </c>
    </row>
    <row r="30" spans="1:23" x14ac:dyDescent="0.3">
      <c r="A30" s="4">
        <v>44998.46875</v>
      </c>
      <c r="B30" s="1">
        <v>1</v>
      </c>
      <c r="C30">
        <v>1</v>
      </c>
      <c r="D30" s="2">
        <v>1.6583565036566274E-3</v>
      </c>
      <c r="E30">
        <v>47</v>
      </c>
      <c r="F30" s="30" cm="1">
        <f t="array" ref="F30">IF(E30="","",_xlfn.XLOOKUP(E30,Flasks!A$3:A$48,Flasks!D$3:D$48/0.999))</f>
        <v>139.38438438438439</v>
      </c>
      <c r="G30">
        <v>20</v>
      </c>
      <c r="H30">
        <v>0.99819999999999998</v>
      </c>
      <c r="I30" s="2">
        <v>0.11040818793568924</v>
      </c>
      <c r="J30">
        <v>96.7</v>
      </c>
      <c r="K30">
        <f>K29</f>
        <v>6.0599999999999881</v>
      </c>
      <c r="L30" s="40">
        <f t="shared" si="2"/>
        <v>0.10977646758539013</v>
      </c>
      <c r="M30" s="59">
        <f t="shared" si="3"/>
        <v>1.2575981111113244E-2</v>
      </c>
      <c r="P30" t="s">
        <v>92</v>
      </c>
    </row>
    <row r="31" spans="1:23" x14ac:dyDescent="0.3">
      <c r="A31" s="4">
        <v>44998.46875</v>
      </c>
      <c r="B31" s="1">
        <v>1</v>
      </c>
      <c r="C31">
        <v>5</v>
      </c>
      <c r="D31" s="2">
        <v>1.6583565036566274E-3</v>
      </c>
      <c r="E31">
        <v>45</v>
      </c>
      <c r="F31" s="30" cm="1">
        <f t="array" ref="F31">IF(E31="","",_xlfn.XLOOKUP(E31,Flasks!A$3:A$48,Flasks!D$3:D$48/0.999))</f>
        <v>142.63163163163162</v>
      </c>
      <c r="G31">
        <v>20</v>
      </c>
      <c r="H31">
        <v>0.99819999999999998</v>
      </c>
      <c r="I31" s="2">
        <v>0.11040818793568924</v>
      </c>
      <c r="J31">
        <v>460.08</v>
      </c>
      <c r="K31">
        <f t="shared" ref="K31:K36" si="4">K30</f>
        <v>6.0599999999999881</v>
      </c>
      <c r="L31" s="40">
        <f t="shared" si="2"/>
        <v>0.10957820164243608</v>
      </c>
      <c r="M31" s="59">
        <f t="shared" si="3"/>
        <v>1.074717994704355E-2</v>
      </c>
      <c r="P31" t="s">
        <v>91</v>
      </c>
    </row>
    <row r="32" spans="1:23" x14ac:dyDescent="0.3">
      <c r="A32" s="4">
        <v>44998.46875</v>
      </c>
      <c r="B32" s="1">
        <v>1</v>
      </c>
      <c r="C32">
        <v>5</v>
      </c>
      <c r="D32" s="2">
        <v>1.6583565036566274E-3</v>
      </c>
      <c r="E32">
        <v>32</v>
      </c>
      <c r="F32" s="30" cm="1">
        <f t="array" ref="F32">IF(E32="","",_xlfn.XLOOKUP(E32,Flasks!A$3:A$48,Flasks!D$3:D$48/0.999))</f>
        <v>139.69069069069067</v>
      </c>
      <c r="G32">
        <v>20</v>
      </c>
      <c r="H32">
        <v>0.99819999999999998</v>
      </c>
      <c r="I32" s="2">
        <v>0.11040818793568924</v>
      </c>
      <c r="J32">
        <v>483.7</v>
      </c>
      <c r="K32">
        <f t="shared" si="4"/>
        <v>6.0599999999999881</v>
      </c>
      <c r="L32" s="40">
        <f t="shared" si="2"/>
        <v>0.10415939852126879</v>
      </c>
      <c r="M32" s="59">
        <f t="shared" si="3"/>
        <v>-3.9235753622902769E-2</v>
      </c>
      <c r="P32" t="s">
        <v>92</v>
      </c>
    </row>
    <row r="33" spans="1:16" x14ac:dyDescent="0.3">
      <c r="A33" s="4">
        <v>44998.46875</v>
      </c>
      <c r="B33" s="1">
        <v>1</v>
      </c>
      <c r="C33">
        <v>10</v>
      </c>
      <c r="D33" s="2">
        <v>1.6583565036566274E-3</v>
      </c>
      <c r="E33">
        <v>24</v>
      </c>
      <c r="F33" s="30" cm="1">
        <f t="array" ref="F33">IF(E33="","",_xlfn.XLOOKUP(E33,Flasks!A$3:A$48,Flasks!D$3:D$48/0.999))</f>
        <v>138.86386386386388</v>
      </c>
      <c r="G33">
        <v>20</v>
      </c>
      <c r="H33">
        <v>0.99819999999999998</v>
      </c>
      <c r="I33" s="2">
        <v>0.11040818793568924</v>
      </c>
      <c r="K33">
        <f t="shared" si="4"/>
        <v>6.0599999999999881</v>
      </c>
      <c r="L33" s="40">
        <f t="shared" si="2"/>
        <v>-16.419371323332978</v>
      </c>
      <c r="M33" s="59">
        <f t="shared" si="3"/>
        <v>-152.45195862691671</v>
      </c>
      <c r="P33" t="s">
        <v>91</v>
      </c>
    </row>
    <row r="34" spans="1:16" x14ac:dyDescent="0.3">
      <c r="A34" s="4">
        <v>44998.46875</v>
      </c>
      <c r="B34" s="1">
        <v>1</v>
      </c>
      <c r="C34">
        <v>10</v>
      </c>
      <c r="D34" s="2">
        <v>1.6583565036566274E-3</v>
      </c>
      <c r="E34">
        <v>43</v>
      </c>
      <c r="F34" s="30" cm="1">
        <f t="array" ref="F34">IF(E34="","",_xlfn.XLOOKUP(E34,Flasks!A$3:A$48,Flasks!D$3:D$48/0.999))</f>
        <v>141.41441441441441</v>
      </c>
      <c r="G34">
        <v>20</v>
      </c>
      <c r="H34">
        <v>0.99819999999999998</v>
      </c>
      <c r="I34" s="2">
        <v>0.11040818793568924</v>
      </c>
      <c r="J34">
        <v>926.6</v>
      </c>
      <c r="K34">
        <f t="shared" si="4"/>
        <v>6.0599999999999881</v>
      </c>
      <c r="L34" s="40">
        <f t="shared" si="2"/>
        <v>0.10809024074934021</v>
      </c>
      <c r="M34" s="59">
        <f t="shared" si="3"/>
        <v>-2.9777421088564848E-3</v>
      </c>
      <c r="P34" t="s">
        <v>92</v>
      </c>
    </row>
    <row r="35" spans="1:16" x14ac:dyDescent="0.3">
      <c r="A35" s="4">
        <v>44998.46875</v>
      </c>
      <c r="B35" s="1">
        <v>1</v>
      </c>
      <c r="C35">
        <v>10</v>
      </c>
      <c r="D35" s="2">
        <v>1.6583565036566274E-3</v>
      </c>
      <c r="E35">
        <v>49</v>
      </c>
      <c r="F35" s="30" cm="1">
        <f t="array" ref="F35">IF(E35="","",_xlfn.XLOOKUP(E35,Flasks!A$3:A$48,Flasks!D$3:D$48/0.999))</f>
        <v>139.61061061061062</v>
      </c>
      <c r="G35">
        <v>20</v>
      </c>
      <c r="H35">
        <v>0.99819999999999998</v>
      </c>
      <c r="I35" s="2">
        <v>0.11040818793568924</v>
      </c>
      <c r="J35">
        <v>890.19</v>
      </c>
      <c r="K35">
        <f t="shared" si="4"/>
        <v>6.0599999999999881</v>
      </c>
      <c r="L35" s="40">
        <f t="shared" si="2"/>
        <v>0.11254158349948271</v>
      </c>
      <c r="M35" s="59">
        <f t="shared" si="3"/>
        <v>3.8081355998680344E-2</v>
      </c>
      <c r="P35" t="s">
        <v>91</v>
      </c>
    </row>
    <row r="36" spans="1:16" x14ac:dyDescent="0.3">
      <c r="A36" s="4">
        <v>44998.46875</v>
      </c>
      <c r="B36" s="1">
        <v>1</v>
      </c>
      <c r="D36" s="2">
        <v>1.6583565036566274E-3</v>
      </c>
      <c r="E36">
        <v>3</v>
      </c>
      <c r="F36" s="30" cm="1">
        <f t="array" ref="F36">IF(E36="","",_xlfn.XLOOKUP(E36,Flasks!A$3:A$48,Flasks!D$3:D$48/0.999))</f>
        <v>136.78278278278276</v>
      </c>
      <c r="G36">
        <v>20</v>
      </c>
      <c r="H36">
        <v>0.99819999999999998</v>
      </c>
      <c r="I36" s="2">
        <v>0.11040818793568924</v>
      </c>
      <c r="K36">
        <f t="shared" si="4"/>
        <v>6.0599999999999881</v>
      </c>
      <c r="L36" s="40">
        <f t="shared" si="2"/>
        <v>0</v>
      </c>
      <c r="M36" s="59">
        <f t="shared" si="3"/>
        <v>-1</v>
      </c>
    </row>
    <row r="37" spans="1:16" x14ac:dyDescent="0.3">
      <c r="E37">
        <v>50</v>
      </c>
      <c r="F37" s="30" cm="1">
        <f t="array" ref="F37">IF(E37="","",_xlfn.XLOOKUP(E37,Flasks!A$3:A$48,Flasks!D$3:D$48/0.999))</f>
        <v>136.70070070070074</v>
      </c>
      <c r="L37" s="40" t="e">
        <f t="shared" si="2"/>
        <v>#DIV/0!</v>
      </c>
      <c r="M37" s="59" t="e">
        <f t="shared" si="3"/>
        <v>#DIV/0!</v>
      </c>
    </row>
    <row r="38" spans="1:16" x14ac:dyDescent="0.3">
      <c r="F38" s="30" t="str" cm="1">
        <f t="array" ref="F38">IF(E38="","",_xlfn.XLOOKUP(E38,Flasks!A$3:A$48,Flasks!D$3:D$48/0.999))</f>
        <v/>
      </c>
      <c r="L38" s="40" t="e">
        <f t="shared" si="2"/>
        <v>#DIV/0!</v>
      </c>
      <c r="M38" s="59" t="e">
        <f t="shared" si="3"/>
        <v>#DIV/0!</v>
      </c>
    </row>
    <row r="39" spans="1:16" x14ac:dyDescent="0.3">
      <c r="F39" s="30" t="str" cm="1">
        <f t="array" ref="F39">IF(E39="","",_xlfn.XLOOKUP(E39,Flasks!A$3:A$48,Flasks!D$3:D$48/0.999))</f>
        <v/>
      </c>
      <c r="L39" s="40" t="e">
        <f t="shared" si="2"/>
        <v>#DIV/0!</v>
      </c>
      <c r="M39" s="59" t="e">
        <f t="shared" si="3"/>
        <v>#DIV/0!</v>
      </c>
    </row>
    <row r="45" spans="1:16" x14ac:dyDescent="0.3">
      <c r="A45" s="4">
        <v>45039.534722222219</v>
      </c>
      <c r="B45" s="1">
        <v>1</v>
      </c>
      <c r="C45">
        <v>10</v>
      </c>
      <c r="D45" s="2">
        <v>1.6583565036566274E-3</v>
      </c>
      <c r="E45">
        <v>3</v>
      </c>
      <c r="F45" s="30" cm="1">
        <f t="array" ref="F45">IF(E45="","",_xlfn.XLOOKUP(E45,Flasks!A$3:A$48,Flasks!D$3:D$48/0.999))</f>
        <v>136.78278278278276</v>
      </c>
      <c r="G45">
        <v>20</v>
      </c>
      <c r="H45">
        <v>0.99819999999999998</v>
      </c>
      <c r="I45" s="2">
        <v>0.11040818793568924</v>
      </c>
      <c r="K45">
        <v>4</v>
      </c>
      <c r="L45" s="40"/>
      <c r="M45" s="59"/>
    </row>
    <row r="46" spans="1:16" x14ac:dyDescent="0.3">
      <c r="A46" s="4">
        <v>45039.534722222219</v>
      </c>
      <c r="B46" s="1">
        <v>1</v>
      </c>
      <c r="C46">
        <v>10</v>
      </c>
      <c r="D46" s="2">
        <v>1.6583565036566274E-3</v>
      </c>
      <c r="E46">
        <v>32</v>
      </c>
      <c r="F46" s="30" cm="1">
        <f t="array" ref="F46">IF(E46="","",_xlfn.XLOOKUP(E46,Flasks!A$3:A$48,Flasks!D$3:D$48/0.999))</f>
        <v>139.69069069069067</v>
      </c>
      <c r="G46">
        <v>20</v>
      </c>
      <c r="H46">
        <v>0.99819999999999998</v>
      </c>
      <c r="I46" s="2">
        <v>0.11040818793568924</v>
      </c>
      <c r="J46">
        <v>655.34</v>
      </c>
      <c r="K46">
        <v>4</v>
      </c>
      <c r="L46" s="40">
        <f t="shared" ref="L46" si="5">6*C46*B46*D46/(J46*0.001-K46/1000)</f>
        <v>0.15276413274080763</v>
      </c>
      <c r="M46" s="59"/>
      <c r="N46" s="38">
        <f>AVERAGE(L46,L48,L49,L52,L53,L54,L59,L60,L62,L63)</f>
        <v>0.15420872244238712</v>
      </c>
      <c r="O46">
        <f>STDEV(L46,L48,L49,L52,L53,L54,L59,L60,L62,L63)</f>
        <v>1.0166533933372269E-3</v>
      </c>
      <c r="P46" s="60">
        <f>(L46-N$46)/O$46</f>
        <v>-1.4209264544305813</v>
      </c>
    </row>
    <row r="47" spans="1:16" x14ac:dyDescent="0.3">
      <c r="A47" s="4">
        <v>45039.534722222219</v>
      </c>
      <c r="B47" s="1">
        <v>1</v>
      </c>
      <c r="C47">
        <v>10</v>
      </c>
      <c r="D47" s="2">
        <v>1.6583565036566274E-3</v>
      </c>
      <c r="E47">
        <v>11</v>
      </c>
      <c r="F47" s="30" cm="1">
        <f t="array" ref="F47">IF(E47="","",_xlfn.XLOOKUP(E47,Flasks!A$3:A$48,Flasks!D$3:D$48/0.999))</f>
        <v>133.33433433433433</v>
      </c>
      <c r="G47">
        <v>20</v>
      </c>
      <c r="H47">
        <v>0.99819999999999998</v>
      </c>
      <c r="I47" s="2">
        <v>0.11040818793568924</v>
      </c>
      <c r="J47">
        <v>732.17</v>
      </c>
      <c r="K47">
        <v>4</v>
      </c>
      <c r="L47" s="40">
        <f t="shared" ref="L47" si="6">6*C47*B47*D47/(J47*0.001-K47/1000)</f>
        <v>0.13664582476536749</v>
      </c>
      <c r="M47" s="59"/>
      <c r="P47" s="60"/>
    </row>
    <row r="48" spans="1:16" x14ac:dyDescent="0.3">
      <c r="A48" s="4">
        <v>45039.534722222219</v>
      </c>
      <c r="B48" s="1">
        <v>1</v>
      </c>
      <c r="C48">
        <v>10</v>
      </c>
      <c r="D48" s="2">
        <v>1.6583565036566274E-3</v>
      </c>
      <c r="E48">
        <v>43</v>
      </c>
      <c r="F48" s="30" cm="1">
        <f t="array" ref="F48">IF(E48="","",_xlfn.XLOOKUP(E48,Flasks!A$3:A$48,Flasks!D$3:D$48/0.999))</f>
        <v>141.41441441441441</v>
      </c>
      <c r="G48">
        <v>20</v>
      </c>
      <c r="H48">
        <v>0.99819999999999998</v>
      </c>
      <c r="I48" s="2">
        <v>0.11040818793568924</v>
      </c>
      <c r="J48">
        <v>654.36</v>
      </c>
      <c r="K48">
        <v>4</v>
      </c>
      <c r="L48" s="40">
        <f t="shared" ref="L48:L59" si="7">6*C48*B48*D48/(J48*0.001-K48/1000)</f>
        <v>0.15299432655667267</v>
      </c>
      <c r="M48" s="59"/>
      <c r="P48" s="60">
        <f>(L48-N$46)/O$46</f>
        <v>-1.1945033515583168</v>
      </c>
    </row>
    <row r="49" spans="1:16" x14ac:dyDescent="0.3">
      <c r="A49" s="4">
        <v>45039.534722222219</v>
      </c>
      <c r="B49" s="1">
        <v>1</v>
      </c>
      <c r="C49">
        <v>10</v>
      </c>
      <c r="D49" s="2">
        <v>1.6583565036566274E-3</v>
      </c>
      <c r="E49">
        <v>49</v>
      </c>
      <c r="F49" s="30" cm="1">
        <f t="array" ref="F49">IF(E49="","",_xlfn.XLOOKUP(E49,Flasks!A$3:A$48,Flasks!D$3:D$48/0.999))</f>
        <v>139.61061061061062</v>
      </c>
      <c r="G49">
        <v>20</v>
      </c>
      <c r="H49">
        <v>0.99819999999999998</v>
      </c>
      <c r="I49" s="2">
        <v>0.11040818793568924</v>
      </c>
      <c r="J49">
        <v>651.74</v>
      </c>
      <c r="K49">
        <v>4</v>
      </c>
      <c r="L49" s="40">
        <f t="shared" si="7"/>
        <v>0.15361316302744565</v>
      </c>
      <c r="M49" s="59"/>
      <c r="P49" s="60">
        <f>(L49-N$46)/O$46</f>
        <v>-0.58580379394250126</v>
      </c>
    </row>
    <row r="50" spans="1:16" x14ac:dyDescent="0.3">
      <c r="A50" s="4">
        <v>45039.534722222219</v>
      </c>
      <c r="B50" s="1">
        <v>0.99</v>
      </c>
      <c r="C50">
        <v>1</v>
      </c>
      <c r="D50" s="2">
        <v>1.6583565036566274E-3</v>
      </c>
      <c r="E50">
        <v>47</v>
      </c>
      <c r="F50" s="30" cm="1">
        <f t="array" ref="F50">IF(E50="","",_xlfn.XLOOKUP(E50,Flasks!A$3:A$48,Flasks!D$3:D$48/0.999))</f>
        <v>139.38438438438439</v>
      </c>
      <c r="G50">
        <v>20</v>
      </c>
      <c r="H50">
        <v>0.99819999999999998</v>
      </c>
      <c r="I50" s="2">
        <v>0.11040818793568924</v>
      </c>
      <c r="J50">
        <v>64.069999999999993</v>
      </c>
      <c r="K50">
        <v>4</v>
      </c>
      <c r="L50" s="40">
        <f t="shared" si="7"/>
        <v>0.16398597688896902</v>
      </c>
      <c r="M50" s="59"/>
      <c r="P50" s="60"/>
    </row>
    <row r="51" spans="1:16" x14ac:dyDescent="0.3">
      <c r="A51" s="4">
        <v>45039.534722222219</v>
      </c>
      <c r="B51" s="1">
        <v>0.99</v>
      </c>
      <c r="C51">
        <v>1</v>
      </c>
      <c r="D51" s="2">
        <v>1.6583565036566274E-3</v>
      </c>
      <c r="E51">
        <v>47</v>
      </c>
      <c r="F51" s="30" cm="1">
        <f t="array" ref="F51">IF(E51="","",_xlfn.XLOOKUP(E51,Flasks!A$3:A$48,Flasks!D$3:D$48/0.999))</f>
        <v>139.38438438438439</v>
      </c>
      <c r="G51">
        <v>20</v>
      </c>
      <c r="H51">
        <v>0.99819999999999998</v>
      </c>
      <c r="I51" s="2">
        <v>0.11040818793568924</v>
      </c>
      <c r="J51">
        <v>60.34</v>
      </c>
      <c r="K51">
        <v>4</v>
      </c>
      <c r="L51" s="40">
        <f t="shared" si="7"/>
        <v>0.1748426984685901</v>
      </c>
      <c r="M51" s="59"/>
      <c r="P51" s="60"/>
    </row>
    <row r="52" spans="1:16" x14ac:dyDescent="0.3">
      <c r="A52" s="4">
        <v>45039.534722222219</v>
      </c>
      <c r="B52" s="1">
        <v>1</v>
      </c>
      <c r="C52">
        <v>10</v>
      </c>
      <c r="D52" s="2">
        <v>1.6583565036566274E-3</v>
      </c>
      <c r="E52">
        <v>44</v>
      </c>
      <c r="F52" s="30" cm="1">
        <f t="array" ref="F52">IF(E52="","",_xlfn.XLOOKUP(E52,Flasks!A$3:A$48,Flasks!D$3:D$48/0.999))</f>
        <v>138.99899899899901</v>
      </c>
      <c r="G52">
        <v>20</v>
      </c>
      <c r="H52">
        <v>0.99819999999999998</v>
      </c>
      <c r="I52" s="2">
        <v>0.11040818793568924</v>
      </c>
      <c r="J52">
        <v>665.71</v>
      </c>
      <c r="K52">
        <v>4</v>
      </c>
      <c r="L52" s="40"/>
      <c r="M52" s="59"/>
      <c r="P52" s="60"/>
    </row>
    <row r="53" spans="1:16" x14ac:dyDescent="0.3">
      <c r="A53" s="4">
        <v>45039.534722222219</v>
      </c>
      <c r="B53" s="1">
        <v>1</v>
      </c>
      <c r="C53">
        <v>10</v>
      </c>
      <c r="D53" s="2">
        <v>1.6583565036566274E-3</v>
      </c>
      <c r="E53">
        <v>27</v>
      </c>
      <c r="F53" s="30" cm="1">
        <f t="array" ref="F53">IF(E53="","",_xlfn.XLOOKUP(E53,Flasks!A$3:A$48,Flasks!D$3:D$48/0.999))</f>
        <v>135.59759759759763</v>
      </c>
      <c r="G53">
        <v>20</v>
      </c>
      <c r="H53">
        <v>0.99819999999999998</v>
      </c>
      <c r="I53" s="2">
        <v>0.11040818793568924</v>
      </c>
      <c r="J53">
        <v>649.35</v>
      </c>
      <c r="K53">
        <v>4</v>
      </c>
      <c r="L53" s="40">
        <f t="shared" si="7"/>
        <v>0.15418205658851422</v>
      </c>
      <c r="M53" s="59"/>
      <c r="P53" s="60">
        <f>(L53-N$46)/O$46</f>
        <v>-2.6229051166952594E-2</v>
      </c>
    </row>
    <row r="54" spans="1:16" x14ac:dyDescent="0.3">
      <c r="A54" s="4">
        <v>45039.534722222219</v>
      </c>
      <c r="B54" s="1">
        <v>1</v>
      </c>
      <c r="C54">
        <v>10</v>
      </c>
      <c r="D54" s="2">
        <v>1.6583565036566274E-3</v>
      </c>
      <c r="E54">
        <v>49</v>
      </c>
      <c r="F54" s="30" cm="1">
        <f t="array" ref="F54">IF(E54="","",_xlfn.XLOOKUP(E54,Flasks!A$3:A$48,Flasks!D$3:D$48/0.999))</f>
        <v>139.61061061061062</v>
      </c>
      <c r="G54">
        <v>20</v>
      </c>
      <c r="H54">
        <v>0.99819999999999998</v>
      </c>
      <c r="I54" s="2">
        <v>0.11040818793568924</v>
      </c>
      <c r="J54">
        <v>648.07000000000005</v>
      </c>
      <c r="K54">
        <v>4</v>
      </c>
      <c r="L54" s="40">
        <f t="shared" si="7"/>
        <v>0.15448847209060762</v>
      </c>
      <c r="M54" s="59"/>
      <c r="P54" s="60">
        <f>(L54-N$46)/O$46</f>
        <v>0.27516718092309272</v>
      </c>
    </row>
    <row r="55" spans="1:16" x14ac:dyDescent="0.3">
      <c r="A55" s="4">
        <v>45039.534722222219</v>
      </c>
      <c r="B55" s="1">
        <v>1</v>
      </c>
      <c r="C55">
        <v>1</v>
      </c>
      <c r="D55" s="2">
        <v>1.6583565036566274E-3</v>
      </c>
      <c r="E55">
        <v>11</v>
      </c>
      <c r="F55" s="30" cm="1">
        <f t="array" ref="F55">IF(E55="","",_xlfn.XLOOKUP(E55,Flasks!A$3:A$48,Flasks!D$3:D$48/0.999))</f>
        <v>133.33433433433433</v>
      </c>
      <c r="G55">
        <v>20</v>
      </c>
      <c r="H55">
        <v>0.99819999999999998</v>
      </c>
      <c r="I55" s="2">
        <v>0.11040818793568924</v>
      </c>
      <c r="J55">
        <v>77.14</v>
      </c>
      <c r="K55">
        <v>4</v>
      </c>
      <c r="L55" s="40"/>
      <c r="M55" s="59"/>
      <c r="P55" s="60"/>
    </row>
    <row r="56" spans="1:16" x14ac:dyDescent="0.3">
      <c r="A56" s="4">
        <v>45039.534722222219</v>
      </c>
      <c r="B56" s="1">
        <v>1</v>
      </c>
      <c r="C56">
        <v>1</v>
      </c>
      <c r="D56" s="2">
        <v>1.6583565036566274E-3</v>
      </c>
      <c r="E56">
        <v>3</v>
      </c>
      <c r="F56" s="30" cm="1">
        <f t="array" ref="F56">IF(E56="","",_xlfn.XLOOKUP(E56,Flasks!A$3:A$48,Flasks!D$3:D$48/0.999))</f>
        <v>136.78278278278276</v>
      </c>
      <c r="G56">
        <v>20</v>
      </c>
      <c r="H56">
        <v>0.99819999999999998</v>
      </c>
      <c r="I56" s="2">
        <v>0.11040818793568924</v>
      </c>
      <c r="J56">
        <v>64.22</v>
      </c>
      <c r="K56">
        <v>4</v>
      </c>
      <c r="L56" s="40">
        <f t="shared" si="7"/>
        <v>0.16522980773729268</v>
      </c>
      <c r="M56" s="59"/>
      <c r="P56" s="60"/>
    </row>
    <row r="57" spans="1:16" x14ac:dyDescent="0.3">
      <c r="A57" s="4">
        <v>45039.534722222219</v>
      </c>
      <c r="B57" s="1">
        <v>1</v>
      </c>
      <c r="C57">
        <v>1</v>
      </c>
      <c r="D57" s="2">
        <v>1.6583565036566274E-3</v>
      </c>
      <c r="E57">
        <v>20</v>
      </c>
      <c r="F57" s="30" cm="1">
        <f t="array" ref="F57">IF(E57="","",_xlfn.XLOOKUP(E57,Flasks!A$3:A$48,Flasks!D$3:D$48/0.999))</f>
        <v>146.70070070070071</v>
      </c>
      <c r="G57">
        <v>20</v>
      </c>
      <c r="H57">
        <v>0.99819999999999998</v>
      </c>
      <c r="I57" s="2">
        <v>0.11040818793568924</v>
      </c>
      <c r="J57">
        <v>64.88</v>
      </c>
      <c r="K57">
        <v>4</v>
      </c>
      <c r="L57" s="40">
        <f t="shared" si="7"/>
        <v>0.16343855160873466</v>
      </c>
      <c r="M57" s="59"/>
      <c r="P57" s="60"/>
    </row>
    <row r="58" spans="1:16" x14ac:dyDescent="0.3">
      <c r="A58" s="4">
        <v>45039.534722222219</v>
      </c>
      <c r="B58" s="1">
        <v>1</v>
      </c>
      <c r="C58">
        <v>1</v>
      </c>
      <c r="D58" s="2">
        <v>1.6583565036566274E-3</v>
      </c>
      <c r="E58">
        <v>5</v>
      </c>
      <c r="F58" s="30" cm="1">
        <f t="array" ref="F58">IF(E58="","",_xlfn.XLOOKUP(E58,Flasks!A$3:A$48,Flasks!D$3:D$48/0.999))</f>
        <v>141.82382382382383</v>
      </c>
      <c r="G58">
        <v>20</v>
      </c>
      <c r="H58">
        <v>0.99819999999999998</v>
      </c>
      <c r="I58" s="2">
        <v>0.11040818793568924</v>
      </c>
      <c r="J58">
        <v>65.42</v>
      </c>
      <c r="K58">
        <v>4</v>
      </c>
      <c r="L58" s="40">
        <f t="shared" si="7"/>
        <v>0.16200161221002546</v>
      </c>
      <c r="M58" s="59"/>
      <c r="P58" s="60"/>
    </row>
    <row r="59" spans="1:16" x14ac:dyDescent="0.3">
      <c r="A59" s="4">
        <v>45039.534722222219</v>
      </c>
      <c r="B59" s="1">
        <v>1</v>
      </c>
      <c r="C59">
        <v>10</v>
      </c>
      <c r="D59" s="2">
        <v>1.6583565036566274E-3</v>
      </c>
      <c r="E59">
        <v>3</v>
      </c>
      <c r="F59" s="30" cm="1">
        <f t="array" ref="F59">IF(E59="","",_xlfn.XLOOKUP(E59,Flasks!A$3:A$48,Flasks!D$3:D$48/0.999))</f>
        <v>136.78278278278276</v>
      </c>
      <c r="G59">
        <v>20</v>
      </c>
      <c r="H59">
        <v>0.99819999999999998</v>
      </c>
      <c r="I59" s="2">
        <v>0.11040818793568924</v>
      </c>
      <c r="J59">
        <v>646.22</v>
      </c>
      <c r="K59">
        <v>4</v>
      </c>
      <c r="L59" s="40">
        <f t="shared" si="7"/>
        <v>0.15493349665129963</v>
      </c>
      <c r="M59" s="59"/>
      <c r="P59" s="60">
        <f>(L59-N$46)/O$46</f>
        <v>0.71290197196253302</v>
      </c>
    </row>
    <row r="60" spans="1:16" x14ac:dyDescent="0.3">
      <c r="A60" s="4">
        <v>45039.534722222219</v>
      </c>
      <c r="B60" s="1">
        <v>1</v>
      </c>
      <c r="C60">
        <v>10</v>
      </c>
      <c r="D60" s="2">
        <v>1.6583565036566274E-3</v>
      </c>
      <c r="E60">
        <v>11</v>
      </c>
      <c r="F60" s="30" cm="1">
        <f t="array" ref="F60">IF(E60="","",_xlfn.XLOOKUP(E60,Flasks!A$3:A$48,Flasks!D$3:D$48/0.999))</f>
        <v>133.33433433433433</v>
      </c>
      <c r="G60">
        <v>20</v>
      </c>
      <c r="H60">
        <v>0.99819999999999998</v>
      </c>
      <c r="I60" s="2">
        <v>0.11040818793568924</v>
      </c>
      <c r="J60">
        <v>643.53</v>
      </c>
      <c r="K60">
        <v>4</v>
      </c>
      <c r="L60" s="40">
        <f t="shared" ref="L60" si="8">6*C60*B60*D60/(J60*0.001-K60/1000)</f>
        <v>0.15558518008443334</v>
      </c>
      <c r="M60" s="59"/>
      <c r="P60" s="60">
        <f>(L60-N$46)/O$46</f>
        <v>1.3539104389627945</v>
      </c>
    </row>
    <row r="61" spans="1:16" x14ac:dyDescent="0.3">
      <c r="A61" s="4">
        <v>45039.534722222219</v>
      </c>
      <c r="B61" s="1">
        <v>1</v>
      </c>
      <c r="C61">
        <v>5</v>
      </c>
      <c r="D61" s="2">
        <v>1.6583565036566274E-3</v>
      </c>
      <c r="E61">
        <v>5</v>
      </c>
      <c r="F61" s="30" cm="1">
        <f t="array" ref="F61">IF(E61="","",_xlfn.XLOOKUP(E61,Flasks!A$3:A$48,Flasks!D$3:D$48/0.999))</f>
        <v>141.82382382382383</v>
      </c>
      <c r="G61">
        <v>20</v>
      </c>
      <c r="H61">
        <v>0.99819999999999998</v>
      </c>
      <c r="I61" s="2">
        <v>0.11040818793568924</v>
      </c>
      <c r="J61">
        <v>339.58</v>
      </c>
      <c r="K61">
        <v>4</v>
      </c>
      <c r="L61" s="40">
        <f t="shared" ref="L61:L63" si="9">6*C61*B61*D61/(J61*0.001-K61/1000)</f>
        <v>0.1482528610456488</v>
      </c>
    </row>
    <row r="62" spans="1:16" x14ac:dyDescent="0.3">
      <c r="A62" s="4">
        <v>45039.534722222219</v>
      </c>
      <c r="B62" s="1">
        <v>1</v>
      </c>
      <c r="C62">
        <v>5</v>
      </c>
      <c r="D62" s="2">
        <v>1.6583565036566274E-3</v>
      </c>
      <c r="E62">
        <v>32</v>
      </c>
      <c r="F62" s="30" cm="1">
        <f t="array" ref="F62">IF(E62="","",_xlfn.XLOOKUP(E62,Flasks!A$3:A$48,Flasks!D$3:D$48/0.999))</f>
        <v>139.69069069069067</v>
      </c>
      <c r="G62">
        <v>20</v>
      </c>
      <c r="H62">
        <v>0.99819999999999998</v>
      </c>
      <c r="I62" s="2">
        <v>0.11040818793568924</v>
      </c>
      <c r="J62">
        <v>323.92</v>
      </c>
      <c r="K62">
        <v>4</v>
      </c>
      <c r="L62" s="40">
        <f t="shared" si="9"/>
        <v>0.15550979966772574</v>
      </c>
      <c r="P62" s="60">
        <f>(L62-N$46)/O$46</f>
        <v>1.2797647987656393</v>
      </c>
    </row>
    <row r="63" spans="1:16" x14ac:dyDescent="0.3">
      <c r="A63" s="4">
        <v>45039.534722222219</v>
      </c>
      <c r="B63" s="1">
        <v>1</v>
      </c>
      <c r="C63">
        <v>5</v>
      </c>
      <c r="D63" s="2">
        <v>1.6583565036566274E-3</v>
      </c>
      <c r="E63">
        <v>7</v>
      </c>
      <c r="F63" s="30" cm="1">
        <f t="array" ref="F63">IF(E63="","",_xlfn.XLOOKUP(E63,Flasks!A$3:A$48,Flasks!D$3:D$48/0.999))</f>
        <v>140.16616616616616</v>
      </c>
      <c r="G63">
        <v>20</v>
      </c>
      <c r="H63">
        <v>0.99819999999999998</v>
      </c>
      <c r="I63" s="2">
        <v>0.11040818793568924</v>
      </c>
      <c r="J63">
        <v>327.45999999999998</v>
      </c>
      <c r="K63">
        <v>4</v>
      </c>
      <c r="L63" s="40">
        <f t="shared" si="9"/>
        <v>0.15380787457397771</v>
      </c>
      <c r="P63" s="60">
        <f>(L63-N$46)/O$46</f>
        <v>-0.39428173951557083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3D57-4657-4A30-B8E7-2AF5EC503683}">
  <dimension ref="A1:L100"/>
  <sheetViews>
    <sheetView workbookViewId="0">
      <selection activeCell="E33" sqref="E33"/>
    </sheetView>
  </sheetViews>
  <sheetFormatPr defaultRowHeight="14.4" x14ac:dyDescent="0.3"/>
  <cols>
    <col min="1" max="1" width="11.5546875" bestFit="1" customWidth="1"/>
  </cols>
  <sheetData>
    <row r="1" spans="1:12" x14ac:dyDescent="0.3">
      <c r="B1" s="35"/>
      <c r="C1" s="29" t="s">
        <v>4</v>
      </c>
      <c r="D1" s="24"/>
      <c r="G1" t="s">
        <v>26</v>
      </c>
      <c r="H1" s="1" t="s">
        <v>25</v>
      </c>
      <c r="I1" s="31" t="s">
        <v>50</v>
      </c>
      <c r="J1" s="45" t="s">
        <v>64</v>
      </c>
      <c r="K1" s="46" t="s">
        <v>82</v>
      </c>
    </row>
    <row r="2" spans="1:12" ht="43.2" x14ac:dyDescent="0.3">
      <c r="A2" s="25" t="s">
        <v>66</v>
      </c>
      <c r="B2" s="36" t="s">
        <v>11</v>
      </c>
      <c r="C2" s="28" t="s">
        <v>48</v>
      </c>
      <c r="D2" s="25" t="s">
        <v>21</v>
      </c>
      <c r="E2" s="25" t="s">
        <v>22</v>
      </c>
      <c r="F2" s="25" t="s">
        <v>23</v>
      </c>
      <c r="G2" s="25" t="s">
        <v>24</v>
      </c>
      <c r="H2" s="26" t="s">
        <v>10</v>
      </c>
      <c r="I2" s="32" t="s">
        <v>49</v>
      </c>
      <c r="J2" s="47" t="s">
        <v>63</v>
      </c>
      <c r="K2" s="28" t="s">
        <v>65</v>
      </c>
      <c r="L2" s="25" t="s">
        <v>28</v>
      </c>
    </row>
    <row r="3" spans="1:12" x14ac:dyDescent="0.3">
      <c r="A3" t="s">
        <v>67</v>
      </c>
      <c r="B3" s="35">
        <v>48</v>
      </c>
      <c r="C3" s="30">
        <f>IF(B3="","",_xlfn.XLOOKUP(B3,Flasks!A$3:A$50,Flasks!D$3:D$50))</f>
        <v>143.17500000000001</v>
      </c>
      <c r="D3" s="24" t="s">
        <v>35</v>
      </c>
      <c r="E3">
        <v>17</v>
      </c>
      <c r="F3">
        <v>15</v>
      </c>
      <c r="G3">
        <v>0</v>
      </c>
      <c r="H3" s="1">
        <v>1683.58</v>
      </c>
      <c r="I3" s="31">
        <f>IF(H3="","",H3/C3)</f>
        <v>11.758896455386763</v>
      </c>
      <c r="J3" s="45">
        <f>C3/1022.7</f>
        <v>0.13999706658844235</v>
      </c>
      <c r="K3" s="46" t="e">
        <f>((H3-2)*Reagents!#REF!/4-0.076)/J3</f>
        <v>#REF!</v>
      </c>
    </row>
    <row r="4" spans="1:12" x14ac:dyDescent="0.3">
      <c r="A4" t="s">
        <v>67</v>
      </c>
      <c r="B4" s="35">
        <v>34</v>
      </c>
      <c r="C4" s="30">
        <f>IF(B4="","",_xlfn.XLOOKUP(B4,Flasks!A$3:A$50,Flasks!D$3:D$50))</f>
        <v>139.286</v>
      </c>
      <c r="D4" s="24" t="s">
        <v>35</v>
      </c>
      <c r="E4">
        <v>17</v>
      </c>
      <c r="F4">
        <v>15</v>
      </c>
      <c r="G4">
        <v>0</v>
      </c>
      <c r="H4" s="1">
        <v>1628.19</v>
      </c>
      <c r="I4" s="31">
        <f t="shared" ref="I4:I53" si="0">IF(H4="","",H4/C4)</f>
        <v>11.689545252214868</v>
      </c>
      <c r="J4" s="45">
        <f t="shared" ref="J4:J53" si="1">C4/1022.7</f>
        <v>0.13619438740588638</v>
      </c>
      <c r="K4" s="46" t="e">
        <f>((H4-2)*Reagents!#REF!/4-0.076)/J4</f>
        <v>#REF!</v>
      </c>
      <c r="L4" t="s">
        <v>37</v>
      </c>
    </row>
    <row r="5" spans="1:12" x14ac:dyDescent="0.3">
      <c r="A5" t="s">
        <v>67</v>
      </c>
      <c r="B5" s="35">
        <v>35</v>
      </c>
      <c r="C5" s="30">
        <f>IF(B5="","",_xlfn.XLOOKUP(B5,Flasks!A$3:A$50,Flasks!D$3:D$50))</f>
        <v>135.13200000000001</v>
      </c>
      <c r="D5" s="24" t="s">
        <v>35</v>
      </c>
      <c r="E5">
        <v>17</v>
      </c>
      <c r="F5">
        <v>15</v>
      </c>
      <c r="G5">
        <v>0</v>
      </c>
      <c r="H5" s="1">
        <v>1585.55</v>
      </c>
      <c r="I5" s="31">
        <f t="shared" si="0"/>
        <v>11.733342213539354</v>
      </c>
      <c r="J5" s="45">
        <f t="shared" si="1"/>
        <v>0.13213259020240539</v>
      </c>
      <c r="K5" s="46" t="e">
        <f>((H5-2)*Reagents!#REF!/4-0.076)/J5</f>
        <v>#REF!</v>
      </c>
    </row>
    <row r="6" spans="1:12" x14ac:dyDescent="0.3">
      <c r="A6" t="s">
        <v>67</v>
      </c>
      <c r="B6" s="35">
        <v>38</v>
      </c>
      <c r="C6" s="30">
        <f>IF(B6="","",_xlfn.XLOOKUP(B6,Flasks!A$3:A$50,Flasks!D$3:D$50))</f>
        <v>141.27600000000001</v>
      </c>
      <c r="D6" s="24" t="s">
        <v>35</v>
      </c>
      <c r="E6">
        <v>17</v>
      </c>
      <c r="F6">
        <v>1</v>
      </c>
      <c r="G6">
        <v>90</v>
      </c>
      <c r="H6" s="1">
        <v>1546.95</v>
      </c>
      <c r="I6" s="31">
        <f t="shared" si="0"/>
        <v>10.949842860783148</v>
      </c>
      <c r="J6" s="45">
        <f t="shared" si="1"/>
        <v>0.13814021707245527</v>
      </c>
      <c r="K6" s="46" t="e">
        <f>((H6-2)*Reagents!#REF!/4-0.076)/J6</f>
        <v>#REF!</v>
      </c>
    </row>
    <row r="7" spans="1:12" x14ac:dyDescent="0.3">
      <c r="A7" t="s">
        <v>67</v>
      </c>
      <c r="B7" s="35">
        <v>31</v>
      </c>
      <c r="C7" s="30">
        <f>IF(B7="","",_xlfn.XLOOKUP(B7,Flasks!A$3:A$50,Flasks!D$3:D$50))</f>
        <v>142.96800000000002</v>
      </c>
      <c r="D7" s="24" t="s">
        <v>35</v>
      </c>
      <c r="E7">
        <v>17</v>
      </c>
      <c r="F7">
        <v>15</v>
      </c>
      <c r="G7">
        <v>0</v>
      </c>
      <c r="H7" s="1">
        <v>1673.9</v>
      </c>
      <c r="I7" s="31">
        <f t="shared" si="0"/>
        <v>11.708214425605728</v>
      </c>
      <c r="J7" s="45">
        <f t="shared" si="1"/>
        <v>0.13979466119096509</v>
      </c>
      <c r="K7" s="46" t="e">
        <f>((H7-2)*Reagents!#REF!/4-0.076)/J7</f>
        <v>#REF!</v>
      </c>
    </row>
    <row r="8" spans="1:12" x14ac:dyDescent="0.3">
      <c r="A8" t="s">
        <v>67</v>
      </c>
      <c r="B8" s="35">
        <v>21</v>
      </c>
      <c r="C8" s="30">
        <f>IF(B8="","",_xlfn.XLOOKUP(B8,Flasks!A$3:A$50,Flasks!D$3:D$50))</f>
        <v>142.25799999999998</v>
      </c>
      <c r="D8" s="24" t="s">
        <v>36</v>
      </c>
      <c r="E8">
        <v>3</v>
      </c>
      <c r="F8">
        <v>2</v>
      </c>
      <c r="G8">
        <v>720</v>
      </c>
      <c r="H8" s="1">
        <v>783.84</v>
      </c>
      <c r="I8" s="31">
        <f t="shared" si="0"/>
        <v>5.509988893419</v>
      </c>
      <c r="J8" s="45">
        <f t="shared" si="1"/>
        <v>0.13910042045565657</v>
      </c>
      <c r="K8" s="46" t="e">
        <f>((H8-2)*Reagents!#REF!/4-0.076)/J8</f>
        <v>#REF!</v>
      </c>
    </row>
    <row r="9" spans="1:12" x14ac:dyDescent="0.3">
      <c r="A9" t="s">
        <v>67</v>
      </c>
      <c r="B9" s="35">
        <v>9</v>
      </c>
      <c r="C9" s="30">
        <f>IF(B9="","",_xlfn.XLOOKUP(B9,Flasks!A$3:A$50,Flasks!D$3:D$50))</f>
        <v>137.90800000000002</v>
      </c>
      <c r="D9" s="24" t="s">
        <v>32</v>
      </c>
      <c r="E9">
        <v>26</v>
      </c>
      <c r="F9">
        <v>22</v>
      </c>
      <c r="G9">
        <v>0</v>
      </c>
      <c r="H9" s="1">
        <v>1630.78</v>
      </c>
      <c r="I9" s="31">
        <f t="shared" si="0"/>
        <v>11.825129796676043</v>
      </c>
      <c r="J9" s="45">
        <f t="shared" si="1"/>
        <v>0.13484697369707638</v>
      </c>
      <c r="K9" s="46" t="e">
        <f>((H9-2)*Reagents!#REF!/4-0.076)/J9</f>
        <v>#REF!</v>
      </c>
    </row>
    <row r="10" spans="1:12" x14ac:dyDescent="0.3">
      <c r="A10" t="s">
        <v>67</v>
      </c>
      <c r="B10" s="35">
        <v>18</v>
      </c>
      <c r="C10" s="30">
        <f>IF(B10="","",_xlfn.XLOOKUP(B10,Flasks!A$3:A$50,Flasks!D$3:D$50))</f>
        <v>144.995</v>
      </c>
      <c r="D10" s="24" t="s">
        <v>32</v>
      </c>
      <c r="E10">
        <v>26</v>
      </c>
      <c r="F10">
        <v>3</v>
      </c>
      <c r="G10">
        <v>1000</v>
      </c>
      <c r="H10" s="1">
        <v>82.57</v>
      </c>
      <c r="I10" s="31">
        <f t="shared" si="0"/>
        <v>0.56946791268664432</v>
      </c>
      <c r="J10" s="45">
        <f t="shared" si="1"/>
        <v>0.14177666960007823</v>
      </c>
      <c r="K10" s="46" t="e">
        <f>((H10-2)*Reagents!#REF!/4-0.076)/J10</f>
        <v>#REF!</v>
      </c>
    </row>
    <row r="11" spans="1:12" x14ac:dyDescent="0.3">
      <c r="A11" t="s">
        <v>67</v>
      </c>
      <c r="B11" s="35">
        <v>14</v>
      </c>
      <c r="C11" s="30">
        <f>IF(B11="","",_xlfn.XLOOKUP(B11,Flasks!A$3:A$50,Flasks!D$3:D$50))</f>
        <v>134.37099999999998</v>
      </c>
      <c r="D11" s="24" t="s">
        <v>32</v>
      </c>
      <c r="E11">
        <v>26</v>
      </c>
      <c r="F11">
        <v>3</v>
      </c>
      <c r="G11">
        <v>1000</v>
      </c>
      <c r="H11" s="1">
        <v>76.739999999999995</v>
      </c>
      <c r="I11" s="31">
        <f t="shared" si="0"/>
        <v>0.57110537243899362</v>
      </c>
      <c r="J11" s="45">
        <f t="shared" si="1"/>
        <v>0.13138848147061696</v>
      </c>
      <c r="K11" s="46" t="e">
        <f>((H11-2)*Reagents!#REF!/4-0.076)/J11</f>
        <v>#REF!</v>
      </c>
    </row>
    <row r="12" spans="1:12" x14ac:dyDescent="0.3">
      <c r="A12" t="s">
        <v>67</v>
      </c>
      <c r="B12" s="35">
        <v>17</v>
      </c>
      <c r="C12" s="30">
        <f>IF(B12="","",_xlfn.XLOOKUP(B12,Flasks!A$3:A$50,Flasks!D$3:D$50))</f>
        <v>141.87099999999998</v>
      </c>
      <c r="D12" s="24" t="s">
        <v>32</v>
      </c>
      <c r="E12">
        <v>26</v>
      </c>
      <c r="F12">
        <v>3</v>
      </c>
      <c r="G12">
        <v>1000</v>
      </c>
      <c r="H12" s="1">
        <v>85.47</v>
      </c>
      <c r="I12" s="31">
        <f t="shared" si="0"/>
        <v>0.60244870339956724</v>
      </c>
      <c r="J12" s="45">
        <f t="shared" si="1"/>
        <v>0.13872201036472082</v>
      </c>
      <c r="K12" s="46" t="e">
        <f>((H12-2)*Reagents!#REF!/4-0.076)/J12</f>
        <v>#REF!</v>
      </c>
    </row>
    <row r="13" spans="1:12" x14ac:dyDescent="0.3">
      <c r="A13" t="s">
        <v>67</v>
      </c>
      <c r="B13" s="35">
        <v>26</v>
      </c>
      <c r="C13" s="30">
        <f>IF(B13="","",_xlfn.XLOOKUP(B13,Flasks!A$3:A$50,Flasks!D$3:D$50))</f>
        <v>143.035</v>
      </c>
      <c r="D13" s="24" t="s">
        <v>32</v>
      </c>
      <c r="E13">
        <v>26</v>
      </c>
      <c r="F13">
        <v>3</v>
      </c>
      <c r="G13">
        <v>1000</v>
      </c>
      <c r="H13" s="1">
        <v>83.97</v>
      </c>
      <c r="I13" s="31">
        <f t="shared" si="0"/>
        <v>0.58705911140629918</v>
      </c>
      <c r="J13" s="45">
        <f t="shared" si="1"/>
        <v>0.13986017404908574</v>
      </c>
      <c r="K13" s="46" t="e">
        <f>((H13-2)*Reagents!#REF!/4-0.076)/J13</f>
        <v>#REF!</v>
      </c>
      <c r="L13" t="s">
        <v>34</v>
      </c>
    </row>
    <row r="14" spans="1:12" x14ac:dyDescent="0.3">
      <c r="A14" t="s">
        <v>67</v>
      </c>
      <c r="B14" s="35">
        <v>29</v>
      </c>
      <c r="C14" s="30">
        <f>IF(B14="","",_xlfn.XLOOKUP(B14,Flasks!A$3:A$50,Flasks!D$3:D$50))</f>
        <v>143.73899999999998</v>
      </c>
      <c r="D14" s="24" t="s">
        <v>32</v>
      </c>
      <c r="E14">
        <v>26</v>
      </c>
      <c r="F14">
        <v>3</v>
      </c>
      <c r="G14">
        <v>1000</v>
      </c>
      <c r="H14" s="1">
        <v>85.2</v>
      </c>
      <c r="I14" s="31">
        <f t="shared" si="0"/>
        <v>0.59274100974683297</v>
      </c>
      <c r="J14" s="45">
        <f t="shared" si="1"/>
        <v>0.14054854796127894</v>
      </c>
      <c r="K14" s="46" t="e">
        <f>((H14-2)*Reagents!#REF!/4-0.076)/J14</f>
        <v>#REF!</v>
      </c>
      <c r="L14" t="s">
        <v>33</v>
      </c>
    </row>
    <row r="15" spans="1:12" x14ac:dyDescent="0.3">
      <c r="A15" t="s">
        <v>67</v>
      </c>
      <c r="B15" s="35">
        <v>39</v>
      </c>
      <c r="C15" s="30">
        <f>IF(B15="","",_xlfn.XLOOKUP(B15,Flasks!A$3:A$50,Flasks!D$3:D$50))</f>
        <v>141.16900000000001</v>
      </c>
      <c r="D15" s="24" t="s">
        <v>27</v>
      </c>
      <c r="E15">
        <v>30</v>
      </c>
      <c r="F15">
        <v>3</v>
      </c>
      <c r="G15">
        <v>1000</v>
      </c>
      <c r="H15" s="1">
        <v>92.09</v>
      </c>
      <c r="I15" s="31">
        <f t="shared" si="0"/>
        <v>0.65233868625548097</v>
      </c>
      <c r="J15" s="45">
        <f t="shared" si="1"/>
        <v>0.13803559206023272</v>
      </c>
      <c r="K15" s="46" t="e">
        <f>((H15-2)*Reagents!#REF!/4-0.076)/J15</f>
        <v>#REF!</v>
      </c>
    </row>
    <row r="16" spans="1:12" x14ac:dyDescent="0.3">
      <c r="A16" t="s">
        <v>67</v>
      </c>
      <c r="B16" s="35">
        <v>15</v>
      </c>
      <c r="C16" s="30">
        <f>IF(B16="","",_xlfn.XLOOKUP(B16,Flasks!A$3:A$50,Flasks!D$3:D$50))</f>
        <v>143.31200000000001</v>
      </c>
      <c r="D16" s="24" t="s">
        <v>27</v>
      </c>
      <c r="E16">
        <v>30</v>
      </c>
      <c r="F16">
        <v>3</v>
      </c>
      <c r="G16">
        <v>1000</v>
      </c>
      <c r="H16" s="1">
        <v>91.2</v>
      </c>
      <c r="I16" s="31">
        <f t="shared" si="0"/>
        <v>0.63637378586580329</v>
      </c>
      <c r="J16" s="45">
        <f t="shared" si="1"/>
        <v>0.14013102571624134</v>
      </c>
      <c r="K16" s="46" t="e">
        <f>((H16-2)*Reagents!#REF!/4-0.076)/J16</f>
        <v>#REF!</v>
      </c>
      <c r="L16" t="s">
        <v>29</v>
      </c>
    </row>
    <row r="17" spans="1:12" x14ac:dyDescent="0.3">
      <c r="A17" t="s">
        <v>67</v>
      </c>
      <c r="B17" s="35">
        <v>22</v>
      </c>
      <c r="C17" s="30">
        <f>IF(B17="","",_xlfn.XLOOKUP(B17,Flasks!A$3:A$50,Flasks!D$3:D$50))</f>
        <v>141.51599999999999</v>
      </c>
      <c r="D17" s="24" t="s">
        <v>27</v>
      </c>
      <c r="E17">
        <v>30</v>
      </c>
      <c r="F17">
        <v>3</v>
      </c>
      <c r="G17">
        <v>1000</v>
      </c>
      <c r="H17" s="1">
        <v>85.29</v>
      </c>
      <c r="I17" s="31">
        <f t="shared" si="0"/>
        <v>0.60268803527516335</v>
      </c>
      <c r="J17" s="45">
        <f t="shared" si="1"/>
        <v>0.13837488999706657</v>
      </c>
      <c r="K17" s="46" t="e">
        <f>((H17-2)*Reagents!#REF!/4-0.076)/J17</f>
        <v>#REF!</v>
      </c>
    </row>
    <row r="18" spans="1:12" x14ac:dyDescent="0.3">
      <c r="A18" t="s">
        <v>67</v>
      </c>
      <c r="B18" s="35">
        <v>36</v>
      </c>
      <c r="C18" s="30">
        <f>IF(B18="","",_xlfn.XLOOKUP(B18,Flasks!A$3:A$50,Flasks!D$3:D$50))</f>
        <v>140.13900000000001</v>
      </c>
      <c r="D18" s="24" t="s">
        <v>27</v>
      </c>
      <c r="E18">
        <v>30</v>
      </c>
      <c r="F18">
        <v>3</v>
      </c>
      <c r="G18">
        <v>1000</v>
      </c>
      <c r="H18" s="1">
        <v>83.7</v>
      </c>
      <c r="I18" s="31">
        <f t="shared" si="0"/>
        <v>0.59726414488472157</v>
      </c>
      <c r="J18" s="45">
        <f t="shared" si="1"/>
        <v>0.13702845409210912</v>
      </c>
      <c r="K18" s="46" t="e">
        <f>((H18-2)*Reagents!#REF!/4-0.076)/J18</f>
        <v>#REF!</v>
      </c>
    </row>
    <row r="19" spans="1:12" x14ac:dyDescent="0.3">
      <c r="A19" t="s">
        <v>67</v>
      </c>
      <c r="B19" s="35">
        <v>17</v>
      </c>
      <c r="C19" s="30">
        <f>IF(B19="","",_xlfn.XLOOKUP(B19,Flasks!A$3:A$50,Flasks!D$3:D$50))</f>
        <v>141.87099999999998</v>
      </c>
      <c r="D19" s="24" t="s">
        <v>51</v>
      </c>
      <c r="E19">
        <v>33</v>
      </c>
      <c r="F19">
        <v>4</v>
      </c>
      <c r="G19">
        <v>750</v>
      </c>
      <c r="H19" s="1">
        <v>319.07</v>
      </c>
      <c r="I19" s="31">
        <f t="shared" si="0"/>
        <v>2.2490149502012393</v>
      </c>
      <c r="J19" s="45">
        <f t="shared" si="1"/>
        <v>0.13872201036472082</v>
      </c>
      <c r="K19" s="46" t="e">
        <f>((H19-2)*Reagents!#REF!/4-0.076)/J19</f>
        <v>#REF!</v>
      </c>
    </row>
    <row r="20" spans="1:12" x14ac:dyDescent="0.3">
      <c r="A20" t="s">
        <v>67</v>
      </c>
      <c r="B20" s="35">
        <v>52</v>
      </c>
      <c r="C20" s="30">
        <f>IF(B20="","",_xlfn.XLOOKUP(B20,Flasks!A$3:A$50,Flasks!D$3:D$50))</f>
        <v>139.25200000000001</v>
      </c>
      <c r="D20" s="24" t="s">
        <v>51</v>
      </c>
      <c r="E20">
        <v>33</v>
      </c>
      <c r="F20">
        <v>8</v>
      </c>
      <c r="G20">
        <v>150</v>
      </c>
      <c r="H20" s="1">
        <v>116.7</v>
      </c>
      <c r="I20" s="31">
        <f t="shared" si="0"/>
        <v>0.83804900468215893</v>
      </c>
      <c r="J20" s="45">
        <f t="shared" si="1"/>
        <v>0.13616114207489977</v>
      </c>
      <c r="K20" s="46" t="e">
        <f>((H20-2)*Reagents!#REF!/4-0.076)/J20</f>
        <v>#REF!</v>
      </c>
    </row>
    <row r="21" spans="1:12" x14ac:dyDescent="0.3">
      <c r="A21" t="s">
        <v>67</v>
      </c>
      <c r="B21" s="35">
        <v>19</v>
      </c>
      <c r="C21" s="30">
        <f>IF(B21="","",_xlfn.XLOOKUP(B21,Flasks!A$3:A$50,Flasks!D$3:D$50))</f>
        <v>141.31400000000002</v>
      </c>
      <c r="D21" s="24" t="s">
        <v>52</v>
      </c>
      <c r="E21">
        <v>34</v>
      </c>
      <c r="F21">
        <v>10</v>
      </c>
      <c r="G21">
        <v>100</v>
      </c>
      <c r="H21" s="1">
        <v>800.81</v>
      </c>
      <c r="I21" s="31">
        <f t="shared" si="0"/>
        <v>5.6668836774841829</v>
      </c>
      <c r="J21" s="45">
        <f t="shared" si="1"/>
        <v>0.13817737361885207</v>
      </c>
      <c r="K21" s="46" t="e">
        <f>((H21-2)*Reagents!#REF!/4-0.076)/J21</f>
        <v>#REF!</v>
      </c>
    </row>
    <row r="22" spans="1:12" x14ac:dyDescent="0.3">
      <c r="A22" t="s">
        <v>67</v>
      </c>
      <c r="B22" s="35">
        <v>21</v>
      </c>
      <c r="C22" s="30">
        <f>IF(B22="","",_xlfn.XLOOKUP(B22,Flasks!A$3:A$50,Flasks!D$3:D$50))</f>
        <v>142.25799999999998</v>
      </c>
      <c r="D22" s="24" t="s">
        <v>52</v>
      </c>
      <c r="E22">
        <v>34</v>
      </c>
      <c r="F22">
        <v>10</v>
      </c>
      <c r="G22">
        <v>100</v>
      </c>
      <c r="H22" s="1">
        <v>814.88</v>
      </c>
      <c r="I22" s="31">
        <f t="shared" si="0"/>
        <v>5.7281840037115668</v>
      </c>
      <c r="J22" s="45">
        <f t="shared" si="1"/>
        <v>0.13910042045565657</v>
      </c>
      <c r="K22" s="46" t="e">
        <f>((H22-2)*Reagents!#REF!/4-0.076)/J22</f>
        <v>#REF!</v>
      </c>
    </row>
    <row r="23" spans="1:12" x14ac:dyDescent="0.3">
      <c r="A23" t="s">
        <v>67</v>
      </c>
      <c r="B23" s="35">
        <v>14</v>
      </c>
      <c r="C23" s="30">
        <f>IF(B23="","",_xlfn.XLOOKUP(B23,Flasks!A$3:A$50,Flasks!D$3:D$50))</f>
        <v>134.37099999999998</v>
      </c>
      <c r="D23" s="24" t="s">
        <v>54</v>
      </c>
      <c r="E23">
        <v>43</v>
      </c>
      <c r="F23">
        <v>3</v>
      </c>
      <c r="G23">
        <v>200</v>
      </c>
      <c r="H23" s="1">
        <v>447.24</v>
      </c>
      <c r="I23" s="31">
        <f t="shared" si="0"/>
        <v>3.3283967522754172</v>
      </c>
      <c r="J23" s="45">
        <f t="shared" si="1"/>
        <v>0.13138848147061696</v>
      </c>
      <c r="K23" s="46" t="e">
        <f>((H23-2)*Reagents!#REF!/4-0.076)/J23</f>
        <v>#REF!</v>
      </c>
      <c r="L23" t="s">
        <v>53</v>
      </c>
    </row>
    <row r="24" spans="1:12" x14ac:dyDescent="0.3">
      <c r="A24" t="s">
        <v>67</v>
      </c>
      <c r="B24" s="35">
        <v>31</v>
      </c>
      <c r="C24" s="30">
        <f>IF(B24="","",_xlfn.XLOOKUP(B24,Flasks!A$3:A$50,Flasks!D$3:D$50))</f>
        <v>142.96800000000002</v>
      </c>
      <c r="D24" s="24" t="s">
        <v>54</v>
      </c>
      <c r="E24">
        <v>43</v>
      </c>
      <c r="F24">
        <v>4</v>
      </c>
      <c r="G24">
        <v>150</v>
      </c>
      <c r="H24" s="1">
        <v>1221.49</v>
      </c>
      <c r="I24" s="31">
        <f t="shared" si="0"/>
        <v>8.5438000111913137</v>
      </c>
      <c r="J24" s="45">
        <f t="shared" si="1"/>
        <v>0.13979466119096509</v>
      </c>
      <c r="K24" s="46" t="e">
        <f>((H24-2)*Reagents!#REF!/4-0.076)/J24</f>
        <v>#REF!</v>
      </c>
    </row>
    <row r="25" spans="1:12" x14ac:dyDescent="0.3">
      <c r="A25" t="s">
        <v>67</v>
      </c>
      <c r="B25" s="35">
        <v>18</v>
      </c>
      <c r="C25" s="30">
        <f>IF(B25="","",_xlfn.XLOOKUP(B25,Flasks!A$3:A$50,Flasks!D$3:D$50))</f>
        <v>144.995</v>
      </c>
      <c r="D25" s="24" t="s">
        <v>54</v>
      </c>
      <c r="E25">
        <v>43</v>
      </c>
      <c r="F25">
        <v>5</v>
      </c>
      <c r="G25">
        <v>125</v>
      </c>
      <c r="H25" s="1">
        <v>1324.39</v>
      </c>
      <c r="I25" s="31">
        <f t="shared" si="0"/>
        <v>9.1340391047967167</v>
      </c>
      <c r="J25" s="45">
        <f t="shared" si="1"/>
        <v>0.14177666960007823</v>
      </c>
      <c r="K25" s="46" t="e">
        <f>((H25-2)*Reagents!#REF!/4-0.076)/J25</f>
        <v>#REF!</v>
      </c>
    </row>
    <row r="26" spans="1:12" x14ac:dyDescent="0.3">
      <c r="A26" s="3" t="s">
        <v>67</v>
      </c>
      <c r="B26" s="48">
        <v>19</v>
      </c>
      <c r="C26" s="49">
        <f>IF(B26="","",_xlfn.XLOOKUP(B26,Flasks!A$3:A$50,Flasks!D$3:D$50))</f>
        <v>141.31400000000002</v>
      </c>
      <c r="D26" s="50" t="s">
        <v>56</v>
      </c>
      <c r="E26" s="3">
        <v>45</v>
      </c>
      <c r="F26" s="3">
        <v>22</v>
      </c>
      <c r="G26" s="3">
        <v>2</v>
      </c>
      <c r="H26" s="51">
        <v>1833.89</v>
      </c>
      <c r="I26" s="52">
        <f t="shared" si="0"/>
        <v>12.977412004472308</v>
      </c>
      <c r="J26" s="53">
        <f t="shared" si="1"/>
        <v>0.13817737361885207</v>
      </c>
      <c r="K26" s="54" t="e">
        <f>((H26-2)*Reagents!#REF!/4-0.076)/J26</f>
        <v>#REF!</v>
      </c>
    </row>
    <row r="27" spans="1:12" x14ac:dyDescent="0.3">
      <c r="A27" s="3" t="s">
        <v>67</v>
      </c>
      <c r="B27" s="48">
        <v>14</v>
      </c>
      <c r="C27" s="49">
        <f>IF(B27="","",_xlfn.XLOOKUP(B27,Flasks!A$3:A$50,Flasks!D$3:D$50))</f>
        <v>134.37099999999998</v>
      </c>
      <c r="D27" s="50" t="s">
        <v>56</v>
      </c>
      <c r="E27" s="3">
        <v>45</v>
      </c>
      <c r="F27" s="3">
        <v>22</v>
      </c>
      <c r="G27" s="3">
        <v>2</v>
      </c>
      <c r="H27" s="51">
        <v>1736.58</v>
      </c>
      <c r="I27" s="52">
        <f t="shared" si="0"/>
        <v>12.923770754106171</v>
      </c>
      <c r="J27" s="53">
        <f t="shared" si="1"/>
        <v>0.13138848147061696</v>
      </c>
      <c r="K27" s="54" t="e">
        <f>((H27-2)*Reagents!#REF!/4-0.076)/J27</f>
        <v>#REF!</v>
      </c>
    </row>
    <row r="28" spans="1:12" x14ac:dyDescent="0.3">
      <c r="A28" s="3" t="s">
        <v>67</v>
      </c>
      <c r="B28" s="48">
        <v>21</v>
      </c>
      <c r="C28" s="49">
        <f>IF(B28="","",_xlfn.XLOOKUP(B28,Flasks!A$3:A$50,Flasks!D$3:D$50))</f>
        <v>142.25799999999998</v>
      </c>
      <c r="D28" s="50" t="s">
        <v>56</v>
      </c>
      <c r="E28" s="3">
        <v>45</v>
      </c>
      <c r="F28" s="3">
        <v>22</v>
      </c>
      <c r="G28" s="3">
        <v>2</v>
      </c>
      <c r="H28" s="51">
        <v>1838.67</v>
      </c>
      <c r="I28" s="52">
        <f t="shared" si="0"/>
        <v>12.924897018093889</v>
      </c>
      <c r="J28" s="53">
        <f t="shared" si="1"/>
        <v>0.13910042045565657</v>
      </c>
      <c r="K28" s="54" t="e">
        <f>((H28-2)*Reagents!#REF!/4-0.076)/J28</f>
        <v>#REF!</v>
      </c>
    </row>
    <row r="29" spans="1:12" x14ac:dyDescent="0.3">
      <c r="A29" s="3" t="s">
        <v>67</v>
      </c>
      <c r="B29" s="48">
        <v>9</v>
      </c>
      <c r="C29" s="49">
        <f>IF(B29="","",_xlfn.XLOOKUP(B29,Flasks!A$3:A$50,Flasks!D$3:D$50))</f>
        <v>137.90800000000002</v>
      </c>
      <c r="D29" s="50" t="s">
        <v>56</v>
      </c>
      <c r="E29" s="3">
        <v>45</v>
      </c>
      <c r="F29" s="3">
        <v>1</v>
      </c>
      <c r="G29" s="3">
        <v>225</v>
      </c>
      <c r="H29" s="51">
        <v>991.47</v>
      </c>
      <c r="I29" s="52">
        <f t="shared" si="0"/>
        <v>7.1893581228065084</v>
      </c>
      <c r="J29" s="53">
        <f t="shared" si="1"/>
        <v>0.13484697369707638</v>
      </c>
      <c r="K29" s="54" t="e">
        <f>((H29-2)*Reagents!#REF!/4-0.076)/J29</f>
        <v>#REF!</v>
      </c>
    </row>
    <row r="30" spans="1:12" x14ac:dyDescent="0.3">
      <c r="A30" s="3" t="s">
        <v>67</v>
      </c>
      <c r="B30" s="48">
        <v>26</v>
      </c>
      <c r="C30" s="49">
        <f>IF(B30="","",_xlfn.XLOOKUP(B30,Flasks!A$3:A$50,Flasks!D$3:D$50))</f>
        <v>143.035</v>
      </c>
      <c r="D30" s="50" t="s">
        <v>56</v>
      </c>
      <c r="E30" s="3">
        <v>45</v>
      </c>
      <c r="F30" s="3">
        <v>1</v>
      </c>
      <c r="G30" s="3">
        <v>225</v>
      </c>
      <c r="H30" s="51">
        <v>1028.94</v>
      </c>
      <c r="I30" s="52">
        <f t="shared" si="0"/>
        <v>7.1936239381969456</v>
      </c>
      <c r="J30" s="53">
        <f t="shared" si="1"/>
        <v>0.13986017404908574</v>
      </c>
      <c r="K30" s="54" t="e">
        <f>((H30-2)*Reagents!#REF!/4-0.076)/J30</f>
        <v>#REF!</v>
      </c>
    </row>
    <row r="31" spans="1:12" x14ac:dyDescent="0.3">
      <c r="A31" s="3" t="s">
        <v>67</v>
      </c>
      <c r="B31" s="48">
        <v>39</v>
      </c>
      <c r="C31" s="49">
        <f>IF(B31="","",_xlfn.XLOOKUP(B31,Flasks!A$3:A$50,Flasks!D$3:D$50))</f>
        <v>141.16900000000001</v>
      </c>
      <c r="D31" s="50" t="s">
        <v>56</v>
      </c>
      <c r="E31" s="3">
        <v>45</v>
      </c>
      <c r="F31" s="3">
        <v>1</v>
      </c>
      <c r="G31" s="3">
        <v>225</v>
      </c>
      <c r="H31" s="51">
        <v>1018.19</v>
      </c>
      <c r="I31" s="52">
        <f t="shared" si="0"/>
        <v>7.2125608313439917</v>
      </c>
      <c r="J31" s="53">
        <f t="shared" si="1"/>
        <v>0.13803559206023272</v>
      </c>
      <c r="K31" s="54" t="e">
        <f>((H31-2)*Reagents!#REF!/4-0.076)/J31</f>
        <v>#REF!</v>
      </c>
    </row>
    <row r="32" spans="1:12" x14ac:dyDescent="0.3">
      <c r="A32" t="s">
        <v>67</v>
      </c>
      <c r="B32" s="35">
        <v>40</v>
      </c>
      <c r="C32" s="30">
        <f>IF(B32="","",_xlfn.XLOOKUP(B32,Flasks!A$3:A$50,Flasks!D$3:D$50))</f>
        <v>136.81700000000001</v>
      </c>
      <c r="D32" s="24" t="s">
        <v>56</v>
      </c>
      <c r="E32" s="3">
        <v>45</v>
      </c>
      <c r="F32">
        <v>1</v>
      </c>
      <c r="G32">
        <v>225</v>
      </c>
      <c r="H32" s="1">
        <v>1043.8800000000001</v>
      </c>
      <c r="I32" s="31">
        <f t="shared" si="0"/>
        <v>7.6297536124896768</v>
      </c>
      <c r="J32" s="45">
        <f t="shared" si="1"/>
        <v>0.13378018969394739</v>
      </c>
      <c r="K32" s="46" t="e">
        <f>((H32-2)*Reagents!#REF!/4-0.076)/J32</f>
        <v>#REF!</v>
      </c>
    </row>
    <row r="33" spans="1:11" x14ac:dyDescent="0.3">
      <c r="A33" t="s">
        <v>67</v>
      </c>
      <c r="B33" s="35">
        <v>35</v>
      </c>
      <c r="C33" s="30">
        <f>IF(B33="","",_xlfn.XLOOKUP(B33,Flasks!A$3:A$50,Flasks!D$3:D$50))</f>
        <v>135.13200000000001</v>
      </c>
      <c r="D33" s="24" t="s">
        <v>56</v>
      </c>
      <c r="F33" t="s">
        <v>61</v>
      </c>
      <c r="G33">
        <v>5</v>
      </c>
      <c r="H33" s="1">
        <v>1752.52</v>
      </c>
      <c r="I33" s="31">
        <f t="shared" si="0"/>
        <v>12.968948879614006</v>
      </c>
      <c r="J33" s="45">
        <f t="shared" si="1"/>
        <v>0.13213259020240539</v>
      </c>
      <c r="K33" s="46" t="e">
        <f>((H33-2)*Reagents!#REF!/4-0.076)/J33</f>
        <v>#REF!</v>
      </c>
    </row>
    <row r="34" spans="1:11" x14ac:dyDescent="0.3">
      <c r="A34" t="s">
        <v>67</v>
      </c>
      <c r="B34" s="35">
        <v>25</v>
      </c>
      <c r="C34" s="30">
        <f>IF(B34="","",_xlfn.XLOOKUP(B34,Flasks!A$3:A$50,Flasks!D$3:D$50))</f>
        <v>145.23599999999999</v>
      </c>
      <c r="D34" s="24" t="s">
        <v>56</v>
      </c>
      <c r="F34" t="s">
        <v>61</v>
      </c>
      <c r="G34">
        <v>5</v>
      </c>
      <c r="H34" s="1">
        <v>1881.01</v>
      </c>
      <c r="I34" s="31">
        <f t="shared" si="0"/>
        <v>12.951403233358121</v>
      </c>
      <c r="J34" s="45">
        <f t="shared" si="1"/>
        <v>0.14201232032854208</v>
      </c>
      <c r="K34" s="46" t="e">
        <f>((H34-2)*Reagents!#REF!/4-0.076)/J34</f>
        <v>#REF!</v>
      </c>
    </row>
    <row r="35" spans="1:11" x14ac:dyDescent="0.3">
      <c r="A35" t="s">
        <v>67</v>
      </c>
      <c r="B35" s="35">
        <v>17</v>
      </c>
      <c r="C35" s="30">
        <f>IF(B35="","",_xlfn.XLOOKUP(B35,Flasks!A$3:A$50,Flasks!D$3:D$50))</f>
        <v>141.87099999999998</v>
      </c>
      <c r="D35" s="24" t="s">
        <v>57</v>
      </c>
      <c r="E35">
        <v>48</v>
      </c>
      <c r="F35">
        <v>14</v>
      </c>
      <c r="G35">
        <v>40</v>
      </c>
      <c r="H35" s="1">
        <v>1716.97</v>
      </c>
      <c r="I35" s="31">
        <f t="shared" si="0"/>
        <v>12.102332400561075</v>
      </c>
      <c r="J35" s="45">
        <f t="shared" si="1"/>
        <v>0.13872201036472082</v>
      </c>
      <c r="K35" s="46" t="e">
        <f>((H35-2)*Reagents!#REF!/4-0.076)/J35</f>
        <v>#REF!</v>
      </c>
    </row>
    <row r="36" spans="1:11" x14ac:dyDescent="0.3">
      <c r="A36" t="s">
        <v>67</v>
      </c>
      <c r="B36" s="35">
        <v>38</v>
      </c>
      <c r="C36" s="30">
        <f>IF(B36="","",_xlfn.XLOOKUP(B36,Flasks!A$3:A$50,Flasks!D$3:D$50))</f>
        <v>141.27600000000001</v>
      </c>
      <c r="D36" s="24" t="s">
        <v>57</v>
      </c>
      <c r="E36">
        <v>48</v>
      </c>
      <c r="F36">
        <v>12</v>
      </c>
      <c r="G36">
        <v>50</v>
      </c>
      <c r="H36" s="1">
        <v>1695.58</v>
      </c>
      <c r="I36" s="31">
        <f t="shared" si="0"/>
        <v>12.001896995951187</v>
      </c>
      <c r="J36" s="45">
        <f t="shared" si="1"/>
        <v>0.13814021707245527</v>
      </c>
      <c r="K36" s="46" t="e">
        <f>((H36-2)*Reagents!#REF!/4-0.076)/J36</f>
        <v>#REF!</v>
      </c>
    </row>
    <row r="37" spans="1:11" x14ac:dyDescent="0.3">
      <c r="A37" t="s">
        <v>67</v>
      </c>
      <c r="B37" s="35">
        <v>15</v>
      </c>
      <c r="C37" s="30">
        <f>IF(B37="","",_xlfn.XLOOKUP(B37,Flasks!A$3:A$50,Flasks!D$3:D$50))</f>
        <v>143.31200000000001</v>
      </c>
      <c r="D37" s="24" t="s">
        <v>57</v>
      </c>
      <c r="E37">
        <v>48</v>
      </c>
      <c r="F37">
        <v>18</v>
      </c>
      <c r="G37">
        <v>20</v>
      </c>
      <c r="H37" s="1">
        <v>1664.02</v>
      </c>
      <c r="I37" s="31">
        <f t="shared" si="0"/>
        <v>11.611170034609801</v>
      </c>
      <c r="J37" s="45">
        <f t="shared" si="1"/>
        <v>0.14013102571624134</v>
      </c>
      <c r="K37" s="46" t="e">
        <f>((H37-2)*Reagents!#REF!/4-0.076)/J37</f>
        <v>#REF!</v>
      </c>
    </row>
    <row r="38" spans="1:11" x14ac:dyDescent="0.3">
      <c r="A38" t="s">
        <v>67</v>
      </c>
      <c r="B38" s="35">
        <v>40</v>
      </c>
      <c r="C38" s="30">
        <f>IF(B38="","",_xlfn.XLOOKUP(B38,Flasks!A$3:A$50,Flasks!D$3:D$50))</f>
        <v>136.81700000000001</v>
      </c>
      <c r="D38" s="24" t="s">
        <v>58</v>
      </c>
      <c r="E38">
        <v>51</v>
      </c>
      <c r="F38">
        <v>1</v>
      </c>
      <c r="G38">
        <v>40</v>
      </c>
      <c r="H38" s="1">
        <v>1651.15</v>
      </c>
      <c r="I38" s="31">
        <f t="shared" si="0"/>
        <v>12.068310224606591</v>
      </c>
      <c r="J38" s="45">
        <f t="shared" si="1"/>
        <v>0.13378018969394739</v>
      </c>
      <c r="K38" s="46" t="e">
        <f>((H38-2)*Reagents!#REF!/4-0.076)/J38</f>
        <v>#REF!</v>
      </c>
    </row>
    <row r="39" spans="1:11" x14ac:dyDescent="0.3">
      <c r="A39" t="s">
        <v>67</v>
      </c>
      <c r="B39" s="35">
        <v>35</v>
      </c>
      <c r="C39" s="30">
        <f>IF(B39="","",_xlfn.XLOOKUP(B39,Flasks!A$3:A$50,Flasks!D$3:D$50))</f>
        <v>135.13200000000001</v>
      </c>
      <c r="D39" s="24" t="s">
        <v>58</v>
      </c>
      <c r="E39">
        <v>51</v>
      </c>
      <c r="F39">
        <v>1</v>
      </c>
      <c r="G39">
        <v>40</v>
      </c>
      <c r="H39" s="1">
        <v>1651.28</v>
      </c>
      <c r="I39" s="31">
        <f t="shared" si="0"/>
        <v>12.21975549832756</v>
      </c>
      <c r="J39" s="45">
        <f t="shared" si="1"/>
        <v>0.13213259020240539</v>
      </c>
      <c r="K39" s="46" t="e">
        <f>((H39-2)*Reagents!#REF!/4-0.076)/J39</f>
        <v>#REF!</v>
      </c>
    </row>
    <row r="40" spans="1:11" x14ac:dyDescent="0.3">
      <c r="A40" t="s">
        <v>67</v>
      </c>
      <c r="B40" s="35">
        <v>25</v>
      </c>
      <c r="C40" s="30">
        <f>IF(B40="","",_xlfn.XLOOKUP(B40,Flasks!A$3:A$50,Flasks!D$3:D$50))</f>
        <v>145.23599999999999</v>
      </c>
      <c r="D40" s="24" t="s">
        <v>58</v>
      </c>
      <c r="E40">
        <v>51</v>
      </c>
      <c r="F40">
        <v>1</v>
      </c>
      <c r="G40">
        <v>40</v>
      </c>
      <c r="H40" s="1">
        <v>1754.4</v>
      </c>
      <c r="I40" s="31">
        <f t="shared" si="0"/>
        <v>12.079649673634638</v>
      </c>
      <c r="J40" s="45">
        <f t="shared" si="1"/>
        <v>0.14201232032854208</v>
      </c>
      <c r="K40" s="46" t="e">
        <f>((H40-2)*Reagents!#REF!/4-0.076)/J40</f>
        <v>#REF!</v>
      </c>
    </row>
    <row r="41" spans="1:11" x14ac:dyDescent="0.3">
      <c r="A41" t="s">
        <v>67</v>
      </c>
      <c r="B41" s="35">
        <v>18</v>
      </c>
      <c r="C41" s="30">
        <f>IF(B41="","",_xlfn.XLOOKUP(B41,Flasks!A$3:A$50,Flasks!D$3:D$50))</f>
        <v>144.995</v>
      </c>
      <c r="D41" s="24" t="s">
        <v>59</v>
      </c>
      <c r="E41">
        <v>55</v>
      </c>
      <c r="F41">
        <v>6</v>
      </c>
      <c r="G41">
        <v>125</v>
      </c>
      <c r="H41" s="1">
        <v>938.42</v>
      </c>
      <c r="I41" s="31">
        <f t="shared" si="0"/>
        <v>6.4720852443187695</v>
      </c>
      <c r="J41" s="45">
        <f t="shared" si="1"/>
        <v>0.14177666960007823</v>
      </c>
      <c r="K41" s="46" t="e">
        <f>((H41-2)*Reagents!#REF!/4-0.076)/J41</f>
        <v>#REF!</v>
      </c>
    </row>
    <row r="42" spans="1:11" x14ac:dyDescent="0.3">
      <c r="A42" t="s">
        <v>67</v>
      </c>
      <c r="B42" s="35">
        <v>52</v>
      </c>
      <c r="C42" s="30">
        <f>IF(B42="","",_xlfn.XLOOKUP(B42,Flasks!A$3:A$50,Flasks!D$3:D$50))</f>
        <v>139.25200000000001</v>
      </c>
      <c r="D42" s="24" t="s">
        <v>59</v>
      </c>
      <c r="E42">
        <v>55</v>
      </c>
      <c r="F42">
        <v>2</v>
      </c>
      <c r="G42">
        <v>281</v>
      </c>
      <c r="H42" s="1">
        <v>353.84</v>
      </c>
      <c r="I42" s="31">
        <f t="shared" si="0"/>
        <v>2.5410047970585699</v>
      </c>
      <c r="J42" s="45">
        <f t="shared" si="1"/>
        <v>0.13616114207489977</v>
      </c>
      <c r="K42" s="46" t="e">
        <f>((H42-2)*Reagents!#REF!/4-0.076)/J42</f>
        <v>#REF!</v>
      </c>
    </row>
    <row r="43" spans="1:11" x14ac:dyDescent="0.3">
      <c r="A43" t="s">
        <v>67</v>
      </c>
      <c r="B43" s="35">
        <v>46</v>
      </c>
      <c r="C43" s="30">
        <f>IF(B43="","",_xlfn.XLOOKUP(B43,Flasks!A$3:A$50,Flasks!D$3:D$50))</f>
        <v>134.83300000000003</v>
      </c>
      <c r="D43" s="24" t="s">
        <v>60</v>
      </c>
      <c r="E43">
        <v>58</v>
      </c>
      <c r="F43">
        <v>2</v>
      </c>
      <c r="G43">
        <v>1000</v>
      </c>
      <c r="H43" s="1">
        <v>78.86</v>
      </c>
      <c r="I43" s="31">
        <f t="shared" si="0"/>
        <v>0.58487165604859337</v>
      </c>
      <c r="J43" s="45">
        <f t="shared" si="1"/>
        <v>0.13184022685049382</v>
      </c>
      <c r="K43" s="46" t="e">
        <f>((H43-2)*Reagents!#REF!/4-0.076)/J43</f>
        <v>#REF!</v>
      </c>
    </row>
    <row r="44" spans="1:11" x14ac:dyDescent="0.3">
      <c r="A44" t="s">
        <v>67</v>
      </c>
      <c r="B44" s="35">
        <v>48</v>
      </c>
      <c r="C44" s="30">
        <f>IF(B44="","",_xlfn.XLOOKUP(B44,Flasks!A$3:A$50,Flasks!D$3:D$50))</f>
        <v>143.17500000000001</v>
      </c>
      <c r="D44" s="24" t="s">
        <v>60</v>
      </c>
      <c r="E44">
        <v>58</v>
      </c>
      <c r="F44">
        <v>2</v>
      </c>
      <c r="G44">
        <v>1000</v>
      </c>
      <c r="H44" s="1">
        <v>82.6</v>
      </c>
      <c r="I44" s="31">
        <f t="shared" si="0"/>
        <v>0.57691636109656008</v>
      </c>
      <c r="J44" s="45">
        <f t="shared" si="1"/>
        <v>0.13999706658844235</v>
      </c>
      <c r="K44" s="46" t="e">
        <f>((H44-2)*Reagents!#REF!/4-0.076)/J44</f>
        <v>#REF!</v>
      </c>
    </row>
    <row r="45" spans="1:11" x14ac:dyDescent="0.3">
      <c r="A45" t="s">
        <v>67</v>
      </c>
      <c r="B45" s="35">
        <v>4</v>
      </c>
      <c r="C45" s="30">
        <f>IF(B45="","",_xlfn.XLOOKUP(B45,Flasks!A$3:A$50,Flasks!D$3:D$50))</f>
        <v>137.745</v>
      </c>
      <c r="D45" s="24" t="s">
        <v>60</v>
      </c>
      <c r="E45">
        <v>58</v>
      </c>
      <c r="F45">
        <v>2</v>
      </c>
      <c r="G45">
        <v>1000</v>
      </c>
      <c r="H45" s="1">
        <v>80.58</v>
      </c>
      <c r="I45" s="31">
        <f t="shared" si="0"/>
        <v>0.58499401067189372</v>
      </c>
      <c r="J45" s="45">
        <f t="shared" si="1"/>
        <v>0.13468759166911118</v>
      </c>
      <c r="K45" s="46" t="e">
        <f>((H45-2)*Reagents!#REF!/4-0.076)/J45</f>
        <v>#REF!</v>
      </c>
    </row>
    <row r="46" spans="1:11" x14ac:dyDescent="0.3">
      <c r="A46" t="s">
        <v>67</v>
      </c>
      <c r="B46" s="35">
        <v>31</v>
      </c>
      <c r="C46" s="30">
        <f>IF(B46="","",_xlfn.XLOOKUP(B46,Flasks!A$3:A$50,Flasks!D$3:D$50))</f>
        <v>142.96800000000002</v>
      </c>
      <c r="D46" s="24" t="s">
        <v>60</v>
      </c>
      <c r="E46">
        <v>58</v>
      </c>
      <c r="F46">
        <v>2</v>
      </c>
      <c r="G46">
        <v>1000</v>
      </c>
      <c r="H46" s="1">
        <v>83.5</v>
      </c>
      <c r="I46" s="31">
        <f t="shared" si="0"/>
        <v>0.58404677969895358</v>
      </c>
      <c r="J46" s="45">
        <f t="shared" si="1"/>
        <v>0.13979466119096509</v>
      </c>
      <c r="K46" s="46" t="e">
        <f>((H46-2)*Reagents!#REF!/4-0.076)/J46</f>
        <v>#REF!</v>
      </c>
    </row>
    <row r="47" spans="1:11" x14ac:dyDescent="0.3">
      <c r="A47" t="s">
        <v>67</v>
      </c>
      <c r="B47" s="35">
        <v>17</v>
      </c>
      <c r="C47" s="30">
        <f>IF(B47="","",_xlfn.XLOOKUP(B47,Flasks!A$3:A$50,Flasks!D$3:D$50))</f>
        <v>141.87099999999998</v>
      </c>
      <c r="D47" s="24" t="s">
        <v>60</v>
      </c>
      <c r="E47">
        <v>58</v>
      </c>
      <c r="F47">
        <v>2</v>
      </c>
      <c r="G47">
        <v>1000</v>
      </c>
      <c r="H47" s="1">
        <v>81.739999999999995</v>
      </c>
      <c r="I47" s="31">
        <f t="shared" si="0"/>
        <v>0.57615721324301661</v>
      </c>
      <c r="J47" s="45">
        <f t="shared" si="1"/>
        <v>0.13872201036472082</v>
      </c>
      <c r="K47" s="46" t="e">
        <f>((H47-2)*Reagents!#REF!/4-0.076)/J47</f>
        <v>#REF!</v>
      </c>
    </row>
    <row r="48" spans="1:11" x14ac:dyDescent="0.3">
      <c r="A48" t="s">
        <v>67</v>
      </c>
      <c r="B48" s="35">
        <v>38</v>
      </c>
      <c r="C48" s="30">
        <f>IF(B48="","",_xlfn.XLOOKUP(B48,Flasks!A$3:A$50,Flasks!D$3:D$50))</f>
        <v>141.27600000000001</v>
      </c>
      <c r="D48" s="24" t="s">
        <v>60</v>
      </c>
      <c r="E48">
        <v>58</v>
      </c>
      <c r="F48">
        <v>2</v>
      </c>
      <c r="G48">
        <v>1000</v>
      </c>
      <c r="H48" s="1">
        <v>80.28</v>
      </c>
      <c r="I48" s="31">
        <f t="shared" si="0"/>
        <v>0.56824938418415016</v>
      </c>
      <c r="J48" s="45">
        <f t="shared" si="1"/>
        <v>0.13814021707245527</v>
      </c>
      <c r="K48" s="46" t="e">
        <f>((H48-2)*Reagents!#REF!/4-0.076)/J48</f>
        <v>#REF!</v>
      </c>
    </row>
    <row r="49" spans="1:11" x14ac:dyDescent="0.3">
      <c r="A49" t="s">
        <v>67</v>
      </c>
      <c r="B49" s="35">
        <v>34</v>
      </c>
      <c r="C49" s="30">
        <f>IF(B49="","",_xlfn.XLOOKUP(B49,Flasks!A$3:A$50,Flasks!D$3:D$50))</f>
        <v>139.286</v>
      </c>
      <c r="D49" s="24" t="s">
        <v>60</v>
      </c>
      <c r="E49">
        <v>58</v>
      </c>
      <c r="F49">
        <v>6</v>
      </c>
      <c r="G49">
        <v>500</v>
      </c>
      <c r="H49" s="1">
        <v>166.74</v>
      </c>
      <c r="I49" s="31">
        <f t="shared" si="0"/>
        <v>1.1971052367072068</v>
      </c>
      <c r="J49" s="45">
        <f t="shared" si="1"/>
        <v>0.13619438740588638</v>
      </c>
      <c r="K49" s="46" t="e">
        <f>((H49-2)*Reagents!#REF!/4-0.076)/J49</f>
        <v>#REF!</v>
      </c>
    </row>
    <row r="50" spans="1:11" x14ac:dyDescent="0.3">
      <c r="A50" t="s">
        <v>67</v>
      </c>
      <c r="B50" s="35">
        <v>36</v>
      </c>
      <c r="C50" s="30">
        <f>IF(B50="","",_xlfn.XLOOKUP(B50,Flasks!A$3:A$50,Flasks!D$3:D$50))</f>
        <v>140.13900000000001</v>
      </c>
      <c r="D50" s="24" t="s">
        <v>60</v>
      </c>
      <c r="E50">
        <v>58</v>
      </c>
      <c r="F50">
        <v>6</v>
      </c>
      <c r="G50">
        <v>500</v>
      </c>
      <c r="H50" s="1">
        <v>165.68</v>
      </c>
      <c r="I50" s="31">
        <f t="shared" si="0"/>
        <v>1.1822547613440941</v>
      </c>
      <c r="J50" s="45">
        <f t="shared" si="1"/>
        <v>0.13702845409210912</v>
      </c>
      <c r="K50" s="46" t="e">
        <f>((H50-2)*Reagents!#REF!/4-0.076)/J50</f>
        <v>#REF!</v>
      </c>
    </row>
    <row r="51" spans="1:11" x14ac:dyDescent="0.3">
      <c r="A51" t="s">
        <v>67</v>
      </c>
      <c r="B51" s="35">
        <v>15</v>
      </c>
      <c r="C51" s="30">
        <f>IF(B51="","",_xlfn.XLOOKUP(B51,Flasks!A$3:A$50,Flasks!D$3:D$50))</f>
        <v>143.31200000000001</v>
      </c>
      <c r="D51" s="24" t="s">
        <v>60</v>
      </c>
      <c r="E51">
        <v>58</v>
      </c>
      <c r="F51">
        <v>2</v>
      </c>
      <c r="G51">
        <v>1000</v>
      </c>
      <c r="H51" s="1">
        <v>87.15</v>
      </c>
      <c r="I51" s="31">
        <f t="shared" si="0"/>
        <v>0.60811376576978893</v>
      </c>
      <c r="J51" s="45">
        <f t="shared" si="1"/>
        <v>0.14013102571624134</v>
      </c>
      <c r="K51" s="46" t="e">
        <f>((H51-2)*Reagents!#REF!/4-0.076)/J51</f>
        <v>#REF!</v>
      </c>
    </row>
    <row r="52" spans="1:11" x14ac:dyDescent="0.3">
      <c r="A52" t="s">
        <v>67</v>
      </c>
      <c r="B52" s="35">
        <v>29</v>
      </c>
      <c r="C52" s="30">
        <f>IF(B52="","",_xlfn.XLOOKUP(B52,Flasks!A$3:A$50,Flasks!D$3:D$50))</f>
        <v>143.73899999999998</v>
      </c>
      <c r="D52" s="24" t="s">
        <v>60</v>
      </c>
      <c r="E52">
        <v>58</v>
      </c>
      <c r="F52">
        <v>2</v>
      </c>
      <c r="G52">
        <v>1000</v>
      </c>
      <c r="H52" s="1">
        <v>82.01</v>
      </c>
      <c r="I52" s="31">
        <f t="shared" si="0"/>
        <v>0.57054800715185172</v>
      </c>
      <c r="J52" s="45">
        <f t="shared" si="1"/>
        <v>0.14054854796127894</v>
      </c>
      <c r="K52" s="46" t="e">
        <f>((H52-2)*Reagents!#REF!/4-0.076)/J52</f>
        <v>#REF!</v>
      </c>
    </row>
    <row r="53" spans="1:11" x14ac:dyDescent="0.3">
      <c r="A53" t="s">
        <v>67</v>
      </c>
      <c r="B53" s="35">
        <v>22</v>
      </c>
      <c r="C53" s="30">
        <f>IF(B53="","",_xlfn.XLOOKUP(B53,Flasks!A$3:A$50,Flasks!D$3:D$50))</f>
        <v>141.51599999999999</v>
      </c>
      <c r="D53" s="24" t="s">
        <v>60</v>
      </c>
      <c r="E53">
        <v>58</v>
      </c>
      <c r="F53">
        <v>6</v>
      </c>
      <c r="G53">
        <v>500</v>
      </c>
      <c r="H53" s="1">
        <v>169.03</v>
      </c>
      <c r="I53" s="31">
        <f t="shared" si="0"/>
        <v>1.194423245428079</v>
      </c>
      <c r="J53" s="45">
        <f t="shared" si="1"/>
        <v>0.13837488999706657</v>
      </c>
      <c r="K53" s="46" t="e">
        <f>((H53-2)*Reagents!#REF!/4-0.076)/J53</f>
        <v>#REF!</v>
      </c>
    </row>
    <row r="54" spans="1:11" x14ac:dyDescent="0.3">
      <c r="B54" s="35"/>
      <c r="C54" s="30"/>
      <c r="D54" s="24"/>
      <c r="H54" s="1"/>
      <c r="I54" s="31"/>
      <c r="J54" s="45"/>
      <c r="K54" s="46"/>
    </row>
    <row r="55" spans="1:11" x14ac:dyDescent="0.3">
      <c r="B55" s="35"/>
      <c r="C55" s="30"/>
      <c r="D55" s="24"/>
      <c r="H55" s="1"/>
      <c r="I55" s="31"/>
      <c r="J55" s="45"/>
      <c r="K55" s="46"/>
    </row>
    <row r="56" spans="1:11" x14ac:dyDescent="0.3">
      <c r="B56" s="35"/>
      <c r="C56" s="30"/>
      <c r="D56" s="24"/>
      <c r="H56" s="1"/>
      <c r="I56" s="31"/>
      <c r="J56" s="45"/>
      <c r="K56" s="46"/>
    </row>
    <row r="57" spans="1:11" x14ac:dyDescent="0.3">
      <c r="B57" s="35"/>
      <c r="C57" s="30"/>
      <c r="D57" s="24"/>
      <c r="H57" s="1"/>
      <c r="I57" s="31"/>
      <c r="J57" s="45"/>
      <c r="K57" s="46"/>
    </row>
    <row r="58" spans="1:11" x14ac:dyDescent="0.3">
      <c r="B58" s="35"/>
      <c r="C58" s="30"/>
      <c r="D58" s="24"/>
      <c r="H58" s="1"/>
      <c r="I58" s="31"/>
      <c r="J58" s="45"/>
      <c r="K58" s="46"/>
    </row>
    <row r="59" spans="1:11" x14ac:dyDescent="0.3">
      <c r="B59" s="35"/>
      <c r="C59" s="30"/>
      <c r="D59" s="24"/>
      <c r="H59" s="1"/>
      <c r="I59" s="31"/>
      <c r="J59" s="45"/>
      <c r="K59" s="46"/>
    </row>
    <row r="60" spans="1:11" x14ac:dyDescent="0.3">
      <c r="B60" s="35"/>
      <c r="C60" s="30"/>
      <c r="D60" s="24"/>
      <c r="H60" s="1"/>
      <c r="I60" s="31"/>
      <c r="J60" s="45"/>
      <c r="K60" s="46"/>
    </row>
    <row r="61" spans="1:11" x14ac:dyDescent="0.3">
      <c r="B61" s="35"/>
      <c r="C61" s="30"/>
      <c r="D61" s="24"/>
      <c r="H61" s="1"/>
      <c r="I61" s="31"/>
      <c r="J61" s="45"/>
      <c r="K61" s="46"/>
    </row>
    <row r="62" spans="1:11" x14ac:dyDescent="0.3">
      <c r="B62" s="35"/>
      <c r="C62" s="30"/>
      <c r="D62" s="24"/>
      <c r="H62" s="1"/>
      <c r="I62" s="31"/>
      <c r="J62" s="45"/>
      <c r="K62" s="46"/>
    </row>
    <row r="63" spans="1:11" x14ac:dyDescent="0.3">
      <c r="B63" s="35"/>
      <c r="C63" s="30"/>
      <c r="D63" s="24"/>
      <c r="H63" s="1"/>
      <c r="I63" s="31"/>
      <c r="J63" s="45"/>
      <c r="K63" s="46"/>
    </row>
    <row r="64" spans="1:11" x14ac:dyDescent="0.3">
      <c r="B64" s="35"/>
      <c r="C64" s="30"/>
      <c r="D64" s="24"/>
      <c r="H64" s="1"/>
      <c r="I64" s="31"/>
      <c r="J64" s="45"/>
      <c r="K64" s="46"/>
    </row>
    <row r="65" spans="2:11" x14ac:dyDescent="0.3">
      <c r="B65" s="35"/>
      <c r="C65" s="30"/>
      <c r="D65" s="24"/>
      <c r="H65" s="1"/>
      <c r="I65" s="31"/>
      <c r="J65" s="45"/>
      <c r="K65" s="46"/>
    </row>
    <row r="66" spans="2:11" x14ac:dyDescent="0.3">
      <c r="B66" s="35"/>
      <c r="C66" s="30"/>
      <c r="D66" s="24"/>
      <c r="H66" s="1"/>
      <c r="I66" s="31"/>
      <c r="J66" s="45"/>
      <c r="K66" s="46"/>
    </row>
    <row r="67" spans="2:11" x14ac:dyDescent="0.3">
      <c r="B67" s="35"/>
      <c r="C67" s="30"/>
      <c r="D67" s="24"/>
      <c r="H67" s="1"/>
      <c r="I67" s="31"/>
      <c r="J67" s="45"/>
      <c r="K67" s="46"/>
    </row>
    <row r="68" spans="2:11" x14ac:dyDescent="0.3">
      <c r="B68" s="35"/>
      <c r="C68" s="30"/>
      <c r="D68" s="24"/>
      <c r="H68" s="1"/>
      <c r="I68" s="31"/>
      <c r="J68" s="45"/>
      <c r="K68" s="46"/>
    </row>
    <row r="69" spans="2:11" x14ac:dyDescent="0.3">
      <c r="B69" s="35"/>
      <c r="C69" s="30"/>
      <c r="D69" s="24"/>
      <c r="H69" s="1"/>
      <c r="I69" s="31"/>
      <c r="J69" s="45"/>
      <c r="K69" s="46"/>
    </row>
    <row r="70" spans="2:11" x14ac:dyDescent="0.3">
      <c r="B70" s="35"/>
      <c r="C70" s="30"/>
      <c r="D70" s="24"/>
      <c r="H70" s="1"/>
      <c r="I70" s="31"/>
      <c r="J70" s="45"/>
      <c r="K70" s="46"/>
    </row>
    <row r="71" spans="2:11" x14ac:dyDescent="0.3">
      <c r="B71" s="35"/>
      <c r="C71" s="30"/>
      <c r="D71" s="24"/>
      <c r="H71" s="1"/>
      <c r="I71" s="31"/>
      <c r="J71" s="45"/>
      <c r="K71" s="46"/>
    </row>
    <row r="72" spans="2:11" x14ac:dyDescent="0.3">
      <c r="B72" s="35"/>
      <c r="C72" s="30"/>
      <c r="D72" s="24"/>
      <c r="H72" s="1"/>
      <c r="I72" s="31"/>
      <c r="J72" s="45"/>
      <c r="K72" s="46"/>
    </row>
    <row r="73" spans="2:11" x14ac:dyDescent="0.3">
      <c r="B73" s="35"/>
      <c r="C73" s="30"/>
      <c r="D73" s="24"/>
      <c r="H73" s="1"/>
      <c r="I73" s="31"/>
      <c r="J73" s="45"/>
      <c r="K73" s="46"/>
    </row>
    <row r="74" spans="2:11" x14ac:dyDescent="0.3">
      <c r="B74" s="35"/>
      <c r="C74" s="30"/>
      <c r="D74" s="24"/>
      <c r="H74" s="1"/>
      <c r="I74" s="31"/>
      <c r="J74" s="45"/>
      <c r="K74" s="46"/>
    </row>
    <row r="75" spans="2:11" x14ac:dyDescent="0.3">
      <c r="B75" s="35"/>
      <c r="C75" s="30"/>
      <c r="D75" s="24"/>
      <c r="H75" s="1"/>
      <c r="I75" s="31"/>
      <c r="J75" s="45"/>
      <c r="K75" s="46"/>
    </row>
    <row r="76" spans="2:11" x14ac:dyDescent="0.3">
      <c r="B76" s="35"/>
      <c r="C76" s="30"/>
      <c r="D76" s="24"/>
      <c r="H76" s="1"/>
      <c r="I76" s="31"/>
      <c r="J76" s="45"/>
      <c r="K76" s="46"/>
    </row>
    <row r="77" spans="2:11" x14ac:dyDescent="0.3">
      <c r="B77" s="35"/>
      <c r="C77" s="30"/>
      <c r="D77" s="24"/>
      <c r="H77" s="1"/>
      <c r="I77" s="31"/>
      <c r="J77" s="45"/>
      <c r="K77" s="46"/>
    </row>
    <row r="78" spans="2:11" x14ac:dyDescent="0.3">
      <c r="B78" s="35"/>
      <c r="C78" s="30"/>
      <c r="D78" s="24"/>
      <c r="H78" s="1"/>
      <c r="I78" s="31"/>
      <c r="J78" s="45"/>
      <c r="K78" s="46"/>
    </row>
    <row r="79" spans="2:11" x14ac:dyDescent="0.3">
      <c r="B79" s="35"/>
      <c r="C79" s="30"/>
      <c r="D79" s="24"/>
      <c r="H79" s="1"/>
      <c r="I79" s="31"/>
      <c r="J79" s="45"/>
      <c r="K79" s="46"/>
    </row>
    <row r="80" spans="2:11" x14ac:dyDescent="0.3">
      <c r="B80" s="35"/>
      <c r="C80" s="30"/>
      <c r="D80" s="24"/>
      <c r="H80" s="1"/>
      <c r="I80" s="31"/>
      <c r="J80" s="45"/>
      <c r="K80" s="46"/>
    </row>
    <row r="81" spans="2:11" x14ac:dyDescent="0.3">
      <c r="B81" s="35"/>
      <c r="C81" s="30"/>
      <c r="D81" s="24"/>
      <c r="H81" s="1"/>
      <c r="I81" s="31"/>
      <c r="J81" s="45"/>
      <c r="K81" s="46"/>
    </row>
    <row r="82" spans="2:11" x14ac:dyDescent="0.3">
      <c r="B82" s="35"/>
      <c r="C82" s="30"/>
      <c r="D82" s="24"/>
      <c r="H82" s="1"/>
      <c r="I82" s="31"/>
      <c r="J82" s="45"/>
      <c r="K82" s="46"/>
    </row>
    <row r="83" spans="2:11" x14ac:dyDescent="0.3">
      <c r="B83" s="35"/>
      <c r="C83" s="30"/>
      <c r="D83" s="24"/>
      <c r="H83" s="1"/>
      <c r="I83" s="31"/>
      <c r="J83" s="45"/>
      <c r="K83" s="46"/>
    </row>
    <row r="84" spans="2:11" x14ac:dyDescent="0.3">
      <c r="B84" s="35"/>
      <c r="C84" s="30"/>
      <c r="D84" s="24"/>
      <c r="H84" s="1"/>
      <c r="I84" s="31"/>
      <c r="J84" s="45"/>
      <c r="K84" s="46"/>
    </row>
    <row r="85" spans="2:11" x14ac:dyDescent="0.3">
      <c r="B85" s="35"/>
      <c r="C85" s="30"/>
      <c r="D85" s="24"/>
      <c r="H85" s="1"/>
      <c r="I85" s="31"/>
      <c r="J85" s="45"/>
      <c r="K85" s="46"/>
    </row>
    <row r="86" spans="2:11" x14ac:dyDescent="0.3">
      <c r="B86" s="35"/>
      <c r="C86" s="30"/>
      <c r="D86" s="24"/>
      <c r="H86" s="1"/>
      <c r="I86" s="31"/>
      <c r="J86" s="45"/>
      <c r="K86" s="46"/>
    </row>
    <row r="87" spans="2:11" x14ac:dyDescent="0.3">
      <c r="B87" s="35"/>
      <c r="C87" s="30"/>
      <c r="D87" s="24"/>
      <c r="H87" s="1"/>
      <c r="I87" s="31"/>
      <c r="J87" s="45"/>
      <c r="K87" s="46"/>
    </row>
    <row r="88" spans="2:11" x14ac:dyDescent="0.3">
      <c r="B88" s="35"/>
      <c r="C88" s="30"/>
      <c r="D88" s="24"/>
      <c r="H88" s="1"/>
      <c r="I88" s="31"/>
      <c r="J88" s="45"/>
      <c r="K88" s="46"/>
    </row>
    <row r="89" spans="2:11" x14ac:dyDescent="0.3">
      <c r="B89" s="35"/>
      <c r="C89" s="30"/>
      <c r="D89" s="24"/>
      <c r="H89" s="1"/>
      <c r="I89" s="31"/>
      <c r="J89" s="45"/>
      <c r="K89" s="46"/>
    </row>
    <row r="90" spans="2:11" x14ac:dyDescent="0.3">
      <c r="B90" s="35"/>
      <c r="C90" s="30"/>
      <c r="D90" s="24"/>
      <c r="H90" s="1"/>
      <c r="I90" s="31"/>
      <c r="J90" s="45"/>
      <c r="K90" s="46"/>
    </row>
    <row r="91" spans="2:11" x14ac:dyDescent="0.3">
      <c r="B91" s="35"/>
      <c r="C91" s="30"/>
      <c r="D91" s="24"/>
      <c r="H91" s="1"/>
      <c r="I91" s="31"/>
      <c r="J91" s="45"/>
      <c r="K91" s="46"/>
    </row>
    <row r="92" spans="2:11" x14ac:dyDescent="0.3">
      <c r="B92" s="35"/>
      <c r="C92" s="30"/>
      <c r="D92" s="24"/>
      <c r="H92" s="1"/>
      <c r="I92" s="31"/>
      <c r="J92" s="45"/>
      <c r="K92" s="46"/>
    </row>
    <row r="93" spans="2:11" x14ac:dyDescent="0.3">
      <c r="B93" s="35"/>
      <c r="C93" s="30"/>
      <c r="D93" s="24"/>
      <c r="H93" s="1"/>
      <c r="I93" s="31"/>
      <c r="J93" s="45"/>
      <c r="K93" s="46"/>
    </row>
    <row r="94" spans="2:11" x14ac:dyDescent="0.3">
      <c r="B94" s="35"/>
      <c r="C94" s="30"/>
      <c r="D94" s="24"/>
      <c r="H94" s="1"/>
      <c r="I94" s="31"/>
      <c r="J94" s="45"/>
      <c r="K94" s="46"/>
    </row>
    <row r="95" spans="2:11" x14ac:dyDescent="0.3">
      <c r="B95" s="35"/>
      <c r="C95" s="30"/>
      <c r="D95" s="24"/>
      <c r="H95" s="1"/>
      <c r="I95" s="31"/>
      <c r="J95" s="45"/>
      <c r="K95" s="46"/>
    </row>
    <row r="96" spans="2:11" x14ac:dyDescent="0.3">
      <c r="B96" s="35"/>
      <c r="C96" s="30"/>
      <c r="D96" s="24"/>
      <c r="H96" s="1"/>
      <c r="I96" s="31"/>
      <c r="J96" s="45"/>
      <c r="K96" s="46"/>
    </row>
    <row r="97" spans="2:11" x14ac:dyDescent="0.3">
      <c r="B97" s="35"/>
      <c r="C97" s="30" t="str">
        <f>IF(B97="","",_xlfn.XLOOKUP(B97,Flasks!A$3:A$50,Flasks!D$3:D$50))</f>
        <v/>
      </c>
      <c r="D97" s="24"/>
      <c r="H97" s="1"/>
      <c r="I97" s="31" t="str">
        <f t="shared" ref="I97:I100" si="2">IF(H97="","",H97/C97)</f>
        <v/>
      </c>
      <c r="J97" s="45"/>
      <c r="K97" s="46"/>
    </row>
    <row r="98" spans="2:11" x14ac:dyDescent="0.3">
      <c r="B98" s="35"/>
      <c r="C98" s="30"/>
      <c r="D98" s="24"/>
      <c r="H98" s="1"/>
      <c r="I98" s="31" t="str">
        <f t="shared" si="2"/>
        <v/>
      </c>
      <c r="J98" s="45"/>
      <c r="K98" s="46"/>
    </row>
    <row r="99" spans="2:11" x14ac:dyDescent="0.3">
      <c r="B99" s="35"/>
      <c r="C99" s="30"/>
      <c r="D99" s="24"/>
      <c r="H99" s="1"/>
      <c r="I99" s="31" t="str">
        <f t="shared" si="2"/>
        <v/>
      </c>
      <c r="J99" s="45"/>
      <c r="K99" s="46"/>
    </row>
    <row r="100" spans="2:11" x14ac:dyDescent="0.3">
      <c r="B100" s="35"/>
      <c r="C100" s="30"/>
      <c r="D100" s="24"/>
      <c r="H100" s="1"/>
      <c r="I100" s="31" t="str">
        <f t="shared" si="2"/>
        <v/>
      </c>
      <c r="J100" s="45"/>
      <c r="K100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D3EE-0019-40BA-912D-64A36D53E544}">
  <dimension ref="A1:L49"/>
  <sheetViews>
    <sheetView topLeftCell="A2" workbookViewId="0">
      <selection activeCell="A31" sqref="A31:K33"/>
    </sheetView>
  </sheetViews>
  <sheetFormatPr defaultRowHeight="14.4" x14ac:dyDescent="0.3"/>
  <cols>
    <col min="1" max="1" width="11.5546875" bestFit="1" customWidth="1"/>
  </cols>
  <sheetData>
    <row r="1" spans="1:12" x14ac:dyDescent="0.3">
      <c r="B1" s="35"/>
      <c r="C1" s="29" t="s">
        <v>4</v>
      </c>
      <c r="D1" s="24"/>
      <c r="G1" t="s">
        <v>26</v>
      </c>
      <c r="H1" s="1" t="s">
        <v>25</v>
      </c>
      <c r="I1" s="31" t="s">
        <v>50</v>
      </c>
      <c r="J1" s="45" t="s">
        <v>64</v>
      </c>
      <c r="K1" s="46" t="s">
        <v>82</v>
      </c>
    </row>
    <row r="2" spans="1:12" ht="43.2" x14ac:dyDescent="0.3">
      <c r="A2" s="25" t="s">
        <v>66</v>
      </c>
      <c r="B2" s="36" t="s">
        <v>11</v>
      </c>
      <c r="C2" s="28" t="s">
        <v>48</v>
      </c>
      <c r="D2" s="25" t="s">
        <v>21</v>
      </c>
      <c r="E2" s="25" t="s">
        <v>22</v>
      </c>
      <c r="F2" s="25" t="s">
        <v>23</v>
      </c>
      <c r="G2" s="25" t="s">
        <v>24</v>
      </c>
      <c r="H2" s="26" t="s">
        <v>10</v>
      </c>
      <c r="I2" s="32" t="s">
        <v>49</v>
      </c>
      <c r="J2" s="47" t="s">
        <v>63</v>
      </c>
      <c r="K2" s="28" t="s">
        <v>65</v>
      </c>
      <c r="L2" s="25" t="s">
        <v>28</v>
      </c>
    </row>
    <row r="3" spans="1:12" x14ac:dyDescent="0.3">
      <c r="A3" t="s">
        <v>68</v>
      </c>
      <c r="B3" s="35">
        <v>48</v>
      </c>
      <c r="C3" s="30">
        <f>IF(B3="","",_xlfn.XLOOKUP(B3,Flasks!A$3:A$50,Flasks!D$3:D$50))</f>
        <v>143.17500000000001</v>
      </c>
      <c r="D3" s="24" t="s">
        <v>69</v>
      </c>
      <c r="E3">
        <v>1</v>
      </c>
      <c r="F3">
        <v>1</v>
      </c>
      <c r="G3">
        <v>288</v>
      </c>
      <c r="H3" s="1">
        <v>809.96</v>
      </c>
      <c r="I3" s="31">
        <f t="shared" ref="I3:I20" si="0">IF(H3="","",H3/C3)</f>
        <v>5.657132879343461</v>
      </c>
      <c r="J3" s="45">
        <f t="shared" ref="J3:J16" si="1">C3/1022.7</f>
        <v>0.13999706658844235</v>
      </c>
      <c r="K3" s="46" t="e">
        <f>((H3-2)*Reagents!#REF!/4-0.076)/J3</f>
        <v>#REF!</v>
      </c>
    </row>
    <row r="4" spans="1:12" x14ac:dyDescent="0.3">
      <c r="A4" t="s">
        <v>68</v>
      </c>
      <c r="B4" s="35">
        <v>18</v>
      </c>
      <c r="C4" s="30">
        <f>IF(B4="","",_xlfn.XLOOKUP(B4,Flasks!A$3:A$50,Flasks!D$3:D$50))</f>
        <v>144.995</v>
      </c>
      <c r="D4" s="24" t="s">
        <v>69</v>
      </c>
      <c r="E4">
        <v>1</v>
      </c>
      <c r="F4">
        <v>17</v>
      </c>
      <c r="G4">
        <v>0</v>
      </c>
      <c r="H4" s="1">
        <v>1504.74</v>
      </c>
      <c r="I4" s="31">
        <f t="shared" si="0"/>
        <v>10.377875099141349</v>
      </c>
      <c r="J4" s="45">
        <f t="shared" si="1"/>
        <v>0.14177666960007823</v>
      </c>
      <c r="K4" s="46" t="e">
        <f>((H4-2)*Reagents!#REF!/4-0.076)/J4</f>
        <v>#REF!</v>
      </c>
    </row>
    <row r="5" spans="1:12" x14ac:dyDescent="0.3">
      <c r="A5" t="s">
        <v>68</v>
      </c>
      <c r="B5" s="35">
        <v>38</v>
      </c>
      <c r="C5" s="30">
        <f>IF(B5="","",_xlfn.XLOOKUP(B5,Flasks!A$3:A$50,Flasks!D$3:D$50))</f>
        <v>141.27600000000001</v>
      </c>
      <c r="D5" s="24" t="s">
        <v>69</v>
      </c>
      <c r="E5">
        <v>1</v>
      </c>
      <c r="F5">
        <v>17</v>
      </c>
      <c r="G5">
        <v>0</v>
      </c>
      <c r="H5" s="1">
        <v>1464.06</v>
      </c>
      <c r="I5" s="31">
        <f t="shared" si="0"/>
        <v>10.36311900110422</v>
      </c>
      <c r="J5" s="45">
        <f t="shared" si="1"/>
        <v>0.13814021707245527</v>
      </c>
      <c r="K5" s="46" t="e">
        <f>((H5-2)*Reagents!#REF!/4-0.076)/J5</f>
        <v>#REF!</v>
      </c>
    </row>
    <row r="6" spans="1:12" x14ac:dyDescent="0.3">
      <c r="A6" t="s">
        <v>68</v>
      </c>
      <c r="B6" s="35">
        <v>4</v>
      </c>
      <c r="C6" s="30">
        <f>IF(B6="","",_xlfn.XLOOKUP(B6,Flasks!A$3:A$50,Flasks!D$3:D$50))</f>
        <v>137.745</v>
      </c>
      <c r="D6" s="24" t="s">
        <v>69</v>
      </c>
      <c r="E6">
        <v>1</v>
      </c>
      <c r="F6">
        <v>17</v>
      </c>
      <c r="G6">
        <v>0</v>
      </c>
      <c r="H6" s="1">
        <v>1427.06</v>
      </c>
      <c r="I6" s="31">
        <f t="shared" si="0"/>
        <v>10.360158263457839</v>
      </c>
      <c r="J6" s="45">
        <f t="shared" si="1"/>
        <v>0.13468759166911118</v>
      </c>
      <c r="K6" s="46" t="e">
        <f>((H6-2)*Reagents!#REF!/4-0.076)/J6</f>
        <v>#REF!</v>
      </c>
    </row>
    <row r="7" spans="1:12" x14ac:dyDescent="0.3">
      <c r="A7" t="s">
        <v>68</v>
      </c>
      <c r="B7" s="35">
        <v>46</v>
      </c>
      <c r="C7" s="30">
        <f>IF(B7="","",_xlfn.XLOOKUP(B7,Flasks!A$3:A$50,Flasks!D$3:D$50))</f>
        <v>134.83300000000003</v>
      </c>
      <c r="D7" s="24" t="s">
        <v>56</v>
      </c>
      <c r="E7">
        <v>2</v>
      </c>
      <c r="F7">
        <v>1</v>
      </c>
      <c r="G7">
        <v>263</v>
      </c>
      <c r="H7" s="1">
        <v>674.89</v>
      </c>
      <c r="I7" s="31">
        <f t="shared" si="0"/>
        <v>5.005377021945665</v>
      </c>
      <c r="J7" s="45">
        <f t="shared" si="1"/>
        <v>0.13184022685049382</v>
      </c>
      <c r="K7" s="46" t="e">
        <f>((H7-2)*Reagents!#REF!/4-0.076)/J7</f>
        <v>#REF!</v>
      </c>
    </row>
    <row r="8" spans="1:12" x14ac:dyDescent="0.3">
      <c r="A8" t="s">
        <v>68</v>
      </c>
      <c r="B8" s="35">
        <v>31</v>
      </c>
      <c r="C8" s="30">
        <f>IF(B8="","",_xlfn.XLOOKUP(B8,Flasks!A$3:A$50,Flasks!D$3:D$50))</f>
        <v>142.96800000000002</v>
      </c>
      <c r="D8" s="24" t="s">
        <v>56</v>
      </c>
      <c r="E8">
        <v>2</v>
      </c>
      <c r="F8">
        <v>1</v>
      </c>
      <c r="G8">
        <v>263</v>
      </c>
      <c r="H8" s="1">
        <v>692.86</v>
      </c>
      <c r="I8" s="31">
        <f t="shared" si="0"/>
        <v>4.846259302781041</v>
      </c>
      <c r="J8" s="45">
        <f t="shared" si="1"/>
        <v>0.13979466119096509</v>
      </c>
      <c r="K8" s="46" t="e">
        <f>((H8-2)*Reagents!#REF!/4-0.076)/J8</f>
        <v>#REF!</v>
      </c>
    </row>
    <row r="9" spans="1:12" x14ac:dyDescent="0.3">
      <c r="A9" t="s">
        <v>68</v>
      </c>
      <c r="B9" s="35">
        <v>17</v>
      </c>
      <c r="C9" s="30">
        <f>IF(B9="","",_xlfn.XLOOKUP(B9,Flasks!A$3:A$50,Flasks!D$3:D$50))</f>
        <v>141.87099999999998</v>
      </c>
      <c r="D9" s="24" t="s">
        <v>56</v>
      </c>
      <c r="E9">
        <v>2</v>
      </c>
      <c r="F9">
        <v>1</v>
      </c>
      <c r="G9">
        <v>263</v>
      </c>
      <c r="H9" s="1">
        <v>683.7</v>
      </c>
      <c r="I9" s="31">
        <f t="shared" si="0"/>
        <v>4.8191667077838325</v>
      </c>
      <c r="J9" s="45">
        <f t="shared" si="1"/>
        <v>0.13872201036472082</v>
      </c>
      <c r="K9" s="46" t="e">
        <f>((H9-2)*Reagents!#REF!/4-0.076)/J9</f>
        <v>#REF!</v>
      </c>
    </row>
    <row r="10" spans="1:12" x14ac:dyDescent="0.3">
      <c r="A10" t="s">
        <v>68</v>
      </c>
      <c r="B10" s="35">
        <v>52</v>
      </c>
      <c r="C10" s="30">
        <f>IF(B10="","",_xlfn.XLOOKUP(B10,Flasks!A$3:A$50,Flasks!D$3:D$50))</f>
        <v>139.25200000000001</v>
      </c>
      <c r="D10" s="24" t="s">
        <v>56</v>
      </c>
      <c r="E10">
        <v>2</v>
      </c>
      <c r="F10">
        <v>17</v>
      </c>
      <c r="G10">
        <v>0</v>
      </c>
      <c r="H10" s="1">
        <v>1511.88</v>
      </c>
      <c r="I10" s="31">
        <f t="shared" si="0"/>
        <v>10.857151064257605</v>
      </c>
      <c r="J10" s="45">
        <f t="shared" si="1"/>
        <v>0.13616114207489977</v>
      </c>
      <c r="K10" s="46" t="e">
        <f>((H10-2)*Reagents!#REF!/4-0.076)/J10</f>
        <v>#REF!</v>
      </c>
    </row>
    <row r="11" spans="1:12" x14ac:dyDescent="0.3">
      <c r="A11" t="s">
        <v>68</v>
      </c>
      <c r="B11" s="35">
        <v>36</v>
      </c>
      <c r="C11" s="30">
        <f>IF(B11="","",_xlfn.XLOOKUP(B11,Flasks!A$3:A$50,Flasks!D$3:D$50))</f>
        <v>140.13900000000001</v>
      </c>
      <c r="D11" s="24" t="s">
        <v>56</v>
      </c>
      <c r="E11">
        <v>2</v>
      </c>
      <c r="F11">
        <v>17</v>
      </c>
      <c r="G11">
        <v>0</v>
      </c>
      <c r="H11" s="1">
        <v>1519.79</v>
      </c>
      <c r="I11" s="31">
        <f t="shared" si="0"/>
        <v>10.844875445093798</v>
      </c>
      <c r="J11" s="45">
        <f t="shared" si="1"/>
        <v>0.13702845409210912</v>
      </c>
      <c r="K11" s="46" t="e">
        <f>((H11-2)*Reagents!#REF!/4-0.076)/J11</f>
        <v>#REF!</v>
      </c>
    </row>
    <row r="12" spans="1:12" x14ac:dyDescent="0.3">
      <c r="A12" t="s">
        <v>68</v>
      </c>
      <c r="B12" s="35">
        <v>9</v>
      </c>
      <c r="C12" s="30">
        <f>IF(B12="","",_xlfn.XLOOKUP(B12,Flasks!A$3:A$50,Flasks!D$3:D$50))</f>
        <v>137.90800000000002</v>
      </c>
      <c r="D12" s="24" t="s">
        <v>56</v>
      </c>
      <c r="E12">
        <v>2</v>
      </c>
      <c r="F12">
        <v>17</v>
      </c>
      <c r="G12">
        <v>0</v>
      </c>
      <c r="H12" s="1">
        <v>1496.88</v>
      </c>
      <c r="I12" s="31">
        <f t="shared" si="0"/>
        <v>10.854192650172578</v>
      </c>
      <c r="J12" s="45">
        <f t="shared" si="1"/>
        <v>0.13484697369707638</v>
      </c>
      <c r="K12" s="46" t="e">
        <f>((H12-2)*Reagents!#REF!/4-0.076)/J12</f>
        <v>#REF!</v>
      </c>
    </row>
    <row r="13" spans="1:12" x14ac:dyDescent="0.3">
      <c r="A13" t="s">
        <v>68</v>
      </c>
      <c r="B13" s="35">
        <v>4</v>
      </c>
      <c r="C13" s="30">
        <f>IF(B13="","",_xlfn.XLOOKUP(B13,Flasks!A$3:A$50,Flasks!D$3:D$50))</f>
        <v>137.745</v>
      </c>
      <c r="D13" s="24" t="s">
        <v>70</v>
      </c>
      <c r="E13">
        <v>3</v>
      </c>
      <c r="F13">
        <v>18</v>
      </c>
      <c r="G13">
        <v>0</v>
      </c>
      <c r="H13" s="1">
        <v>1642</v>
      </c>
      <c r="I13" s="31">
        <f t="shared" si="0"/>
        <v>11.920577879414861</v>
      </c>
      <c r="J13" s="45">
        <f t="shared" si="1"/>
        <v>0.13468759166911118</v>
      </c>
      <c r="K13" s="46" t="e">
        <f>((H13-2)*Reagents!#REF!/4-0.076)/J13</f>
        <v>#REF!</v>
      </c>
    </row>
    <row r="14" spans="1:12" x14ac:dyDescent="0.3">
      <c r="A14" t="s">
        <v>68</v>
      </c>
      <c r="B14" s="35">
        <v>17</v>
      </c>
      <c r="C14" s="30">
        <f>IF(B14="","",_xlfn.XLOOKUP(B14,Flasks!A$3:A$50,Flasks!D$3:D$50))</f>
        <v>141.87099999999998</v>
      </c>
      <c r="D14" s="24" t="s">
        <v>71</v>
      </c>
      <c r="E14">
        <v>6</v>
      </c>
      <c r="F14">
        <v>17</v>
      </c>
      <c r="G14">
        <v>0</v>
      </c>
      <c r="H14" s="1">
        <v>1518.29</v>
      </c>
      <c r="I14" s="31">
        <f t="shared" si="0"/>
        <v>10.701905251954241</v>
      </c>
      <c r="J14" s="45">
        <f t="shared" si="1"/>
        <v>0.13872201036472082</v>
      </c>
      <c r="K14" s="46" t="e">
        <f>((H14-2)*Reagents!#REF!/4-0.076)/J14</f>
        <v>#REF!</v>
      </c>
    </row>
    <row r="15" spans="1:12" x14ac:dyDescent="0.3">
      <c r="A15" t="s">
        <v>68</v>
      </c>
      <c r="B15" s="35">
        <v>9</v>
      </c>
      <c r="C15" s="30">
        <f>IF(B15="","",_xlfn.XLOOKUP(B15,Flasks!A$3:A$50,Flasks!D$3:D$50))</f>
        <v>137.90800000000002</v>
      </c>
      <c r="D15" s="24" t="s">
        <v>71</v>
      </c>
      <c r="E15">
        <v>6</v>
      </c>
      <c r="F15">
        <v>2</v>
      </c>
      <c r="G15">
        <v>345</v>
      </c>
      <c r="H15" s="1">
        <v>855.95</v>
      </c>
      <c r="I15" s="31">
        <f t="shared" si="0"/>
        <v>6.2066740145604316</v>
      </c>
      <c r="J15" s="45">
        <f t="shared" si="1"/>
        <v>0.13484697369707638</v>
      </c>
      <c r="K15" s="46" t="e">
        <f>((H15-2)*Reagents!#REF!/4-0.076)/J15</f>
        <v>#REF!</v>
      </c>
    </row>
    <row r="16" spans="1:12" x14ac:dyDescent="0.3">
      <c r="A16" t="s">
        <v>68</v>
      </c>
      <c r="B16" s="35">
        <v>31</v>
      </c>
      <c r="C16" s="30">
        <f>IF(B16="","",_xlfn.XLOOKUP(B16,Flasks!A$3:A$50,Flasks!D$3:D$50))</f>
        <v>142.96800000000002</v>
      </c>
      <c r="D16" s="24" t="s">
        <v>27</v>
      </c>
      <c r="E16">
        <v>13</v>
      </c>
      <c r="F16">
        <v>1</v>
      </c>
      <c r="G16">
        <v>1500</v>
      </c>
      <c r="H16" s="1">
        <v>126.55</v>
      </c>
      <c r="I16" s="31">
        <f t="shared" si="0"/>
        <v>0.88516311342398291</v>
      </c>
      <c r="J16" s="45">
        <f t="shared" si="1"/>
        <v>0.13979466119096509</v>
      </c>
      <c r="K16" s="46" t="e">
        <f>((H16-2)*Reagents!#REF!/4-0.076)/J16</f>
        <v>#REF!</v>
      </c>
    </row>
    <row r="17" spans="1:11" x14ac:dyDescent="0.3">
      <c r="A17" t="s">
        <v>68</v>
      </c>
      <c r="B17" s="35">
        <v>52</v>
      </c>
      <c r="C17" s="30">
        <f>IF(B17="","",_xlfn.XLOOKUP(B17,Flasks!A$3:A$50,Flasks!D$3:D$50))</f>
        <v>139.25200000000001</v>
      </c>
      <c r="D17" s="24" t="s">
        <v>27</v>
      </c>
      <c r="E17">
        <v>13</v>
      </c>
      <c r="F17">
        <v>4</v>
      </c>
      <c r="G17">
        <v>750</v>
      </c>
      <c r="H17" s="1">
        <v>74.97</v>
      </c>
      <c r="I17" s="31">
        <f t="shared" si="0"/>
        <v>0.53837646856059518</v>
      </c>
      <c r="J17" s="45">
        <f t="shared" ref="J17:J34" si="2">C17/1022.7</f>
        <v>0.13616114207489977</v>
      </c>
      <c r="K17" s="46" t="e">
        <f>((H17-2)*Reagents!#REF!/4-0.076)/J17</f>
        <v>#REF!</v>
      </c>
    </row>
    <row r="18" spans="1:11" x14ac:dyDescent="0.3">
      <c r="A18" t="s">
        <v>68</v>
      </c>
      <c r="B18" s="35">
        <v>46</v>
      </c>
      <c r="C18" s="30">
        <f>IF(B18="","",_xlfn.XLOOKUP(B18,Flasks!A$3:A$50,Flasks!D$3:D$50))</f>
        <v>134.83300000000003</v>
      </c>
      <c r="D18" s="24" t="s">
        <v>27</v>
      </c>
      <c r="E18">
        <v>13</v>
      </c>
      <c r="F18">
        <v>4</v>
      </c>
      <c r="G18">
        <v>750</v>
      </c>
      <c r="H18" s="1">
        <v>80.23</v>
      </c>
      <c r="I18" s="31">
        <f t="shared" si="0"/>
        <v>0.59503237338040382</v>
      </c>
      <c r="J18" s="45">
        <f t="shared" si="2"/>
        <v>0.13184022685049382</v>
      </c>
      <c r="K18" s="46" t="e">
        <f>((H18-2)*Reagents!#REF!/4-0.076)/J18</f>
        <v>#REF!</v>
      </c>
    </row>
    <row r="19" spans="1:11" x14ac:dyDescent="0.3">
      <c r="A19" t="s">
        <v>68</v>
      </c>
      <c r="B19" s="35">
        <v>36</v>
      </c>
      <c r="C19" s="30">
        <f>IF(B19="","",_xlfn.XLOOKUP(B19,Flasks!A$3:A$50,Flasks!D$3:D$50))</f>
        <v>140.13900000000001</v>
      </c>
      <c r="D19" s="24" t="s">
        <v>27</v>
      </c>
      <c r="E19">
        <v>13</v>
      </c>
      <c r="F19">
        <v>20</v>
      </c>
      <c r="G19">
        <v>0</v>
      </c>
      <c r="H19" s="1">
        <v>1455.74</v>
      </c>
      <c r="I19" s="31">
        <f t="shared" si="0"/>
        <v>10.387829226696351</v>
      </c>
      <c r="J19" s="45">
        <f t="shared" si="2"/>
        <v>0.13702845409210912</v>
      </c>
      <c r="K19" s="46" t="e">
        <f>((H19-2)*Reagents!#REF!/4-0.076)/J19</f>
        <v>#REF!</v>
      </c>
    </row>
    <row r="20" spans="1:11" x14ac:dyDescent="0.3">
      <c r="A20" t="s">
        <v>68</v>
      </c>
      <c r="B20" s="35">
        <v>48</v>
      </c>
      <c r="C20" s="30">
        <f>IF(B20="","",_xlfn.XLOOKUP(B20,Flasks!A$3:A$50,Flasks!D$3:D$50))</f>
        <v>143.17500000000001</v>
      </c>
      <c r="D20" s="24" t="s">
        <v>32</v>
      </c>
      <c r="E20">
        <v>14</v>
      </c>
      <c r="F20">
        <v>2</v>
      </c>
      <c r="G20">
        <v>1000</v>
      </c>
      <c r="H20" s="1">
        <v>85.69</v>
      </c>
      <c r="I20" s="31">
        <f t="shared" si="0"/>
        <v>0.59849834119085032</v>
      </c>
      <c r="J20" s="45">
        <f t="shared" si="2"/>
        <v>0.13999706658844235</v>
      </c>
      <c r="K20" s="46" t="e">
        <f>((H20-2)*Reagents!#REF!/4-0.076)/J20</f>
        <v>#REF!</v>
      </c>
    </row>
    <row r="21" spans="1:11" x14ac:dyDescent="0.3">
      <c r="A21" t="s">
        <v>68</v>
      </c>
      <c r="B21" s="35">
        <v>21</v>
      </c>
      <c r="C21" s="30">
        <f>IF(B21="","",_xlfn.XLOOKUP(B21,Flasks!A$3:A$50,Flasks!D$3:D$50))</f>
        <v>142.25799999999998</v>
      </c>
      <c r="D21" s="24" t="s">
        <v>72</v>
      </c>
      <c r="E21">
        <v>15</v>
      </c>
      <c r="F21">
        <v>2</v>
      </c>
      <c r="G21">
        <v>1000</v>
      </c>
      <c r="H21" s="1">
        <v>121.46</v>
      </c>
      <c r="I21" s="31">
        <f t="shared" ref="I21:I34" si="3">IF(H21="","",H21/C21)</f>
        <v>0.85380084072600493</v>
      </c>
      <c r="J21" s="45">
        <f t="shared" si="2"/>
        <v>0.13910042045565657</v>
      </c>
      <c r="K21" s="46" t="e">
        <f>((H21-2)*Reagents!#REF!/4-0.076)/J21</f>
        <v>#REF!</v>
      </c>
    </row>
    <row r="22" spans="1:11" x14ac:dyDescent="0.3">
      <c r="A22" t="s">
        <v>68</v>
      </c>
      <c r="B22" s="35">
        <v>35</v>
      </c>
      <c r="C22" s="30">
        <f>IF(B22="","",_xlfn.XLOOKUP(B22,Flasks!A$3:A$50,Flasks!D$3:D$50))</f>
        <v>135.13200000000001</v>
      </c>
      <c r="D22" s="24" t="s">
        <v>72</v>
      </c>
      <c r="E22">
        <v>15</v>
      </c>
      <c r="F22">
        <v>18</v>
      </c>
      <c r="G22">
        <v>0</v>
      </c>
      <c r="H22" s="1">
        <v>1351.86</v>
      </c>
      <c r="I22" s="31">
        <f t="shared" si="3"/>
        <v>10.00399609270935</v>
      </c>
      <c r="J22" s="45">
        <f t="shared" si="2"/>
        <v>0.13213259020240539</v>
      </c>
      <c r="K22" s="46" t="e">
        <f>((H22-2)*Reagents!#REF!/4-0.076)/J22</f>
        <v>#REF!</v>
      </c>
    </row>
    <row r="23" spans="1:11" x14ac:dyDescent="0.3">
      <c r="A23" t="s">
        <v>68</v>
      </c>
      <c r="B23" s="35">
        <v>46</v>
      </c>
      <c r="C23" s="30">
        <f>IF(B23="","",_xlfn.XLOOKUP(B23,Flasks!A$3:A$50,Flasks!D$3:D$50))</f>
        <v>134.83300000000003</v>
      </c>
      <c r="D23" s="24" t="s">
        <v>73</v>
      </c>
      <c r="E23">
        <v>18</v>
      </c>
      <c r="F23">
        <v>2</v>
      </c>
      <c r="G23">
        <v>29</v>
      </c>
      <c r="H23" s="1">
        <v>1405.62</v>
      </c>
      <c r="I23" s="31">
        <f t="shared" si="3"/>
        <v>10.424895982437532</v>
      </c>
      <c r="J23" s="45">
        <f t="shared" si="2"/>
        <v>0.13184022685049382</v>
      </c>
      <c r="K23" s="46" t="e">
        <f>((H23-2)*Reagents!#REF!/4-0.076)/J23</f>
        <v>#REF!</v>
      </c>
    </row>
    <row r="24" spans="1:11" x14ac:dyDescent="0.3">
      <c r="A24" t="s">
        <v>68</v>
      </c>
      <c r="B24" s="35">
        <v>31</v>
      </c>
      <c r="C24" s="30">
        <f>IF(B24="","",_xlfn.XLOOKUP(B24,Flasks!A$3:A$50,Flasks!D$3:D$50))</f>
        <v>142.96800000000002</v>
      </c>
      <c r="D24" s="24" t="s">
        <v>73</v>
      </c>
      <c r="E24">
        <v>18</v>
      </c>
      <c r="F24">
        <v>8</v>
      </c>
      <c r="G24">
        <v>0</v>
      </c>
      <c r="H24" s="1">
        <v>1539.62</v>
      </c>
      <c r="I24" s="31">
        <f t="shared" si="3"/>
        <v>10.768983268983266</v>
      </c>
      <c r="J24" s="45">
        <f t="shared" si="2"/>
        <v>0.13979466119096509</v>
      </c>
      <c r="K24" s="46" t="e">
        <f>((H24-2)*Reagents!#REF!/4-0.076)/J24</f>
        <v>#REF!</v>
      </c>
    </row>
    <row r="25" spans="1:11" x14ac:dyDescent="0.3">
      <c r="A25" t="s">
        <v>68</v>
      </c>
      <c r="B25" s="35">
        <v>52</v>
      </c>
      <c r="C25" s="30">
        <f>IF(B25="","",_xlfn.XLOOKUP(B25,Flasks!A$3:A$50,Flasks!D$3:D$50))</f>
        <v>139.25200000000001</v>
      </c>
      <c r="D25" s="24" t="s">
        <v>73</v>
      </c>
      <c r="E25">
        <v>18</v>
      </c>
      <c r="F25">
        <v>2</v>
      </c>
      <c r="G25">
        <v>29</v>
      </c>
      <c r="H25" s="1">
        <v>1439.47</v>
      </c>
      <c r="I25" s="31">
        <f t="shared" si="3"/>
        <v>10.337158532732024</v>
      </c>
      <c r="J25" s="45">
        <f t="shared" si="2"/>
        <v>0.13616114207489977</v>
      </c>
      <c r="K25" s="46" t="e">
        <f>((H25-2)*Reagents!#REF!/4-0.076)/J25</f>
        <v>#REF!</v>
      </c>
    </row>
    <row r="26" spans="1:11" x14ac:dyDescent="0.3">
      <c r="A26" t="s">
        <v>68</v>
      </c>
      <c r="B26" s="35">
        <v>29</v>
      </c>
      <c r="C26" s="30">
        <f>IF(B26="","",_xlfn.XLOOKUP(B26,Flasks!A$3:A$50,Flasks!D$3:D$50))</f>
        <v>143.73899999999998</v>
      </c>
      <c r="D26" s="24" t="s">
        <v>73</v>
      </c>
      <c r="E26">
        <v>18</v>
      </c>
      <c r="F26">
        <v>8</v>
      </c>
      <c r="G26">
        <v>0</v>
      </c>
      <c r="H26" s="1">
        <v>1537.4</v>
      </c>
      <c r="I26" s="31">
        <f t="shared" si="3"/>
        <v>10.69577498104203</v>
      </c>
      <c r="J26" s="45">
        <f t="shared" si="2"/>
        <v>0.14054854796127894</v>
      </c>
      <c r="K26" s="46" t="e">
        <f>((H26-2)*Reagents!#REF!/4-0.076)/J26</f>
        <v>#REF!</v>
      </c>
    </row>
    <row r="27" spans="1:11" x14ac:dyDescent="0.3">
      <c r="A27" t="s">
        <v>68</v>
      </c>
      <c r="B27" s="35">
        <v>31</v>
      </c>
      <c r="C27" s="30">
        <f>IF(B27="","",_xlfn.XLOOKUP(B27,Flasks!A$3:A$50,Flasks!D$3:D$50))</f>
        <v>142.96800000000002</v>
      </c>
      <c r="D27" s="24" t="s">
        <v>74</v>
      </c>
      <c r="E27">
        <v>35</v>
      </c>
      <c r="F27">
        <v>1</v>
      </c>
      <c r="G27">
        <v>500</v>
      </c>
      <c r="H27" s="1">
        <v>128.36000000000001</v>
      </c>
      <c r="I27" s="31">
        <f t="shared" si="3"/>
        <v>0.89782328912763698</v>
      </c>
      <c r="J27" s="45">
        <f t="shared" si="2"/>
        <v>0.13979466119096509</v>
      </c>
      <c r="K27" s="46" t="e">
        <f>((H27-2)*Reagents!#REF!/4-0.076)/J27</f>
        <v>#REF!</v>
      </c>
    </row>
    <row r="28" spans="1:11" x14ac:dyDescent="0.3">
      <c r="A28" t="s">
        <v>68</v>
      </c>
      <c r="B28" s="35">
        <v>29</v>
      </c>
      <c r="C28" s="30">
        <f>IF(B28="","",_xlfn.XLOOKUP(B28,Flasks!A$3:A$50,Flasks!D$3:D$50))</f>
        <v>143.73899999999998</v>
      </c>
      <c r="D28" s="24" t="s">
        <v>74</v>
      </c>
      <c r="E28">
        <v>35</v>
      </c>
      <c r="F28">
        <v>24</v>
      </c>
      <c r="G28">
        <v>0</v>
      </c>
      <c r="H28" s="1">
        <v>1525.46</v>
      </c>
      <c r="I28" s="31">
        <f t="shared" si="3"/>
        <v>10.612707755028213</v>
      </c>
      <c r="J28" s="45">
        <f t="shared" si="2"/>
        <v>0.14054854796127894</v>
      </c>
      <c r="K28" s="46" t="e">
        <f>((H28-2)*Reagents!#REF!/4-0.076)/J28</f>
        <v>#REF!</v>
      </c>
    </row>
    <row r="29" spans="1:11" x14ac:dyDescent="0.3">
      <c r="A29" t="s">
        <v>68</v>
      </c>
      <c r="B29" s="35">
        <v>36</v>
      </c>
      <c r="C29" s="30">
        <f>IF(B29="","",_xlfn.XLOOKUP(B29,Flasks!A$3:A$50,Flasks!D$3:D$50))</f>
        <v>140.13900000000001</v>
      </c>
      <c r="D29" s="24" t="s">
        <v>74</v>
      </c>
      <c r="E29">
        <v>35</v>
      </c>
      <c r="F29">
        <v>24</v>
      </c>
      <c r="G29">
        <v>0</v>
      </c>
      <c r="H29" s="1">
        <v>1463.23</v>
      </c>
      <c r="I29" s="31">
        <f t="shared" si="3"/>
        <v>10.441276161525343</v>
      </c>
      <c r="J29" s="45">
        <f t="shared" si="2"/>
        <v>0.13702845409210912</v>
      </c>
      <c r="K29" s="46" t="e">
        <f>((H29-2)*Reagents!#REF!/4-0.076)/J29</f>
        <v>#REF!</v>
      </c>
    </row>
    <row r="30" spans="1:11" x14ac:dyDescent="0.3">
      <c r="A30" t="s">
        <v>68</v>
      </c>
      <c r="B30" s="35">
        <v>52</v>
      </c>
      <c r="C30" s="30">
        <f>IF(B30="","",_xlfn.XLOOKUP(B30,Flasks!A$3:A$50,Flasks!D$3:D$50))</f>
        <v>139.25200000000001</v>
      </c>
      <c r="D30" s="24" t="s">
        <v>74</v>
      </c>
      <c r="E30">
        <v>35</v>
      </c>
      <c r="F30">
        <v>24</v>
      </c>
      <c r="G30">
        <v>0</v>
      </c>
      <c r="H30" s="1">
        <v>1455.45</v>
      </c>
      <c r="I30" s="31">
        <f t="shared" si="3"/>
        <v>10.451914514692787</v>
      </c>
      <c r="J30" s="45">
        <f t="shared" si="2"/>
        <v>0.13616114207489977</v>
      </c>
      <c r="K30" s="46" t="e">
        <f>((H30-2)*Reagents!#REF!/4-0.076)/J30</f>
        <v>#REF!</v>
      </c>
    </row>
    <row r="31" spans="1:11" x14ac:dyDescent="0.3">
      <c r="A31" t="s">
        <v>68</v>
      </c>
      <c r="B31" s="35">
        <v>46</v>
      </c>
      <c r="C31" s="30">
        <f>IF(B31="","",_xlfn.XLOOKUP(B31,Flasks!A$3:A$50,Flasks!D$3:D$50))</f>
        <v>134.83300000000003</v>
      </c>
      <c r="D31" s="24" t="s">
        <v>56</v>
      </c>
      <c r="E31">
        <v>36</v>
      </c>
      <c r="F31">
        <v>1</v>
      </c>
      <c r="G31">
        <v>261</v>
      </c>
      <c r="H31" s="1">
        <v>624.54999999999995</v>
      </c>
      <c r="I31" s="31">
        <f t="shared" si="3"/>
        <v>4.6320262843665851</v>
      </c>
      <c r="J31" s="45">
        <f t="shared" si="2"/>
        <v>0.13184022685049382</v>
      </c>
      <c r="K31" s="46" t="e">
        <f>((H31-2)*Reagents!#REF!/4-0.076)/J31</f>
        <v>#REF!</v>
      </c>
    </row>
    <row r="32" spans="1:11" x14ac:dyDescent="0.3">
      <c r="A32" t="s">
        <v>68</v>
      </c>
      <c r="B32" s="35">
        <v>35</v>
      </c>
      <c r="C32" s="30">
        <f>IF(B32="","",_xlfn.XLOOKUP(B32,Flasks!A$3:A$50,Flasks!D$3:D$50))</f>
        <v>135.13200000000001</v>
      </c>
      <c r="D32" s="24" t="s">
        <v>56</v>
      </c>
      <c r="E32">
        <v>36</v>
      </c>
      <c r="F32">
        <v>23</v>
      </c>
      <c r="G32">
        <v>0</v>
      </c>
      <c r="H32" s="1">
        <v>1458.43</v>
      </c>
      <c r="I32" s="31">
        <f t="shared" si="3"/>
        <v>10.792632389071427</v>
      </c>
      <c r="J32" s="45">
        <f t="shared" si="2"/>
        <v>0.13213259020240539</v>
      </c>
      <c r="K32" s="46" t="e">
        <f>((H32-2)*Reagents!#REF!/4-0.076)/J32</f>
        <v>#REF!</v>
      </c>
    </row>
    <row r="33" spans="1:11" x14ac:dyDescent="0.3">
      <c r="A33" t="s">
        <v>68</v>
      </c>
      <c r="B33" s="35">
        <v>48</v>
      </c>
      <c r="C33" s="30">
        <f>IF(B33="","",_xlfn.XLOOKUP(B33,Flasks!A$3:A$50,Flasks!D$3:D$50))</f>
        <v>143.17500000000001</v>
      </c>
      <c r="D33" s="24" t="s">
        <v>56</v>
      </c>
      <c r="E33">
        <v>37</v>
      </c>
      <c r="F33">
        <v>2</v>
      </c>
      <c r="G33">
        <v>265</v>
      </c>
      <c r="H33" s="1">
        <v>674.26</v>
      </c>
      <c r="I33" s="31">
        <f t="shared" si="3"/>
        <v>4.7093417146848262</v>
      </c>
      <c r="J33" s="45">
        <f t="shared" si="2"/>
        <v>0.13999706658844235</v>
      </c>
      <c r="K33" s="46" t="e">
        <f>((H33-2)*Reagents!#REF!/4-0.076)/J33</f>
        <v>#REF!</v>
      </c>
    </row>
    <row r="34" spans="1:11" x14ac:dyDescent="0.3">
      <c r="A34" t="s">
        <v>68</v>
      </c>
      <c r="B34" s="35">
        <v>38</v>
      </c>
      <c r="C34" s="30">
        <f>IF(B34="","",_xlfn.XLOOKUP(B34,Flasks!A$3:A$50,Flasks!D$3:D$50))</f>
        <v>141.27600000000001</v>
      </c>
      <c r="D34" s="24" t="s">
        <v>56</v>
      </c>
      <c r="E34">
        <v>37</v>
      </c>
      <c r="F34">
        <v>18</v>
      </c>
      <c r="G34">
        <v>0</v>
      </c>
      <c r="H34" s="1">
        <v>1421.4</v>
      </c>
      <c r="I34" s="31">
        <f t="shared" si="3"/>
        <v>10.0611568843965</v>
      </c>
      <c r="J34" s="45">
        <f t="shared" si="2"/>
        <v>0.13814021707245527</v>
      </c>
      <c r="K34" s="46" t="e">
        <f>((H34-2)*Reagents!#REF!/4-0.076)/J34</f>
        <v>#REF!</v>
      </c>
    </row>
    <row r="35" spans="1:11" x14ac:dyDescent="0.3">
      <c r="B35" s="35"/>
      <c r="C35" s="30"/>
      <c r="D35" s="24"/>
      <c r="H35" s="1"/>
      <c r="I35" s="31"/>
      <c r="J35" s="45"/>
      <c r="K35" s="46"/>
    </row>
    <row r="36" spans="1:11" x14ac:dyDescent="0.3">
      <c r="B36" s="35"/>
      <c r="C36" s="30"/>
      <c r="D36" s="24"/>
      <c r="H36" s="1"/>
      <c r="I36" s="31"/>
      <c r="J36" s="45"/>
      <c r="K36" s="46"/>
    </row>
    <row r="37" spans="1:11" x14ac:dyDescent="0.3">
      <c r="B37" s="35"/>
      <c r="C37" s="30"/>
      <c r="D37" s="24"/>
      <c r="H37" s="1"/>
      <c r="I37" s="31"/>
      <c r="J37" s="45"/>
      <c r="K37" s="46"/>
    </row>
    <row r="38" spans="1:11" x14ac:dyDescent="0.3">
      <c r="B38" s="35"/>
      <c r="C38" s="30"/>
      <c r="D38" s="24"/>
      <c r="H38" s="1"/>
      <c r="I38" s="31"/>
      <c r="J38" s="45"/>
      <c r="K38" s="46"/>
    </row>
    <row r="39" spans="1:11" x14ac:dyDescent="0.3">
      <c r="B39" s="35"/>
      <c r="C39" s="30"/>
      <c r="D39" s="24"/>
      <c r="H39" s="1"/>
      <c r="I39" s="31"/>
      <c r="J39" s="45"/>
      <c r="K39" s="46"/>
    </row>
    <row r="40" spans="1:11" x14ac:dyDescent="0.3">
      <c r="B40" s="35"/>
      <c r="C40" s="30"/>
      <c r="D40" s="24"/>
      <c r="H40" s="1"/>
      <c r="I40" s="31"/>
      <c r="J40" s="45"/>
      <c r="K40" s="46"/>
    </row>
    <row r="41" spans="1:11" x14ac:dyDescent="0.3">
      <c r="B41" s="35"/>
      <c r="C41" s="30"/>
      <c r="D41" s="24"/>
      <c r="H41" s="1"/>
      <c r="I41" s="31"/>
      <c r="J41" s="45"/>
      <c r="K41" s="46"/>
    </row>
    <row r="42" spans="1:11" x14ac:dyDescent="0.3">
      <c r="B42" s="35"/>
      <c r="C42" s="30"/>
      <c r="D42" s="24"/>
      <c r="H42" s="1"/>
      <c r="I42" s="31"/>
      <c r="J42" s="45"/>
      <c r="K42" s="46"/>
    </row>
    <row r="43" spans="1:11" x14ac:dyDescent="0.3">
      <c r="B43" s="35"/>
      <c r="C43" s="30"/>
      <c r="D43" s="24"/>
      <c r="H43" s="1"/>
      <c r="I43" s="31"/>
      <c r="J43" s="45"/>
      <c r="K43" s="46"/>
    </row>
    <row r="44" spans="1:11" x14ac:dyDescent="0.3">
      <c r="B44" s="35"/>
      <c r="C44" s="30"/>
      <c r="D44" s="24"/>
      <c r="H44" s="1"/>
      <c r="I44" s="31"/>
      <c r="J44" s="45"/>
      <c r="K44" s="46"/>
    </row>
    <row r="45" spans="1:11" x14ac:dyDescent="0.3">
      <c r="B45" s="35"/>
      <c r="C45" s="30"/>
      <c r="D45" s="24"/>
      <c r="H45" s="1"/>
      <c r="I45" s="31"/>
      <c r="J45" s="45"/>
      <c r="K45" s="46"/>
    </row>
    <row r="46" spans="1:11" x14ac:dyDescent="0.3">
      <c r="B46" s="35"/>
      <c r="C46" s="30"/>
      <c r="D46" s="24"/>
      <c r="H46" s="1"/>
      <c r="I46" s="31"/>
      <c r="J46" s="45"/>
      <c r="K46" s="46"/>
    </row>
    <row r="47" spans="1:11" x14ac:dyDescent="0.3">
      <c r="B47" s="35"/>
      <c r="C47" s="30"/>
      <c r="D47" s="24"/>
      <c r="H47" s="1"/>
      <c r="I47" s="31"/>
      <c r="J47" s="45"/>
      <c r="K47" s="46"/>
    </row>
    <row r="48" spans="1:11" x14ac:dyDescent="0.3">
      <c r="B48" s="35"/>
      <c r="C48" s="30"/>
      <c r="D48" s="24"/>
      <c r="H48" s="1"/>
      <c r="I48" s="31"/>
      <c r="J48" s="45"/>
      <c r="K48" s="46"/>
    </row>
    <row r="49" spans="2:11" x14ac:dyDescent="0.3">
      <c r="B49" s="35"/>
      <c r="C49" s="30"/>
      <c r="D49" s="24"/>
      <c r="H49" s="1"/>
      <c r="I49" s="31"/>
      <c r="J49" s="45"/>
      <c r="K49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8562-EB53-4680-A783-B4E07A2C2F35}">
  <dimension ref="A1:L17"/>
  <sheetViews>
    <sheetView workbookViewId="0">
      <selection activeCell="E12" sqref="E12"/>
    </sheetView>
  </sheetViews>
  <sheetFormatPr defaultRowHeight="14.4" x14ac:dyDescent="0.3"/>
  <sheetData>
    <row r="1" spans="1:12" x14ac:dyDescent="0.3">
      <c r="B1" s="35"/>
      <c r="C1" s="29" t="s">
        <v>4</v>
      </c>
      <c r="D1" s="24"/>
      <c r="G1" t="s">
        <v>26</v>
      </c>
      <c r="H1" s="1" t="s">
        <v>25</v>
      </c>
      <c r="I1" s="31" t="s">
        <v>50</v>
      </c>
      <c r="J1" s="45" t="s">
        <v>64</v>
      </c>
      <c r="K1" s="46" t="s">
        <v>82</v>
      </c>
    </row>
    <row r="2" spans="1:12" ht="43.2" x14ac:dyDescent="0.3">
      <c r="A2" s="25" t="s">
        <v>66</v>
      </c>
      <c r="B2" s="36" t="s">
        <v>11</v>
      </c>
      <c r="C2" s="28" t="s">
        <v>48</v>
      </c>
      <c r="D2" s="25" t="s">
        <v>21</v>
      </c>
      <c r="E2" s="25" t="s">
        <v>22</v>
      </c>
      <c r="F2" s="25" t="s">
        <v>23</v>
      </c>
      <c r="G2" s="25" t="s">
        <v>24</v>
      </c>
      <c r="H2" s="26" t="s">
        <v>10</v>
      </c>
      <c r="I2" s="32" t="s">
        <v>49</v>
      </c>
      <c r="J2" s="47" t="s">
        <v>63</v>
      </c>
      <c r="K2" s="28" t="s">
        <v>65</v>
      </c>
      <c r="L2" s="25" t="s">
        <v>28</v>
      </c>
    </row>
    <row r="3" spans="1:12" x14ac:dyDescent="0.3">
      <c r="A3" t="s">
        <v>75</v>
      </c>
      <c r="B3" s="35">
        <v>23</v>
      </c>
      <c r="C3" s="30">
        <f>IF(B3="","",_xlfn.XLOOKUP(B3,Flasks!A$3:A$50,Flasks!D$3:D$50))</f>
        <v>141.58500000000001</v>
      </c>
      <c r="D3" s="24" t="s">
        <v>56</v>
      </c>
      <c r="E3">
        <v>4</v>
      </c>
      <c r="F3">
        <v>15</v>
      </c>
      <c r="G3">
        <v>0</v>
      </c>
      <c r="H3" s="1">
        <v>1683.84</v>
      </c>
      <c r="I3" s="31">
        <f t="shared" ref="I3:I17" si="0">IF(H3="","",H3/C3)</f>
        <v>11.89278525267507</v>
      </c>
      <c r="J3" s="45">
        <f t="shared" ref="J3:J13" si="1">C3/1022.7</f>
        <v>0.13844235846289235</v>
      </c>
      <c r="K3" s="46" t="e">
        <f>((H3-2)*Reagents!#REF!/4-0.076)/J3</f>
        <v>#REF!</v>
      </c>
    </row>
    <row r="4" spans="1:12" x14ac:dyDescent="0.3">
      <c r="A4" t="s">
        <v>75</v>
      </c>
      <c r="B4" s="35">
        <v>2</v>
      </c>
      <c r="C4" s="30">
        <f>IF(B4="","",_xlfn.XLOOKUP(B4,Flasks!A$3:A$50,Flasks!D$3:D$50))</f>
        <v>142.34499999999997</v>
      </c>
      <c r="D4" s="24" t="s">
        <v>76</v>
      </c>
      <c r="E4">
        <v>14</v>
      </c>
      <c r="F4">
        <v>1</v>
      </c>
      <c r="H4" s="1">
        <v>1024.82</v>
      </c>
      <c r="I4" s="31">
        <f t="shared" si="0"/>
        <v>7.1995503881414882</v>
      </c>
      <c r="J4" s="45">
        <f t="shared" si="1"/>
        <v>0.13918548939082817</v>
      </c>
      <c r="K4" s="46" t="e">
        <f>((H4-2)*Reagents!#REF!/4-0.076)/J4</f>
        <v>#REF!</v>
      </c>
    </row>
    <row r="5" spans="1:12" x14ac:dyDescent="0.3">
      <c r="A5" t="s">
        <v>75</v>
      </c>
      <c r="B5" s="35">
        <v>44</v>
      </c>
      <c r="C5" s="30">
        <f>IF(B5="","",_xlfn.XLOOKUP(B5,Flasks!A$3:A$50,Flasks!D$3:D$50))</f>
        <v>138.86000000000001</v>
      </c>
      <c r="D5" s="24" t="s">
        <v>76</v>
      </c>
      <c r="E5">
        <v>14</v>
      </c>
      <c r="F5">
        <v>1</v>
      </c>
      <c r="H5" s="1">
        <v>1002.87</v>
      </c>
      <c r="I5" s="31">
        <f t="shared" si="0"/>
        <v>7.2221662105717979</v>
      </c>
      <c r="J5" s="45">
        <f t="shared" si="1"/>
        <v>0.1357778429647013</v>
      </c>
      <c r="K5" s="46" t="e">
        <f>((H5-2)*Reagents!#REF!/4-0.076)/J5</f>
        <v>#REF!</v>
      </c>
    </row>
    <row r="6" spans="1:12" x14ac:dyDescent="0.3">
      <c r="A6" t="s">
        <v>75</v>
      </c>
      <c r="B6" s="35">
        <v>28</v>
      </c>
      <c r="C6" s="30">
        <f>IF(B6="","",_xlfn.XLOOKUP(B6,Flasks!A$3:A$50,Flasks!D$3:D$50))</f>
        <v>138.58100000000002</v>
      </c>
      <c r="D6" s="24" t="s">
        <v>76</v>
      </c>
      <c r="E6">
        <v>14</v>
      </c>
      <c r="F6">
        <v>1</v>
      </c>
      <c r="H6" s="1">
        <v>998.48</v>
      </c>
      <c r="I6" s="31">
        <f t="shared" si="0"/>
        <v>7.2050281063060586</v>
      </c>
      <c r="J6" s="45">
        <f t="shared" si="1"/>
        <v>0.13550503568984062</v>
      </c>
      <c r="K6" s="46" t="e">
        <f>((H6-2)*Reagents!#REF!/4-0.076)/J6</f>
        <v>#REF!</v>
      </c>
    </row>
    <row r="7" spans="1:12" x14ac:dyDescent="0.3">
      <c r="A7" t="s">
        <v>75</v>
      </c>
      <c r="B7" s="35">
        <v>7</v>
      </c>
      <c r="C7" s="30">
        <f>IF(B7="","",_xlfn.XLOOKUP(B7,Flasks!A$3:A$50,Flasks!D$3:D$50))</f>
        <v>140.02600000000001</v>
      </c>
      <c r="D7" s="24" t="s">
        <v>77</v>
      </c>
      <c r="E7">
        <v>16</v>
      </c>
      <c r="F7">
        <v>1</v>
      </c>
      <c r="H7" s="1">
        <v>606.91</v>
      </c>
      <c r="I7" s="31">
        <f t="shared" si="0"/>
        <v>4.3342664933655177</v>
      </c>
      <c r="J7" s="45">
        <f t="shared" si="1"/>
        <v>0.1369179622567713</v>
      </c>
      <c r="K7" s="46" t="e">
        <f>((H7-2)*Reagents!#REF!/4-0.076)/J7</f>
        <v>#REF!</v>
      </c>
    </row>
    <row r="8" spans="1:12" x14ac:dyDescent="0.3">
      <c r="A8" t="s">
        <v>75</v>
      </c>
      <c r="B8" s="35">
        <v>37</v>
      </c>
      <c r="C8" s="30">
        <f>IF(B8="","",_xlfn.XLOOKUP(B8,Flasks!A$3:A$50,Flasks!D$3:D$50))</f>
        <v>134.20400000000001</v>
      </c>
      <c r="D8" s="24" t="s">
        <v>77</v>
      </c>
      <c r="E8">
        <v>16</v>
      </c>
      <c r="F8">
        <v>1</v>
      </c>
      <c r="H8" s="1">
        <v>586.51</v>
      </c>
      <c r="I8" s="31">
        <f t="shared" si="0"/>
        <v>4.3702870257220345</v>
      </c>
      <c r="J8" s="45">
        <f t="shared" si="1"/>
        <v>0.13122518822724161</v>
      </c>
      <c r="K8" s="46" t="e">
        <f>((H8-2)*Reagents!#REF!/4-0.076)/J8</f>
        <v>#REF!</v>
      </c>
    </row>
    <row r="9" spans="1:12" x14ac:dyDescent="0.3">
      <c r="A9" t="s">
        <v>75</v>
      </c>
      <c r="B9" s="35">
        <v>11</v>
      </c>
      <c r="C9" s="30">
        <f>IF(B9="","",_xlfn.XLOOKUP(B9,Flasks!A$3:A$50,Flasks!D$3:D$50))</f>
        <v>133.20099999999999</v>
      </c>
      <c r="D9" s="24" t="s">
        <v>77</v>
      </c>
      <c r="E9">
        <v>16</v>
      </c>
      <c r="F9">
        <v>1</v>
      </c>
      <c r="H9" s="1">
        <v>578.69000000000005</v>
      </c>
      <c r="I9" s="31">
        <f t="shared" si="0"/>
        <v>4.3444869032514779</v>
      </c>
      <c r="J9" s="45">
        <f t="shared" si="1"/>
        <v>0.13024445096313678</v>
      </c>
      <c r="K9" s="46" t="e">
        <f>((H9-2)*Reagents!#REF!/4-0.076)/J9</f>
        <v>#REF!</v>
      </c>
    </row>
    <row r="10" spans="1:12" x14ac:dyDescent="0.3">
      <c r="A10" t="s">
        <v>75</v>
      </c>
      <c r="B10" s="35">
        <v>27</v>
      </c>
      <c r="C10" s="30">
        <f>IF(B10="","",_xlfn.XLOOKUP(B10,Flasks!A$3:A$50,Flasks!D$3:D$50))</f>
        <v>135.46200000000002</v>
      </c>
      <c r="D10" s="24" t="s">
        <v>78</v>
      </c>
      <c r="E10">
        <v>23</v>
      </c>
      <c r="F10">
        <v>1</v>
      </c>
      <c r="H10" s="1">
        <v>98.98</v>
      </c>
      <c r="I10" s="31">
        <f t="shared" si="0"/>
        <v>0.73068462004104462</v>
      </c>
      <c r="J10" s="45">
        <f t="shared" si="1"/>
        <v>0.13245526547374598</v>
      </c>
      <c r="K10" s="46" t="e">
        <f>((H10-2)*Reagents!#REF!/4-0.076)/J10</f>
        <v>#REF!</v>
      </c>
    </row>
    <row r="11" spans="1:12" x14ac:dyDescent="0.3">
      <c r="A11" t="s">
        <v>75</v>
      </c>
      <c r="B11" s="35">
        <v>47</v>
      </c>
      <c r="C11" s="30">
        <f>IF(B11="","",_xlfn.XLOOKUP(B11,Flasks!A$3:A$50,Flasks!D$3:D$50))</f>
        <v>139.245</v>
      </c>
      <c r="D11" s="24" t="s">
        <v>78</v>
      </c>
      <c r="E11">
        <v>23</v>
      </c>
      <c r="F11">
        <v>1</v>
      </c>
      <c r="H11" s="1">
        <v>106.88</v>
      </c>
      <c r="I11" s="31">
        <f t="shared" si="0"/>
        <v>0.76756795576142767</v>
      </c>
      <c r="J11" s="45">
        <f t="shared" si="1"/>
        <v>0.13615429744793195</v>
      </c>
      <c r="K11" s="46" t="e">
        <f>((H11-2)*Reagents!#REF!/4-0.076)/J11</f>
        <v>#REF!</v>
      </c>
    </row>
    <row r="12" spans="1:12" x14ac:dyDescent="0.3">
      <c r="A12" t="s">
        <v>75</v>
      </c>
      <c r="B12" s="35">
        <v>55</v>
      </c>
      <c r="C12" s="30">
        <f>IF(B12="","",_xlfn.XLOOKUP(B12,Flasks!A$3:A$50,Flasks!D$3:D$50))</f>
        <v>133.97399999999999</v>
      </c>
      <c r="D12" s="24" t="s">
        <v>79</v>
      </c>
      <c r="E12">
        <v>28</v>
      </c>
      <c r="F12">
        <v>4</v>
      </c>
      <c r="H12" s="1">
        <v>354.29</v>
      </c>
      <c r="I12" s="31">
        <f t="shared" si="0"/>
        <v>2.6444683296759077</v>
      </c>
      <c r="J12" s="45">
        <f t="shared" si="1"/>
        <v>0.13100029334115576</v>
      </c>
      <c r="K12" s="46" t="e">
        <f>((H12-2)*Reagents!#REF!/4-0.076)/J12</f>
        <v>#REF!</v>
      </c>
    </row>
    <row r="13" spans="1:12" x14ac:dyDescent="0.3">
      <c r="A13" t="s">
        <v>75</v>
      </c>
      <c r="B13" s="35">
        <v>8</v>
      </c>
      <c r="C13" s="30">
        <f>IF(B13="","",_xlfn.XLOOKUP(B13,Flasks!A$3:A$50,Flasks!D$3:D$50))</f>
        <v>140.14830434782607</v>
      </c>
      <c r="D13" s="24" t="s">
        <v>79</v>
      </c>
      <c r="E13">
        <v>28</v>
      </c>
      <c r="F13">
        <v>3</v>
      </c>
      <c r="H13" s="1">
        <v>121.5</v>
      </c>
      <c r="I13" s="31">
        <f t="shared" si="0"/>
        <v>0.86693878006869129</v>
      </c>
      <c r="J13" s="45">
        <f t="shared" si="1"/>
        <v>0.1370375519192589</v>
      </c>
      <c r="K13" s="46" t="e">
        <f>((H13-2)*Reagents!#REF!/4-0.076)/J13</f>
        <v>#REF!</v>
      </c>
    </row>
    <row r="14" spans="1:12" x14ac:dyDescent="0.3">
      <c r="B14" s="35"/>
      <c r="C14" s="30" t="str">
        <f>IF(B14="","",_xlfn.XLOOKUP(B14,Flasks!A$3:A$50,Flasks!D$3:D$50))</f>
        <v/>
      </c>
      <c r="D14" s="24"/>
      <c r="H14" s="1"/>
      <c r="I14" s="31" t="str">
        <f t="shared" si="0"/>
        <v/>
      </c>
      <c r="J14" s="45"/>
      <c r="K14" s="46"/>
    </row>
    <row r="15" spans="1:12" x14ac:dyDescent="0.3">
      <c r="B15" s="35"/>
      <c r="C15" s="30"/>
      <c r="D15" s="24"/>
      <c r="H15" s="1"/>
      <c r="I15" s="31" t="str">
        <f t="shared" si="0"/>
        <v/>
      </c>
      <c r="J15" s="45"/>
      <c r="K15" s="46"/>
    </row>
    <row r="16" spans="1:12" x14ac:dyDescent="0.3">
      <c r="B16" s="35"/>
      <c r="C16" s="30"/>
      <c r="D16" s="24"/>
      <c r="H16" s="1"/>
      <c r="I16" s="31" t="str">
        <f t="shared" si="0"/>
        <v/>
      </c>
      <c r="J16" s="45"/>
      <c r="K16" s="46"/>
    </row>
    <row r="17" spans="2:11" x14ac:dyDescent="0.3">
      <c r="B17" s="35"/>
      <c r="C17" s="30"/>
      <c r="D17" s="24"/>
      <c r="H17" s="1"/>
      <c r="I17" s="31" t="str">
        <f t="shared" si="0"/>
        <v/>
      </c>
      <c r="J17" s="45"/>
      <c r="K17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61E4-86FC-4867-BF55-4990B94C4F4C}">
  <dimension ref="A1:D49"/>
  <sheetViews>
    <sheetView workbookViewId="0">
      <selection activeCell="D4" sqref="D4"/>
    </sheetView>
  </sheetViews>
  <sheetFormatPr defaultRowHeight="14.4" x14ac:dyDescent="0.3"/>
  <cols>
    <col min="2" max="3" width="14" customWidth="1"/>
    <col min="4" max="4" width="14.88671875" customWidth="1"/>
  </cols>
  <sheetData>
    <row r="1" spans="1:4" ht="16.8" x14ac:dyDescent="0.4">
      <c r="A1" s="5"/>
      <c r="B1" s="6" t="s">
        <v>4</v>
      </c>
      <c r="C1" s="6" t="s">
        <v>4</v>
      </c>
      <c r="D1" s="7" t="s">
        <v>4</v>
      </c>
    </row>
    <row r="2" spans="1:4" ht="16.8" x14ac:dyDescent="0.4">
      <c r="A2" s="8" t="s">
        <v>11</v>
      </c>
      <c r="B2" s="9" t="s">
        <v>38</v>
      </c>
      <c r="C2" s="9" t="s">
        <v>39</v>
      </c>
      <c r="D2" s="10" t="s">
        <v>40</v>
      </c>
    </row>
    <row r="3" spans="1:4" ht="16.8" x14ac:dyDescent="0.4">
      <c r="A3" s="27">
        <v>23</v>
      </c>
      <c r="B3" s="6">
        <v>83.025000000000006</v>
      </c>
      <c r="C3" s="6">
        <v>224.61</v>
      </c>
      <c r="D3" s="6">
        <f>IF(C3="","",C3-B3)</f>
        <v>141.58500000000001</v>
      </c>
    </row>
    <row r="4" spans="1:4" ht="16.8" x14ac:dyDescent="0.4">
      <c r="A4" s="27">
        <v>28</v>
      </c>
      <c r="B4" s="6">
        <v>82.581999999999994</v>
      </c>
      <c r="C4" s="6">
        <v>221.16300000000001</v>
      </c>
      <c r="D4" s="6">
        <f t="shared" ref="D4:D48" si="0">IF(C4="","",C4-B4)</f>
        <v>138.58100000000002</v>
      </c>
    </row>
    <row r="5" spans="1:4" ht="16.8" x14ac:dyDescent="0.4">
      <c r="A5" s="27">
        <v>7</v>
      </c>
      <c r="B5" s="6">
        <v>82.628</v>
      </c>
      <c r="C5" s="6">
        <v>222.654</v>
      </c>
      <c r="D5" s="6">
        <f t="shared" si="0"/>
        <v>140.02600000000001</v>
      </c>
    </row>
    <row r="6" spans="1:4" ht="16.8" x14ac:dyDescent="0.4">
      <c r="A6" s="27">
        <v>12</v>
      </c>
      <c r="B6" s="6">
        <v>81.941000000000003</v>
      </c>
      <c r="C6" s="6">
        <v>219.90199999999999</v>
      </c>
      <c r="D6" s="6">
        <f t="shared" si="0"/>
        <v>137.96099999999998</v>
      </c>
    </row>
    <row r="7" spans="1:4" ht="16.8" x14ac:dyDescent="0.4">
      <c r="A7" s="27">
        <v>2</v>
      </c>
      <c r="B7" s="6">
        <v>83.552000000000007</v>
      </c>
      <c r="C7" s="6">
        <v>225.89699999999999</v>
      </c>
      <c r="D7" s="6">
        <f t="shared" si="0"/>
        <v>142.34499999999997</v>
      </c>
    </row>
    <row r="8" spans="1:4" ht="16.8" x14ac:dyDescent="0.4">
      <c r="A8" s="27">
        <v>11</v>
      </c>
      <c r="B8" s="6">
        <v>82.655000000000001</v>
      </c>
      <c r="C8" s="6">
        <v>215.85599999999999</v>
      </c>
      <c r="D8" s="6">
        <f t="shared" si="0"/>
        <v>133.20099999999999</v>
      </c>
    </row>
    <row r="9" spans="1:4" ht="16.8" x14ac:dyDescent="0.4">
      <c r="A9" s="27">
        <v>55</v>
      </c>
      <c r="B9" s="6">
        <v>82.183000000000007</v>
      </c>
      <c r="C9" s="6">
        <v>216.15700000000001</v>
      </c>
      <c r="D9" s="6">
        <f t="shared" si="0"/>
        <v>133.97399999999999</v>
      </c>
    </row>
    <row r="10" spans="1:4" ht="16.8" x14ac:dyDescent="0.4">
      <c r="A10" s="27">
        <v>44</v>
      </c>
      <c r="B10" s="6">
        <v>83.623000000000005</v>
      </c>
      <c r="C10" s="6">
        <v>222.483</v>
      </c>
      <c r="D10" s="6">
        <f t="shared" si="0"/>
        <v>138.86000000000001</v>
      </c>
    </row>
    <row r="11" spans="1:4" ht="16.8" x14ac:dyDescent="0.4">
      <c r="A11" s="27">
        <v>37</v>
      </c>
      <c r="B11" s="6">
        <v>82.852000000000004</v>
      </c>
      <c r="C11" s="6">
        <v>217.05600000000001</v>
      </c>
      <c r="D11" s="6">
        <f t="shared" si="0"/>
        <v>134.20400000000001</v>
      </c>
    </row>
    <row r="12" spans="1:4" ht="16.8" x14ac:dyDescent="0.4">
      <c r="A12" s="27">
        <v>50</v>
      </c>
      <c r="B12" s="6">
        <v>82.882999999999996</v>
      </c>
      <c r="C12" s="6">
        <v>219.447</v>
      </c>
      <c r="D12" s="6">
        <f t="shared" si="0"/>
        <v>136.56400000000002</v>
      </c>
    </row>
    <row r="13" spans="1:4" ht="16.8" x14ac:dyDescent="0.4">
      <c r="A13" s="27">
        <v>24</v>
      </c>
      <c r="B13" s="6">
        <v>82.194000000000003</v>
      </c>
      <c r="C13" s="6">
        <v>220.91900000000001</v>
      </c>
      <c r="D13" s="6">
        <f t="shared" si="0"/>
        <v>138.72500000000002</v>
      </c>
    </row>
    <row r="14" spans="1:4" ht="16.8" x14ac:dyDescent="0.4">
      <c r="A14" s="27">
        <v>6</v>
      </c>
      <c r="B14" s="6">
        <v>82.974000000000004</v>
      </c>
      <c r="C14" s="6">
        <v>228.328</v>
      </c>
      <c r="D14" s="6">
        <f t="shared" si="0"/>
        <v>145.35399999999998</v>
      </c>
    </row>
    <row r="15" spans="1:4" ht="16.8" x14ac:dyDescent="0.4">
      <c r="A15" s="27">
        <v>27</v>
      </c>
      <c r="B15" s="6">
        <v>82.742999999999995</v>
      </c>
      <c r="C15" s="6">
        <v>218.20500000000001</v>
      </c>
      <c r="D15" s="6">
        <f t="shared" si="0"/>
        <v>135.46200000000002</v>
      </c>
    </row>
    <row r="16" spans="1:4" ht="16.8" x14ac:dyDescent="0.4">
      <c r="A16" s="27">
        <v>20</v>
      </c>
      <c r="B16" s="6">
        <v>82.786000000000001</v>
      </c>
      <c r="C16" s="6">
        <v>229.34</v>
      </c>
      <c r="D16" s="6">
        <f t="shared" si="0"/>
        <v>146.554</v>
      </c>
    </row>
    <row r="17" spans="1:4" ht="16.8" x14ac:dyDescent="0.4">
      <c r="A17" s="27">
        <v>49</v>
      </c>
      <c r="B17" s="6">
        <v>82.783000000000001</v>
      </c>
      <c r="C17" s="6">
        <v>222.25399999999999</v>
      </c>
      <c r="D17" s="6">
        <f t="shared" si="0"/>
        <v>139.471</v>
      </c>
    </row>
    <row r="18" spans="1:4" ht="16.8" x14ac:dyDescent="0.4">
      <c r="A18" s="27">
        <v>47</v>
      </c>
      <c r="B18" s="6">
        <v>83.484999999999999</v>
      </c>
      <c r="C18" s="6">
        <v>222.73</v>
      </c>
      <c r="D18" s="6">
        <f t="shared" si="0"/>
        <v>139.245</v>
      </c>
    </row>
    <row r="19" spans="1:4" ht="16.8" x14ac:dyDescent="0.4">
      <c r="A19" s="27">
        <v>45</v>
      </c>
      <c r="B19" s="6">
        <v>83.277000000000001</v>
      </c>
      <c r="C19" s="6">
        <v>225.76599999999999</v>
      </c>
      <c r="D19" s="6">
        <f t="shared" si="0"/>
        <v>142.48899999999998</v>
      </c>
    </row>
    <row r="20" spans="1:4" ht="16.8" x14ac:dyDescent="0.4">
      <c r="A20" s="27">
        <v>30</v>
      </c>
      <c r="B20" s="6">
        <v>82.525000000000006</v>
      </c>
      <c r="C20" s="6">
        <v>227.572</v>
      </c>
      <c r="D20" s="6">
        <f t="shared" si="0"/>
        <v>145.047</v>
      </c>
    </row>
    <row r="21" spans="1:4" ht="16.8" x14ac:dyDescent="0.4">
      <c r="A21" s="27">
        <v>5</v>
      </c>
      <c r="B21" s="6">
        <v>83.075000000000003</v>
      </c>
      <c r="C21" s="6">
        <v>224.75700000000001</v>
      </c>
      <c r="D21" s="6">
        <f t="shared" si="0"/>
        <v>141.68200000000002</v>
      </c>
    </row>
    <row r="22" spans="1:4" ht="16.8" x14ac:dyDescent="0.4">
      <c r="A22" s="27">
        <v>43</v>
      </c>
      <c r="B22" s="6">
        <v>83.486999999999995</v>
      </c>
      <c r="C22" s="6">
        <v>224.76</v>
      </c>
      <c r="D22" s="6">
        <f t="shared" si="0"/>
        <v>141.273</v>
      </c>
    </row>
    <row r="23" spans="1:4" ht="16.8" x14ac:dyDescent="0.4">
      <c r="A23" s="27">
        <v>3</v>
      </c>
      <c r="B23" s="6">
        <v>83.149000000000001</v>
      </c>
      <c r="C23" s="6">
        <v>219.79499999999999</v>
      </c>
      <c r="D23" s="6">
        <f t="shared" si="0"/>
        <v>136.64599999999999</v>
      </c>
    </row>
    <row r="24" spans="1:4" ht="16.8" x14ac:dyDescent="0.4">
      <c r="A24" s="27">
        <v>32</v>
      </c>
      <c r="B24" s="6">
        <v>82.299000000000007</v>
      </c>
      <c r="C24" s="6">
        <v>221.85</v>
      </c>
      <c r="D24" s="6">
        <f t="shared" si="0"/>
        <v>139.55099999999999</v>
      </c>
    </row>
    <row r="25" spans="1:4" ht="16.8" x14ac:dyDescent="0.4">
      <c r="A25" s="27">
        <v>13</v>
      </c>
      <c r="B25" s="6">
        <v>83.037000000000006</v>
      </c>
      <c r="C25" s="6">
        <v>229.874</v>
      </c>
      <c r="D25" s="6">
        <f t="shared" si="0"/>
        <v>146.83699999999999</v>
      </c>
    </row>
    <row r="26" spans="1:4" ht="16.8" x14ac:dyDescent="0.4">
      <c r="A26" s="27">
        <v>41</v>
      </c>
      <c r="B26" s="6">
        <v>82.167000000000002</v>
      </c>
      <c r="C26" s="6">
        <v>222.005</v>
      </c>
      <c r="D26" s="6">
        <f t="shared" si="0"/>
        <v>139.83799999999999</v>
      </c>
    </row>
    <row r="27" spans="1:4" ht="16.8" x14ac:dyDescent="0.4">
      <c r="A27" s="27">
        <v>17</v>
      </c>
      <c r="B27" s="6">
        <v>82.55</v>
      </c>
      <c r="C27" s="6">
        <v>224.42099999999999</v>
      </c>
      <c r="D27" s="6">
        <f t="shared" si="0"/>
        <v>141.87099999999998</v>
      </c>
    </row>
    <row r="28" spans="1:4" ht="16.8" x14ac:dyDescent="0.4">
      <c r="A28" s="27">
        <v>18</v>
      </c>
      <c r="B28" s="6">
        <v>83.198999999999998</v>
      </c>
      <c r="C28" s="6">
        <v>228.19399999999999</v>
      </c>
      <c r="D28" s="6">
        <f t="shared" si="0"/>
        <v>144.995</v>
      </c>
    </row>
    <row r="29" spans="1:4" ht="16.8" x14ac:dyDescent="0.4">
      <c r="A29" s="27">
        <v>21</v>
      </c>
      <c r="B29" s="6">
        <v>83.15</v>
      </c>
      <c r="C29" s="6">
        <v>225.40799999999999</v>
      </c>
      <c r="D29" s="6">
        <f t="shared" si="0"/>
        <v>142.25799999999998</v>
      </c>
    </row>
    <row r="30" spans="1:4" ht="16.8" x14ac:dyDescent="0.4">
      <c r="A30" s="27">
        <v>40</v>
      </c>
      <c r="B30" s="6">
        <v>83.332999999999998</v>
      </c>
      <c r="C30" s="6">
        <v>220.15</v>
      </c>
      <c r="D30" s="6">
        <f t="shared" si="0"/>
        <v>136.81700000000001</v>
      </c>
    </row>
    <row r="31" spans="1:4" ht="16.8" x14ac:dyDescent="0.4">
      <c r="A31" s="27">
        <v>35</v>
      </c>
      <c r="B31" s="6">
        <v>83.471999999999994</v>
      </c>
      <c r="C31" s="6">
        <v>218.60400000000001</v>
      </c>
      <c r="D31" s="6">
        <f t="shared" si="0"/>
        <v>135.13200000000001</v>
      </c>
    </row>
    <row r="32" spans="1:4" ht="16.8" x14ac:dyDescent="0.4">
      <c r="A32" s="27">
        <v>34</v>
      </c>
      <c r="B32" s="6">
        <v>82.152000000000001</v>
      </c>
      <c r="C32" s="6">
        <v>221.43799999999999</v>
      </c>
      <c r="D32" s="6">
        <f t="shared" si="0"/>
        <v>139.286</v>
      </c>
    </row>
    <row r="33" spans="1:4" ht="16.8" x14ac:dyDescent="0.4">
      <c r="A33" s="27">
        <v>15</v>
      </c>
      <c r="B33" s="6">
        <v>82.266999999999996</v>
      </c>
      <c r="C33" s="6">
        <v>225.57900000000001</v>
      </c>
      <c r="D33" s="6">
        <f t="shared" si="0"/>
        <v>143.31200000000001</v>
      </c>
    </row>
    <row r="34" spans="1:4" ht="16.8" x14ac:dyDescent="0.4">
      <c r="A34" s="27">
        <v>52</v>
      </c>
      <c r="B34" s="6">
        <v>83.284999999999997</v>
      </c>
      <c r="C34" s="6">
        <v>222.53700000000001</v>
      </c>
      <c r="D34" s="6">
        <f t="shared" si="0"/>
        <v>139.25200000000001</v>
      </c>
    </row>
    <row r="35" spans="1:4" ht="16.8" x14ac:dyDescent="0.4">
      <c r="A35" s="27">
        <v>22</v>
      </c>
      <c r="B35" s="6">
        <v>82.875</v>
      </c>
      <c r="C35" s="6">
        <v>224.39099999999999</v>
      </c>
      <c r="D35" s="6">
        <f t="shared" si="0"/>
        <v>141.51599999999999</v>
      </c>
    </row>
    <row r="36" spans="1:4" ht="16.8" x14ac:dyDescent="0.4">
      <c r="A36" s="27">
        <v>31</v>
      </c>
      <c r="B36" s="6">
        <v>83.075000000000003</v>
      </c>
      <c r="C36" s="6">
        <v>226.04300000000001</v>
      </c>
      <c r="D36" s="6">
        <f t="shared" si="0"/>
        <v>142.96800000000002</v>
      </c>
    </row>
    <row r="37" spans="1:4" ht="16.8" x14ac:dyDescent="0.4">
      <c r="A37" s="27">
        <v>38</v>
      </c>
      <c r="B37" s="6">
        <v>82.957999999999998</v>
      </c>
      <c r="C37" s="6">
        <v>224.23400000000001</v>
      </c>
      <c r="D37" s="6">
        <f t="shared" si="0"/>
        <v>141.27600000000001</v>
      </c>
    </row>
    <row r="38" spans="1:4" ht="16.8" x14ac:dyDescent="0.4">
      <c r="A38" s="27">
        <v>48</v>
      </c>
      <c r="B38" s="6">
        <v>82.74</v>
      </c>
      <c r="C38" s="6">
        <v>225.91499999999999</v>
      </c>
      <c r="D38" s="6">
        <f t="shared" si="0"/>
        <v>143.17500000000001</v>
      </c>
    </row>
    <row r="39" spans="1:4" ht="16.8" x14ac:dyDescent="0.4">
      <c r="A39" s="27">
        <v>14</v>
      </c>
      <c r="B39" s="6">
        <v>83.521000000000001</v>
      </c>
      <c r="C39" s="6">
        <v>217.892</v>
      </c>
      <c r="D39" s="6">
        <f t="shared" si="0"/>
        <v>134.37099999999998</v>
      </c>
    </row>
    <row r="40" spans="1:4" ht="16.8" x14ac:dyDescent="0.4">
      <c r="A40" s="27">
        <v>29</v>
      </c>
      <c r="B40" s="6">
        <v>83.241</v>
      </c>
      <c r="C40" s="6">
        <v>226.98</v>
      </c>
      <c r="D40" s="6">
        <f t="shared" si="0"/>
        <v>143.73899999999998</v>
      </c>
    </row>
    <row r="41" spans="1:4" ht="16.8" x14ac:dyDescent="0.4">
      <c r="A41" s="27">
        <v>26</v>
      </c>
      <c r="B41" s="6">
        <v>83.869</v>
      </c>
      <c r="C41" s="6">
        <v>226.904</v>
      </c>
      <c r="D41" s="6">
        <f t="shared" si="0"/>
        <v>143.035</v>
      </c>
    </row>
    <row r="42" spans="1:4" ht="16.8" x14ac:dyDescent="0.4">
      <c r="A42" s="27">
        <v>9</v>
      </c>
      <c r="B42" s="6">
        <v>83.820999999999998</v>
      </c>
      <c r="C42" s="6">
        <v>221.72900000000001</v>
      </c>
      <c r="D42" s="6">
        <f t="shared" si="0"/>
        <v>137.90800000000002</v>
      </c>
    </row>
    <row r="43" spans="1:4" ht="16.8" x14ac:dyDescent="0.4">
      <c r="A43" s="27">
        <v>4</v>
      </c>
      <c r="B43" s="6">
        <v>81.927000000000007</v>
      </c>
      <c r="C43" s="6">
        <v>219.672</v>
      </c>
      <c r="D43" s="6">
        <f t="shared" si="0"/>
        <v>137.745</v>
      </c>
    </row>
    <row r="44" spans="1:4" ht="16.8" x14ac:dyDescent="0.4">
      <c r="A44" s="27">
        <v>39</v>
      </c>
      <c r="B44" s="6">
        <v>83.643000000000001</v>
      </c>
      <c r="C44" s="6">
        <v>224.81200000000001</v>
      </c>
      <c r="D44" s="7">
        <f t="shared" si="0"/>
        <v>141.16900000000001</v>
      </c>
    </row>
    <row r="45" spans="1:4" ht="16.8" x14ac:dyDescent="0.4">
      <c r="A45" s="27">
        <v>36</v>
      </c>
      <c r="B45" s="6">
        <v>83.314999999999998</v>
      </c>
      <c r="C45" s="6">
        <v>223.45400000000001</v>
      </c>
      <c r="D45" s="7">
        <f t="shared" si="0"/>
        <v>140.13900000000001</v>
      </c>
    </row>
    <row r="46" spans="1:4" ht="16.8" x14ac:dyDescent="0.4">
      <c r="A46" s="27">
        <v>25</v>
      </c>
      <c r="B46" s="6">
        <v>83.025000000000006</v>
      </c>
      <c r="C46" s="6">
        <v>228.261</v>
      </c>
      <c r="D46" s="7">
        <f t="shared" si="0"/>
        <v>145.23599999999999</v>
      </c>
    </row>
    <row r="47" spans="1:4" ht="16.8" x14ac:dyDescent="0.4">
      <c r="A47" s="27">
        <v>19</v>
      </c>
      <c r="B47" s="6">
        <v>83.92</v>
      </c>
      <c r="C47" s="6">
        <v>225.23400000000001</v>
      </c>
      <c r="D47" s="7">
        <f t="shared" si="0"/>
        <v>141.31400000000002</v>
      </c>
    </row>
    <row r="48" spans="1:4" ht="16.8" x14ac:dyDescent="0.4">
      <c r="A48" s="27">
        <v>46</v>
      </c>
      <c r="B48" s="6">
        <v>84.876999999999995</v>
      </c>
      <c r="C48" s="6">
        <v>219.71</v>
      </c>
      <c r="D48" s="7">
        <f t="shared" si="0"/>
        <v>134.83300000000003</v>
      </c>
    </row>
    <row r="49" spans="1:4" ht="16.8" x14ac:dyDescent="0.4">
      <c r="A49" s="41">
        <v>8</v>
      </c>
      <c r="B49" s="42"/>
      <c r="C49" s="42"/>
      <c r="D49" s="43">
        <f>AVERAGE(D3:D48)</f>
        <v>140.14830434782607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BBEC-E6A6-4A9E-B265-EE79D59588E9}">
  <dimension ref="A1:H31"/>
  <sheetViews>
    <sheetView view="pageLayout" zoomScale="70" zoomScaleNormal="100" zoomScalePageLayoutView="70" workbookViewId="0">
      <selection activeCell="H6" sqref="H6"/>
    </sheetView>
  </sheetViews>
  <sheetFormatPr defaultColWidth="9.109375" defaultRowHeight="16.8" x14ac:dyDescent="0.4"/>
  <cols>
    <col min="1" max="1" width="18.5546875" style="7" customWidth="1"/>
    <col min="2" max="2" width="6.44140625" style="7" customWidth="1"/>
    <col min="3" max="3" width="9.88671875" style="7" customWidth="1"/>
    <col min="4" max="4" width="5.88671875" style="7" bestFit="1" customWidth="1"/>
    <col min="5" max="5" width="8" style="7" customWidth="1"/>
    <col min="6" max="6" width="8.5546875" style="7" bestFit="1" customWidth="1"/>
    <col min="7" max="7" width="10.109375" style="7" customWidth="1"/>
    <col min="8" max="8" width="21.44140625" style="7" customWidth="1"/>
    <col min="9" max="16384" width="9.109375" style="7"/>
  </cols>
  <sheetData>
    <row r="1" spans="1:8" ht="24.6" x14ac:dyDescent="0.55000000000000004">
      <c r="A1" s="23" t="s">
        <v>42</v>
      </c>
    </row>
    <row r="3" spans="1:8" ht="21.6" customHeight="1" x14ac:dyDescent="0.4">
      <c r="A3" s="20" t="s">
        <v>41</v>
      </c>
      <c r="B3" s="21" t="s">
        <v>11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10</v>
      </c>
      <c r="H3" s="22" t="s">
        <v>28</v>
      </c>
    </row>
    <row r="4" spans="1:8" ht="21.6" customHeight="1" x14ac:dyDescent="0.4">
      <c r="A4" s="17"/>
      <c r="B4" s="18"/>
      <c r="C4" s="18"/>
      <c r="D4" s="18"/>
      <c r="E4" s="18"/>
      <c r="F4" s="18"/>
      <c r="G4" s="18"/>
      <c r="H4" s="19"/>
    </row>
    <row r="5" spans="1:8" ht="21.6" customHeight="1" x14ac:dyDescent="0.4">
      <c r="A5" s="11"/>
      <c r="B5" s="12"/>
      <c r="C5" s="12"/>
      <c r="D5" s="12"/>
      <c r="E5" s="12"/>
      <c r="F5" s="12"/>
      <c r="G5" s="12"/>
      <c r="H5" s="13"/>
    </row>
    <row r="6" spans="1:8" ht="21.6" customHeight="1" x14ac:dyDescent="0.4">
      <c r="A6" s="11"/>
      <c r="B6" s="12"/>
      <c r="C6" s="12"/>
      <c r="D6" s="12"/>
      <c r="E6" s="12"/>
      <c r="F6" s="12"/>
      <c r="G6" s="12"/>
      <c r="H6" s="13"/>
    </row>
    <row r="7" spans="1:8" ht="21.6" customHeight="1" x14ac:dyDescent="0.4">
      <c r="A7" s="11"/>
      <c r="B7" s="12"/>
      <c r="C7" s="12"/>
      <c r="D7" s="12"/>
      <c r="E7" s="12"/>
      <c r="F7" s="12"/>
      <c r="G7" s="12"/>
      <c r="H7" s="13"/>
    </row>
    <row r="8" spans="1:8" ht="21.6" customHeight="1" x14ac:dyDescent="0.4">
      <c r="A8" s="11"/>
      <c r="B8" s="12"/>
      <c r="C8" s="12"/>
      <c r="D8" s="12"/>
      <c r="E8" s="12"/>
      <c r="F8" s="12"/>
      <c r="G8" s="12"/>
      <c r="H8" s="13"/>
    </row>
    <row r="9" spans="1:8" ht="21.6" customHeight="1" x14ac:dyDescent="0.4">
      <c r="A9" s="11"/>
      <c r="B9" s="12"/>
      <c r="C9" s="12"/>
      <c r="D9" s="12"/>
      <c r="E9" s="12"/>
      <c r="F9" s="12"/>
      <c r="G9" s="12"/>
      <c r="H9" s="13"/>
    </row>
    <row r="10" spans="1:8" ht="21.6" customHeight="1" x14ac:dyDescent="0.4">
      <c r="A10" s="11"/>
      <c r="B10" s="12"/>
      <c r="C10" s="12"/>
      <c r="D10" s="12"/>
      <c r="E10" s="12"/>
      <c r="F10" s="12"/>
      <c r="G10" s="12"/>
      <c r="H10" s="13"/>
    </row>
    <row r="11" spans="1:8" ht="21.6" customHeight="1" x14ac:dyDescent="0.4">
      <c r="A11" s="11"/>
      <c r="B11" s="12"/>
      <c r="C11" s="12"/>
      <c r="D11" s="12"/>
      <c r="E11" s="12"/>
      <c r="F11" s="12"/>
      <c r="G11" s="12"/>
      <c r="H11" s="13"/>
    </row>
    <row r="12" spans="1:8" ht="21.6" customHeight="1" x14ac:dyDescent="0.4">
      <c r="A12" s="11"/>
      <c r="B12" s="12"/>
      <c r="C12" s="12"/>
      <c r="D12" s="12"/>
      <c r="E12" s="12"/>
      <c r="F12" s="12"/>
      <c r="G12" s="12"/>
      <c r="H12" s="13"/>
    </row>
    <row r="13" spans="1:8" ht="21.6" customHeight="1" x14ac:dyDescent="0.4">
      <c r="A13" s="11"/>
      <c r="B13" s="12"/>
      <c r="C13" s="12"/>
      <c r="D13" s="12"/>
      <c r="E13" s="12"/>
      <c r="F13" s="12"/>
      <c r="G13" s="12"/>
      <c r="H13" s="13"/>
    </row>
    <row r="14" spans="1:8" ht="21.6" customHeight="1" x14ac:dyDescent="0.4">
      <c r="A14" s="11"/>
      <c r="B14" s="12"/>
      <c r="C14" s="12"/>
      <c r="D14" s="12"/>
      <c r="E14" s="12"/>
      <c r="F14" s="12"/>
      <c r="G14" s="12"/>
      <c r="H14" s="13"/>
    </row>
    <row r="15" spans="1:8" ht="21.6" customHeight="1" x14ac:dyDescent="0.4">
      <c r="A15" s="11"/>
      <c r="B15" s="12"/>
      <c r="C15" s="12"/>
      <c r="D15" s="12"/>
      <c r="E15" s="12"/>
      <c r="F15" s="12"/>
      <c r="G15" s="12"/>
      <c r="H15" s="13"/>
    </row>
    <row r="16" spans="1:8" ht="21.6" customHeight="1" x14ac:dyDescent="0.4">
      <c r="A16" s="11"/>
      <c r="B16" s="12"/>
      <c r="C16" s="12"/>
      <c r="D16" s="12"/>
      <c r="E16" s="12"/>
      <c r="F16" s="12"/>
      <c r="G16" s="12"/>
      <c r="H16" s="13"/>
    </row>
    <row r="17" spans="1:8" ht="21.6" customHeight="1" x14ac:dyDescent="0.4">
      <c r="A17" s="11"/>
      <c r="B17" s="12"/>
      <c r="C17" s="12"/>
      <c r="D17" s="12"/>
      <c r="E17" s="12"/>
      <c r="F17" s="12"/>
      <c r="G17" s="12"/>
      <c r="H17" s="13"/>
    </row>
    <row r="18" spans="1:8" ht="21.6" customHeight="1" x14ac:dyDescent="0.4">
      <c r="A18" s="11"/>
      <c r="B18" s="12"/>
      <c r="C18" s="12"/>
      <c r="D18" s="12"/>
      <c r="E18" s="12"/>
      <c r="F18" s="12"/>
      <c r="G18" s="12"/>
      <c r="H18" s="13"/>
    </row>
    <row r="19" spans="1:8" ht="21.6" customHeight="1" x14ac:dyDescent="0.4">
      <c r="A19" s="11"/>
      <c r="B19" s="12"/>
      <c r="C19" s="12"/>
      <c r="D19" s="12"/>
      <c r="E19" s="12"/>
      <c r="F19" s="12"/>
      <c r="G19" s="12"/>
      <c r="H19" s="13"/>
    </row>
    <row r="20" spans="1:8" ht="21.6" customHeight="1" x14ac:dyDescent="0.4">
      <c r="A20" s="11"/>
      <c r="B20" s="12"/>
      <c r="C20" s="12"/>
      <c r="D20" s="12"/>
      <c r="E20" s="12"/>
      <c r="F20" s="12"/>
      <c r="G20" s="12"/>
      <c r="H20" s="13"/>
    </row>
    <row r="21" spans="1:8" ht="21.6" customHeight="1" x14ac:dyDescent="0.4">
      <c r="A21" s="11"/>
      <c r="B21" s="12"/>
      <c r="C21" s="12"/>
      <c r="D21" s="12"/>
      <c r="E21" s="12"/>
      <c r="F21" s="12"/>
      <c r="G21" s="12"/>
      <c r="H21" s="13"/>
    </row>
    <row r="22" spans="1:8" ht="21.6" customHeight="1" x14ac:dyDescent="0.4">
      <c r="A22" s="11"/>
      <c r="B22" s="12"/>
      <c r="C22" s="12"/>
      <c r="D22" s="12"/>
      <c r="E22" s="12"/>
      <c r="F22" s="12"/>
      <c r="G22" s="12"/>
      <c r="H22" s="13"/>
    </row>
    <row r="23" spans="1:8" ht="21.6" customHeight="1" x14ac:dyDescent="0.4">
      <c r="A23" s="11"/>
      <c r="B23" s="12"/>
      <c r="C23" s="12"/>
      <c r="D23" s="12"/>
      <c r="E23" s="12"/>
      <c r="F23" s="12"/>
      <c r="G23" s="12"/>
      <c r="H23" s="13"/>
    </row>
    <row r="24" spans="1:8" ht="21.6" customHeight="1" x14ac:dyDescent="0.4">
      <c r="A24" s="11"/>
      <c r="B24" s="12"/>
      <c r="C24" s="12"/>
      <c r="D24" s="12"/>
      <c r="E24" s="12"/>
      <c r="F24" s="12"/>
      <c r="G24" s="12"/>
      <c r="H24" s="13"/>
    </row>
    <row r="25" spans="1:8" ht="21.6" customHeight="1" x14ac:dyDescent="0.4">
      <c r="A25" s="11"/>
      <c r="B25" s="12"/>
      <c r="C25" s="12"/>
      <c r="D25" s="12"/>
      <c r="E25" s="12"/>
      <c r="F25" s="12"/>
      <c r="G25" s="12"/>
      <c r="H25" s="13"/>
    </row>
    <row r="26" spans="1:8" ht="21.6" customHeight="1" x14ac:dyDescent="0.4">
      <c r="A26" s="11"/>
      <c r="B26" s="12"/>
      <c r="C26" s="12"/>
      <c r="D26" s="12"/>
      <c r="E26" s="12"/>
      <c r="F26" s="12"/>
      <c r="G26" s="12"/>
      <c r="H26" s="13"/>
    </row>
    <row r="27" spans="1:8" ht="21.6" customHeight="1" x14ac:dyDescent="0.4">
      <c r="A27" s="11"/>
      <c r="B27" s="12"/>
      <c r="C27" s="12"/>
      <c r="D27" s="12"/>
      <c r="E27" s="12"/>
      <c r="F27" s="12"/>
      <c r="G27" s="12"/>
      <c r="H27" s="13"/>
    </row>
    <row r="28" spans="1:8" ht="21.6" customHeight="1" x14ac:dyDescent="0.4">
      <c r="A28" s="11"/>
      <c r="B28" s="12"/>
      <c r="C28" s="12"/>
      <c r="D28" s="12"/>
      <c r="E28" s="12"/>
      <c r="F28" s="12"/>
      <c r="G28" s="12"/>
      <c r="H28" s="13"/>
    </row>
    <row r="29" spans="1:8" ht="21.6" customHeight="1" x14ac:dyDescent="0.4">
      <c r="A29" s="14"/>
      <c r="B29" s="15"/>
      <c r="C29" s="15"/>
      <c r="D29" s="15"/>
      <c r="E29" s="15"/>
      <c r="F29" s="15"/>
      <c r="G29" s="15"/>
      <c r="H29" s="16"/>
    </row>
    <row r="31" spans="1:8" x14ac:dyDescent="0.4">
      <c r="A31" s="7" t="s">
        <v>43</v>
      </c>
    </row>
  </sheetData>
  <pageMargins left="0.7" right="0.7" top="0.75" bottom="0.75" header="0.3" footer="0.3"/>
  <pageSetup orientation="portrait" r:id="rId1"/>
  <headerFooter>
    <oddHeader>&amp;L&amp;"Segoe UI Historic,Regular"Integrated Biogeochemistry &amp; Ocean Optics Lab&amp;R&amp;"Segoe UI Historic,Regular"Cruise: &amp;USKQ202207S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8BF2-ED8E-45EB-A36C-8E9C7BD74486}">
  <dimension ref="A1:G31"/>
  <sheetViews>
    <sheetView view="pageLayout" zoomScale="70" zoomScaleNormal="100" zoomScalePageLayoutView="70" workbookViewId="0">
      <selection activeCell="G10" sqref="G10"/>
    </sheetView>
  </sheetViews>
  <sheetFormatPr defaultColWidth="9.109375" defaultRowHeight="16.8" x14ac:dyDescent="0.4"/>
  <cols>
    <col min="1" max="1" width="22.6640625" style="7" customWidth="1"/>
    <col min="2" max="2" width="4" style="7" bestFit="1" customWidth="1"/>
    <col min="3" max="3" width="9.33203125" style="7" customWidth="1"/>
    <col min="4" max="4" width="6.44140625" style="7" customWidth="1"/>
    <col min="5" max="5" width="7.88671875" style="7" bestFit="1" customWidth="1"/>
    <col min="6" max="6" width="9.109375" style="7"/>
    <col min="7" max="7" width="26.6640625" style="7" customWidth="1"/>
    <col min="8" max="16384" width="9.109375" style="7"/>
  </cols>
  <sheetData>
    <row r="1" spans="1:7" ht="24.6" x14ac:dyDescent="0.55000000000000004">
      <c r="A1" s="23" t="s">
        <v>44</v>
      </c>
    </row>
    <row r="3" spans="1:7" ht="21.6" customHeight="1" x14ac:dyDescent="0.4">
      <c r="A3" s="20" t="s">
        <v>46</v>
      </c>
      <c r="B3" s="21" t="s">
        <v>45</v>
      </c>
      <c r="C3" s="21" t="s">
        <v>21</v>
      </c>
      <c r="D3" s="21" t="s">
        <v>22</v>
      </c>
      <c r="E3" s="21" t="s">
        <v>23</v>
      </c>
      <c r="F3" s="21" t="s">
        <v>24</v>
      </c>
      <c r="G3" s="22" t="s">
        <v>28</v>
      </c>
    </row>
    <row r="4" spans="1:7" ht="21.6" customHeight="1" x14ac:dyDescent="0.4">
      <c r="A4" s="17"/>
      <c r="B4" s="18"/>
      <c r="C4" s="18"/>
      <c r="D4" s="18"/>
      <c r="E4" s="18"/>
      <c r="F4" s="18"/>
      <c r="G4" s="19"/>
    </row>
    <row r="5" spans="1:7" ht="21.6" customHeight="1" x14ac:dyDescent="0.4">
      <c r="A5" s="11"/>
      <c r="B5" s="12"/>
      <c r="C5" s="12"/>
      <c r="D5" s="12"/>
      <c r="E5" s="12"/>
      <c r="F5" s="12"/>
      <c r="G5" s="13"/>
    </row>
    <row r="6" spans="1:7" ht="21.6" customHeight="1" x14ac:dyDescent="0.4">
      <c r="A6" s="11"/>
      <c r="B6" s="12"/>
      <c r="C6" s="12"/>
      <c r="D6" s="12"/>
      <c r="E6" s="12"/>
      <c r="F6" s="12"/>
      <c r="G6" s="13"/>
    </row>
    <row r="7" spans="1:7" ht="21.6" customHeight="1" x14ac:dyDescent="0.4">
      <c r="A7" s="11"/>
      <c r="B7" s="12"/>
      <c r="C7" s="12"/>
      <c r="D7" s="12"/>
      <c r="E7" s="12"/>
      <c r="F7" s="12"/>
      <c r="G7" s="13"/>
    </row>
    <row r="8" spans="1:7" ht="21.6" customHeight="1" x14ac:dyDescent="0.4">
      <c r="A8" s="11"/>
      <c r="B8" s="12"/>
      <c r="C8" s="12"/>
      <c r="D8" s="12"/>
      <c r="E8" s="12"/>
      <c r="F8" s="12"/>
      <c r="G8" s="13"/>
    </row>
    <row r="9" spans="1:7" ht="21.6" customHeight="1" x14ac:dyDescent="0.4">
      <c r="A9" s="11"/>
      <c r="B9" s="12"/>
      <c r="C9" s="12"/>
      <c r="D9" s="12"/>
      <c r="E9" s="12"/>
      <c r="F9" s="12"/>
      <c r="G9" s="13"/>
    </row>
    <row r="10" spans="1:7" ht="21.6" customHeight="1" x14ac:dyDescent="0.4">
      <c r="A10" s="11"/>
      <c r="B10" s="12"/>
      <c r="C10" s="12"/>
      <c r="D10" s="12"/>
      <c r="E10" s="12"/>
      <c r="F10" s="12"/>
      <c r="G10" s="13"/>
    </row>
    <row r="11" spans="1:7" ht="21.6" customHeight="1" x14ac:dyDescent="0.4">
      <c r="A11" s="11"/>
      <c r="B11" s="12"/>
      <c r="C11" s="12"/>
      <c r="D11" s="12"/>
      <c r="E11" s="12"/>
      <c r="F11" s="12"/>
      <c r="G11" s="13"/>
    </row>
    <row r="12" spans="1:7" ht="21.6" customHeight="1" x14ac:dyDescent="0.4">
      <c r="A12" s="11"/>
      <c r="B12" s="12"/>
      <c r="C12" s="12"/>
      <c r="D12" s="12"/>
      <c r="E12" s="12"/>
      <c r="F12" s="12"/>
      <c r="G12" s="13"/>
    </row>
    <row r="13" spans="1:7" ht="21.6" customHeight="1" x14ac:dyDescent="0.4">
      <c r="A13" s="11"/>
      <c r="B13" s="12"/>
      <c r="C13" s="12"/>
      <c r="D13" s="12"/>
      <c r="E13" s="12"/>
      <c r="F13" s="12"/>
      <c r="G13" s="13"/>
    </row>
    <row r="14" spans="1:7" ht="21.6" customHeight="1" x14ac:dyDescent="0.4">
      <c r="A14" s="11"/>
      <c r="B14" s="12"/>
      <c r="C14" s="12"/>
      <c r="D14" s="12"/>
      <c r="E14" s="12"/>
      <c r="F14" s="12"/>
      <c r="G14" s="13"/>
    </row>
    <row r="15" spans="1:7" ht="21.6" customHeight="1" x14ac:dyDescent="0.4">
      <c r="A15" s="11"/>
      <c r="B15" s="12"/>
      <c r="C15" s="12"/>
      <c r="D15" s="12"/>
      <c r="E15" s="12"/>
      <c r="F15" s="12"/>
      <c r="G15" s="13"/>
    </row>
    <row r="16" spans="1:7" ht="21.6" customHeight="1" x14ac:dyDescent="0.4">
      <c r="A16" s="11"/>
      <c r="B16" s="12"/>
      <c r="C16" s="12"/>
      <c r="D16" s="12"/>
      <c r="E16" s="12"/>
      <c r="F16" s="12"/>
      <c r="G16" s="13"/>
    </row>
    <row r="17" spans="1:7" ht="21.6" customHeight="1" x14ac:dyDescent="0.4">
      <c r="A17" s="11"/>
      <c r="B17" s="12"/>
      <c r="C17" s="12"/>
      <c r="D17" s="12"/>
      <c r="E17" s="12"/>
      <c r="F17" s="12"/>
      <c r="G17" s="13"/>
    </row>
    <row r="18" spans="1:7" ht="21.6" customHeight="1" x14ac:dyDescent="0.4">
      <c r="A18" s="11"/>
      <c r="B18" s="12"/>
      <c r="C18" s="12"/>
      <c r="D18" s="12"/>
      <c r="E18" s="12"/>
      <c r="F18" s="12"/>
      <c r="G18" s="13"/>
    </row>
    <row r="19" spans="1:7" ht="21.6" customHeight="1" x14ac:dyDescent="0.4">
      <c r="A19" s="11"/>
      <c r="B19" s="12"/>
      <c r="C19" s="12"/>
      <c r="D19" s="12"/>
      <c r="E19" s="12"/>
      <c r="F19" s="12"/>
      <c r="G19" s="13"/>
    </row>
    <row r="20" spans="1:7" ht="21.6" customHeight="1" x14ac:dyDescent="0.4">
      <c r="A20" s="11"/>
      <c r="B20" s="12"/>
      <c r="C20" s="12"/>
      <c r="D20" s="12"/>
      <c r="E20" s="12"/>
      <c r="F20" s="12"/>
      <c r="G20" s="13"/>
    </row>
    <row r="21" spans="1:7" ht="21.6" customHeight="1" x14ac:dyDescent="0.4">
      <c r="A21" s="11"/>
      <c r="B21" s="12"/>
      <c r="C21" s="12"/>
      <c r="D21" s="12"/>
      <c r="E21" s="12"/>
      <c r="F21" s="12"/>
      <c r="G21" s="13"/>
    </row>
    <row r="22" spans="1:7" ht="21.6" customHeight="1" x14ac:dyDescent="0.4">
      <c r="A22" s="11"/>
      <c r="B22" s="12"/>
      <c r="C22" s="12"/>
      <c r="D22" s="12"/>
      <c r="E22" s="12"/>
      <c r="F22" s="12"/>
      <c r="G22" s="13"/>
    </row>
    <row r="23" spans="1:7" ht="21.6" customHeight="1" x14ac:dyDescent="0.4">
      <c r="A23" s="11"/>
      <c r="B23" s="12"/>
      <c r="C23" s="12"/>
      <c r="D23" s="12"/>
      <c r="E23" s="12"/>
      <c r="F23" s="12"/>
      <c r="G23" s="13"/>
    </row>
    <row r="24" spans="1:7" ht="21.6" customHeight="1" x14ac:dyDescent="0.4">
      <c r="A24" s="11"/>
      <c r="B24" s="12"/>
      <c r="C24" s="12"/>
      <c r="D24" s="12"/>
      <c r="E24" s="12"/>
      <c r="F24" s="12"/>
      <c r="G24" s="13"/>
    </row>
    <row r="25" spans="1:7" ht="21.6" customHeight="1" x14ac:dyDescent="0.4">
      <c r="A25" s="11"/>
      <c r="B25" s="12"/>
      <c r="C25" s="12"/>
      <c r="D25" s="12"/>
      <c r="E25" s="12"/>
      <c r="F25" s="12"/>
      <c r="G25" s="13"/>
    </row>
    <row r="26" spans="1:7" ht="21.6" customHeight="1" x14ac:dyDescent="0.4">
      <c r="A26" s="11"/>
      <c r="B26" s="12"/>
      <c r="C26" s="12"/>
      <c r="D26" s="12"/>
      <c r="E26" s="12"/>
      <c r="F26" s="12"/>
      <c r="G26" s="13"/>
    </row>
    <row r="27" spans="1:7" ht="21.6" customHeight="1" x14ac:dyDescent="0.4">
      <c r="A27" s="11"/>
      <c r="B27" s="12"/>
      <c r="C27" s="12"/>
      <c r="D27" s="12"/>
      <c r="E27" s="12"/>
      <c r="F27" s="12"/>
      <c r="G27" s="13"/>
    </row>
    <row r="28" spans="1:7" ht="21.6" customHeight="1" x14ac:dyDescent="0.4">
      <c r="A28" s="11"/>
      <c r="B28" s="12"/>
      <c r="C28" s="12"/>
      <c r="D28" s="12"/>
      <c r="E28" s="12"/>
      <c r="F28" s="12"/>
      <c r="G28" s="13"/>
    </row>
    <row r="29" spans="1:7" ht="21.6" customHeight="1" x14ac:dyDescent="0.4">
      <c r="A29" s="14"/>
      <c r="B29" s="15"/>
      <c r="C29" s="15"/>
      <c r="D29" s="15"/>
      <c r="E29" s="15"/>
      <c r="F29" s="15"/>
      <c r="G29" s="16"/>
    </row>
    <row r="31" spans="1:7" x14ac:dyDescent="0.4">
      <c r="A31" s="7" t="s">
        <v>43</v>
      </c>
    </row>
  </sheetData>
  <pageMargins left="0.7" right="0.7" top="0.75" bottom="0.75" header="0.3" footer="0.3"/>
  <pageSetup orientation="portrait" r:id="rId1"/>
  <headerFooter>
    <oddHeader>&amp;L&amp;"Segoe UI Historic,Regular"Integrated Biogeochemistry &amp; Ocean Optics Lab&amp;R&amp;"Segoe UI Historic,Regular"Cruise: &amp;USKQ202207S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Reagents</vt:lpstr>
      <vt:lpstr>Samples</vt:lpstr>
      <vt:lpstr>GAK1</vt:lpstr>
      <vt:lpstr>Standards</vt:lpstr>
      <vt:lpstr>SKQ202207S</vt:lpstr>
      <vt:lpstr>SKQ202210S</vt:lpstr>
      <vt:lpstr>TGX2022</vt:lpstr>
      <vt:lpstr>Flasks</vt:lpstr>
      <vt:lpstr>Log Sheet</vt:lpstr>
      <vt:lpstr>Log 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cp:lastPrinted>2022-04-26T21:30:20Z</cp:lastPrinted>
  <dcterms:created xsi:type="dcterms:W3CDTF">2022-04-26T18:39:21Z</dcterms:created>
  <dcterms:modified xsi:type="dcterms:W3CDTF">2023-09-29T22:40:32Z</dcterms:modified>
</cp:coreProperties>
</file>