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FCADE797-81C5-4368-BB87-D0387F172866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요일별남녀할인율" sheetId="3" r:id="rId1"/>
    <sheet name="화요일할인율" sheetId="4" r:id="rId2"/>
    <sheet name="jj할인율" sheetId="5" r:id="rId3"/>
    <sheet name="0.3이상0.5이하" sheetId="6" r:id="rId4"/>
    <sheet name="합의오름차순" sheetId="7" r:id="rId5"/>
    <sheet name="할인율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F36" i="3"/>
  <c r="E36" i="3"/>
  <c r="I36" i="3" s="1"/>
  <c r="D36" i="3"/>
  <c r="A36" i="3"/>
  <c r="T35" i="3"/>
  <c r="Q35" i="3"/>
  <c r="P35" i="3"/>
  <c r="O35" i="3"/>
  <c r="U35" i="3" s="1"/>
  <c r="J35" i="3"/>
  <c r="E35" i="3"/>
  <c r="H35" i="3" s="1"/>
  <c r="D35" i="3"/>
  <c r="A35" i="3"/>
  <c r="T34" i="3"/>
  <c r="Q34" i="3"/>
  <c r="P34" i="3"/>
  <c r="O34" i="3"/>
  <c r="U34" i="3" s="1"/>
  <c r="J34" i="3"/>
  <c r="H34" i="3"/>
  <c r="E34" i="3"/>
  <c r="S34" i="3" s="1"/>
  <c r="D34" i="3"/>
  <c r="A34" i="3"/>
  <c r="T33" i="3"/>
  <c r="S33" i="3"/>
  <c r="Q33" i="3"/>
  <c r="P33" i="3"/>
  <c r="O33" i="3"/>
  <c r="U33" i="3" s="1"/>
  <c r="K33" i="3"/>
  <c r="J33" i="3"/>
  <c r="H33" i="3"/>
  <c r="G33" i="3"/>
  <c r="F33" i="3"/>
  <c r="E33" i="3"/>
  <c r="I33" i="3" s="1"/>
  <c r="D33" i="3"/>
  <c r="A33" i="3"/>
  <c r="T32" i="3"/>
  <c r="Q32" i="3"/>
  <c r="P32" i="3"/>
  <c r="O32" i="3"/>
  <c r="U32" i="3" s="1"/>
  <c r="J32" i="3"/>
  <c r="F32" i="3"/>
  <c r="E32" i="3"/>
  <c r="I32" i="3" s="1"/>
  <c r="D32" i="3"/>
  <c r="A32" i="3"/>
  <c r="T31" i="3"/>
  <c r="Q31" i="3"/>
  <c r="P31" i="3"/>
  <c r="O31" i="3"/>
  <c r="U31" i="3" s="1"/>
  <c r="J31" i="3"/>
  <c r="E31" i="3"/>
  <c r="H31" i="3" s="1"/>
  <c r="D31" i="3"/>
  <c r="A31" i="3"/>
  <c r="T30" i="3"/>
  <c r="S30" i="3"/>
  <c r="Q30" i="3"/>
  <c r="P30" i="3"/>
  <c r="O30" i="3"/>
  <c r="U30" i="3" s="1"/>
  <c r="K30" i="3"/>
  <c r="J30" i="3"/>
  <c r="H30" i="3"/>
  <c r="G30" i="3"/>
  <c r="E30" i="3"/>
  <c r="F30" i="3" s="1"/>
  <c r="D30" i="3"/>
  <c r="A30" i="3"/>
  <c r="T29" i="3"/>
  <c r="S29" i="3"/>
  <c r="Q29" i="3"/>
  <c r="P29" i="3"/>
  <c r="O29" i="3"/>
  <c r="U29" i="3" s="1"/>
  <c r="K29" i="3"/>
  <c r="J29" i="3"/>
  <c r="H29" i="3"/>
  <c r="G29" i="3"/>
  <c r="F29" i="3"/>
  <c r="E29" i="3"/>
  <c r="I29" i="3" s="1"/>
  <c r="D29" i="3"/>
  <c r="A29" i="3"/>
  <c r="T28" i="3"/>
  <c r="Q28" i="3"/>
  <c r="P28" i="3"/>
  <c r="O28" i="3"/>
  <c r="U28" i="3" s="1"/>
  <c r="J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H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Q16" i="3"/>
  <c r="P16" i="3"/>
  <c r="O16" i="3"/>
  <c r="U16" i="3" s="1"/>
  <c r="J16" i="3"/>
  <c r="I16" i="3"/>
  <c r="E16" i="3"/>
  <c r="D16" i="3"/>
  <c r="A16" i="3"/>
  <c r="T15" i="3"/>
  <c r="Q15" i="3"/>
  <c r="P15" i="3"/>
  <c r="O15" i="3"/>
  <c r="U15" i="3" s="1"/>
  <c r="J15" i="3"/>
  <c r="E15" i="3"/>
  <c r="D15" i="3"/>
  <c r="A15" i="3"/>
  <c r="T14" i="3"/>
  <c r="S14" i="3"/>
  <c r="Q14" i="3"/>
  <c r="P14" i="3"/>
  <c r="O14" i="3"/>
  <c r="U14" i="3" s="1"/>
  <c r="K14" i="3"/>
  <c r="J14" i="3"/>
  <c r="H14" i="3"/>
  <c r="G14" i="3"/>
  <c r="E14" i="3"/>
  <c r="F14" i="3" s="1"/>
  <c r="D14" i="3"/>
  <c r="A14" i="3"/>
  <c r="T13" i="3"/>
  <c r="Q13" i="3"/>
  <c r="P13" i="3"/>
  <c r="O13" i="3"/>
  <c r="U13" i="3" s="1"/>
  <c r="J13" i="3"/>
  <c r="E13" i="3"/>
  <c r="I13" i="3" s="1"/>
  <c r="D13" i="3"/>
  <c r="A13" i="3"/>
  <c r="T12" i="3"/>
  <c r="Q12" i="3"/>
  <c r="P12" i="3"/>
  <c r="O12" i="3"/>
  <c r="U12" i="3" s="1"/>
  <c r="J12" i="3"/>
  <c r="I12" i="3"/>
  <c r="E12" i="3"/>
  <c r="D12" i="3"/>
  <c r="A12" i="3"/>
  <c r="T11" i="3"/>
  <c r="Q11" i="3"/>
  <c r="P11" i="3"/>
  <c r="O11" i="3"/>
  <c r="U11" i="3" s="1"/>
  <c r="J11" i="3"/>
  <c r="E11" i="3"/>
  <c r="D11" i="3"/>
  <c r="A11" i="3"/>
  <c r="T10" i="3"/>
  <c r="S10" i="3"/>
  <c r="Q10" i="3"/>
  <c r="P10" i="3"/>
  <c r="O10" i="3"/>
  <c r="U10" i="3" s="1"/>
  <c r="K10" i="3"/>
  <c r="J10" i="3"/>
  <c r="H10" i="3"/>
  <c r="G10" i="3"/>
  <c r="E10" i="3"/>
  <c r="F10" i="3" s="1"/>
  <c r="D10" i="3"/>
  <c r="A10" i="3"/>
  <c r="T9" i="3"/>
  <c r="Q9" i="3"/>
  <c r="P9" i="3"/>
  <c r="O9" i="3"/>
  <c r="U9" i="3" s="1"/>
  <c r="J9" i="3"/>
  <c r="I9" i="3"/>
  <c r="E9" i="3"/>
  <c r="D9" i="3"/>
  <c r="A9" i="3"/>
  <c r="T8" i="3"/>
  <c r="S8" i="3"/>
  <c r="Q8" i="3"/>
  <c r="P8" i="3"/>
  <c r="O8" i="3"/>
  <c r="U8" i="3" s="1"/>
  <c r="K8" i="3"/>
  <c r="J8" i="3"/>
  <c r="H8" i="3"/>
  <c r="G8" i="3"/>
  <c r="E8" i="3"/>
  <c r="F8" i="3" s="1"/>
  <c r="D8" i="3"/>
  <c r="A8" i="3"/>
  <c r="T7" i="3"/>
  <c r="S7" i="3"/>
  <c r="Q7" i="3"/>
  <c r="P7" i="3"/>
  <c r="O7" i="3"/>
  <c r="U7" i="3" s="1"/>
  <c r="K7" i="3"/>
  <c r="J7" i="3"/>
  <c r="H7" i="3"/>
  <c r="G7" i="3"/>
  <c r="E7" i="3"/>
  <c r="F7" i="3" s="1"/>
  <c r="D7" i="3"/>
  <c r="A7" i="3"/>
  <c r="T6" i="3"/>
  <c r="S6" i="3"/>
  <c r="Q6" i="3"/>
  <c r="P6" i="3"/>
  <c r="O6" i="3"/>
  <c r="U6" i="3" s="1"/>
  <c r="K6" i="3"/>
  <c r="J6" i="3"/>
  <c r="H6" i="3"/>
  <c r="G6" i="3"/>
  <c r="E6" i="3"/>
  <c r="F6" i="3" s="1"/>
  <c r="D6" i="3"/>
  <c r="A6" i="3"/>
  <c r="AP5" i="3"/>
  <c r="AO5" i="3"/>
  <c r="T5" i="3"/>
  <c r="S5" i="3"/>
  <c r="Q5" i="3"/>
  <c r="P5" i="3"/>
  <c r="O5" i="3"/>
  <c r="U5" i="3" s="1"/>
  <c r="K5" i="3"/>
  <c r="J5" i="3"/>
  <c r="H5" i="3"/>
  <c r="G5" i="3"/>
  <c r="E5" i="3"/>
  <c r="F5" i="3" s="1"/>
  <c r="D5" i="3"/>
  <c r="A5" i="3"/>
  <c r="T4" i="3"/>
  <c r="S4" i="3"/>
  <c r="Q4" i="3"/>
  <c r="P4" i="3"/>
  <c r="O4" i="3"/>
  <c r="U4" i="3" s="1"/>
  <c r="K4" i="3"/>
  <c r="J4" i="3"/>
  <c r="H4" i="3"/>
  <c r="G4" i="3"/>
  <c r="E4" i="3"/>
  <c r="F4" i="3" s="1"/>
  <c r="D4" i="3"/>
  <c r="A4" i="3"/>
  <c r="T3" i="3"/>
  <c r="Q3" i="3"/>
  <c r="P3" i="3"/>
  <c r="O3" i="3"/>
  <c r="U3" i="3" s="1"/>
  <c r="J3" i="3"/>
  <c r="E3" i="3"/>
  <c r="I3" i="3" s="1"/>
  <c r="D3" i="3"/>
  <c r="A3" i="3"/>
  <c r="T2" i="3"/>
  <c r="Q2" i="3"/>
  <c r="P2" i="3"/>
  <c r="O2" i="3"/>
  <c r="U2" i="3" s="1"/>
  <c r="J2" i="3"/>
  <c r="E2" i="3"/>
  <c r="D2" i="3"/>
  <c r="A2" i="3"/>
  <c r="AT10" i="3" l="1"/>
  <c r="AU8" i="3"/>
  <c r="AU10" i="3"/>
  <c r="AU9" i="3"/>
  <c r="AI23" i="3"/>
  <c r="AI22" i="3"/>
  <c r="AI21" i="3"/>
  <c r="AI17" i="3"/>
  <c r="AI16" i="3"/>
  <c r="AL15" i="3"/>
  <c r="AH15" i="3"/>
  <c r="AJ14" i="3"/>
  <c r="AF14" i="3"/>
  <c r="AJ13" i="3"/>
  <c r="AF13" i="3"/>
  <c r="AL25" i="3"/>
  <c r="AL23" i="3"/>
  <c r="AH23" i="3"/>
  <c r="AL22" i="3"/>
  <c r="AH22" i="3"/>
  <c r="AL21" i="3"/>
  <c r="AH21" i="3"/>
  <c r="AL17" i="3"/>
  <c r="AH17" i="3"/>
  <c r="AL16" i="3"/>
  <c r="AH16" i="3"/>
  <c r="AK15" i="3"/>
  <c r="AG15" i="3"/>
  <c r="AI14" i="3"/>
  <c r="AG26" i="3"/>
  <c r="AG24" i="3"/>
  <c r="AK23" i="3"/>
  <c r="AG23" i="3"/>
  <c r="AK22" i="3"/>
  <c r="AG22" i="3"/>
  <c r="AK21" i="3"/>
  <c r="AG21" i="3"/>
  <c r="AK17" i="3"/>
  <c r="AG17" i="3"/>
  <c r="AJ23" i="3"/>
  <c r="AK16" i="3"/>
  <c r="AJ15" i="3"/>
  <c r="AH14" i="3"/>
  <c r="AI13" i="3"/>
  <c r="AL12" i="3"/>
  <c r="AH12" i="3"/>
  <c r="Z12" i="3"/>
  <c r="Z11" i="3"/>
  <c r="X10" i="3"/>
  <c r="Z9" i="3"/>
  <c r="AF8" i="3"/>
  <c r="AF6" i="3"/>
  <c r="AH4" i="3"/>
  <c r="AJ21" i="3"/>
  <c r="AJ17" i="3"/>
  <c r="AG16" i="3"/>
  <c r="AF15" i="3"/>
  <c r="AG13" i="3"/>
  <c r="AJ12" i="3"/>
  <c r="X12" i="3"/>
  <c r="AJ26" i="3"/>
  <c r="AF23" i="3"/>
  <c r="AJ22" i="3"/>
  <c r="AJ16" i="3"/>
  <c r="AI15" i="3"/>
  <c r="AG14" i="3"/>
  <c r="AH13" i="3"/>
  <c r="AK12" i="3"/>
  <c r="AG12" i="3"/>
  <c r="Y12" i="3"/>
  <c r="Y11" i="3"/>
  <c r="AA10" i="3"/>
  <c r="Y9" i="3"/>
  <c r="AI8" i="3"/>
  <c r="AG5" i="3"/>
  <c r="AJ25" i="3"/>
  <c r="AF22" i="3"/>
  <c r="AL14" i="3"/>
  <c r="AL13" i="3"/>
  <c r="AF12" i="3"/>
  <c r="AK6" i="3"/>
  <c r="AA9" i="3"/>
  <c r="AI12" i="3"/>
  <c r="H11" i="3"/>
  <c r="S11" i="3"/>
  <c r="K11" i="3"/>
  <c r="G11" i="3"/>
  <c r="AK13" i="3"/>
  <c r="S2" i="3"/>
  <c r="K2" i="3"/>
  <c r="G2" i="3"/>
  <c r="F2" i="3"/>
  <c r="AL3" i="3"/>
  <c r="X11" i="3"/>
  <c r="AK14" i="3"/>
  <c r="H15" i="3"/>
  <c r="S15" i="3"/>
  <c r="K15" i="3"/>
  <c r="G15" i="3"/>
  <c r="F15" i="3"/>
  <c r="I15" i="3"/>
  <c r="H2" i="3"/>
  <c r="AO4" i="3"/>
  <c r="AI5" i="3"/>
  <c r="AT8" i="3"/>
  <c r="H9" i="3"/>
  <c r="S9" i="3"/>
  <c r="AJ7" i="3" s="1"/>
  <c r="K9" i="3"/>
  <c r="G9" i="3"/>
  <c r="Y10" i="3"/>
  <c r="I11" i="3"/>
  <c r="AA11" i="3"/>
  <c r="AF17" i="3"/>
  <c r="AF21" i="3"/>
  <c r="AF25" i="3"/>
  <c r="H3" i="3"/>
  <c r="S3" i="3"/>
  <c r="AL4" i="3" s="1"/>
  <c r="K3" i="3"/>
  <c r="G3" i="3"/>
  <c r="H13" i="3"/>
  <c r="F13" i="3"/>
  <c r="S13" i="3"/>
  <c r="AI18" i="3" s="1"/>
  <c r="K13" i="3"/>
  <c r="G13" i="3"/>
  <c r="F3" i="3"/>
  <c r="AJ4" i="3"/>
  <c r="F11" i="3"/>
  <c r="I2" i="3"/>
  <c r="AP4" i="3"/>
  <c r="AJ5" i="3"/>
  <c r="F9" i="3"/>
  <c r="X9" i="3"/>
  <c r="Z10" i="3"/>
  <c r="H12" i="3"/>
  <c r="S12" i="3"/>
  <c r="AI26" i="3" s="1"/>
  <c r="K12" i="3"/>
  <c r="G12" i="3"/>
  <c r="F12" i="3"/>
  <c r="AA12" i="3"/>
  <c r="AF16" i="3"/>
  <c r="AT3" i="3"/>
  <c r="I4" i="3"/>
  <c r="AT4" i="3"/>
  <c r="I5" i="3"/>
  <c r="AT5" i="3"/>
  <c r="I6" i="3"/>
  <c r="AT6" i="3"/>
  <c r="I7" i="3"/>
  <c r="AT7" i="3"/>
  <c r="I8" i="3"/>
  <c r="AT9" i="3"/>
  <c r="I10" i="3"/>
  <c r="H16" i="3"/>
  <c r="S16" i="3"/>
  <c r="K16" i="3"/>
  <c r="G16" i="3"/>
  <c r="AU3" i="3"/>
  <c r="AU4" i="3"/>
  <c r="AU5" i="3"/>
  <c r="AU6" i="3"/>
  <c r="AU7" i="3"/>
  <c r="F16" i="3"/>
  <c r="I31" i="3"/>
  <c r="I35" i="3"/>
  <c r="I14" i="3"/>
  <c r="G28" i="3"/>
  <c r="K28" i="3"/>
  <c r="S28" i="3"/>
  <c r="AG10" i="3" s="1"/>
  <c r="I30" i="3"/>
  <c r="F31" i="3"/>
  <c r="G32" i="3"/>
  <c r="K32" i="3"/>
  <c r="S32" i="3"/>
  <c r="I34" i="3"/>
  <c r="F35" i="3"/>
  <c r="G36" i="3"/>
  <c r="K36" i="3"/>
  <c r="S36" i="3"/>
  <c r="H28" i="3"/>
  <c r="G31" i="3"/>
  <c r="K31" i="3"/>
  <c r="S31" i="3"/>
  <c r="AH3" i="3" s="1"/>
  <c r="H32" i="3"/>
  <c r="F34" i="3"/>
  <c r="G35" i="3"/>
  <c r="K35" i="3"/>
  <c r="S35" i="3"/>
  <c r="AG6" i="3" s="1"/>
  <c r="H36" i="3"/>
  <c r="G34" i="3"/>
  <c r="K34" i="3"/>
  <c r="Z16" i="3" l="1"/>
  <c r="X16" i="3"/>
  <c r="W16" i="3"/>
  <c r="X5" i="3"/>
  <c r="X4" i="3"/>
  <c r="Y3" i="3"/>
  <c r="X3" i="3"/>
  <c r="Y5" i="3"/>
  <c r="Y4" i="3"/>
  <c r="AX27" i="3"/>
  <c r="AT27" i="3"/>
  <c r="AW27" i="3"/>
  <c r="AX26" i="3"/>
  <c r="AT26" i="3"/>
  <c r="AX25" i="3"/>
  <c r="AT25" i="3"/>
  <c r="AX24" i="3"/>
  <c r="AT24" i="3"/>
  <c r="AX23" i="3"/>
  <c r="AT23" i="3"/>
  <c r="AX22" i="3"/>
  <c r="AT22" i="3"/>
  <c r="AX21" i="3"/>
  <c r="AT21" i="3"/>
  <c r="AX20" i="3"/>
  <c r="AT20" i="3"/>
  <c r="AX19" i="3"/>
  <c r="AT19" i="3"/>
  <c r="AX18" i="3"/>
  <c r="AT18" i="3"/>
  <c r="AX17" i="3"/>
  <c r="AT17" i="3"/>
  <c r="AX16" i="3"/>
  <c r="AT16" i="3"/>
  <c r="AW15" i="3"/>
  <c r="AW14" i="3"/>
  <c r="AP14" i="3"/>
  <c r="AP13" i="3"/>
  <c r="AV27" i="3"/>
  <c r="AW26" i="3"/>
  <c r="AW25" i="3"/>
  <c r="AW24" i="3"/>
  <c r="AW23" i="3"/>
  <c r="AW22" i="3"/>
  <c r="AW21" i="3"/>
  <c r="AW20" i="3"/>
  <c r="AW19" i="3"/>
  <c r="AW18" i="3"/>
  <c r="AW17" i="3"/>
  <c r="AW16" i="3"/>
  <c r="AV15" i="3"/>
  <c r="AV14" i="3"/>
  <c r="AO14" i="3"/>
  <c r="AO13" i="3"/>
  <c r="AY27" i="3"/>
  <c r="AU27" i="3"/>
  <c r="AV26" i="3"/>
  <c r="AV25" i="3"/>
  <c r="AV24" i="3"/>
  <c r="AV23" i="3"/>
  <c r="AV22" i="3"/>
  <c r="AV21" i="3"/>
  <c r="AV20" i="3"/>
  <c r="AV19" i="3"/>
  <c r="AV18" i="3"/>
  <c r="AV17" i="3"/>
  <c r="AU26" i="3"/>
  <c r="AY25" i="3"/>
  <c r="AU22" i="3"/>
  <c r="AY21" i="3"/>
  <c r="AU18" i="3"/>
  <c r="AY17" i="3"/>
  <c r="AY15" i="3"/>
  <c r="AU14" i="3"/>
  <c r="AP10" i="3"/>
  <c r="AP8" i="3"/>
  <c r="AU24" i="3"/>
  <c r="AU20" i="3"/>
  <c r="AY14" i="3"/>
  <c r="AU25" i="3"/>
  <c r="AY24" i="3"/>
  <c r="AU21" i="3"/>
  <c r="AY20" i="3"/>
  <c r="AU17" i="3"/>
  <c r="AY16" i="3"/>
  <c r="AX15" i="3"/>
  <c r="AT14" i="3"/>
  <c r="AO10" i="3"/>
  <c r="AO8" i="3"/>
  <c r="AY23" i="3"/>
  <c r="AY19" i="3"/>
  <c r="AV16" i="3"/>
  <c r="AU15" i="3"/>
  <c r="AP12" i="3"/>
  <c r="AP11" i="3"/>
  <c r="AY26" i="3"/>
  <c r="AY22" i="3"/>
  <c r="AY18" i="3"/>
  <c r="AT15" i="3"/>
  <c r="AU23" i="3"/>
  <c r="AU19" i="3"/>
  <c r="AX14" i="3"/>
  <c r="AO12" i="3"/>
  <c r="AP9" i="3"/>
  <c r="AU16" i="3"/>
  <c r="AO11" i="3"/>
  <c r="AO9" i="3"/>
  <c r="AK11" i="3"/>
  <c r="AG20" i="3"/>
  <c r="AI19" i="3"/>
  <c r="AH8" i="3"/>
  <c r="AK10" i="3"/>
  <c r="AG8" i="3"/>
  <c r="AF9" i="3"/>
  <c r="AJ24" i="3"/>
  <c r="AK8" i="3"/>
  <c r="AI4" i="3"/>
  <c r="AI3" i="3"/>
  <c r="AK5" i="3"/>
  <c r="AI10" i="3"/>
  <c r="AF19" i="3"/>
  <c r="AJ11" i="3"/>
  <c r="AF26" i="3"/>
  <c r="AJ6" i="3"/>
  <c r="AJ8" i="3"/>
  <c r="AH11" i="3"/>
  <c r="AF24" i="3"/>
  <c r="AK18" i="3"/>
  <c r="AK20" i="3"/>
  <c r="AK24" i="3"/>
  <c r="AK26" i="3"/>
  <c r="AH18" i="3"/>
  <c r="AH20" i="3"/>
  <c r="AH24" i="3"/>
  <c r="AH26" i="3"/>
  <c r="AI20" i="3"/>
  <c r="AI24" i="3"/>
  <c r="AL10" i="3"/>
  <c r="AH10" i="3"/>
  <c r="AL9" i="3"/>
  <c r="AL19" i="3"/>
  <c r="AJ9" i="3"/>
  <c r="AH7" i="3"/>
  <c r="AF4" i="3"/>
  <c r="AL8" i="3"/>
  <c r="AK3" i="3"/>
  <c r="AG7" i="3"/>
  <c r="AG3" i="3"/>
  <c r="AL6" i="3"/>
  <c r="AJ20" i="3"/>
  <c r="AF11" i="3"/>
  <c r="AF18" i="3"/>
  <c r="AG4" i="3"/>
  <c r="AI6" i="3"/>
  <c r="AG9" i="3"/>
  <c r="AF3" i="3"/>
  <c r="AH5" i="3"/>
  <c r="AF7" i="3"/>
  <c r="AF10" i="3"/>
  <c r="AL11" i="3"/>
  <c r="AJ19" i="3"/>
  <c r="AG19" i="3"/>
  <c r="AG25" i="3"/>
  <c r="AL18" i="3"/>
  <c r="AL20" i="3"/>
  <c r="AL24" i="3"/>
  <c r="AL26" i="3"/>
  <c r="AI25" i="3"/>
  <c r="AJ18" i="3"/>
  <c r="AG18" i="3"/>
  <c r="AI11" i="3"/>
  <c r="AH6" i="3"/>
  <c r="AL7" i="3"/>
  <c r="AK7" i="3"/>
  <c r="AI9" i="3"/>
  <c r="AF5" i="3"/>
  <c r="AK4" i="3"/>
  <c r="AI7" i="3"/>
  <c r="AK9" i="3"/>
  <c r="AG11" i="3"/>
  <c r="AJ3" i="3"/>
  <c r="AL5" i="3"/>
  <c r="AH9" i="3"/>
  <c r="AJ10" i="3"/>
  <c r="AF20" i="3"/>
  <c r="AK19" i="3"/>
  <c r="AK25" i="3"/>
  <c r="AH19" i="3"/>
  <c r="AH25" i="3"/>
  <c r="N2" i="2" l="1"/>
</calcChain>
</file>

<file path=xl/sharedStrings.xml><?xml version="1.0" encoding="utf-8"?>
<sst xmlns="http://schemas.openxmlformats.org/spreadsheetml/2006/main" count="336" uniqueCount="204">
  <si>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</si>
  <si>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</si>
  <si>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</si>
  <si>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</si>
  <si>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</si>
  <si>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</si>
  <si>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</si>
  <si>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</si>
  <si>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</si>
  <si>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</si>
  <si>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</si>
  <si>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</si>
  <si>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</si>
  <si>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</si>
  <si>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</si>
  <si>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</si>
  <si>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</si>
  <si>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</si>
  <si>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</si>
  <si>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</si>
  <si>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</si>
  <si>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</si>
  <si>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</si>
  <si>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</si>
  <si>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</si>
  <si>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</si>
  <si>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</si>
  <si>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</si>
  <si>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</si>
  <si>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</si>
  <si>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</si>
  <si>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</si>
  <si>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</si>
  <si>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</si>
  <si>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</si>
  <si>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</si>
  <si>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</si>
  <si>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</si>
  <si>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</si>
  <si>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</si>
  <si>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</si>
  <si>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</si>
  <si>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</si>
  <si>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</si>
  <si>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</si>
  <si>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</si>
  <si>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</si>
  <si>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</si>
  <si>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</si>
  <si>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</si>
  <si>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</si>
  <si>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</si>
  <si>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</si>
  <si>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</si>
  <si>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</si>
  <si>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</si>
  <si>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</si>
  <si>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</si>
  <si>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</si>
  <si>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</si>
  <si>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</si>
  <si>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</si>
  <si>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</si>
  <si>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</si>
  <si>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</si>
  <si>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</si>
  <si>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</si>
  <si>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</si>
  <si>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</si>
  <si>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</si>
  <si>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</si>
  <si>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</si>
  <si>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</si>
  <si>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</si>
  <si>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</si>
  <si>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</si>
  <si>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</si>
  <si>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</si>
  <si>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</si>
  <si>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</si>
  <si>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</si>
  <si>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</si>
  <si>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</si>
  <si>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</si>
  <si>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</si>
  <si>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</si>
  <si>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</si>
  <si>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</si>
  <si>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</si>
  <si>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</si>
  <si>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</si>
  <si>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</si>
  <si>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</si>
  <si>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</si>
  <si>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</si>
  <si>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</si>
  <si>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</si>
  <si>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</si>
  <si>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</si>
  <si>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</si>
  <si>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</si>
  <si>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</si>
  <si>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</si>
  <si>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</si>
  <si>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</si>
  <si>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</si>
  <si>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</si>
  <si>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</si>
  <si>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</si>
  <si>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</si>
  <si>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</si>
  <si>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</si>
  <si>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</si>
  <si>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</si>
  <si>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</si>
  <si>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</si>
  <si>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</si>
  <si>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</si>
  <si>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</si>
  <si>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</si>
  <si>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</si>
  <si>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</si>
  <si>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</si>
  <si>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</si>
  <si>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</si>
  <si>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</si>
  <si>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</si>
  <si>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</si>
  <si>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</si>
  <si>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</si>
  <si>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</si>
  <si>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</si>
  <si>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</si>
  <si>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</si>
  <si>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</si>
  <si>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</si>
  <si>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</si>
  <si>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</si>
  <si>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</si>
  <si>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</si>
  <si>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</si>
  <si>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</si>
  <si>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</si>
  <si>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</si>
  <si>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</si>
  <si>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</si>
  <si>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</si>
  <si>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</si>
  <si>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</si>
  <si>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</si>
  <si>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</si>
  <si>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</si>
  <si>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</si>
  <si>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</si>
  <si>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</si>
  <si>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</si>
  <si>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</si>
  <si>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</si>
  <si>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</si>
  <si>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</si>
  <si>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</si>
  <si>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</si>
  <si>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</si>
  <si>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</si>
  <si>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</si>
  <si>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</si>
  <si>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</si>
  <si>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</si>
  <si>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</si>
  <si>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</si>
  <si>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</si>
  <si>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</si>
  <si>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</si>
  <si>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</si>
  <si>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</si>
  <si>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</si>
  <si>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</si>
  <si>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</si>
  <si>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</si>
  <si>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</si>
  <si>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</si>
  <si>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</si>
  <si>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</si>
  <si>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</si>
  <si>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</si>
  <si>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</si>
  <si>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</si>
  <si>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</si>
  <si>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</si>
  <si>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</si>
  <si>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</si>
  <si>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행 레이블</t>
  </si>
  <si>
    <t>합계 : 할인율</t>
  </si>
  <si>
    <t>총합계</t>
  </si>
  <si>
    <t>열 레이블</t>
  </si>
  <si>
    <t>남</t>
  </si>
  <si>
    <t>여</t>
  </si>
  <si>
    <t>일</t>
  </si>
  <si>
    <t>월</t>
  </si>
  <si>
    <t>화</t>
  </si>
  <si>
    <t>수</t>
  </si>
  <si>
    <t>목</t>
  </si>
  <si>
    <t>금</t>
  </si>
  <si>
    <t>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</si>
</sst>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89.577628472223" createdVersion="6" refreshedVersion="6" minRefreshableVersion="3" recordCount="35" xr:uid="{F4651CFC-C6C5-4C3B-B8DE-B7A05D823537}">
  <cacheSource type="worksheet">
    <worksheetSource ref="A1:U36" sheet="요일별남녀할인율"/>
  </cacheSource>
  <cacheFields count="21">
    <cacheField name="회원번호" numFmtId="14">
      <sharedItems count="35">
        <s v="kjwoon79-4628"/>
        <s v="rkatjddnr-7535"/>
        <s v="jjyylove-1793"/>
        <s v="kjw8855-7896"/>
        <s v="ppororo2157-7412"/>
        <s v="hhphhp-4123"/>
        <s v="luvsi123-5213"/>
        <s v="angelyu-9635"/>
        <s v="teakjjingg-4613"/>
        <s v="jangjangjw-3152"/>
        <s v="doldolhkh555-8293"/>
        <s v="scforever88-1599"/>
        <s v="wtgwd102-9985"/>
        <s v="sangayoe-7458"/>
        <s v="ddongyoon-9856"/>
        <s v="jjjjpark-6589"/>
        <s v="hopelim75-2541"/>
        <s v="seosyjsh12-7941"/>
        <s v="reuploadkim2-3258"/>
        <s v="jjongmani-6521"/>
        <s v="eachother-4532"/>
        <s v="victorymink-1347"/>
        <s v="yeslee84-4866"/>
        <s v="jiyoungida-9762"/>
        <s v="okteajinok-1235"/>
        <s v="notingzeor0-7619"/>
        <s v="thlee1985-7913"/>
        <s v="soyoon1212-1296"/>
        <s v="soosoodduk-1496"/>
        <s v="ksjung74-7659"/>
        <s v="tellhjtrue-4963"/>
        <s v="minuminu-6743"/>
        <s v="lovelyhuson-1476"/>
        <s v="ssossok914-2579"/>
        <s v="seaaaaaaa-8521"/>
      </sharedItems>
    </cacheField>
    <cacheField name="이름" numFmtId="49">
      <sharedItems/>
    </cacheField>
    <cacheField name="주민번호" numFmtId="0">
      <sharedItems/>
    </cacheField>
    <cacheField name="주민번호_x000a_표시" numFmtId="0">
      <sharedItems/>
    </cacheField>
    <cacheField name="생년월일" numFmtId="14">
      <sharedItems containsSemiMixedTypes="0" containsNonDate="0" containsDate="1" containsString="0" minDate="1970-12-12T00:00:00" maxDate="1990-06-16T00:00:00"/>
    </cacheField>
    <cacheField name="년도" numFmtId="0">
      <sharedItems containsSemiMixedTypes="0" containsString="0" containsNumber="1" containsInteger="1" minValue="1970" maxValue="1990"/>
    </cacheField>
    <cacheField name="월" numFmtId="0">
      <sharedItems containsSemiMixedTypes="0" containsString="0" containsNumber="1" containsInteger="1" minValue="1" maxValue="12"/>
    </cacheField>
    <cacheField name="일" numFmtId="0">
      <sharedItems containsSemiMixedTypes="0" containsString="0" containsNumber="1" containsInteger="1" minValue="1" maxValue="30"/>
    </cacheField>
    <cacheField name="나_x000a_이" numFmtId="0">
      <sharedItems containsSemiMixedTypes="0" containsString="0" containsNumber="1" containsInteger="1" minValue="29" maxValue="48"/>
    </cacheField>
    <cacheField name="성_x000a_별" numFmtId="0">
      <sharedItems count="2">
        <s v="남"/>
        <s v="여"/>
      </sharedItems>
    </cacheField>
    <cacheField name="일수" numFmtId="0">
      <sharedItems containsSemiMixedTypes="0" containsString="0" containsNumber="1" containsInteger="1" minValue="10750" maxValue="17875"/>
    </cacheField>
    <cacheField name="이메일" numFmtId="0">
      <sharedItems/>
    </cacheField>
    <cacheField name="핸드폰번호" numFmtId="0">
      <sharedItems/>
    </cacheField>
    <cacheField name="가입년월일" numFmtId="14">
      <sharedItems containsSemiMixedTypes="0" containsNonDate="0" containsDate="1" containsString="0" minDate="1999-02-23T00:00:00" maxDate="2019-01-11T00:00:00"/>
    </cacheField>
    <cacheField name="년" numFmtId="0">
      <sharedItems containsSemiMixedTypes="0" containsString="0" containsNumber="1" containsInteger="1" minValue="0" maxValue="20"/>
    </cacheField>
    <cacheField name="개_x000a_월" numFmtId="0">
      <sharedItems containsSemiMixedTypes="0" containsString="0" containsNumber="1" containsInteger="1" minValue="0" maxValue="11"/>
    </cacheField>
    <cacheField name="일2" numFmtId="0">
      <sharedItems containsSemiMixedTypes="0" containsString="0" containsNumber="1" containsInteger="1" minValue="1" maxValue="30"/>
    </cacheField>
    <cacheField name="누적포인트" numFmtId="176">
      <sharedItems containsSemiMixedTypes="0" containsString="0" containsNumber="1" containsInteger="1" minValue="400" maxValue="270100"/>
    </cacheField>
    <cacheField name="혜택_x000a_요일" numFmtId="0">
      <sharedItems count="7">
        <s v="목"/>
        <s v="일"/>
        <s v="토"/>
        <s v="금"/>
        <s v="수"/>
        <s v="화"/>
        <s v="월"/>
      </sharedItems>
    </cacheField>
    <cacheField name="회원등급" numFmtId="0">
      <sharedItems/>
    </cacheField>
    <cacheField name="할인율" numFmtId="0">
      <sharedItems containsSemiMixedTypes="0" containsString="0" containsNumber="1" minValue="0" maxValue="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김지운"/>
    <s v="790809-1"/>
    <s v="790809-1******"/>
    <d v="1979-08-09T00:00:00"/>
    <n v="1979"/>
    <n v="8"/>
    <n v="9"/>
    <n v="40"/>
    <x v="0"/>
    <n v="14713"/>
    <s v="kjwoon79@gmail.com"/>
    <s v="010-9137-4628"/>
    <d v="2002-06-17T00:00:00"/>
    <n v="17"/>
    <n v="5"/>
    <n v="3"/>
    <n v="123650"/>
    <x v="0"/>
    <s v="GOLD"/>
    <n v="0.23"/>
  </r>
  <r>
    <x v="1"/>
    <s v="감성욱"/>
    <s v="751109-1"/>
    <s v="751109-1******"/>
    <d v="1975-11-09T00:00:00"/>
    <n v="1975"/>
    <n v="11"/>
    <n v="9"/>
    <n v="44"/>
    <x v="0"/>
    <n v="16082"/>
    <s v="rkatjddnr@naver.com"/>
    <s v="010-5915-7535"/>
    <d v="1999-02-23T00:00:00"/>
    <n v="20"/>
    <n v="8"/>
    <n v="28"/>
    <n v="250060"/>
    <x v="1"/>
    <s v="PURE GOLD"/>
    <n v="0.35"/>
  </r>
  <r>
    <x v="2"/>
    <s v="김진영"/>
    <s v="820327-2"/>
    <s v="820327-2******"/>
    <d v="1982-03-27T00:00:00"/>
    <n v="1982"/>
    <n v="3"/>
    <n v="27"/>
    <n v="37"/>
    <x v="1"/>
    <n v="13752"/>
    <s v="jjyylove@naver.com"/>
    <s v="010-2486-1793"/>
    <d v="2010-05-13T00:00:00"/>
    <n v="9"/>
    <n v="6"/>
    <n v="7"/>
    <n v="6500"/>
    <x v="2"/>
    <s v="BRONZE"/>
    <n v="0.02"/>
  </r>
  <r>
    <x v="3"/>
    <s v="김재원"/>
    <s v="880305-1"/>
    <s v="880305-1******"/>
    <d v="1988-03-05T00:00:00"/>
    <n v="1988"/>
    <n v="3"/>
    <n v="5"/>
    <n v="31"/>
    <x v="0"/>
    <n v="11582"/>
    <s v="kjw8855@hotmail.com"/>
    <s v="010-3214-7896"/>
    <d v="2009-07-11T00:00:00"/>
    <n v="10"/>
    <n v="4"/>
    <n v="9"/>
    <n v="143000"/>
    <x v="2"/>
    <s v="GOLD"/>
    <n v="0.2"/>
  </r>
  <r>
    <x v="4"/>
    <s v="문선영"/>
    <s v="750102-2"/>
    <s v="750102-2******"/>
    <d v="1975-01-02T00:00:00"/>
    <n v="1975"/>
    <n v="1"/>
    <n v="2"/>
    <n v="44"/>
    <x v="1"/>
    <n v="16393"/>
    <s v="ppororo2157@hanmail.net"/>
    <s v="010-3698-7412"/>
    <d v="2011-03-03T00:00:00"/>
    <n v="8"/>
    <n v="8"/>
    <n v="17"/>
    <n v="186300"/>
    <x v="0"/>
    <s v="GOLD"/>
    <n v="0.15"/>
  </r>
  <r>
    <x v="5"/>
    <s v="박현호"/>
    <s v="900615-1"/>
    <s v="900615-1******"/>
    <d v="1990-06-15T00:00:00"/>
    <n v="1990"/>
    <n v="6"/>
    <n v="15"/>
    <n v="29"/>
    <x v="0"/>
    <n v="10750"/>
    <s v="hhphhp@naver.com"/>
    <s v="010-6987-4123"/>
    <d v="2019-01-10T00:00:00"/>
    <n v="0"/>
    <n v="10"/>
    <n v="10"/>
    <n v="400"/>
    <x v="3"/>
    <s v="BRONZE"/>
    <n v="0"/>
  </r>
  <r>
    <x v="6"/>
    <s v="손서인"/>
    <s v="860319-2"/>
    <s v="860319-2******"/>
    <d v="1986-03-19T00:00:00"/>
    <n v="1986"/>
    <n v="3"/>
    <n v="19"/>
    <n v="33"/>
    <x v="1"/>
    <n v="12299"/>
    <s v="luvsi123@hotmail.com"/>
    <s v="010-5879-5213"/>
    <d v="2007-07-10T00:00:00"/>
    <n v="12"/>
    <n v="4"/>
    <n v="10"/>
    <n v="168000"/>
    <x v="4"/>
    <s v="GOLD"/>
    <n v="0.2"/>
  </r>
  <r>
    <x v="7"/>
    <s v="이유경"/>
    <s v="740914-2"/>
    <s v="740914-2******"/>
    <d v="1974-09-14T00:00:00"/>
    <n v="1974"/>
    <n v="9"/>
    <n v="14"/>
    <n v="45"/>
    <x v="1"/>
    <n v="16503"/>
    <s v="angelyu@hotmail.com"/>
    <s v="010-7415-9635"/>
    <d v="2006-01-14T00:00:00"/>
    <n v="13"/>
    <n v="10"/>
    <n v="6"/>
    <n v="270100"/>
    <x v="2"/>
    <s v="PURE GOLD"/>
    <n v="0.25"/>
  </r>
  <r>
    <x v="8"/>
    <s v="이택진"/>
    <s v="800729-1"/>
    <s v="800729-1******"/>
    <d v="1980-07-29T00:00:00"/>
    <n v="1980"/>
    <n v="7"/>
    <n v="29"/>
    <n v="39"/>
    <x v="0"/>
    <n v="14358"/>
    <s v="teakjjingg@gmail.com"/>
    <s v="010-7946-4613"/>
    <d v="2012-12-02T00:00:00"/>
    <n v="6"/>
    <n v="11"/>
    <n v="18"/>
    <n v="199000"/>
    <x v="5"/>
    <s v="GOLD"/>
    <n v="0.15"/>
  </r>
  <r>
    <x v="9"/>
    <s v="장진욱"/>
    <s v="701212-1"/>
    <s v="701212-1******"/>
    <d v="1970-12-12T00:00:00"/>
    <n v="1970"/>
    <n v="12"/>
    <n v="12"/>
    <n v="48"/>
    <x v="0"/>
    <n v="17875"/>
    <s v="jangjangjw@daum.net"/>
    <s v="010-4685-3152"/>
    <d v="2013-04-01T00:00:00"/>
    <n v="6"/>
    <n v="7"/>
    <n v="19"/>
    <n v="200500"/>
    <x v="2"/>
    <s v="PURE GOLD"/>
    <n v="0.2"/>
  </r>
  <r>
    <x v="10"/>
    <s v="한경현"/>
    <s v="760412-2"/>
    <s v="760412-2******"/>
    <d v="1976-04-12T00:00:00"/>
    <n v="1976"/>
    <n v="4"/>
    <n v="12"/>
    <n v="43"/>
    <x v="1"/>
    <n v="15927"/>
    <s v="doldolhkh555@hanmail.net"/>
    <s v="010-7182-8293"/>
    <d v="2000-02-02T00:00:00"/>
    <n v="19"/>
    <n v="9"/>
    <n v="18"/>
    <n v="3700"/>
    <x v="6"/>
    <s v="BRONZE"/>
    <n v="0.04"/>
  </r>
  <r>
    <x v="11"/>
    <s v="김선채"/>
    <s v="880202-2"/>
    <s v="880202-2******"/>
    <d v="1988-02-02T00:00:00"/>
    <n v="1988"/>
    <n v="2"/>
    <n v="2"/>
    <n v="31"/>
    <x v="1"/>
    <n v="11614"/>
    <s v="scforever88@naver.com"/>
    <s v="010-9511-1599"/>
    <d v="2008-08-16T00:00:00"/>
    <n v="11"/>
    <n v="3"/>
    <n v="4"/>
    <n v="46000"/>
    <x v="5"/>
    <s v="SILVER"/>
    <n v="0.1"/>
  </r>
  <r>
    <x v="12"/>
    <s v="김태진"/>
    <s v="730628-1"/>
    <s v="730628-1******"/>
    <d v="1973-06-28T00:00:00"/>
    <n v="1973"/>
    <n v="6"/>
    <n v="28"/>
    <n v="46"/>
    <x v="0"/>
    <n v="16946"/>
    <s v="wtgwd102@gamil.com"/>
    <s v="010-7785-9985"/>
    <d v="2017-09-12T00:00:00"/>
    <n v="2"/>
    <n v="2"/>
    <n v="8"/>
    <n v="97300"/>
    <x v="0"/>
    <s v="SILVER"/>
    <n v="0.03"/>
  </r>
  <r>
    <x v="13"/>
    <s v="여상아"/>
    <s v="810530-2"/>
    <s v="810530-2******"/>
    <d v="1981-05-30T00:00:00"/>
    <n v="1981"/>
    <n v="5"/>
    <n v="30"/>
    <n v="38"/>
    <x v="1"/>
    <n v="14053"/>
    <s v="sangayoe@naver.com"/>
    <s v="010-5632-7458"/>
    <d v="2014-03-21T00:00:00"/>
    <n v="5"/>
    <n v="7"/>
    <n v="30"/>
    <n v="23000"/>
    <x v="2"/>
    <s v="SILVER"/>
    <n v="0.08"/>
  </r>
  <r>
    <x v="14"/>
    <s v="이동윤"/>
    <s v="840911-1"/>
    <s v="840911-1******"/>
    <d v="1984-09-11T00:00:00"/>
    <n v="1984"/>
    <n v="9"/>
    <n v="11"/>
    <n v="35"/>
    <x v="0"/>
    <n v="12853"/>
    <s v="ddongyoon@hotmail.com"/>
    <s v="010-4125-9856"/>
    <d v="2006-08-17T00:00:00"/>
    <n v="13"/>
    <n v="3"/>
    <n v="3"/>
    <n v="154000"/>
    <x v="5"/>
    <s v="GOLD"/>
    <n v="0.2"/>
  </r>
  <r>
    <x v="15"/>
    <s v="박장진"/>
    <s v="770903-2"/>
    <s v="770903-2******"/>
    <d v="1977-09-03T00:00:00"/>
    <n v="1977"/>
    <n v="9"/>
    <n v="3"/>
    <n v="42"/>
    <x v="1"/>
    <n v="15418"/>
    <s v="jjjjpark@daum.net"/>
    <s v="010-3256-6589"/>
    <d v="2014-04-05T00:00:00"/>
    <n v="5"/>
    <n v="7"/>
    <n v="15"/>
    <n v="110000"/>
    <x v="2"/>
    <s v="GOLD"/>
    <n v="0.15"/>
  </r>
  <r>
    <x v="16"/>
    <s v="임소원"/>
    <s v="751111-2"/>
    <s v="751111-2******"/>
    <d v="1975-11-11T00:00:00"/>
    <n v="1975"/>
    <n v="11"/>
    <n v="11"/>
    <n v="44"/>
    <x v="1"/>
    <n v="16080"/>
    <s v="hopelim75@naver.com"/>
    <s v="010-5478-2541"/>
    <d v="2008-02-12T00:00:00"/>
    <n v="11"/>
    <n v="9"/>
    <n v="8"/>
    <n v="130000"/>
    <x v="5"/>
    <s v="GOLD"/>
    <n v="0.2"/>
  </r>
  <r>
    <x v="17"/>
    <s v="서소연"/>
    <s v="821003-2"/>
    <s v="821003-2******"/>
    <d v="1982-10-03T00:00:00"/>
    <n v="1982"/>
    <n v="10"/>
    <n v="3"/>
    <n v="37"/>
    <x v="1"/>
    <n v="13562"/>
    <s v="seosyjsh12@gmail.com"/>
    <s v="010-3169-7941"/>
    <d v="2009-09-16T00:00:00"/>
    <n v="10"/>
    <n v="2"/>
    <n v="4"/>
    <n v="210300"/>
    <x v="1"/>
    <s v="PURE GOLD"/>
    <n v="0.25"/>
  </r>
  <r>
    <x v="18"/>
    <s v="김재업"/>
    <s v="880105-1"/>
    <s v="880105-1******"/>
    <d v="1988-01-05T00:00:00"/>
    <n v="1988"/>
    <n v="1"/>
    <n v="5"/>
    <n v="31"/>
    <x v="0"/>
    <n v="11642"/>
    <s v="reuploadkim2@gmail.com"/>
    <s v="010-7852-3258"/>
    <d v="2010-10-26T00:00:00"/>
    <n v="9"/>
    <n v="0"/>
    <n v="25"/>
    <n v="68100"/>
    <x v="5"/>
    <s v="SILVER"/>
    <n v="0.08"/>
  </r>
  <r>
    <x v="19"/>
    <s v="이종만"/>
    <s v="720227-1"/>
    <s v="720227-1******"/>
    <d v="1972-02-27T00:00:00"/>
    <n v="1972"/>
    <n v="2"/>
    <n v="27"/>
    <n v="47"/>
    <x v="0"/>
    <n v="17433"/>
    <s v="jjongmani@hotmail.com"/>
    <s v="010-9854-6521"/>
    <d v="2000-03-03T00:00:00"/>
    <n v="19"/>
    <n v="8"/>
    <n v="17"/>
    <n v="16700"/>
    <x v="1"/>
    <s v="SILVER"/>
    <n v="0.13"/>
  </r>
  <r>
    <x v="20"/>
    <s v="김상호"/>
    <s v="830925-1"/>
    <s v="830925-1******"/>
    <d v="1983-09-25T00:00:00"/>
    <n v="1983"/>
    <n v="9"/>
    <n v="25"/>
    <n v="36"/>
    <x v="0"/>
    <n v="13205"/>
    <s v="eachother@hotmail.com"/>
    <s v="010-7856-4532"/>
    <d v="2018-11-30T00:00:00"/>
    <n v="0"/>
    <n v="11"/>
    <n v="21"/>
    <n v="9200"/>
    <x v="1"/>
    <s v="BRONZE"/>
    <n v="0"/>
  </r>
  <r>
    <x v="21"/>
    <s v="박승민"/>
    <s v="750815-1"/>
    <s v="750815-1******"/>
    <d v="1975-08-15T00:00:00"/>
    <n v="1975"/>
    <n v="8"/>
    <n v="15"/>
    <n v="44"/>
    <x v="0"/>
    <n v="16168"/>
    <s v="victorymink@hanmail.net"/>
    <s v="010-9199-1347"/>
    <d v="2016-06-29T00:00:00"/>
    <n v="3"/>
    <n v="4"/>
    <n v="22"/>
    <n v="32100"/>
    <x v="3"/>
    <s v="SILVER"/>
    <n v="0.05"/>
  </r>
  <r>
    <x v="22"/>
    <s v="이예슬"/>
    <s v="840628-2"/>
    <s v="840628-2******"/>
    <d v="1984-06-28T00:00:00"/>
    <n v="1984"/>
    <n v="6"/>
    <n v="28"/>
    <n v="35"/>
    <x v="1"/>
    <n v="12928"/>
    <s v="yeslee84@naver.com"/>
    <s v="010-2688-4866"/>
    <d v="2005-05-19T00:00:00"/>
    <n v="14"/>
    <n v="6"/>
    <n v="1"/>
    <n v="142000"/>
    <x v="0"/>
    <s v="GOLD"/>
    <n v="0.2"/>
  </r>
  <r>
    <x v="23"/>
    <s v="안지영"/>
    <s v="870203-2"/>
    <s v="870203-2******"/>
    <d v="1987-02-03T00:00:00"/>
    <n v="1987"/>
    <n v="2"/>
    <n v="3"/>
    <n v="32"/>
    <x v="1"/>
    <n v="11978"/>
    <s v="jiyoungida@hotmail.com"/>
    <s v="010-3149-9762"/>
    <d v="2015-09-26T00:00:00"/>
    <n v="4"/>
    <n v="1"/>
    <n v="25"/>
    <n v="100500"/>
    <x v="5"/>
    <s v="GOLD"/>
    <n v="0.1"/>
  </r>
  <r>
    <x v="24"/>
    <s v="옥태진"/>
    <s v="790416-1"/>
    <s v="790416-1******"/>
    <d v="1979-04-16T00:00:00"/>
    <n v="1979"/>
    <n v="4"/>
    <n v="16"/>
    <n v="40"/>
    <x v="0"/>
    <n v="14828"/>
    <s v="okteajinok@naver.com"/>
    <s v="010-4569-1235"/>
    <d v="2012-12-03T00:00:00"/>
    <n v="6"/>
    <n v="11"/>
    <n v="17"/>
    <n v="17300"/>
    <x v="6"/>
    <s v="SILVER"/>
    <n v="0.08"/>
  </r>
  <r>
    <x v="25"/>
    <s v="이무영"/>
    <s v="831205-1"/>
    <s v="831205-1******"/>
    <d v="1983-12-05T00:00:00"/>
    <n v="1983"/>
    <n v="12"/>
    <n v="5"/>
    <n v="35"/>
    <x v="0"/>
    <n v="13134"/>
    <s v="notingzeor0@daum.net"/>
    <s v="010-5563-7619"/>
    <d v="2013-07-13T00:00:00"/>
    <n v="6"/>
    <n v="4"/>
    <n v="7"/>
    <n v="193000"/>
    <x v="6"/>
    <s v="GOLD"/>
    <n v="0.15"/>
  </r>
  <r>
    <x v="26"/>
    <s v="이태호"/>
    <s v="850927-1"/>
    <s v="850927-1******"/>
    <d v="1985-09-27T00:00:00"/>
    <n v="1985"/>
    <n v="9"/>
    <n v="27"/>
    <n v="34"/>
    <x v="0"/>
    <n v="12472"/>
    <s v="thlee1985@gmail.com"/>
    <s v="010-3491-7913"/>
    <d v="2008-10-16T00:00:00"/>
    <n v="11"/>
    <n v="1"/>
    <n v="4"/>
    <n v="187000"/>
    <x v="3"/>
    <s v="GOLD"/>
    <n v="0.2"/>
  </r>
  <r>
    <x v="27"/>
    <s v="조소윤"/>
    <s v="710621-2"/>
    <s v="710621-2******"/>
    <d v="1971-06-21T00:00:00"/>
    <n v="1971"/>
    <n v="6"/>
    <n v="21"/>
    <n v="48"/>
    <x v="1"/>
    <n v="17684"/>
    <s v="soyoon1212@hanmail.net"/>
    <s v="010-8574-1296"/>
    <d v="2014-12-28T00:00:00"/>
    <n v="4"/>
    <n v="10"/>
    <n v="23"/>
    <n v="55600"/>
    <x v="6"/>
    <s v="SILVER"/>
    <n v="0.05"/>
  </r>
  <r>
    <x v="28"/>
    <s v="정수덕"/>
    <s v="810308-1"/>
    <s v="810308-1******"/>
    <d v="1981-03-08T00:00:00"/>
    <n v="1981"/>
    <n v="3"/>
    <n v="8"/>
    <n v="38"/>
    <x v="0"/>
    <n v="14136"/>
    <s v="soosoodduk@daum.net"/>
    <s v="010-3687-1496"/>
    <d v="2007-07-19T00:00:00"/>
    <n v="12"/>
    <n v="4"/>
    <n v="1"/>
    <n v="214000"/>
    <x v="1"/>
    <s v="PURE GOLD"/>
    <n v="0.25"/>
  </r>
  <r>
    <x v="29"/>
    <s v="정경수"/>
    <s v="740201-1"/>
    <s v="740201-1******"/>
    <d v="1974-02-01T00:00:00"/>
    <n v="1974"/>
    <n v="2"/>
    <n v="1"/>
    <n v="45"/>
    <x v="0"/>
    <n v="16728"/>
    <s v="ksjung74@hotmail.net"/>
    <s v="010-2564-7659"/>
    <d v="2001-01-29T00:00:00"/>
    <n v="18"/>
    <n v="9"/>
    <n v="22"/>
    <n v="224100"/>
    <x v="3"/>
    <s v="PURE GOLD"/>
    <n v="0.3"/>
  </r>
  <r>
    <x v="30"/>
    <s v="윤형진"/>
    <s v="801112-1"/>
    <s v="801112-1******"/>
    <d v="1980-11-12T00:00:00"/>
    <n v="1980"/>
    <n v="11"/>
    <n v="12"/>
    <n v="39"/>
    <x v="0"/>
    <n v="14252"/>
    <s v="tellhjtrue@naver.com"/>
    <s v="010-8912-4963"/>
    <d v="2011-06-18T00:00:00"/>
    <n v="8"/>
    <n v="5"/>
    <n v="2"/>
    <n v="147600"/>
    <x v="4"/>
    <s v="GOLD"/>
    <n v="0.15"/>
  </r>
  <r>
    <x v="31"/>
    <s v="박민우"/>
    <s v="870722-1"/>
    <s v="870722-1******"/>
    <d v="1987-07-22T00:00:00"/>
    <n v="1987"/>
    <n v="7"/>
    <n v="22"/>
    <n v="32"/>
    <x v="0"/>
    <n v="11809"/>
    <s v="minuminu@hotmail.com"/>
    <s v="010-5519-6743"/>
    <d v="2010-02-03T00:00:00"/>
    <n v="9"/>
    <n v="9"/>
    <n v="17"/>
    <n v="36800"/>
    <x v="4"/>
    <s v="SILVER"/>
    <n v="0.08"/>
  </r>
  <r>
    <x v="32"/>
    <s v="손현의"/>
    <s v="860513-2"/>
    <s v="860513-2******"/>
    <d v="1986-05-13T00:00:00"/>
    <n v="1986"/>
    <n v="5"/>
    <n v="13"/>
    <n v="33"/>
    <x v="1"/>
    <n v="12244"/>
    <s v="lovelyhuson@daum.net"/>
    <s v="010-9851-1476"/>
    <d v="2018-09-12T00:00:00"/>
    <n v="1"/>
    <n v="2"/>
    <n v="8"/>
    <n v="2400"/>
    <x v="5"/>
    <s v="BRONZE"/>
    <n v="0"/>
  </r>
  <r>
    <x v="33"/>
    <s v="권소연"/>
    <s v="791019-2"/>
    <s v="791019-2******"/>
    <d v="1979-10-19T00:00:00"/>
    <n v="1979"/>
    <n v="10"/>
    <n v="19"/>
    <n v="40"/>
    <x v="1"/>
    <n v="14642"/>
    <s v="ssossok914@gamil.com"/>
    <s v="010-5813-2579"/>
    <d v="2003-07-30T00:00:00"/>
    <n v="16"/>
    <n v="3"/>
    <n v="21"/>
    <n v="221000"/>
    <x v="3"/>
    <s v="PURE GOLD"/>
    <n v="0.3"/>
  </r>
  <r>
    <x v="34"/>
    <s v="김서아"/>
    <s v="821224-2"/>
    <s v="821224-2******"/>
    <d v="1982-12-24T00:00:00"/>
    <n v="1982"/>
    <n v="12"/>
    <n v="24"/>
    <n v="36"/>
    <x v="1"/>
    <n v="13480"/>
    <s v="seaaaaaaa@hotmail.com"/>
    <s v="010-4673-8521"/>
    <d v="2015-09-27T00:00:00"/>
    <n v="4"/>
    <n v="1"/>
    <n v="24"/>
    <n v="78300"/>
    <x v="3"/>
    <s v="SILVER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E4393-57A6-4644-8EEC-99FD963E4679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axis="axisRow" showAll="0">
      <items count="8">
        <item sd="0" x="1"/>
        <item sd="0" x="6"/>
        <item sd="0" x="5"/>
        <item sd="0" x="4"/>
        <item sd="0" x="0"/>
        <item sd="0" x="3"/>
        <item sd="0" x="2"/>
        <item t="default" sd="0"/>
      </items>
    </pivotField>
    <pivotField showAll="0"/>
    <pivotField dataField="1" showAll="0"/>
  </pivotFields>
  <rowFields count="2">
    <field x="18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AF64B-E483-47B8-B677-EC8308D2FED7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axis="axisRow" showAll="0">
      <items count="8">
        <item sd="0" x="1"/>
        <item sd="0" x="6"/>
        <item sd="0" x="5"/>
        <item sd="0" x="4"/>
        <item sd="0" x="0"/>
        <item sd="0" x="3"/>
        <item sd="0" x="2"/>
        <item t="default" sd="0"/>
      </items>
    </pivotField>
    <pivotField showAll="0"/>
    <pivotField dataField="1" showAll="0"/>
  </pivotFields>
  <rowFields count="2">
    <field x="18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A2BE0-46F0-46A2-B29C-38306E9348F1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axis="axisRow" showAll="0">
      <items count="8">
        <item sd="0" x="1"/>
        <item sd="0" x="6"/>
        <item sd="0" x="5"/>
        <item sd="0" x="4"/>
        <item sd="0" x="0"/>
        <item sd="0" x="3"/>
        <item sd="0" x="2"/>
        <item t="default" sd="0"/>
      </items>
    </pivotField>
    <pivotField showAll="0"/>
    <pivotField dataField="1" showAll="0"/>
  </pivotFields>
  <rowFields count="2">
    <field x="18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B1908-BDB1-484B-9570-48FDA9CC62FC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axis="axisRow" showAll="0">
      <items count="8">
        <item sd="0" x="1"/>
        <item sd="0" x="6"/>
        <item sd="0" x="5"/>
        <item sd="0" x="4"/>
        <item sd="0" x="0"/>
        <item sd="0" x="3"/>
        <item sd="0" x="2"/>
        <item t="default" sd="0"/>
      </items>
    </pivotField>
    <pivotField showAll="0"/>
    <pivotField dataField="1" showAll="0"/>
  </pivotFields>
  <rowFields count="2">
    <field x="18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F29C-AC35-4777-8073-2D9107B53F33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88" t="s">
        <v>0</v>
      </c>
      <c r="B1" s="89" t="s">
        <v>1</v>
      </c>
      <c r="C1" s="89" t="s">
        <v>2</v>
      </c>
      <c r="D1" s="90" t="s">
        <v>167</v>
      </c>
      <c r="E1" s="89" t="s">
        <v>147</v>
      </c>
      <c r="F1" s="89" t="s">
        <v>148</v>
      </c>
      <c r="G1" s="89" t="s">
        <v>149</v>
      </c>
      <c r="H1" s="89" t="s">
        <v>150</v>
      </c>
      <c r="I1" s="90" t="s">
        <v>153</v>
      </c>
      <c r="J1" s="90" t="s">
        <v>156</v>
      </c>
      <c r="K1" s="90" t="s">
        <v>154</v>
      </c>
      <c r="L1" s="89" t="s">
        <v>3</v>
      </c>
      <c r="M1" s="89" t="s">
        <v>111</v>
      </c>
      <c r="N1" s="89" t="s">
        <v>4</v>
      </c>
      <c r="O1" s="90" t="s">
        <v>151</v>
      </c>
      <c r="P1" s="90" t="s">
        <v>152</v>
      </c>
      <c r="Q1" s="90" t="s">
        <v>150</v>
      </c>
      <c r="R1" s="89" t="s">
        <v>5</v>
      </c>
      <c r="S1" s="91" t="s">
        <v>155</v>
      </c>
      <c r="T1" s="92" t="s">
        <v>165</v>
      </c>
      <c r="U1" s="93" t="s">
        <v>166</v>
      </c>
    </row>
    <row r="2" spans="1:51" ht="17.100000000000001" customHeight="1" thickTop="1" thickBot="1" x14ac:dyDescent="0.35">
      <c r="A2" s="94" t="str">
        <f t="shared" ref="A2:A36" si="0">LEFT(L2, FIND("@",L2)-1) &amp; "-" &amp; RIGHT(M2, 4)</f>
        <v>kjwoon79-4628</v>
      </c>
      <c r="B2" s="95" t="s">
        <v>14</v>
      </c>
      <c r="C2" s="96" t="s">
        <v>76</v>
      </c>
      <c r="D2" s="97" t="str">
        <f t="shared" ref="D2:D36" si="1">REPLACE(C2,9,,REPT("*",6))</f>
        <v>790809-1******</v>
      </c>
      <c r="E2" s="98">
        <f t="shared" ref="E2:E36" si="2">DATE(LEFT(C2,2), MID(C2,3,2), MID(C2,5,2))</f>
        <v>29076</v>
      </c>
      <c r="F2" s="97">
        <f t="shared" ref="F2:F36" si="3">YEAR(E2)</f>
        <v>1979</v>
      </c>
      <c r="G2" s="97">
        <f t="shared" ref="G2:G36" si="4">MONTH(E2)</f>
        <v>8</v>
      </c>
      <c r="H2" s="97">
        <f t="shared" ref="H2:H36" si="5">DAY(E2)</f>
        <v>9</v>
      </c>
      <c r="I2" s="97">
        <f t="shared" ref="I2:I36" ca="1" si="6">DATEDIF(E2, TODAY(), "Y")</f>
        <v>40</v>
      </c>
      <c r="J2" s="97" t="str">
        <f t="shared" ref="J2:J36" si="7">CHOOSE(RIGHT(C2,1), "남", "여", "남", "여")</f>
        <v>남</v>
      </c>
      <c r="K2" s="97">
        <f t="shared" ref="K2:K36" ca="1" si="8">DATEDIF(E2, TODAY(), "D")</f>
        <v>14721</v>
      </c>
      <c r="L2" s="99" t="s">
        <v>41</v>
      </c>
      <c r="M2" s="100" t="s">
        <v>112</v>
      </c>
      <c r="N2" s="101">
        <v>37424</v>
      </c>
      <c r="O2" s="97">
        <f t="shared" ref="O2:O36" ca="1" si="9">DATEDIF(N2, TODAY(), "Y")</f>
        <v>17</v>
      </c>
      <c r="P2" s="97">
        <f t="shared" ref="P2:P36" ca="1" si="10">DATEDIF(N2, TODAY(), "YM")</f>
        <v>5</v>
      </c>
      <c r="Q2" s="97">
        <f t="shared" ref="Q2:Q36" ca="1" si="11">DATEDIF(N2, TODAY(), "MD")</f>
        <v>11</v>
      </c>
      <c r="R2" s="102">
        <v>123650</v>
      </c>
      <c r="S2" s="122" t="str">
        <f t="shared" ref="S2:S36" si="12">CHOOSE(WEEKDAY(E2), "일", "월", "화", "수", "목", "금", "토")</f>
        <v>목</v>
      </c>
      <c r="T2" s="119" t="str">
        <f>HLOOKUP(R2, 할인율!$C$1:$F$3,3,TRUE)</f>
        <v>GOLD</v>
      </c>
      <c r="U2" s="103">
        <f ca="1">INDEX(할인율!$C$4:$F$9,MATCH(O2,할인율!$B$4:$B$9,1), MATCH(T2,할인율!$C$3:$F$3,0))</f>
        <v>0.23</v>
      </c>
      <c r="W2" s="9"/>
      <c r="X2" s="143" t="s">
        <v>168</v>
      </c>
      <c r="Y2" s="10" t="s">
        <v>169</v>
      </c>
      <c r="AC2" s="22"/>
      <c r="AD2" s="23"/>
      <c r="AE2" s="10"/>
      <c r="AF2" s="143" t="s">
        <v>150</v>
      </c>
      <c r="AG2" s="23" t="s">
        <v>149</v>
      </c>
      <c r="AH2" s="23" t="s">
        <v>175</v>
      </c>
      <c r="AI2" s="23" t="s">
        <v>176</v>
      </c>
      <c r="AJ2" s="23" t="s">
        <v>177</v>
      </c>
      <c r="AK2" s="23" t="s">
        <v>178</v>
      </c>
      <c r="AL2" s="10" t="s">
        <v>179</v>
      </c>
      <c r="AN2" s="57"/>
      <c r="AO2" s="177" t="s">
        <v>187</v>
      </c>
      <c r="AP2" s="179" t="s">
        <v>188</v>
      </c>
      <c r="AR2" s="65"/>
      <c r="AS2" s="144"/>
      <c r="AT2" s="143" t="s">
        <v>189</v>
      </c>
      <c r="AU2" s="10" t="s">
        <v>190</v>
      </c>
    </row>
    <row r="3" spans="1:51" ht="17.100000000000001" customHeight="1" thickTop="1" thickBot="1" x14ac:dyDescent="0.35">
      <c r="A3" s="94" t="str">
        <f t="shared" si="0"/>
        <v>rkatjddnr-7535</v>
      </c>
      <c r="B3" s="104" t="s">
        <v>15</v>
      </c>
      <c r="C3" s="105" t="s">
        <v>77</v>
      </c>
      <c r="D3" s="96" t="str">
        <f t="shared" si="1"/>
        <v>751109-1******</v>
      </c>
      <c r="E3" s="101">
        <f t="shared" si="2"/>
        <v>27707</v>
      </c>
      <c r="F3" s="96">
        <f t="shared" si="3"/>
        <v>1975</v>
      </c>
      <c r="G3" s="96">
        <f t="shared" si="4"/>
        <v>11</v>
      </c>
      <c r="H3" s="96">
        <f t="shared" si="5"/>
        <v>9</v>
      </c>
      <c r="I3" s="96">
        <f t="shared" ca="1" si="6"/>
        <v>44</v>
      </c>
      <c r="J3" s="105" t="str">
        <f t="shared" si="7"/>
        <v>남</v>
      </c>
      <c r="K3" s="96">
        <f t="shared" ca="1" si="8"/>
        <v>16090</v>
      </c>
      <c r="L3" s="106" t="s">
        <v>42</v>
      </c>
      <c r="M3" s="107" t="s">
        <v>113</v>
      </c>
      <c r="N3" s="94">
        <v>36214</v>
      </c>
      <c r="O3" s="96">
        <f t="shared" ca="1" si="9"/>
        <v>20</v>
      </c>
      <c r="P3" s="96">
        <f t="shared" ca="1" si="10"/>
        <v>9</v>
      </c>
      <c r="Q3" s="96">
        <f t="shared" ca="1" si="11"/>
        <v>5</v>
      </c>
      <c r="R3" s="108">
        <v>250060</v>
      </c>
      <c r="S3" s="124" t="str">
        <f t="shared" si="12"/>
        <v>일</v>
      </c>
      <c r="T3" s="121" t="str">
        <f>HLOOKUP(R3, 할인율!$C$1:$F$3,3,TRUE)</f>
        <v>PURE GOLD</v>
      </c>
      <c r="U3" s="109">
        <f ca="1">INDEX(할인율!$C$4:$F$9,MATCH(O3,할인율!$B$4:$B$9,1), MATCH(T3,할인율!$C$3:$F$3,0))</f>
        <v>0.35</v>
      </c>
      <c r="W3" s="11">
        <v>20</v>
      </c>
      <c r="X3" s="41">
        <f ca="1">COUNTIFS($I$2:$I$36,"&gt;="&amp;$W3,$I$2:$I$36,"&lt;"&amp;$W4, $J$2:$J$36,"="&amp;X$2)</f>
        <v>1</v>
      </c>
      <c r="Y3" s="137">
        <f ca="1">COUNTIFS($I$2:$I$36,"&gt;="&amp;$W3,$I$2:$I$36,"&lt;"&amp;$W4, $J$2:$J$36,"="&amp;Y$2)</f>
        <v>0</v>
      </c>
      <c r="AC3" s="165" t="s">
        <v>170</v>
      </c>
      <c r="AD3" s="181" t="s">
        <v>168</v>
      </c>
      <c r="AE3" s="24" t="s">
        <v>180</v>
      </c>
      <c r="AF3" s="52">
        <f>COUNTIFS($T$2:$T$36,"="&amp;$AC$3,$J$2:$J$36,"="&amp;$AD3,$S$2:$S$36,"="&amp;AF$2)</f>
        <v>2</v>
      </c>
      <c r="AG3" s="140">
        <f t="shared" ref="AG3:AL3" si="13">COUNTIFS($T$2:$T$36,"="&amp;$AC$3,$J$2:$J$36,"="&amp;$AD3,$S$2:$S$36,"="&amp;AG$2)</f>
        <v>0</v>
      </c>
      <c r="AH3" s="140">
        <f t="shared" si="13"/>
        <v>0</v>
      </c>
      <c r="AI3" s="140">
        <f t="shared" si="13"/>
        <v>0</v>
      </c>
      <c r="AJ3" s="140">
        <f t="shared" si="13"/>
        <v>0</v>
      </c>
      <c r="AK3" s="140">
        <f t="shared" si="13"/>
        <v>1</v>
      </c>
      <c r="AL3" s="24">
        <f t="shared" si="13"/>
        <v>1</v>
      </c>
      <c r="AN3" s="58"/>
      <c r="AO3" s="178"/>
      <c r="AP3" s="180"/>
      <c r="AR3" s="184" t="s">
        <v>168</v>
      </c>
      <c r="AS3" s="64" t="s">
        <v>170</v>
      </c>
      <c r="AT3" s="59">
        <f ca="1">_xlfn.MAXIFS($U$2:$U$36,$J$2:$J$36,"="&amp;$AR$3,$T$2:$T$36,"="&amp;$AS3)</f>
        <v>0.35</v>
      </c>
      <c r="AU3" s="60">
        <f ca="1">_xlfn.MINIFS($U$2:$U$36,$J$2:$J$36,"="&amp;$AR$3,$T$2:$T$36,"="&amp;$AS3)</f>
        <v>0.2</v>
      </c>
    </row>
    <row r="4" spans="1:51" ht="17.100000000000001" customHeight="1" thickTop="1" x14ac:dyDescent="0.3">
      <c r="A4" s="94" t="str">
        <f t="shared" si="0"/>
        <v>jjyylove-1793</v>
      </c>
      <c r="B4" s="104" t="s">
        <v>16</v>
      </c>
      <c r="C4" s="105" t="s">
        <v>78</v>
      </c>
      <c r="D4" s="96" t="str">
        <f t="shared" si="1"/>
        <v>820327-2******</v>
      </c>
      <c r="E4" s="101">
        <f t="shared" si="2"/>
        <v>30037</v>
      </c>
      <c r="F4" s="96">
        <f t="shared" si="3"/>
        <v>1982</v>
      </c>
      <c r="G4" s="96">
        <f t="shared" si="4"/>
        <v>3</v>
      </c>
      <c r="H4" s="96">
        <f t="shared" si="5"/>
        <v>27</v>
      </c>
      <c r="I4" s="96">
        <f t="shared" ca="1" si="6"/>
        <v>37</v>
      </c>
      <c r="J4" s="105" t="str">
        <f t="shared" si="7"/>
        <v>여</v>
      </c>
      <c r="K4" s="96">
        <f t="shared" ca="1" si="8"/>
        <v>13760</v>
      </c>
      <c r="L4" s="106" t="s">
        <v>43</v>
      </c>
      <c r="M4" s="107" t="s">
        <v>114</v>
      </c>
      <c r="N4" s="94">
        <v>40311</v>
      </c>
      <c r="O4" s="96">
        <f t="shared" ca="1" si="9"/>
        <v>9</v>
      </c>
      <c r="P4" s="96">
        <f t="shared" ca="1" si="10"/>
        <v>6</v>
      </c>
      <c r="Q4" s="96">
        <f t="shared" ca="1" si="11"/>
        <v>15</v>
      </c>
      <c r="R4" s="108">
        <v>6500</v>
      </c>
      <c r="S4" s="130" t="str">
        <f t="shared" si="12"/>
        <v>토</v>
      </c>
      <c r="T4" s="118" t="str">
        <f>HLOOKUP(R4, 할인율!$C$1:$F$3,3,TRUE)</f>
        <v>BRONZE</v>
      </c>
      <c r="U4" s="109">
        <f ca="1">INDEX(할인율!$C$4:$F$9,MATCH(O4,할인율!$B$4:$B$9,1), MATCH(T4,할인율!$C$3:$F$3,0))</f>
        <v>0.02</v>
      </c>
      <c r="W4" s="12">
        <v>30</v>
      </c>
      <c r="X4" s="21">
        <f ca="1">COUNTIFS($I$2:$I$36,"&gt;="&amp;$W4,$I$2:$I$36,"&lt;"&amp;$W5, $J$2:$J$36,"="&amp;X$2)</f>
        <v>10</v>
      </c>
      <c r="Y4" s="13">
        <f ca="1">COUNTIFS($I$2:$I$36,"&gt;="&amp;$W4,$I$2:$I$36,"&lt;"&amp;$W5, $J$2:$J$36,"="&amp;Y$2)</f>
        <v>9</v>
      </c>
      <c r="AC4" s="148"/>
      <c r="AD4" s="182"/>
      <c r="AE4" s="25" t="s">
        <v>182</v>
      </c>
      <c r="AF4" s="49">
        <f>SUMIFS($R$2:$R$36,$T$2:$T$36,"="&amp;$AC$3,$J$2:$J$36,"="&amp;$AD3,$S$2:$S$36,"="&amp;AF$2)</f>
        <v>464060</v>
      </c>
      <c r="AG4" s="141">
        <f t="shared" ref="AG4:AL4" si="14">SUMIFS($R$2:$R$36,$T$2:$T$36,"="&amp;$AC$3,$J$2:$J$36,"="&amp;$AD3,$S$2:$S$36,"="&amp;AG$2)</f>
        <v>0</v>
      </c>
      <c r="AH4" s="141">
        <f t="shared" si="14"/>
        <v>0</v>
      </c>
      <c r="AI4" s="141">
        <f t="shared" si="14"/>
        <v>0</v>
      </c>
      <c r="AJ4" s="141">
        <f t="shared" si="14"/>
        <v>0</v>
      </c>
      <c r="AK4" s="141">
        <f t="shared" si="14"/>
        <v>224100</v>
      </c>
      <c r="AL4" s="26">
        <f t="shared" si="14"/>
        <v>200500</v>
      </c>
      <c r="AN4" s="11" t="s">
        <v>168</v>
      </c>
      <c r="AO4" s="59">
        <f>_xlfn.MAXIFS($R$2:$R$36,$J$2:$J$36,"="&amp;$AN4)</f>
        <v>250060</v>
      </c>
      <c r="AP4" s="60">
        <f>_xlfn.MINIFS($R$2:$R$36,$J$2:$J$36,"="&amp;$AN4)</f>
        <v>400</v>
      </c>
      <c r="AR4" s="175"/>
      <c r="AS4" s="62" t="s">
        <v>171</v>
      </c>
      <c r="AT4" s="59">
        <f t="shared" ref="AT4:AT6" ca="1" si="15">_xlfn.MAXIFS($U$2:$U$36,$J$2:$J$36,"="&amp;$AR$3,$T$2:$T$36,"="&amp;$AS4)</f>
        <v>0.23</v>
      </c>
      <c r="AU4" s="60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94" t="str">
        <f t="shared" si="0"/>
        <v>kjw8855-7896</v>
      </c>
      <c r="B5" s="104" t="s">
        <v>17</v>
      </c>
      <c r="C5" s="105" t="s">
        <v>79</v>
      </c>
      <c r="D5" s="96" t="str">
        <f t="shared" si="1"/>
        <v>880305-1******</v>
      </c>
      <c r="E5" s="101">
        <f t="shared" si="2"/>
        <v>32207</v>
      </c>
      <c r="F5" s="96">
        <f t="shared" si="3"/>
        <v>1988</v>
      </c>
      <c r="G5" s="96">
        <f t="shared" si="4"/>
        <v>3</v>
      </c>
      <c r="H5" s="96">
        <f t="shared" si="5"/>
        <v>5</v>
      </c>
      <c r="I5" s="96">
        <f t="shared" ca="1" si="6"/>
        <v>31</v>
      </c>
      <c r="J5" s="105" t="str">
        <f t="shared" si="7"/>
        <v>남</v>
      </c>
      <c r="K5" s="96">
        <f t="shared" ca="1" si="8"/>
        <v>11590</v>
      </c>
      <c r="L5" s="106" t="s">
        <v>44</v>
      </c>
      <c r="M5" s="107" t="s">
        <v>115</v>
      </c>
      <c r="N5" s="94">
        <v>40005</v>
      </c>
      <c r="O5" s="96">
        <f t="shared" ca="1" si="9"/>
        <v>10</v>
      </c>
      <c r="P5" s="96">
        <f t="shared" ca="1" si="10"/>
        <v>4</v>
      </c>
      <c r="Q5" s="96">
        <f t="shared" ca="1" si="11"/>
        <v>17</v>
      </c>
      <c r="R5" s="108">
        <v>143000</v>
      </c>
      <c r="S5" s="130" t="str">
        <f t="shared" si="12"/>
        <v>토</v>
      </c>
      <c r="T5" s="120" t="str">
        <f>HLOOKUP(R5, 할인율!$C$1:$F$3,3,TRUE)</f>
        <v>GOLD</v>
      </c>
      <c r="U5" s="109">
        <f ca="1">INDEX(할인율!$C$4:$F$9,MATCH(O5,할인율!$B$4:$B$9,1), MATCH(T5,할인율!$C$3:$F$3,0))</f>
        <v>0.2</v>
      </c>
      <c r="W5" s="14">
        <v>40</v>
      </c>
      <c r="X5" s="17">
        <f ca="1">COUNTIFS($I$2:$I$36,"&gt;="&amp;$W5,$J$2:$J$36,"="&amp;X$2)</f>
        <v>8</v>
      </c>
      <c r="Y5" s="142">
        <f ca="1">COUNTIFS($I$2:$I$36,"&gt;="&amp;$W5,$J$2:$J$36,"="&amp;Y$2)</f>
        <v>7</v>
      </c>
      <c r="AC5" s="148"/>
      <c r="AD5" s="183"/>
      <c r="AE5" s="27" t="s">
        <v>183</v>
      </c>
      <c r="AF5" s="53">
        <f ca="1">IFERROR(ROUND(AVERAGEIFS($U$2:$U$36,$T$2:$T$36,"="&amp;$AC$3,$J$2:$J$36,"="&amp;$AD3,$S$2:$S$36,"="&amp;AF$2),2),"-")</f>
        <v>0.3</v>
      </c>
      <c r="AG5" s="28" t="str">
        <f t="shared" ref="AG5:AL5" si="17">IFERROR(ROUND(AVERAGEIFS($U$2:$U$36,$T$2:$T$36,"="&amp;$AC$3,$J$2:$J$36,"="&amp;$AD3,$S$2:$S$36,"="&amp;AG$2),2),"-")</f>
        <v>-</v>
      </c>
      <c r="AH5" s="28" t="str">
        <f t="shared" si="17"/>
        <v>-</v>
      </c>
      <c r="AI5" s="28" t="str">
        <f t="shared" si="17"/>
        <v>-</v>
      </c>
      <c r="AJ5" s="28" t="str">
        <f t="shared" si="17"/>
        <v>-</v>
      </c>
      <c r="AK5" s="28">
        <f t="shared" ca="1" si="17"/>
        <v>0.3</v>
      </c>
      <c r="AL5" s="29">
        <f t="shared" ca="1" si="17"/>
        <v>0.2</v>
      </c>
      <c r="AN5" s="14" t="s">
        <v>169</v>
      </c>
      <c r="AO5" s="17">
        <f>_xlfn.MAXIFS($R$2:$R$36,$J$2:$J$36,"="&amp;$AN5)</f>
        <v>270100</v>
      </c>
      <c r="AP5" s="142">
        <f>_xlfn.MINIFS($R$2:$R$36,$J$2:$J$36,"="&amp;$AN5)</f>
        <v>2400</v>
      </c>
      <c r="AR5" s="175"/>
      <c r="AS5" s="62" t="s">
        <v>181</v>
      </c>
      <c r="AT5" s="59">
        <f t="shared" ca="1" si="15"/>
        <v>0.13</v>
      </c>
      <c r="AU5" s="60">
        <f t="shared" ca="1" si="16"/>
        <v>0.03</v>
      </c>
    </row>
    <row r="6" spans="1:51" ht="17.100000000000001" customHeight="1" thickTop="1" thickBot="1" x14ac:dyDescent="0.35">
      <c r="A6" s="94" t="str">
        <f t="shared" si="0"/>
        <v>ppororo2157-7412</v>
      </c>
      <c r="B6" s="104" t="s">
        <v>18</v>
      </c>
      <c r="C6" s="105" t="s">
        <v>80</v>
      </c>
      <c r="D6" s="96" t="str">
        <f t="shared" si="1"/>
        <v>750102-2******</v>
      </c>
      <c r="E6" s="101">
        <f t="shared" si="2"/>
        <v>27396</v>
      </c>
      <c r="F6" s="96">
        <f t="shared" si="3"/>
        <v>1975</v>
      </c>
      <c r="G6" s="96">
        <f t="shared" si="4"/>
        <v>1</v>
      </c>
      <c r="H6" s="96">
        <f t="shared" si="5"/>
        <v>2</v>
      </c>
      <c r="I6" s="96">
        <f t="shared" ca="1" si="6"/>
        <v>44</v>
      </c>
      <c r="J6" s="105" t="str">
        <f t="shared" si="7"/>
        <v>여</v>
      </c>
      <c r="K6" s="96">
        <f t="shared" ca="1" si="8"/>
        <v>16401</v>
      </c>
      <c r="L6" s="106" t="s">
        <v>45</v>
      </c>
      <c r="M6" s="107" t="s">
        <v>116</v>
      </c>
      <c r="N6" s="94">
        <v>40605</v>
      </c>
      <c r="O6" s="96">
        <f t="shared" ca="1" si="9"/>
        <v>8</v>
      </c>
      <c r="P6" s="96">
        <f t="shared" ca="1" si="10"/>
        <v>8</v>
      </c>
      <c r="Q6" s="96">
        <f t="shared" ca="1" si="11"/>
        <v>25</v>
      </c>
      <c r="R6" s="108">
        <v>186300</v>
      </c>
      <c r="S6" s="123" t="str">
        <f t="shared" si="12"/>
        <v>목</v>
      </c>
      <c r="T6" s="120" t="str">
        <f>HLOOKUP(R6, 할인율!$C$1:$F$3,3,TRUE)</f>
        <v>GOLD</v>
      </c>
      <c r="U6" s="109">
        <f ca="1">INDEX(할인율!$C$4:$F$9,MATCH(O6,할인율!$B$4:$B$9,1), MATCH(T6,할인율!$C$3:$F$3,0))</f>
        <v>0.15</v>
      </c>
      <c r="AC6" s="148"/>
      <c r="AD6" s="154" t="s">
        <v>169</v>
      </c>
      <c r="AE6" s="30" t="s">
        <v>180</v>
      </c>
      <c r="AF6" s="48">
        <f t="shared" ref="AF6:AL6" si="18">COUNTIFS($T$2:$T$36,"="&amp;$AC$3,$J$2:$J$36,"="&amp;$AD6,$S$2:$S$36,"="&amp;AF$2)</f>
        <v>1</v>
      </c>
      <c r="AG6" s="31">
        <f t="shared" si="18"/>
        <v>0</v>
      </c>
      <c r="AH6" s="31">
        <f t="shared" si="18"/>
        <v>0</v>
      </c>
      <c r="AI6" s="31">
        <f t="shared" si="18"/>
        <v>0</v>
      </c>
      <c r="AJ6" s="31">
        <f t="shared" si="18"/>
        <v>0</v>
      </c>
      <c r="AK6" s="31">
        <f t="shared" si="18"/>
        <v>1</v>
      </c>
      <c r="AL6" s="30">
        <f t="shared" si="18"/>
        <v>1</v>
      </c>
      <c r="AR6" s="185"/>
      <c r="AS6" s="66" t="s">
        <v>172</v>
      </c>
      <c r="AT6" s="77">
        <f t="shared" ca="1" si="15"/>
        <v>0</v>
      </c>
      <c r="AU6" s="78">
        <f t="shared" ca="1" si="16"/>
        <v>0</v>
      </c>
    </row>
    <row r="7" spans="1:51" ht="17.100000000000001" customHeight="1" thickTop="1" thickBot="1" x14ac:dyDescent="0.35">
      <c r="A7" s="94" t="str">
        <f t="shared" si="0"/>
        <v>hhphhp-4123</v>
      </c>
      <c r="B7" s="104" t="s">
        <v>19</v>
      </c>
      <c r="C7" s="105" t="s">
        <v>81</v>
      </c>
      <c r="D7" s="96" t="str">
        <f t="shared" si="1"/>
        <v>900615-1******</v>
      </c>
      <c r="E7" s="101">
        <f t="shared" si="2"/>
        <v>33039</v>
      </c>
      <c r="F7" s="96">
        <f t="shared" si="3"/>
        <v>1990</v>
      </c>
      <c r="G7" s="96">
        <f t="shared" si="4"/>
        <v>6</v>
      </c>
      <c r="H7" s="96">
        <f t="shared" si="5"/>
        <v>15</v>
      </c>
      <c r="I7" s="96">
        <f t="shared" ca="1" si="6"/>
        <v>29</v>
      </c>
      <c r="J7" s="105" t="str">
        <f t="shared" si="7"/>
        <v>남</v>
      </c>
      <c r="K7" s="96">
        <f t="shared" ca="1" si="8"/>
        <v>10758</v>
      </c>
      <c r="L7" s="106" t="s">
        <v>46</v>
      </c>
      <c r="M7" s="107" t="s">
        <v>117</v>
      </c>
      <c r="N7" s="94">
        <v>43475</v>
      </c>
      <c r="O7" s="96">
        <f t="shared" ca="1" si="9"/>
        <v>0</v>
      </c>
      <c r="P7" s="96">
        <f t="shared" ca="1" si="10"/>
        <v>10</v>
      </c>
      <c r="Q7" s="96">
        <f t="shared" ca="1" si="11"/>
        <v>18</v>
      </c>
      <c r="R7" s="108">
        <v>400</v>
      </c>
      <c r="S7" s="128" t="str">
        <f t="shared" si="12"/>
        <v>금</v>
      </c>
      <c r="T7" s="118" t="str">
        <f>HLOOKUP(R7, 할인율!$C$1:$F$3,3,TRUE)</f>
        <v>BRONZE</v>
      </c>
      <c r="U7" s="109">
        <f ca="1">INDEX(할인율!$C$4:$F$9,MATCH(O7,할인율!$B$4:$B$9,1), MATCH(T7,할인율!$C$3:$F$3,0))</f>
        <v>0</v>
      </c>
      <c r="W7" s="138"/>
      <c r="X7" s="170" t="s">
        <v>168</v>
      </c>
      <c r="Y7" s="171"/>
      <c r="Z7" s="172" t="s">
        <v>169</v>
      </c>
      <c r="AA7" s="173"/>
      <c r="AC7" s="148"/>
      <c r="AD7" s="155"/>
      <c r="AE7" s="25" t="s">
        <v>182</v>
      </c>
      <c r="AF7" s="49">
        <f t="shared" ref="AF7:AL7" si="19">SUMIFS($R$2:$R$36,$T$2:$T$36,"="&amp;$AC$3,$J$2:$J$36,"="&amp;$AD6,$S$2:$S$36,"="&amp;AF$2)</f>
        <v>210300</v>
      </c>
      <c r="AG7" s="141">
        <f t="shared" si="19"/>
        <v>0</v>
      </c>
      <c r="AH7" s="141">
        <f t="shared" si="19"/>
        <v>0</v>
      </c>
      <c r="AI7" s="141">
        <f t="shared" si="19"/>
        <v>0</v>
      </c>
      <c r="AJ7" s="141">
        <f t="shared" si="19"/>
        <v>0</v>
      </c>
      <c r="AK7" s="141">
        <f t="shared" si="19"/>
        <v>221000</v>
      </c>
      <c r="AL7" s="26">
        <f t="shared" si="19"/>
        <v>270100</v>
      </c>
      <c r="AN7" s="9"/>
      <c r="AO7" s="61" t="s">
        <v>189</v>
      </c>
      <c r="AP7" s="10" t="s">
        <v>190</v>
      </c>
      <c r="AR7" s="174" t="s">
        <v>169</v>
      </c>
      <c r="AS7" s="64" t="s">
        <v>170</v>
      </c>
      <c r="AT7" s="79">
        <f ca="1">_xlfn.MAXIFS($U$2:$U$36,$J$2:$J$36,"="&amp;$AR$7,$T$2:$T$36,"="&amp;$AS7)</f>
        <v>0.3</v>
      </c>
      <c r="AU7" s="74">
        <f ca="1">_xlfn.MINIFS($U$2:$U$36,$J$2:$J$36,"="&amp;$AR$7,$T$2:$T$36,"="&amp;$AS7)</f>
        <v>0.25</v>
      </c>
    </row>
    <row r="8" spans="1:51" ht="17.100000000000001" customHeight="1" thickTop="1" thickBot="1" x14ac:dyDescent="0.35">
      <c r="A8" s="94" t="str">
        <f t="shared" si="0"/>
        <v>luvsi123-5213</v>
      </c>
      <c r="B8" s="104" t="s">
        <v>20</v>
      </c>
      <c r="C8" s="105" t="s">
        <v>82</v>
      </c>
      <c r="D8" s="96" t="str">
        <f t="shared" si="1"/>
        <v>860319-2******</v>
      </c>
      <c r="E8" s="101">
        <f t="shared" si="2"/>
        <v>31490</v>
      </c>
      <c r="F8" s="96">
        <f t="shared" si="3"/>
        <v>1986</v>
      </c>
      <c r="G8" s="96">
        <f t="shared" si="4"/>
        <v>3</v>
      </c>
      <c r="H8" s="96">
        <f t="shared" si="5"/>
        <v>19</v>
      </c>
      <c r="I8" s="96">
        <f t="shared" ca="1" si="6"/>
        <v>33</v>
      </c>
      <c r="J8" s="105" t="str">
        <f t="shared" si="7"/>
        <v>여</v>
      </c>
      <c r="K8" s="96">
        <f t="shared" ca="1" si="8"/>
        <v>12307</v>
      </c>
      <c r="L8" s="106" t="s">
        <v>47</v>
      </c>
      <c r="M8" s="107" t="s">
        <v>118</v>
      </c>
      <c r="N8" s="94">
        <v>39273</v>
      </c>
      <c r="O8" s="96">
        <f t="shared" ca="1" si="9"/>
        <v>12</v>
      </c>
      <c r="P8" s="96">
        <f t="shared" ca="1" si="10"/>
        <v>4</v>
      </c>
      <c r="Q8" s="96">
        <f t="shared" ca="1" si="11"/>
        <v>18</v>
      </c>
      <c r="R8" s="108">
        <v>168000</v>
      </c>
      <c r="S8" s="127" t="str">
        <f t="shared" si="12"/>
        <v>수</v>
      </c>
      <c r="T8" s="120" t="str">
        <f>HLOOKUP(R8, 할인율!$C$1:$F$3,3,TRUE)</f>
        <v>GOLD</v>
      </c>
      <c r="U8" s="109">
        <f ca="1">INDEX(할인율!$C$4:$F$9,MATCH(O8,할인율!$B$4:$B$9,1), MATCH(T8,할인율!$C$3:$F$3,0))</f>
        <v>0.2</v>
      </c>
      <c r="W8" s="16"/>
      <c r="X8" s="17" t="s">
        <v>173</v>
      </c>
      <c r="Y8" s="18" t="s">
        <v>174</v>
      </c>
      <c r="Z8" s="15" t="s">
        <v>173</v>
      </c>
      <c r="AA8" s="142" t="s">
        <v>174</v>
      </c>
      <c r="AC8" s="148"/>
      <c r="AD8" s="155"/>
      <c r="AE8" s="32" t="s">
        <v>183</v>
      </c>
      <c r="AF8" s="50">
        <f t="shared" ref="AF8:AL8" ca="1" si="20">IFERROR(ROUND(AVERAGEIFS($U$2:$U$36,$T$2:$T$36,"="&amp;$AC$3,$J$2:$J$36,"="&amp;$AD6,$S$2:$S$36,"="&amp;AF$2),2),"-")</f>
        <v>0.25</v>
      </c>
      <c r="AG8" s="33" t="str">
        <f t="shared" si="20"/>
        <v>-</v>
      </c>
      <c r="AH8" s="33" t="str">
        <f t="shared" si="20"/>
        <v>-</v>
      </c>
      <c r="AI8" s="33" t="str">
        <f t="shared" si="20"/>
        <v>-</v>
      </c>
      <c r="AJ8" s="33" t="str">
        <f t="shared" si="20"/>
        <v>-</v>
      </c>
      <c r="AK8" s="33">
        <f t="shared" ca="1" si="20"/>
        <v>0.3</v>
      </c>
      <c r="AL8" s="34">
        <f t="shared" ca="1" si="20"/>
        <v>0.25</v>
      </c>
      <c r="AN8" s="11" t="s">
        <v>150</v>
      </c>
      <c r="AO8" s="41">
        <f ca="1">_xlfn.MAXIFS($U$2:$U$36,$S$2:$S$36, "="&amp;$AN8)</f>
        <v>0.35</v>
      </c>
      <c r="AP8" s="137">
        <f ca="1">_xlfn.MINIFS($U$2:$U$36,$S$2:$S$36, "="&amp;$AN8)</f>
        <v>0</v>
      </c>
      <c r="AR8" s="175"/>
      <c r="AS8" s="62" t="s">
        <v>171</v>
      </c>
      <c r="AT8" s="75">
        <f t="shared" ref="AT8:AT10" ca="1" si="21">_xlfn.MAXIFS($U$2:$U$36,$J$2:$J$36,"="&amp;$AR$7,$T$2:$T$36,"="&amp;$AS8)</f>
        <v>0.2</v>
      </c>
      <c r="AU8" s="60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94" t="str">
        <f t="shared" si="0"/>
        <v>angelyu-9635</v>
      </c>
      <c r="B9" s="104" t="s">
        <v>21</v>
      </c>
      <c r="C9" s="105" t="s">
        <v>83</v>
      </c>
      <c r="D9" s="96" t="str">
        <f t="shared" si="1"/>
        <v>740914-2******</v>
      </c>
      <c r="E9" s="101">
        <f t="shared" si="2"/>
        <v>27286</v>
      </c>
      <c r="F9" s="96">
        <f t="shared" si="3"/>
        <v>1974</v>
      </c>
      <c r="G9" s="96">
        <f t="shared" si="4"/>
        <v>9</v>
      </c>
      <c r="H9" s="96">
        <f t="shared" si="5"/>
        <v>14</v>
      </c>
      <c r="I9" s="96">
        <f t="shared" ca="1" si="6"/>
        <v>45</v>
      </c>
      <c r="J9" s="105" t="str">
        <f t="shared" si="7"/>
        <v>여</v>
      </c>
      <c r="K9" s="96">
        <f t="shared" ca="1" si="8"/>
        <v>16511</v>
      </c>
      <c r="L9" s="106" t="s">
        <v>48</v>
      </c>
      <c r="M9" s="107" t="s">
        <v>119</v>
      </c>
      <c r="N9" s="94">
        <v>38731</v>
      </c>
      <c r="O9" s="96">
        <f t="shared" ca="1" si="9"/>
        <v>13</v>
      </c>
      <c r="P9" s="96">
        <f t="shared" ca="1" si="10"/>
        <v>10</v>
      </c>
      <c r="Q9" s="96">
        <f t="shared" ca="1" si="11"/>
        <v>14</v>
      </c>
      <c r="R9" s="108">
        <v>270100</v>
      </c>
      <c r="S9" s="130" t="str">
        <f t="shared" si="12"/>
        <v>토</v>
      </c>
      <c r="T9" s="121" t="str">
        <f>HLOOKUP(R9, 할인율!$C$1:$F$3,3,TRUE)</f>
        <v>PURE GOLD</v>
      </c>
      <c r="U9" s="109">
        <f ca="1">INDEX(할인율!$C$4:$F$9,MATCH(O9,할인율!$B$4:$B$9,1), MATCH(T9,할인율!$C$3:$F$3,0))</f>
        <v>0.25</v>
      </c>
      <c r="W9" s="19" t="s">
        <v>170</v>
      </c>
      <c r="X9" s="41">
        <f>SUMIFS($R$2:$R$36,$T$2:$T$36,"="&amp;$W9,$J$2:$J$36,"="&amp;X$7)</f>
        <v>888660</v>
      </c>
      <c r="Y9" s="42">
        <f ca="1">IFERROR(ROUND(AVERAGEIFS($U$2:$U$36,$T$2:$T$36,"="&amp;$W9,$J$2:$J$36,"="&amp;X$7),2),"-")</f>
        <v>0.28000000000000003</v>
      </c>
      <c r="Z9" s="45">
        <f>SUMIFS($R$2:$R$36,$T$2:$T$36,"="&amp;$W9,$J$2:$J$36,"="&amp;Z$7)</f>
        <v>701400</v>
      </c>
      <c r="AA9" s="137">
        <f ca="1">IFERROR(ROUND(AVERAGEIFS($U$2:$U$36,$T$2:$T$36,"="&amp;$W9,$J$2:$J$36,"="&amp;Z$7),2),"-")</f>
        <v>0.27</v>
      </c>
      <c r="AC9" s="152" t="s">
        <v>171</v>
      </c>
      <c r="AD9" s="168" t="s">
        <v>168</v>
      </c>
      <c r="AE9" s="35" t="s">
        <v>180</v>
      </c>
      <c r="AF9" s="54">
        <f>COUNTIFS($T$2:$T$36,"="&amp;$AC$9,$J$2:$J$36,"="&amp;$AD9,$S$2:$S$36,"="&amp;AF$2)</f>
        <v>0</v>
      </c>
      <c r="AG9" s="36">
        <f t="shared" ref="AG9:AL9" si="23">COUNTIFS($T$2:$T$36,"="&amp;$AC$9,$J$2:$J$36,"="&amp;$AD9,$S$2:$S$36,"="&amp;AG$2)</f>
        <v>1</v>
      </c>
      <c r="AH9" s="36">
        <f t="shared" si="23"/>
        <v>2</v>
      </c>
      <c r="AI9" s="36">
        <f t="shared" si="23"/>
        <v>1</v>
      </c>
      <c r="AJ9" s="36">
        <f t="shared" si="23"/>
        <v>1</v>
      </c>
      <c r="AK9" s="36">
        <f t="shared" si="23"/>
        <v>1</v>
      </c>
      <c r="AL9" s="35">
        <f t="shared" si="23"/>
        <v>1</v>
      </c>
      <c r="AN9" s="12" t="s">
        <v>149</v>
      </c>
      <c r="AO9" s="75">
        <f t="shared" ref="AO9:AO14" ca="1" si="24">_xlfn.MAXIFS($U$2:$U$36,$S$2:$S$36, "="&amp;$AN9)</f>
        <v>0.15</v>
      </c>
      <c r="AP9" s="60">
        <f t="shared" ref="AP9:AP14" ca="1" si="25">_xlfn.MINIFS($U$2:$U$36,$S$2:$S$36, "="&amp;$AN9)</f>
        <v>0.04</v>
      </c>
      <c r="AR9" s="175"/>
      <c r="AS9" s="62" t="s">
        <v>181</v>
      </c>
      <c r="AT9" s="75">
        <f t="shared" ca="1" si="21"/>
        <v>0.1</v>
      </c>
      <c r="AU9" s="60">
        <f t="shared" ca="1" si="22"/>
        <v>0.05</v>
      </c>
    </row>
    <row r="10" spans="1:51" ht="17.100000000000001" customHeight="1" thickBot="1" x14ac:dyDescent="0.35">
      <c r="A10" s="94" t="str">
        <f t="shared" si="0"/>
        <v>teakjjingg-4613</v>
      </c>
      <c r="B10" s="104" t="s">
        <v>22</v>
      </c>
      <c r="C10" s="105" t="s">
        <v>84</v>
      </c>
      <c r="D10" s="96" t="str">
        <f t="shared" si="1"/>
        <v>800729-1******</v>
      </c>
      <c r="E10" s="101">
        <f t="shared" si="2"/>
        <v>29431</v>
      </c>
      <c r="F10" s="96">
        <f t="shared" si="3"/>
        <v>1980</v>
      </c>
      <c r="G10" s="96">
        <f t="shared" si="4"/>
        <v>7</v>
      </c>
      <c r="H10" s="96">
        <f t="shared" si="5"/>
        <v>29</v>
      </c>
      <c r="I10" s="96">
        <f t="shared" ca="1" si="6"/>
        <v>39</v>
      </c>
      <c r="J10" s="105" t="str">
        <f t="shared" si="7"/>
        <v>남</v>
      </c>
      <c r="K10" s="96">
        <f t="shared" ca="1" si="8"/>
        <v>14366</v>
      </c>
      <c r="L10" s="106" t="s">
        <v>49</v>
      </c>
      <c r="M10" s="107" t="s">
        <v>120</v>
      </c>
      <c r="N10" s="94">
        <v>41245</v>
      </c>
      <c r="O10" s="96">
        <f t="shared" ca="1" si="9"/>
        <v>6</v>
      </c>
      <c r="P10" s="96">
        <f t="shared" ca="1" si="10"/>
        <v>11</v>
      </c>
      <c r="Q10" s="96">
        <f t="shared" ca="1" si="11"/>
        <v>26</v>
      </c>
      <c r="R10" s="108">
        <v>199000</v>
      </c>
      <c r="S10" s="126" t="str">
        <f t="shared" si="12"/>
        <v>화</v>
      </c>
      <c r="T10" s="120" t="str">
        <f>HLOOKUP(R10, 할인율!$C$1:$F$3,3,TRUE)</f>
        <v>GOLD</v>
      </c>
      <c r="U10" s="109">
        <f ca="1">INDEX(할인율!$C$4:$F$9,MATCH(O10,할인율!$B$4:$B$9,1), MATCH(T10,할인율!$C$3:$F$3,0))</f>
        <v>0.15</v>
      </c>
      <c r="W10" s="20" t="s">
        <v>171</v>
      </c>
      <c r="X10" s="21">
        <f>SUMIFS($R$2:$R$36,$T$2:$T$36,"="&amp;$W10,$J$2:$J$36,"="&amp;X$7)</f>
        <v>1147250</v>
      </c>
      <c r="Y10" s="43">
        <f ca="1">IFERROR(ROUND(AVERAGEIFS($U$2:$U$36,$T$2:$T$36,"="&amp;$W10,$J$2:$J$36,"="&amp;X$7),2),"-")</f>
        <v>0.18</v>
      </c>
      <c r="Z10" s="46">
        <f>SUMIFS($R$2:$R$36,$T$2:$T$36,"="&amp;$W10,$J$2:$J$36,"="&amp;Z$7)</f>
        <v>836800</v>
      </c>
      <c r="AA10" s="13">
        <f ca="1">IFERROR(ROUND(AVERAGEIFS($U$2:$U$36,$T$2:$T$36,"="&amp;$W10,$J$2:$J$36,"="&amp;Z$7),2),"-")</f>
        <v>0.17</v>
      </c>
      <c r="AC10" s="148"/>
      <c r="AD10" s="155"/>
      <c r="AE10" s="25" t="s">
        <v>182</v>
      </c>
      <c r="AF10" s="49">
        <f>SUMIFS($R$2:$R$36,$T$2:$T$36,"="&amp;$AC$9,$J$2:$J$36,"="&amp;$AD9,$S$2:$S$36,"="&amp;AF$2)</f>
        <v>0</v>
      </c>
      <c r="AG10" s="141">
        <f t="shared" ref="AG10:AL10" si="26">SUMIFS($R$2:$R$36,$T$2:$T$36,"="&amp;$AC$9,$J$2:$J$36,"="&amp;$AD9,$S$2:$S$36,"="&amp;AG$2)</f>
        <v>193000</v>
      </c>
      <c r="AH10" s="141">
        <f t="shared" si="26"/>
        <v>353000</v>
      </c>
      <c r="AI10" s="141">
        <f t="shared" si="26"/>
        <v>147600</v>
      </c>
      <c r="AJ10" s="141">
        <f t="shared" si="26"/>
        <v>123650</v>
      </c>
      <c r="AK10" s="141">
        <f t="shared" si="26"/>
        <v>187000</v>
      </c>
      <c r="AL10" s="26">
        <f t="shared" si="26"/>
        <v>143000</v>
      </c>
      <c r="AN10" s="12" t="s">
        <v>175</v>
      </c>
      <c r="AO10" s="75">
        <f t="shared" ca="1" si="24"/>
        <v>0.2</v>
      </c>
      <c r="AP10" s="60">
        <f t="shared" ca="1" si="25"/>
        <v>0</v>
      </c>
      <c r="AR10" s="176"/>
      <c r="AS10" s="63" t="s">
        <v>172</v>
      </c>
      <c r="AT10" s="135">
        <f t="shared" ca="1" si="21"/>
        <v>0.04</v>
      </c>
      <c r="AU10" s="76">
        <f t="shared" ca="1" si="22"/>
        <v>0</v>
      </c>
    </row>
    <row r="11" spans="1:51" ht="17.100000000000001" customHeight="1" thickTop="1" thickBot="1" x14ac:dyDescent="0.35">
      <c r="A11" s="94" t="str">
        <f t="shared" si="0"/>
        <v>jangjangjw-3152</v>
      </c>
      <c r="B11" s="104" t="s">
        <v>23</v>
      </c>
      <c r="C11" s="105" t="s">
        <v>85</v>
      </c>
      <c r="D11" s="96" t="str">
        <f t="shared" si="1"/>
        <v>701212-1******</v>
      </c>
      <c r="E11" s="101">
        <f t="shared" si="2"/>
        <v>25914</v>
      </c>
      <c r="F11" s="96">
        <f t="shared" si="3"/>
        <v>1970</v>
      </c>
      <c r="G11" s="96">
        <f t="shared" si="4"/>
        <v>12</v>
      </c>
      <c r="H11" s="96">
        <f t="shared" si="5"/>
        <v>12</v>
      </c>
      <c r="I11" s="96">
        <f t="shared" ca="1" si="6"/>
        <v>48</v>
      </c>
      <c r="J11" s="105" t="str">
        <f t="shared" si="7"/>
        <v>남</v>
      </c>
      <c r="K11" s="96">
        <f t="shared" ca="1" si="8"/>
        <v>17883</v>
      </c>
      <c r="L11" s="106" t="s">
        <v>50</v>
      </c>
      <c r="M11" s="107" t="s">
        <v>121</v>
      </c>
      <c r="N11" s="94">
        <v>41365</v>
      </c>
      <c r="O11" s="96">
        <f t="shared" ca="1" si="9"/>
        <v>6</v>
      </c>
      <c r="P11" s="96">
        <f t="shared" ca="1" si="10"/>
        <v>7</v>
      </c>
      <c r="Q11" s="96">
        <f t="shared" ca="1" si="11"/>
        <v>27</v>
      </c>
      <c r="R11" s="108">
        <v>200500</v>
      </c>
      <c r="S11" s="130" t="str">
        <f t="shared" si="12"/>
        <v>토</v>
      </c>
      <c r="T11" s="121" t="str">
        <f>HLOOKUP(R11, 할인율!$C$1:$F$3,3,TRUE)</f>
        <v>PURE GOLD</v>
      </c>
      <c r="U11" s="109">
        <f ca="1">INDEX(할인율!$C$4:$F$9,MATCH(O11,할인율!$B$4:$B$9,1), MATCH(T11,할인율!$C$3:$F$3,0))</f>
        <v>0.2</v>
      </c>
      <c r="W11" s="20" t="s">
        <v>181</v>
      </c>
      <c r="X11" s="21">
        <f>SUMIFS($R$2:$R$36,$T$2:$T$36,"="&amp;$W11,$J$2:$J$36,"="&amp;X$7)</f>
        <v>268300</v>
      </c>
      <c r="Y11" s="43">
        <f ca="1">IFERROR(ROUND(AVERAGEIFS($U$2:$U$36,$T$2:$T$36,"="&amp;$W11,$J$2:$J$36,"="&amp;X$7),2),"-")</f>
        <v>0.08</v>
      </c>
      <c r="Z11" s="46">
        <f>SUMIFS($R$2:$R$36,$T$2:$T$36,"="&amp;$W11,$J$2:$J$36,"="&amp;Z$7)</f>
        <v>202900</v>
      </c>
      <c r="AA11" s="13">
        <f ca="1">IFERROR(ROUND(AVERAGEIFS($U$2:$U$36,$T$2:$T$36,"="&amp;$W11,$J$2:$J$36,"="&amp;Z$7),2),"-")</f>
        <v>7.0000000000000007E-2</v>
      </c>
      <c r="AC11" s="148"/>
      <c r="AD11" s="157"/>
      <c r="AE11" s="27" t="s">
        <v>183</v>
      </c>
      <c r="AF11" s="53" t="str">
        <f>IFERROR(ROUND(AVERAGEIFS($U$2:$U$36,$T$2:$T$36,"="&amp;$AC$9,$J$2:$J$36,"="&amp;$AD9,$S$2:$S$36,"="&amp;AF$2),2),"-")</f>
        <v>-</v>
      </c>
      <c r="AG11" s="28">
        <f t="shared" ref="AG11:AL11" ca="1" si="27">IFERROR(ROUND(AVERAGEIFS($U$2:$U$36,$T$2:$T$36,"="&amp;$AC$9,$J$2:$J$36,"="&amp;$AD9,$S$2:$S$36,"="&amp;AG$2),2),"-")</f>
        <v>0.15</v>
      </c>
      <c r="AH11" s="28">
        <f t="shared" ca="1" si="27"/>
        <v>0.18</v>
      </c>
      <c r="AI11" s="28">
        <f t="shared" ca="1" si="27"/>
        <v>0.15</v>
      </c>
      <c r="AJ11" s="28">
        <f t="shared" ca="1" si="27"/>
        <v>0.23</v>
      </c>
      <c r="AK11" s="28">
        <f t="shared" ca="1" si="27"/>
        <v>0.2</v>
      </c>
      <c r="AL11" s="29">
        <f t="shared" ca="1" si="27"/>
        <v>0.2</v>
      </c>
      <c r="AN11" s="12" t="s">
        <v>176</v>
      </c>
      <c r="AO11" s="75">
        <f t="shared" ca="1" si="24"/>
        <v>0.2</v>
      </c>
      <c r="AP11" s="60">
        <f t="shared" ca="1" si="25"/>
        <v>0.08</v>
      </c>
    </row>
    <row r="12" spans="1:51" ht="17.100000000000001" customHeight="1" thickTop="1" thickBot="1" x14ac:dyDescent="0.35">
      <c r="A12" s="94" t="str">
        <f t="shared" si="0"/>
        <v>doldolhkh555-8293</v>
      </c>
      <c r="B12" s="104" t="s">
        <v>24</v>
      </c>
      <c r="C12" s="105" t="s">
        <v>86</v>
      </c>
      <c r="D12" s="96" t="str">
        <f t="shared" si="1"/>
        <v>760412-2******</v>
      </c>
      <c r="E12" s="101">
        <f t="shared" si="2"/>
        <v>27862</v>
      </c>
      <c r="F12" s="96">
        <f t="shared" si="3"/>
        <v>1976</v>
      </c>
      <c r="G12" s="96">
        <f t="shared" si="4"/>
        <v>4</v>
      </c>
      <c r="H12" s="96">
        <f t="shared" si="5"/>
        <v>12</v>
      </c>
      <c r="I12" s="96">
        <f t="shared" ca="1" si="6"/>
        <v>43</v>
      </c>
      <c r="J12" s="105" t="str">
        <f t="shared" si="7"/>
        <v>여</v>
      </c>
      <c r="K12" s="96">
        <f t="shared" ca="1" si="8"/>
        <v>15935</v>
      </c>
      <c r="L12" s="106" t="s">
        <v>51</v>
      </c>
      <c r="M12" s="107" t="s">
        <v>122</v>
      </c>
      <c r="N12" s="94">
        <v>36558</v>
      </c>
      <c r="O12" s="96">
        <f t="shared" ca="1" si="9"/>
        <v>19</v>
      </c>
      <c r="P12" s="96">
        <f t="shared" ca="1" si="10"/>
        <v>9</v>
      </c>
      <c r="Q12" s="96">
        <f t="shared" ca="1" si="11"/>
        <v>26</v>
      </c>
      <c r="R12" s="108">
        <v>3700</v>
      </c>
      <c r="S12" s="125" t="str">
        <f t="shared" si="12"/>
        <v>월</v>
      </c>
      <c r="T12" s="118" t="str">
        <f>HLOOKUP(R12, 할인율!$C$1:$F$3,3,TRUE)</f>
        <v>BRONZE</v>
      </c>
      <c r="U12" s="109">
        <f ca="1">INDEX(할인율!$C$4:$F$9,MATCH(O12,할인율!$B$4:$B$9,1), MATCH(T12,할인율!$C$3:$F$3,0))</f>
        <v>0.04</v>
      </c>
      <c r="W12" s="16" t="s">
        <v>172</v>
      </c>
      <c r="X12" s="17">
        <f>SUMIFS($R$2:$R$36,$T$2:$T$36,"="&amp;$W12,$J$2:$J$36,"="&amp;X$7)</f>
        <v>9600</v>
      </c>
      <c r="Y12" s="44">
        <f ca="1">IFERROR(ROUND(AVERAGEIFS($U$2:$U$36,$T$2:$T$36,"="&amp;$W12,$J$2:$J$36,"="&amp;X$7),2),"-")</f>
        <v>0</v>
      </c>
      <c r="Z12" s="47">
        <f>SUMIFS($R$2:$R$36,$T$2:$T$36,"="&amp;$W12,$J$2:$J$36,"="&amp;Z$7)</f>
        <v>12600</v>
      </c>
      <c r="AA12" s="142">
        <f ca="1">IFERROR(ROUND(AVERAGEIFS($U$2:$U$36,$T$2:$T$36,"="&amp;$W12,$J$2:$J$36,"="&amp;Z$7),2),"-")</f>
        <v>0.02</v>
      </c>
      <c r="AC12" s="148"/>
      <c r="AD12" s="154" t="s">
        <v>169</v>
      </c>
      <c r="AE12" s="30" t="s">
        <v>180</v>
      </c>
      <c r="AF12" s="48">
        <f>COUNTIFS($T$2:$T$36,"="&amp;$AC$9,$J$2:$J$36,"="&amp;$AD12,$S$2:$S$36,"="&amp;AF$2)</f>
        <v>0</v>
      </c>
      <c r="AG12" s="31">
        <f t="shared" ref="AG12:AL12" si="28">COUNTIFS($T$2:$T$36,"="&amp;$AC$9,$J$2:$J$36,"="&amp;$AD12,$S$2:$S$36,"="&amp;AG$2)</f>
        <v>0</v>
      </c>
      <c r="AH12" s="31">
        <f t="shared" si="28"/>
        <v>2</v>
      </c>
      <c r="AI12" s="31">
        <f t="shared" si="28"/>
        <v>1</v>
      </c>
      <c r="AJ12" s="31">
        <f t="shared" si="28"/>
        <v>2</v>
      </c>
      <c r="AK12" s="31">
        <f t="shared" si="28"/>
        <v>0</v>
      </c>
      <c r="AL12" s="30">
        <f t="shared" si="28"/>
        <v>1</v>
      </c>
      <c r="AN12" s="12" t="s">
        <v>177</v>
      </c>
      <c r="AO12" s="75">
        <f t="shared" ca="1" si="24"/>
        <v>0.23</v>
      </c>
      <c r="AP12" s="60">
        <f t="shared" ca="1" si="25"/>
        <v>0.03</v>
      </c>
      <c r="AR12" s="68"/>
      <c r="AS12" s="69"/>
      <c r="AT12" s="159">
        <v>20</v>
      </c>
      <c r="AU12" s="160"/>
      <c r="AV12" s="160">
        <v>30</v>
      </c>
      <c r="AW12" s="160"/>
      <c r="AX12" s="160">
        <v>40</v>
      </c>
      <c r="AY12" s="161"/>
    </row>
    <row r="13" spans="1:51" ht="17.100000000000001" customHeight="1" thickTop="1" thickBot="1" x14ac:dyDescent="0.35">
      <c r="A13" s="94" t="str">
        <f t="shared" si="0"/>
        <v>scforever88-1599</v>
      </c>
      <c r="B13" s="104" t="s">
        <v>25</v>
      </c>
      <c r="C13" s="105" t="s">
        <v>87</v>
      </c>
      <c r="D13" s="96" t="str">
        <f t="shared" si="1"/>
        <v>880202-2******</v>
      </c>
      <c r="E13" s="101">
        <f t="shared" si="2"/>
        <v>32175</v>
      </c>
      <c r="F13" s="96">
        <f t="shared" si="3"/>
        <v>1988</v>
      </c>
      <c r="G13" s="96">
        <f t="shared" si="4"/>
        <v>2</v>
      </c>
      <c r="H13" s="96">
        <f t="shared" si="5"/>
        <v>2</v>
      </c>
      <c r="I13" s="96">
        <f t="shared" ca="1" si="6"/>
        <v>31</v>
      </c>
      <c r="J13" s="105" t="str">
        <f t="shared" si="7"/>
        <v>여</v>
      </c>
      <c r="K13" s="96">
        <f t="shared" ca="1" si="8"/>
        <v>11622</v>
      </c>
      <c r="L13" s="106" t="s">
        <v>52</v>
      </c>
      <c r="M13" s="107" t="s">
        <v>123</v>
      </c>
      <c r="N13" s="94">
        <v>39676</v>
      </c>
      <c r="O13" s="96">
        <f t="shared" ca="1" si="9"/>
        <v>11</v>
      </c>
      <c r="P13" s="96">
        <f t="shared" ca="1" si="10"/>
        <v>3</v>
      </c>
      <c r="Q13" s="96">
        <f t="shared" ca="1" si="11"/>
        <v>12</v>
      </c>
      <c r="R13" s="108">
        <v>46000</v>
      </c>
      <c r="S13" s="126" t="str">
        <f t="shared" si="12"/>
        <v>화</v>
      </c>
      <c r="T13" s="131" t="str">
        <f>HLOOKUP(R13, 할인율!$C$1:$F$3,3,TRUE)</f>
        <v>SILVER</v>
      </c>
      <c r="U13" s="109">
        <f ca="1">INDEX(할인율!$C$4:$F$9,MATCH(O13,할인율!$B$4:$B$9,1), MATCH(T13,할인율!$C$3:$F$3,0))</f>
        <v>0.1</v>
      </c>
      <c r="AC13" s="148"/>
      <c r="AD13" s="155"/>
      <c r="AE13" s="25" t="s">
        <v>182</v>
      </c>
      <c r="AF13" s="49">
        <f>SUMIFS($R$2:$R$36,$T$2:$T$36,"="&amp;$AC$9,$J$2:$J$36,"="&amp;$AD12,$S$2:$S$36,"="&amp;AF$2)</f>
        <v>0</v>
      </c>
      <c r="AG13" s="141">
        <f t="shared" ref="AG13:AL13" si="29">SUMIFS($R$2:$R$36,$T$2:$T$36,"="&amp;$AC$9,$J$2:$J$36,"="&amp;$AD12,$S$2:$S$36,"="&amp;AG$2)</f>
        <v>0</v>
      </c>
      <c r="AH13" s="141">
        <f t="shared" si="29"/>
        <v>230500</v>
      </c>
      <c r="AI13" s="141">
        <f t="shared" si="29"/>
        <v>168000</v>
      </c>
      <c r="AJ13" s="141">
        <f t="shared" si="29"/>
        <v>328300</v>
      </c>
      <c r="AK13" s="141">
        <f t="shared" si="29"/>
        <v>0</v>
      </c>
      <c r="AL13" s="26">
        <f t="shared" si="29"/>
        <v>110000</v>
      </c>
      <c r="AN13" s="12" t="s">
        <v>178</v>
      </c>
      <c r="AO13" s="75">
        <f t="shared" ca="1" si="24"/>
        <v>0.3</v>
      </c>
      <c r="AP13" s="60">
        <f t="shared" ca="1" si="25"/>
        <v>0</v>
      </c>
      <c r="AR13" s="70"/>
      <c r="AS13" s="71"/>
      <c r="AT13" s="55" t="s">
        <v>189</v>
      </c>
      <c r="AU13" s="72" t="s">
        <v>190</v>
      </c>
      <c r="AV13" s="72" t="s">
        <v>189</v>
      </c>
      <c r="AW13" s="72" t="s">
        <v>190</v>
      </c>
      <c r="AX13" s="72" t="s">
        <v>189</v>
      </c>
      <c r="AY13" s="56" t="s">
        <v>190</v>
      </c>
    </row>
    <row r="14" spans="1:51" ht="17.100000000000001" customHeight="1" thickTop="1" thickBot="1" x14ac:dyDescent="0.35">
      <c r="A14" s="94" t="str">
        <f t="shared" si="0"/>
        <v>wtgwd102-9985</v>
      </c>
      <c r="B14" s="104" t="s">
        <v>26</v>
      </c>
      <c r="C14" s="105" t="s">
        <v>88</v>
      </c>
      <c r="D14" s="96" t="str">
        <f t="shared" si="1"/>
        <v>730628-1******</v>
      </c>
      <c r="E14" s="101">
        <f t="shared" si="2"/>
        <v>26843</v>
      </c>
      <c r="F14" s="96">
        <f t="shared" si="3"/>
        <v>1973</v>
      </c>
      <c r="G14" s="96">
        <f t="shared" si="4"/>
        <v>6</v>
      </c>
      <c r="H14" s="96">
        <f t="shared" si="5"/>
        <v>28</v>
      </c>
      <c r="I14" s="96">
        <f t="shared" ca="1" si="6"/>
        <v>46</v>
      </c>
      <c r="J14" s="105" t="str">
        <f t="shared" si="7"/>
        <v>남</v>
      </c>
      <c r="K14" s="96">
        <f t="shared" ca="1" si="8"/>
        <v>16954</v>
      </c>
      <c r="L14" s="106" t="s">
        <v>53</v>
      </c>
      <c r="M14" s="107" t="s">
        <v>124</v>
      </c>
      <c r="N14" s="94">
        <v>42990</v>
      </c>
      <c r="O14" s="96">
        <f t="shared" ca="1" si="9"/>
        <v>2</v>
      </c>
      <c r="P14" s="96">
        <f t="shared" ca="1" si="10"/>
        <v>2</v>
      </c>
      <c r="Q14" s="96">
        <f t="shared" ca="1" si="11"/>
        <v>16</v>
      </c>
      <c r="R14" s="108">
        <v>97300</v>
      </c>
      <c r="S14" s="123" t="str">
        <f t="shared" si="12"/>
        <v>목</v>
      </c>
      <c r="T14" s="131" t="str">
        <f>HLOOKUP(R14, 할인율!$C$1:$F$3,3,TRUE)</f>
        <v>SILVER</v>
      </c>
      <c r="U14" s="109">
        <f ca="1">INDEX(할인율!$C$4:$F$9,MATCH(O14,할인율!$B$4:$B$9,1), MATCH(T14,할인율!$C$3:$F$3,0))</f>
        <v>0.03</v>
      </c>
      <c r="W14" s="162" t="s">
        <v>186</v>
      </c>
      <c r="X14" s="163"/>
      <c r="Y14" s="163"/>
      <c r="Z14" s="163"/>
      <c r="AA14" s="164"/>
      <c r="AC14" s="153"/>
      <c r="AD14" s="156"/>
      <c r="AE14" s="32" t="s">
        <v>183</v>
      </c>
      <c r="AF14" s="50" t="str">
        <f>IFERROR(ROUND(AVERAGEIFS($U$2:$U$36,$T$2:$T$36,"="&amp;$AC$9,$J$2:$J$36,"="&amp;$AD12,$S$2:$S$36,"="&amp;AF$2),2),"-")</f>
        <v>-</v>
      </c>
      <c r="AG14" s="33" t="str">
        <f t="shared" ref="AG14:AL14" si="30">IFERROR(ROUND(AVERAGEIFS($U$2:$U$36,$T$2:$T$36,"="&amp;$AC$9,$J$2:$J$36,"="&amp;$AD12,$S$2:$S$36,"="&amp;AG$2),2),"-")</f>
        <v>-</v>
      </c>
      <c r="AH14" s="33">
        <f t="shared" ca="1" si="30"/>
        <v>0.15</v>
      </c>
      <c r="AI14" s="33">
        <f t="shared" ca="1" si="30"/>
        <v>0.2</v>
      </c>
      <c r="AJ14" s="33">
        <f t="shared" ca="1" si="30"/>
        <v>0.18</v>
      </c>
      <c r="AK14" s="33" t="str">
        <f t="shared" si="30"/>
        <v>-</v>
      </c>
      <c r="AL14" s="34">
        <f t="shared" ca="1" si="30"/>
        <v>0.15</v>
      </c>
      <c r="AN14" s="14" t="s">
        <v>179</v>
      </c>
      <c r="AO14" s="135">
        <f t="shared" ca="1" si="24"/>
        <v>0.25</v>
      </c>
      <c r="AP14" s="76">
        <f t="shared" ca="1" si="25"/>
        <v>0.02</v>
      </c>
      <c r="AR14" s="165" t="s">
        <v>150</v>
      </c>
      <c r="AS14" s="60" t="s">
        <v>168</v>
      </c>
      <c r="AT14" s="41">
        <f ca="1">_xlfn.MAXIFS($U$2:$U$36,$S$2:$S$36,"="&amp;$AR$14,$J$2:$J$36,"="&amp;$AS14,$I$2:$I$36,"&gt;="&amp;$AT$12,$I$2:$I$36,"&lt;"&amp;$AV$12)</f>
        <v>0</v>
      </c>
      <c r="AU14" s="136">
        <f ca="1">_xlfn.MINIFS($U$2:$U$36,$S$2:$S$36,"="&amp;$AR$14,$J$2:$J$36,"="&amp;$AS14,$I$2:$I$36,"&gt;="&amp;$AT$12,$I$2:$I$36,"&lt;"&amp;$AV$12)</f>
        <v>0</v>
      </c>
      <c r="AV14" s="136">
        <f ca="1">_xlfn.MAXIFS($U$2:$U$36,$S$2:$S$36,"="&amp;$AR$14,$J$2:$J$36,"="&amp;$AS14,$I$2:$I$36,"&gt;="&amp;$AV$12,$I$2:$I$36,"&lt;"&amp;$AX$12)</f>
        <v>0.25</v>
      </c>
      <c r="AW14" s="136">
        <f ca="1">_xlfn.MINIFS($U$2:$U$36,$S$2:$S$36,"="&amp;$AR$14,$J$2:$J$36,"="&amp;$AS14,$I$2:$I$36,"&gt;="&amp;$AV$12,$I$2:$I$36,"&lt;"&amp;$AX$12)</f>
        <v>0</v>
      </c>
      <c r="AX14" s="136">
        <f ca="1">_xlfn.MAXIFS($U$2:$U$36,$S$2:$S$36,"="&amp;$AR$14,$J$2:$J$36,"="&amp;$AS14,$I$2:$I$36,"&gt;="&amp;$AX$12)</f>
        <v>0.35</v>
      </c>
      <c r="AY14" s="13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94" t="str">
        <f t="shared" si="0"/>
        <v>sangayoe-7458</v>
      </c>
      <c r="B15" s="104" t="s">
        <v>27</v>
      </c>
      <c r="C15" s="105" t="s">
        <v>89</v>
      </c>
      <c r="D15" s="96" t="str">
        <f t="shared" si="1"/>
        <v>810530-2******</v>
      </c>
      <c r="E15" s="101">
        <f t="shared" si="2"/>
        <v>29736</v>
      </c>
      <c r="F15" s="96">
        <f t="shared" si="3"/>
        <v>1981</v>
      </c>
      <c r="G15" s="96">
        <f t="shared" si="4"/>
        <v>5</v>
      </c>
      <c r="H15" s="96">
        <f t="shared" si="5"/>
        <v>30</v>
      </c>
      <c r="I15" s="96">
        <f t="shared" ca="1" si="6"/>
        <v>38</v>
      </c>
      <c r="J15" s="105" t="str">
        <f t="shared" si="7"/>
        <v>여</v>
      </c>
      <c r="K15" s="96">
        <f t="shared" ca="1" si="8"/>
        <v>14061</v>
      </c>
      <c r="L15" s="106" t="s">
        <v>54</v>
      </c>
      <c r="M15" s="107" t="s">
        <v>125</v>
      </c>
      <c r="N15" s="94">
        <v>41719</v>
      </c>
      <c r="O15" s="96">
        <f t="shared" ca="1" si="9"/>
        <v>5</v>
      </c>
      <c r="P15" s="96">
        <f t="shared" ca="1" si="10"/>
        <v>8</v>
      </c>
      <c r="Q15" s="96">
        <f t="shared" ca="1" si="11"/>
        <v>7</v>
      </c>
      <c r="R15" s="108">
        <v>23000</v>
      </c>
      <c r="S15" s="130" t="str">
        <f t="shared" si="12"/>
        <v>토</v>
      </c>
      <c r="T15" s="131" t="str">
        <f>HLOOKUP(R15, 할인율!$C$1:$F$3,3,TRUE)</f>
        <v>SILVER</v>
      </c>
      <c r="U15" s="109">
        <f ca="1">INDEX(할인율!$C$4:$F$9,MATCH(O15,할인율!$B$4:$B$9,1), MATCH(T15,할인율!$C$3:$F$3,0))</f>
        <v>0.08</v>
      </c>
      <c r="W15" s="17" t="s">
        <v>180</v>
      </c>
      <c r="X15" s="166" t="s">
        <v>184</v>
      </c>
      <c r="Y15" s="166"/>
      <c r="Z15" s="166" t="s">
        <v>185</v>
      </c>
      <c r="AA15" s="167"/>
      <c r="AC15" s="152" t="s">
        <v>181</v>
      </c>
      <c r="AD15" s="168" t="s">
        <v>168</v>
      </c>
      <c r="AE15" s="35" t="s">
        <v>180</v>
      </c>
      <c r="AF15" s="54">
        <f>COUNTIFS($T$2:$T$36,"="&amp;$AC$15,$J$2:$J$36,"="&amp;$AD15,$S$2:$S$36,"="&amp;AF$2)</f>
        <v>1</v>
      </c>
      <c r="AG15" s="36">
        <f t="shared" ref="AG15:AL15" si="31">COUNTIFS($T$2:$T$36,"="&amp;$AC$15,$J$2:$J$36,"="&amp;$AD15,$S$2:$S$36,"="&amp;AG$2)</f>
        <v>1</v>
      </c>
      <c r="AH15" s="36">
        <f t="shared" si="31"/>
        <v>1</v>
      </c>
      <c r="AI15" s="36">
        <f t="shared" si="31"/>
        <v>1</v>
      </c>
      <c r="AJ15" s="36">
        <f t="shared" si="31"/>
        <v>1</v>
      </c>
      <c r="AK15" s="36">
        <f t="shared" si="31"/>
        <v>1</v>
      </c>
      <c r="AL15" s="35">
        <f t="shared" si="31"/>
        <v>0</v>
      </c>
      <c r="AR15" s="148"/>
      <c r="AS15" s="73" t="s">
        <v>169</v>
      </c>
      <c r="AT15" s="134">
        <f t="shared" ref="AT15" ca="1" si="32">_xlfn.MAXIFS($U$2:$U$36,$S$2:$S$36,"="&amp;$AR$14,$J$2:$J$36,"="&amp;$AS15,$I$2:$I$36,"&gt;="&amp;$AT$12,$I$2:$I$36,"&lt;"&amp;$AV$12)</f>
        <v>0</v>
      </c>
      <c r="AU15" s="77">
        <f t="shared" ref="AU15" ca="1" si="33">_xlfn.MINIFS($U$2:$U$36,$S$2:$S$36,"="&amp;$AR$14,$J$2:$J$36,"="&amp;$AS15,$I$2:$I$36,"&gt;="&amp;$AT$12,$I$2:$I$36,"&lt;"&amp;$AV$12)</f>
        <v>0</v>
      </c>
      <c r="AV15" s="77">
        <f t="shared" ref="AV15" ca="1" si="34">_xlfn.MAXIFS($U$2:$U$36,$S$2:$S$36,"="&amp;$AR$14,$J$2:$J$36,"="&amp;$AS15,$I$2:$I$36,"&gt;="&amp;$AV$12,$I$2:$I$36,"&lt;"&amp;$AX$12)</f>
        <v>0.25</v>
      </c>
      <c r="AW15" s="77">
        <f t="shared" ref="AW15" ca="1" si="35">_xlfn.MINIFS($U$2:$U$36,$S$2:$S$36,"="&amp;$AR$14,$J$2:$J$36,"="&amp;$AS15,$I$2:$I$36,"&gt;="&amp;$AV$12,$I$2:$I$36,"&lt;"&amp;$AX$12)</f>
        <v>0.25</v>
      </c>
      <c r="AX15" s="77">
        <f t="shared" ref="AX15" ca="1" si="36">_xlfn.MAXIFS($U$2:$U$36,$S$2:$S$36,"="&amp;$AR$14,$J$2:$J$36,"="&amp;$AS15,$I$2:$I$36,"&gt;="&amp;$AX$12)</f>
        <v>0</v>
      </c>
      <c r="AY15" s="82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94" t="str">
        <f t="shared" si="0"/>
        <v>ddongyoon-9856</v>
      </c>
      <c r="B16" s="104" t="s">
        <v>28</v>
      </c>
      <c r="C16" s="105" t="s">
        <v>90</v>
      </c>
      <c r="D16" s="96" t="str">
        <f t="shared" si="1"/>
        <v>840911-1******</v>
      </c>
      <c r="E16" s="101">
        <f t="shared" si="2"/>
        <v>30936</v>
      </c>
      <c r="F16" s="96">
        <f t="shared" si="3"/>
        <v>1984</v>
      </c>
      <c r="G16" s="96">
        <f t="shared" si="4"/>
        <v>9</v>
      </c>
      <c r="H16" s="96">
        <f t="shared" si="5"/>
        <v>11</v>
      </c>
      <c r="I16" s="96">
        <f t="shared" ca="1" si="6"/>
        <v>35</v>
      </c>
      <c r="J16" s="105" t="str">
        <f t="shared" si="7"/>
        <v>남</v>
      </c>
      <c r="K16" s="96">
        <f t="shared" ca="1" si="8"/>
        <v>12861</v>
      </c>
      <c r="L16" s="106" t="s">
        <v>55</v>
      </c>
      <c r="M16" s="107" t="s">
        <v>126</v>
      </c>
      <c r="N16" s="94">
        <v>38946</v>
      </c>
      <c r="O16" s="96">
        <f t="shared" ca="1" si="9"/>
        <v>13</v>
      </c>
      <c r="P16" s="96">
        <f t="shared" ca="1" si="10"/>
        <v>3</v>
      </c>
      <c r="Q16" s="96">
        <f t="shared" ca="1" si="11"/>
        <v>11</v>
      </c>
      <c r="R16" s="108">
        <v>154000</v>
      </c>
      <c r="S16" s="126" t="str">
        <f t="shared" si="12"/>
        <v>화</v>
      </c>
      <c r="T16" s="120" t="str">
        <f>HLOOKUP(R16, 할인율!$C$1:$F$3,3,TRUE)</f>
        <v>GOLD</v>
      </c>
      <c r="U16" s="109">
        <f ca="1">INDEX(할인율!$C$4:$F$9,MATCH(O16,할인율!$B$4:$B$9,1), MATCH(T16,할인율!$C$3:$F$3,0))</f>
        <v>0.2</v>
      </c>
      <c r="W16" s="40">
        <f ca="1">COUNTIFS(I2:I36,"&gt;=30",I2:I36,"&lt;40",J2:J36,"=여",T2:T36,"=GOLD")</f>
        <v>3</v>
      </c>
      <c r="X16" s="150">
        <f ca="1">SUMIFS(R2:R36,I2:I36,"&gt;=30",I2:I36,"&lt;40",J2:J36,"=여",T2:T36,"=GOLD")</f>
        <v>410500</v>
      </c>
      <c r="Y16" s="169"/>
      <c r="Z16" s="150">
        <f ca="1">ROUND(AVERAGEIFS(U2:U36,I2:I36,"&gt;=30",I2:I36,"&lt;40",J2:J36,"=여",T2:T36,"=GOLD"),2)</f>
        <v>0.17</v>
      </c>
      <c r="AA16" s="151"/>
      <c r="AC16" s="148"/>
      <c r="AD16" s="155"/>
      <c r="AE16" s="25" t="s">
        <v>182</v>
      </c>
      <c r="AF16" s="49">
        <f>SUMIFS($R$2:$R$36,$T$2:$T$36,"="&amp;$AC$15,$J$2:$J$36,"="&amp;$AD15,$S$2:$S$36,"="&amp;AF$2)</f>
        <v>16700</v>
      </c>
      <c r="AG16" s="141">
        <f t="shared" ref="AG16:AL16" si="38">SUMIFS($R$2:$R$36,$T$2:$T$36,"="&amp;$AC$15,$J$2:$J$36,"="&amp;$AD15,$S$2:$S$36,"="&amp;AG$2)</f>
        <v>17300</v>
      </c>
      <c r="AH16" s="141">
        <f t="shared" si="38"/>
        <v>68100</v>
      </c>
      <c r="AI16" s="141">
        <f t="shared" si="38"/>
        <v>36800</v>
      </c>
      <c r="AJ16" s="141">
        <f t="shared" si="38"/>
        <v>97300</v>
      </c>
      <c r="AK16" s="141">
        <f t="shared" si="38"/>
        <v>32100</v>
      </c>
      <c r="AL16" s="26">
        <f t="shared" si="38"/>
        <v>0</v>
      </c>
      <c r="AR16" s="152" t="s">
        <v>149</v>
      </c>
      <c r="AS16" s="74" t="s">
        <v>168</v>
      </c>
      <c r="AT16" s="79">
        <f ca="1">_xlfn.MAXIFS($U$2:$U$36,$S$2:$S$36,"="&amp;$AR$16,$J$2:$J$36,"="&amp;$AS16,$I$2:$I$36,"&gt;="&amp;$AT$12,$I$2:$I$36,"&lt;"&amp;$AV$12)</f>
        <v>0</v>
      </c>
      <c r="AU16" s="80">
        <f ca="1">_xlfn.MINIFS($U$2:$U$36,$S$2:$S$36,"="&amp;$AR$16,$J$2:$J$36,"="&amp;$AS16,$I$2:$I$36,"&gt;="&amp;$AT$12,$I$2:$I$36,"&lt;"&amp;$AV$12)</f>
        <v>0</v>
      </c>
      <c r="AV16" s="80">
        <f ca="1">_xlfn.MAXIFS($U$2:$U$36,$S$2:$S$36,"="&amp;$AR$16,$J$2:$J$36,"="&amp;$AS16,$I$2:$I$36,"&gt;="&amp;$AV$12,$I$2:$I$36,"&lt;"&amp;$AX$12)</f>
        <v>0.15</v>
      </c>
      <c r="AW16" s="80">
        <f ca="1">_xlfn.MINIFS($U$2:$U$36,$S$2:$S$36,"="&amp;$AR$16,$J$2:$J$36,"="&amp;$AS16,$I$2:$I$36,"&gt;="&amp;$AV$12,$I$2:$I$36,"&lt;"&amp;$AX$12)</f>
        <v>0.15</v>
      </c>
      <c r="AX16" s="80">
        <f ca="1">_xlfn.MAXIFS($U$2:$U$36,$S$2:$S$36,"="&amp;$AR$16,$J$2:$J$36,"="&amp;$AS16,$I$2:$I$36,"&gt;="&amp;$AX$12)</f>
        <v>0.08</v>
      </c>
      <c r="AY16" s="83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94" t="str">
        <f t="shared" si="0"/>
        <v>jjjjpark-6589</v>
      </c>
      <c r="B17" s="104" t="s">
        <v>29</v>
      </c>
      <c r="C17" s="105" t="s">
        <v>91</v>
      </c>
      <c r="D17" s="96" t="str">
        <f t="shared" si="1"/>
        <v>770903-2******</v>
      </c>
      <c r="E17" s="101">
        <f t="shared" si="2"/>
        <v>28371</v>
      </c>
      <c r="F17" s="96">
        <f t="shared" si="3"/>
        <v>1977</v>
      </c>
      <c r="G17" s="96">
        <f t="shared" si="4"/>
        <v>9</v>
      </c>
      <c r="H17" s="96">
        <f t="shared" si="5"/>
        <v>3</v>
      </c>
      <c r="I17" s="96">
        <f t="shared" ca="1" si="6"/>
        <v>42</v>
      </c>
      <c r="J17" s="105" t="str">
        <f t="shared" si="7"/>
        <v>여</v>
      </c>
      <c r="K17" s="96">
        <f t="shared" ca="1" si="8"/>
        <v>15426</v>
      </c>
      <c r="L17" s="106" t="s">
        <v>56</v>
      </c>
      <c r="M17" s="107" t="s">
        <v>127</v>
      </c>
      <c r="N17" s="94">
        <v>41734</v>
      </c>
      <c r="O17" s="96">
        <f t="shared" ca="1" si="9"/>
        <v>5</v>
      </c>
      <c r="P17" s="96">
        <f t="shared" ca="1" si="10"/>
        <v>7</v>
      </c>
      <c r="Q17" s="96">
        <f t="shared" ca="1" si="11"/>
        <v>23</v>
      </c>
      <c r="R17" s="108">
        <v>110000</v>
      </c>
      <c r="S17" s="130" t="str">
        <f t="shared" si="12"/>
        <v>토</v>
      </c>
      <c r="T17" s="120" t="str">
        <f>HLOOKUP(R17, 할인율!$C$1:$F$3,3,TRUE)</f>
        <v>GOLD</v>
      </c>
      <c r="U17" s="109">
        <f ca="1">INDEX(할인율!$C$4:$F$9,MATCH(O17,할인율!$B$4:$B$9,1), MATCH(T17,할인율!$C$3:$F$3,0))</f>
        <v>0.15</v>
      </c>
      <c r="AC17" s="148"/>
      <c r="AD17" s="157"/>
      <c r="AE17" s="27" t="s">
        <v>183</v>
      </c>
      <c r="AF17" s="53">
        <f ca="1">IFERROR(ROUND(AVERAGEIFS($U$2:$U$36,$T$2:$T$36,"="&amp;$AC$15,$J$2:$J$36,"="&amp;$AD15,$S$2:$S$36,"="&amp;AF$2),2),"-")</f>
        <v>0.13</v>
      </c>
      <c r="AG17" s="28">
        <f t="shared" ref="AG17:AL17" ca="1" si="39">IFERROR(ROUND(AVERAGEIFS($U$2:$U$36,$T$2:$T$36,"="&amp;$AC$15,$J$2:$J$36,"="&amp;$AD15,$S$2:$S$36,"="&amp;AG$2),2),"-")</f>
        <v>0.08</v>
      </c>
      <c r="AH17" s="28">
        <f t="shared" ca="1" si="39"/>
        <v>0.08</v>
      </c>
      <c r="AI17" s="28">
        <f t="shared" ca="1" si="39"/>
        <v>0.08</v>
      </c>
      <c r="AJ17" s="28">
        <f t="shared" ca="1" si="39"/>
        <v>0.03</v>
      </c>
      <c r="AK17" s="28">
        <f t="shared" ca="1" si="39"/>
        <v>0.05</v>
      </c>
      <c r="AL17" s="29" t="str">
        <f t="shared" si="39"/>
        <v>-</v>
      </c>
      <c r="AR17" s="153"/>
      <c r="AS17" s="67" t="s">
        <v>169</v>
      </c>
      <c r="AT17" s="133">
        <f ca="1">_xlfn.MAXIFS($U$2:$U$36,$S$2:$S$36,"="&amp;$AR$16,$J$2:$J$36,"="&amp;$AS17,$I$2:$I$36,"&gt;="&amp;$AT$12,$I$2:$I$36,"&lt;"&amp;$AV$12)</f>
        <v>0</v>
      </c>
      <c r="AU17" s="81">
        <f ca="1">_xlfn.MINIFS($U$2:$U$36,$S$2:$S$36,"="&amp;$AR$16,$J$2:$J$36,"="&amp;$AS17,$I$2:$I$36,"&gt;="&amp;$AT$12,$I$2:$I$36,"&lt;"&amp;$AV$12)</f>
        <v>0</v>
      </c>
      <c r="AV17" s="81">
        <f ca="1">_xlfn.MAXIFS($U$2:$U$36,$S$2:$S$36,"="&amp;$AR$16,$J$2:$J$36,"="&amp;$AS17,$I$2:$I$36,"&gt;="&amp;$AV$12,$I$2:$I$36,"&lt;"&amp;$AX$12)</f>
        <v>0</v>
      </c>
      <c r="AW17" s="81">
        <f ca="1">_xlfn.MINIFS($U$2:$U$36,$S$2:$S$36,"="&amp;$AR$16,$J$2:$J$36,"="&amp;$AS17,$I$2:$I$36,"&gt;="&amp;$AV$12,$I$2:$I$36,"&lt;"&amp;$AX$12)</f>
        <v>0</v>
      </c>
      <c r="AX17" s="81">
        <f ca="1">_xlfn.MAXIFS($U$2:$U$36,$S$2:$S$36,"="&amp;$AR$16,$J$2:$J$36,"="&amp;$AS17,$I$2:$I$36,"&gt;="&amp;$AX$12)</f>
        <v>0.05</v>
      </c>
      <c r="AY17" s="84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94" t="str">
        <f t="shared" si="0"/>
        <v>hopelim75-2541</v>
      </c>
      <c r="B18" s="104" t="s">
        <v>30</v>
      </c>
      <c r="C18" s="105" t="s">
        <v>92</v>
      </c>
      <c r="D18" s="96" t="str">
        <f t="shared" si="1"/>
        <v>751111-2******</v>
      </c>
      <c r="E18" s="101">
        <f t="shared" si="2"/>
        <v>27709</v>
      </c>
      <c r="F18" s="96">
        <f t="shared" si="3"/>
        <v>1975</v>
      </c>
      <c r="G18" s="96">
        <f t="shared" si="4"/>
        <v>11</v>
      </c>
      <c r="H18" s="96">
        <f t="shared" si="5"/>
        <v>11</v>
      </c>
      <c r="I18" s="96">
        <f t="shared" ca="1" si="6"/>
        <v>44</v>
      </c>
      <c r="J18" s="105" t="str">
        <f t="shared" si="7"/>
        <v>여</v>
      </c>
      <c r="K18" s="96">
        <f t="shared" ca="1" si="8"/>
        <v>16088</v>
      </c>
      <c r="L18" s="106" t="s">
        <v>57</v>
      </c>
      <c r="M18" s="107" t="s">
        <v>128</v>
      </c>
      <c r="N18" s="94">
        <v>39490</v>
      </c>
      <c r="O18" s="96">
        <f t="shared" ca="1" si="9"/>
        <v>11</v>
      </c>
      <c r="P18" s="96">
        <f t="shared" ca="1" si="10"/>
        <v>9</v>
      </c>
      <c r="Q18" s="96">
        <f t="shared" ca="1" si="11"/>
        <v>16</v>
      </c>
      <c r="R18" s="108">
        <v>130000</v>
      </c>
      <c r="S18" s="126" t="str">
        <f t="shared" si="12"/>
        <v>화</v>
      </c>
      <c r="T18" s="120" t="str">
        <f>HLOOKUP(R18, 할인율!$C$1:$F$3,3,TRUE)</f>
        <v>GOLD</v>
      </c>
      <c r="U18" s="109">
        <f ca="1">INDEX(할인율!$C$4:$F$9,MATCH(O18,할인율!$B$4:$B$9,1), MATCH(T18,할인율!$C$3:$F$3,0))</f>
        <v>0.2</v>
      </c>
      <c r="AC18" s="148"/>
      <c r="AD18" s="154" t="s">
        <v>169</v>
      </c>
      <c r="AE18" s="30" t="s">
        <v>180</v>
      </c>
      <c r="AF18" s="48">
        <f>COUNTIFS($T$2:$T$36,"="&amp;$AC$15,$J$2:$J$36,"="&amp;$AD18,$S$2:$S$36,"="&amp;AF$2)</f>
        <v>0</v>
      </c>
      <c r="AG18" s="31">
        <f t="shared" ref="AG18:AL18" si="40">COUNTIFS($T$2:$T$36,"="&amp;$AC$15,$J$2:$J$36,"="&amp;$AD18,$S$2:$S$36,"="&amp;AG$2)</f>
        <v>1</v>
      </c>
      <c r="AH18" s="31">
        <f t="shared" si="40"/>
        <v>1</v>
      </c>
      <c r="AI18" s="31">
        <f t="shared" si="40"/>
        <v>0</v>
      </c>
      <c r="AJ18" s="31">
        <f t="shared" si="40"/>
        <v>0</v>
      </c>
      <c r="AK18" s="31">
        <f t="shared" si="40"/>
        <v>1</v>
      </c>
      <c r="AL18" s="30">
        <f t="shared" si="40"/>
        <v>1</v>
      </c>
      <c r="AR18" s="148" t="s">
        <v>175</v>
      </c>
      <c r="AS18" s="60" t="s">
        <v>168</v>
      </c>
      <c r="AT18" s="75">
        <f ca="1">_xlfn.MAXIFS($U$2:$U$36,$S$2:$S$36,"="&amp;$AR$18,$J$2:$J$36,"="&amp;$AS18,$I$2:$I$36,"&gt;="&amp;$AT$12,$I$2:$I$36,"&lt;"&amp;$AV$12)</f>
        <v>0</v>
      </c>
      <c r="AU18" s="59">
        <f ca="1">_xlfn.MINIFS($U$2:$U$36,$S$2:$S$36,"="&amp;$AR$18,$J$2:$J$36,"="&amp;$AS18,$I$2:$I$36,"&gt;="&amp;$AT$12,$I$2:$I$36,"&lt;"&amp;$AV$12)</f>
        <v>0</v>
      </c>
      <c r="AV18" s="59">
        <f ca="1">_xlfn.MAXIFS($U$2:$U$36,$S$2:$S$36,"="&amp;$AR$18,$J$2:$J$36,"="&amp;$AS18,$I$2:$I$36,"&gt;="&amp;$AV$12,$I$2:$I$36,"&lt;"&amp;$AX$12)</f>
        <v>0.2</v>
      </c>
      <c r="AW18" s="59">
        <f ca="1">_xlfn.MINIFS($U$2:$U$36,$S$2:$S$36,"="&amp;$AR$18,$J$2:$J$36,"="&amp;$AS18,$I$2:$I$36,"&gt;="&amp;$AV$12,$I$2:$I$36,"&lt;"&amp;$AX$12)</f>
        <v>0.08</v>
      </c>
      <c r="AX18" s="59">
        <f ca="1">_xlfn.MAXIFS($U$2:$U$36,$S$2:$S$36,"="&amp;$AR$18,$J$2:$J$36,"="&amp;$AS18,$I$2:$I$36,"&gt;="&amp;$AX$12)</f>
        <v>0</v>
      </c>
      <c r="AY18" s="85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94" t="str">
        <f t="shared" si="0"/>
        <v>seosyjsh12-7941</v>
      </c>
      <c r="B19" s="104" t="s">
        <v>31</v>
      </c>
      <c r="C19" s="105" t="s">
        <v>93</v>
      </c>
      <c r="D19" s="96" t="str">
        <f t="shared" si="1"/>
        <v>821003-2******</v>
      </c>
      <c r="E19" s="101">
        <f t="shared" si="2"/>
        <v>30227</v>
      </c>
      <c r="F19" s="96">
        <f t="shared" si="3"/>
        <v>1982</v>
      </c>
      <c r="G19" s="96">
        <f t="shared" si="4"/>
        <v>10</v>
      </c>
      <c r="H19" s="96">
        <f t="shared" si="5"/>
        <v>3</v>
      </c>
      <c r="I19" s="96">
        <f t="shared" ca="1" si="6"/>
        <v>37</v>
      </c>
      <c r="J19" s="105" t="str">
        <f t="shared" si="7"/>
        <v>여</v>
      </c>
      <c r="K19" s="96">
        <f t="shared" ca="1" si="8"/>
        <v>13570</v>
      </c>
      <c r="L19" s="106" t="s">
        <v>58</v>
      </c>
      <c r="M19" s="107" t="s">
        <v>129</v>
      </c>
      <c r="N19" s="94">
        <v>40072</v>
      </c>
      <c r="O19" s="96">
        <f t="shared" ca="1" si="9"/>
        <v>10</v>
      </c>
      <c r="P19" s="96">
        <f t="shared" ca="1" si="10"/>
        <v>2</v>
      </c>
      <c r="Q19" s="96">
        <f t="shared" ca="1" si="11"/>
        <v>12</v>
      </c>
      <c r="R19" s="108">
        <v>210300</v>
      </c>
      <c r="S19" s="124" t="str">
        <f t="shared" si="12"/>
        <v>일</v>
      </c>
      <c r="T19" s="121" t="str">
        <f>HLOOKUP(R19, 할인율!$C$1:$F$3,3,TRUE)</f>
        <v>PURE GOLD</v>
      </c>
      <c r="U19" s="109">
        <f ca="1">INDEX(할인율!$C$4:$F$9,MATCH(O19,할인율!$B$4:$B$9,1), MATCH(T19,할인율!$C$3:$F$3,0))</f>
        <v>0.25</v>
      </c>
      <c r="AC19" s="148"/>
      <c r="AD19" s="155"/>
      <c r="AE19" s="25" t="s">
        <v>182</v>
      </c>
      <c r="AF19" s="49">
        <f>SUMIFS($R$2:$R$36,$T$2:$T$36,"="&amp;$AC$15,$J$2:$J$36,"="&amp;$AD18,$S$2:$S$36,"="&amp;AF$2)</f>
        <v>0</v>
      </c>
      <c r="AG19" s="141">
        <f t="shared" ref="AG19:AL19" si="41">SUMIFS($R$2:$R$36,$T$2:$T$36,"="&amp;$AC$15,$J$2:$J$36,"="&amp;$AD18,$S$2:$S$36,"="&amp;AG$2)</f>
        <v>55600</v>
      </c>
      <c r="AH19" s="141">
        <f t="shared" si="41"/>
        <v>46000</v>
      </c>
      <c r="AI19" s="141">
        <f t="shared" si="41"/>
        <v>0</v>
      </c>
      <c r="AJ19" s="141">
        <f t="shared" si="41"/>
        <v>0</v>
      </c>
      <c r="AK19" s="141">
        <f t="shared" si="41"/>
        <v>78300</v>
      </c>
      <c r="AL19" s="26">
        <f t="shared" si="41"/>
        <v>23000</v>
      </c>
      <c r="AR19" s="148"/>
      <c r="AS19" s="73" t="s">
        <v>169</v>
      </c>
      <c r="AT19" s="134">
        <f ca="1">_xlfn.MAXIFS($U$2:$U$36,$S$2:$S$36,"="&amp;$AR$18,$J$2:$J$36,"="&amp;$AS19,$I$2:$I$36,"&gt;="&amp;$AT$12,$I$2:$I$36,"&lt;"&amp;$AV$12)</f>
        <v>0</v>
      </c>
      <c r="AU19" s="77">
        <f ca="1">_xlfn.MINIFS($U$2:$U$36,$S$2:$S$36,"="&amp;$AR$18,$J$2:$J$36,"="&amp;$AS19,$I$2:$I$36,"&gt;="&amp;$AT$12,$I$2:$I$36,"&lt;"&amp;$AV$12)</f>
        <v>0</v>
      </c>
      <c r="AV19" s="77">
        <f ca="1">_xlfn.MAXIFS($U$2:$U$36,$S$2:$S$36,"="&amp;$AR$18,$J$2:$J$36,"="&amp;$AS19,$I$2:$I$36,"&gt;="&amp;$AV$12,$I$2:$I$36,"&lt;"&amp;$AX$12)</f>
        <v>0.1</v>
      </c>
      <c r="AW19" s="77">
        <f ca="1">_xlfn.MINIFS($U$2:$U$36,$S$2:$S$36,"="&amp;$AR$18,$J$2:$J$36,"="&amp;$AS19,$I$2:$I$36,"&gt;="&amp;$AV$12,$I$2:$I$36,"&lt;"&amp;$AX$12)</f>
        <v>0</v>
      </c>
      <c r="AX19" s="77">
        <f ca="1">_xlfn.MAXIFS($U$2:$U$36,$S$2:$S$36,"="&amp;$AR$18,$J$2:$J$36,"="&amp;$AS19,$I$2:$I$36,"&gt;="&amp;$AX$12)</f>
        <v>0.2</v>
      </c>
      <c r="AY19" s="82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94" t="str">
        <f t="shared" si="0"/>
        <v>reuploadkim2-3258</v>
      </c>
      <c r="B20" s="104" t="s">
        <v>32</v>
      </c>
      <c r="C20" s="105" t="s">
        <v>94</v>
      </c>
      <c r="D20" s="96" t="str">
        <f t="shared" si="1"/>
        <v>880105-1******</v>
      </c>
      <c r="E20" s="101">
        <f t="shared" si="2"/>
        <v>32147</v>
      </c>
      <c r="F20" s="96">
        <f t="shared" si="3"/>
        <v>1988</v>
      </c>
      <c r="G20" s="96">
        <f t="shared" si="4"/>
        <v>1</v>
      </c>
      <c r="H20" s="96">
        <f t="shared" si="5"/>
        <v>5</v>
      </c>
      <c r="I20" s="96">
        <f t="shared" ca="1" si="6"/>
        <v>31</v>
      </c>
      <c r="J20" s="105" t="str">
        <f t="shared" si="7"/>
        <v>남</v>
      </c>
      <c r="K20" s="96">
        <f t="shared" ca="1" si="8"/>
        <v>11650</v>
      </c>
      <c r="L20" s="106" t="s">
        <v>59</v>
      </c>
      <c r="M20" s="107" t="s">
        <v>130</v>
      </c>
      <c r="N20" s="94">
        <v>40477</v>
      </c>
      <c r="O20" s="96">
        <f t="shared" ca="1" si="9"/>
        <v>9</v>
      </c>
      <c r="P20" s="96">
        <f t="shared" ca="1" si="10"/>
        <v>1</v>
      </c>
      <c r="Q20" s="96">
        <f t="shared" ca="1" si="11"/>
        <v>2</v>
      </c>
      <c r="R20" s="108">
        <v>68100</v>
      </c>
      <c r="S20" s="126" t="str">
        <f t="shared" si="12"/>
        <v>화</v>
      </c>
      <c r="T20" s="131" t="str">
        <f>HLOOKUP(R20, 할인율!$C$1:$F$3,3,TRUE)</f>
        <v>SILVER</v>
      </c>
      <c r="U20" s="109">
        <f ca="1">INDEX(할인율!$C$4:$F$9,MATCH(O20,할인율!$B$4:$B$9,1), MATCH(T20,할인율!$C$3:$F$3,0))</f>
        <v>0.08</v>
      </c>
      <c r="AC20" s="153"/>
      <c r="AD20" s="156"/>
      <c r="AE20" s="32" t="s">
        <v>183</v>
      </c>
      <c r="AF20" s="50" t="str">
        <f>IFERROR(ROUND(AVERAGEIFS($U$2:$U$36,$T$2:$T$36,"="&amp;$AC$15,$J$2:$J$36,"="&amp;$AD18,$S$2:$S$36,"="&amp;AF$2),2),"-")</f>
        <v>-</v>
      </c>
      <c r="AG20" s="33">
        <f t="shared" ref="AG20:AL20" ca="1" si="42">IFERROR(ROUND(AVERAGEIFS($U$2:$U$36,$T$2:$T$36,"="&amp;$AC$15,$J$2:$J$36,"="&amp;$AD18,$S$2:$S$36,"="&amp;AG$2),2),"-")</f>
        <v>0.05</v>
      </c>
      <c r="AH20" s="33">
        <f t="shared" ca="1" si="42"/>
        <v>0.1</v>
      </c>
      <c r="AI20" s="33" t="str">
        <f t="shared" si="42"/>
        <v>-</v>
      </c>
      <c r="AJ20" s="33" t="str">
        <f t="shared" si="42"/>
        <v>-</v>
      </c>
      <c r="AK20" s="33">
        <f t="shared" ca="1" si="42"/>
        <v>0.05</v>
      </c>
      <c r="AL20" s="34">
        <f t="shared" ca="1" si="42"/>
        <v>0.08</v>
      </c>
      <c r="AR20" s="152" t="s">
        <v>176</v>
      </c>
      <c r="AS20" s="74" t="s">
        <v>168</v>
      </c>
      <c r="AT20" s="79">
        <f ca="1">_xlfn.MAXIFS($U$2:$U$36,$S$2:$S$36,"="&amp;$AR$20,$J$2:$J$36,"="&amp;$AS20,$I$2:$I$36,"&gt;="&amp;$AT$12,$I$2:$I$36,"&lt;"&amp;$AV$12)</f>
        <v>0</v>
      </c>
      <c r="AU20" s="80">
        <f ca="1">_xlfn.MINIFS($U$2:$U$36,$S$2:$S$36,"="&amp;$AR$20,$J$2:$J$36,"="&amp;$AS20,$I$2:$I$36,"&gt;="&amp;$AT$12,$I$2:$I$36,"&lt;"&amp;$AV$12)</f>
        <v>0</v>
      </c>
      <c r="AV20" s="80">
        <f ca="1">_xlfn.MAXIFS($U$2:$U$36,$S$2:$S$36,"="&amp;$AR$20,$J$2:$J$36,"="&amp;$AS20,$I$2:$I$36,"&gt;="&amp;$AV$12,$I$2:$I$36,"&lt;"&amp;$AX$12)</f>
        <v>0.15</v>
      </c>
      <c r="AW20" s="80">
        <f ca="1">_xlfn.MINIFS($U$2:$U$36,$S$2:$S$36,"="&amp;$AR$20,$J$2:$J$36,"="&amp;$AS20,$I$2:$I$36,"&gt;="&amp;$AV$12,$I$2:$I$36,"&lt;"&amp;$AX$12)</f>
        <v>0.08</v>
      </c>
      <c r="AX20" s="80">
        <f ca="1">_xlfn.MAXIFS($U$2:$U$36,$S$2:$S$36,"="&amp;$AR$20,$J$2:$J$36,"="&amp;$AS20,$I$2:$I$36,"&gt;="&amp;$AX$12)</f>
        <v>0</v>
      </c>
      <c r="AY20" s="83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94" t="str">
        <f t="shared" si="0"/>
        <v>jjongmani-6521</v>
      </c>
      <c r="B21" s="104" t="s">
        <v>6</v>
      </c>
      <c r="C21" s="105" t="s">
        <v>95</v>
      </c>
      <c r="D21" s="96" t="str">
        <f t="shared" si="1"/>
        <v>720227-1******</v>
      </c>
      <c r="E21" s="101">
        <f t="shared" si="2"/>
        <v>26356</v>
      </c>
      <c r="F21" s="96">
        <f t="shared" si="3"/>
        <v>1972</v>
      </c>
      <c r="G21" s="96">
        <f t="shared" si="4"/>
        <v>2</v>
      </c>
      <c r="H21" s="96">
        <f t="shared" si="5"/>
        <v>27</v>
      </c>
      <c r="I21" s="96">
        <f t="shared" ca="1" si="6"/>
        <v>47</v>
      </c>
      <c r="J21" s="105" t="str">
        <f t="shared" si="7"/>
        <v>남</v>
      </c>
      <c r="K21" s="96">
        <f t="shared" ca="1" si="8"/>
        <v>17441</v>
      </c>
      <c r="L21" s="106" t="s">
        <v>60</v>
      </c>
      <c r="M21" s="107" t="s">
        <v>131</v>
      </c>
      <c r="N21" s="94">
        <v>36588</v>
      </c>
      <c r="O21" s="96">
        <f t="shared" ca="1" si="9"/>
        <v>19</v>
      </c>
      <c r="P21" s="96">
        <f t="shared" ca="1" si="10"/>
        <v>8</v>
      </c>
      <c r="Q21" s="96">
        <f t="shared" ca="1" si="11"/>
        <v>25</v>
      </c>
      <c r="R21" s="108">
        <v>16700</v>
      </c>
      <c r="S21" s="124" t="str">
        <f t="shared" si="12"/>
        <v>일</v>
      </c>
      <c r="T21" s="131" t="str">
        <f>HLOOKUP(R21, 할인율!$C$1:$F$3,3,TRUE)</f>
        <v>SILVER</v>
      </c>
      <c r="U21" s="109">
        <f ca="1">INDEX(할인율!$C$4:$F$9,MATCH(O21,할인율!$B$4:$B$9,1), MATCH(T21,할인율!$C$3:$F$3,0))</f>
        <v>0.13</v>
      </c>
      <c r="AC21" s="148" t="s">
        <v>172</v>
      </c>
      <c r="AD21" s="155" t="s">
        <v>168</v>
      </c>
      <c r="AE21" s="35" t="s">
        <v>180</v>
      </c>
      <c r="AF21" s="54">
        <f>COUNTIFS($T$2:$T$36,"="&amp;$AC$21,$J$2:$J$36,"="&amp;$AD21,$S$2:$S$36,"="&amp;AF$2)</f>
        <v>1</v>
      </c>
      <c r="AG21" s="36">
        <f t="shared" ref="AG21:AL21" si="43">COUNTIFS($T$2:$T$36,"="&amp;$AC$21,$J$2:$J$36,"="&amp;$AD21,$S$2:$S$36,"="&amp;AG$2)</f>
        <v>0</v>
      </c>
      <c r="AH21" s="36">
        <f t="shared" si="43"/>
        <v>0</v>
      </c>
      <c r="AI21" s="36">
        <f t="shared" si="43"/>
        <v>0</v>
      </c>
      <c r="AJ21" s="36">
        <f t="shared" si="43"/>
        <v>0</v>
      </c>
      <c r="AK21" s="36">
        <f t="shared" si="43"/>
        <v>1</v>
      </c>
      <c r="AL21" s="35">
        <f t="shared" si="43"/>
        <v>0</v>
      </c>
      <c r="AR21" s="153"/>
      <c r="AS21" s="67" t="s">
        <v>169</v>
      </c>
      <c r="AT21" s="133">
        <f ca="1">_xlfn.MAXIFS($U$2:$U$36,$S$2:$S$36,"="&amp;$AR$20,$J$2:$J$36,"="&amp;$AS21,$I$2:$I$36,"&gt;="&amp;$AT$12,$I$2:$I$36,"&lt;"&amp;$AV$12)</f>
        <v>0</v>
      </c>
      <c r="AU21" s="81">
        <f ca="1">_xlfn.MINIFS($U$2:$U$36,$S$2:$S$36,"="&amp;$AR$20,$J$2:$J$36,"="&amp;$AS21,$I$2:$I$36,"&gt;="&amp;$AT$12,$I$2:$I$36,"&lt;"&amp;$AV$12)</f>
        <v>0</v>
      </c>
      <c r="AV21" s="81">
        <f ca="1">_xlfn.MAXIFS($U$2:$U$36,$S$2:$S$36,"="&amp;$AR$20,$J$2:$J$36,"="&amp;$AS21,$I$2:$I$36,"&gt;="&amp;$AV$12,$I$2:$I$36,"&lt;"&amp;$AX$12)</f>
        <v>0.2</v>
      </c>
      <c r="AW21" s="81">
        <f ca="1">_xlfn.MINIFS($U$2:$U$36,$S$2:$S$36,"="&amp;$AR$20,$J$2:$J$36,"="&amp;$AS21,$I$2:$I$36,"&gt;="&amp;$AV$12,$I$2:$I$36,"&lt;"&amp;$AX$12)</f>
        <v>0.2</v>
      </c>
      <c r="AX21" s="81">
        <f ca="1">_xlfn.MAXIFS($U$2:$U$36,$S$2:$S$36,"="&amp;$AR$20,$J$2:$J$36,"="&amp;$AS21,$I$2:$I$36,"&gt;="&amp;$AX$12)</f>
        <v>0</v>
      </c>
      <c r="AY21" s="84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94" t="str">
        <f t="shared" si="0"/>
        <v>eachother-4532</v>
      </c>
      <c r="B22" s="104" t="s">
        <v>7</v>
      </c>
      <c r="C22" s="105" t="s">
        <v>96</v>
      </c>
      <c r="D22" s="96" t="str">
        <f t="shared" si="1"/>
        <v>830925-1******</v>
      </c>
      <c r="E22" s="101">
        <f t="shared" si="2"/>
        <v>30584</v>
      </c>
      <c r="F22" s="96">
        <f t="shared" si="3"/>
        <v>1983</v>
      </c>
      <c r="G22" s="96">
        <f t="shared" si="4"/>
        <v>9</v>
      </c>
      <c r="H22" s="96">
        <f t="shared" si="5"/>
        <v>25</v>
      </c>
      <c r="I22" s="96">
        <f t="shared" ca="1" si="6"/>
        <v>36</v>
      </c>
      <c r="J22" s="105" t="str">
        <f t="shared" si="7"/>
        <v>남</v>
      </c>
      <c r="K22" s="96">
        <f t="shared" ca="1" si="8"/>
        <v>13213</v>
      </c>
      <c r="L22" s="106" t="s">
        <v>62</v>
      </c>
      <c r="M22" s="107" t="s">
        <v>132</v>
      </c>
      <c r="N22" s="94">
        <v>43434</v>
      </c>
      <c r="O22" s="96">
        <f t="shared" ca="1" si="9"/>
        <v>0</v>
      </c>
      <c r="P22" s="96">
        <f t="shared" ca="1" si="10"/>
        <v>11</v>
      </c>
      <c r="Q22" s="96">
        <f t="shared" ca="1" si="11"/>
        <v>29</v>
      </c>
      <c r="R22" s="108">
        <v>9200</v>
      </c>
      <c r="S22" s="124" t="str">
        <f t="shared" si="12"/>
        <v>일</v>
      </c>
      <c r="T22" s="118" t="str">
        <f>HLOOKUP(R22, 할인율!$C$1:$F$3,3,TRUE)</f>
        <v>BRONZE</v>
      </c>
      <c r="U22" s="109">
        <f ca="1">INDEX(할인율!$C$4:$F$9,MATCH(O22,할인율!$B$4:$B$9,1), MATCH(T22,할인율!$C$3:$F$3,0))</f>
        <v>0</v>
      </c>
      <c r="AC22" s="148"/>
      <c r="AD22" s="155"/>
      <c r="AE22" s="25" t="s">
        <v>182</v>
      </c>
      <c r="AF22" s="49">
        <f>SUMIFS($R$2:$R$36,$T$2:$T$36,"="&amp;$AC$21,$J$2:$J$36,"="&amp;$AD21,$S$2:$S$36,"="&amp;AF$2)</f>
        <v>9200</v>
      </c>
      <c r="AG22" s="141">
        <f t="shared" ref="AG22:AL22" si="44">SUMIFS($R$2:$R$36,$T$2:$T$36,"="&amp;$AC$21,$J$2:$J$36,"="&amp;$AD21,$S$2:$S$36,"="&amp;AG$2)</f>
        <v>0</v>
      </c>
      <c r="AH22" s="141">
        <f t="shared" si="44"/>
        <v>0</v>
      </c>
      <c r="AI22" s="141">
        <f t="shared" si="44"/>
        <v>0</v>
      </c>
      <c r="AJ22" s="141">
        <f t="shared" si="44"/>
        <v>0</v>
      </c>
      <c r="AK22" s="141">
        <f t="shared" si="44"/>
        <v>400</v>
      </c>
      <c r="AL22" s="26">
        <f t="shared" si="44"/>
        <v>0</v>
      </c>
      <c r="AR22" s="148" t="s">
        <v>177</v>
      </c>
      <c r="AS22" s="60" t="s">
        <v>168</v>
      </c>
      <c r="AT22" s="75">
        <f ca="1">_xlfn.MAXIFS($U$2:$U$36,$S$2:$S$36,"="&amp;$AR$22,$J$2:$J$36,"="&amp;$AS22,$I$2:$I$36,"&gt;="&amp;$AT$12,$I$2:$I$36,"&lt;"&amp;$AV$12)</f>
        <v>0</v>
      </c>
      <c r="AU22" s="59">
        <f ca="1">_xlfn.MINIFS($U$2:$U$36,$S$2:$S$36,"="&amp;$AR$22,$J$2:$J$36,"="&amp;$AS22,$I$2:$I$36,"&gt;="&amp;$AT$12,$I$2:$I$36,"&lt;"&amp;$AV$12)</f>
        <v>0</v>
      </c>
      <c r="AV22" s="59">
        <f ca="1">_xlfn.MAXIFS($U$2:$U$36,$S$2:$S$36,"="&amp;$AR$22,$J$2:$J$36,"="&amp;$AS22,$I$2:$I$36,"&gt;="&amp;$AV$12,$I$2:$I$36,"&lt;"&amp;$AX$12)</f>
        <v>0</v>
      </c>
      <c r="AW22" s="59">
        <f ca="1">_xlfn.MINIFS($U$2:$U$36,$S$2:$S$36,"="&amp;$AR$22,$J$2:$J$36,"="&amp;$AS22,$I$2:$I$36,"&gt;="&amp;$AV$12,$I$2:$I$36,"&lt;"&amp;$AX$12)</f>
        <v>0</v>
      </c>
      <c r="AX22" s="59">
        <f ca="1">_xlfn.MAXIFS($U$2:$U$36,$S$2:$S$36,"="&amp;$AR$22,$J$2:$J$36,"="&amp;$AS22,$I$2:$I$36,"&gt;="&amp;$AX$12)</f>
        <v>0.23</v>
      </c>
      <c r="AY22" s="85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94" t="str">
        <f t="shared" si="0"/>
        <v>victorymink-1347</v>
      </c>
      <c r="B23" s="104" t="s">
        <v>33</v>
      </c>
      <c r="C23" s="105" t="s">
        <v>97</v>
      </c>
      <c r="D23" s="96" t="str">
        <f t="shared" si="1"/>
        <v>750815-1******</v>
      </c>
      <c r="E23" s="101">
        <f t="shared" si="2"/>
        <v>27621</v>
      </c>
      <c r="F23" s="96">
        <f t="shared" si="3"/>
        <v>1975</v>
      </c>
      <c r="G23" s="96">
        <f t="shared" si="4"/>
        <v>8</v>
      </c>
      <c r="H23" s="96">
        <f t="shared" si="5"/>
        <v>15</v>
      </c>
      <c r="I23" s="96">
        <f t="shared" ca="1" si="6"/>
        <v>44</v>
      </c>
      <c r="J23" s="105" t="str">
        <f t="shared" si="7"/>
        <v>남</v>
      </c>
      <c r="K23" s="96">
        <f t="shared" ca="1" si="8"/>
        <v>16176</v>
      </c>
      <c r="L23" s="106" t="s">
        <v>61</v>
      </c>
      <c r="M23" s="107" t="s">
        <v>133</v>
      </c>
      <c r="N23" s="94">
        <v>42550</v>
      </c>
      <c r="O23" s="96">
        <f t="shared" ca="1" si="9"/>
        <v>3</v>
      </c>
      <c r="P23" s="96">
        <f t="shared" ca="1" si="10"/>
        <v>4</v>
      </c>
      <c r="Q23" s="96">
        <f t="shared" ca="1" si="11"/>
        <v>30</v>
      </c>
      <c r="R23" s="108">
        <v>32100</v>
      </c>
      <c r="S23" s="128" t="str">
        <f t="shared" si="12"/>
        <v>금</v>
      </c>
      <c r="T23" s="131" t="str">
        <f>HLOOKUP(R23, 할인율!$C$1:$F$3,3,TRUE)</f>
        <v>SILVER</v>
      </c>
      <c r="U23" s="109">
        <f ca="1">INDEX(할인율!$C$4:$F$9,MATCH(O23,할인율!$B$4:$B$9,1), MATCH(T23,할인율!$C$3:$F$3,0))</f>
        <v>0.05</v>
      </c>
      <c r="AC23" s="148"/>
      <c r="AD23" s="157"/>
      <c r="AE23" s="27" t="s">
        <v>183</v>
      </c>
      <c r="AF23" s="53">
        <f ca="1">IFERROR(ROUND(AVERAGEIFS($U$2:$U$36,$T$2:$T$36,"="&amp;$AC$21,$J$2:$J$36,"="&amp;$AD21,$S$2:$S$36,"="&amp;AF$2),2),"-")</f>
        <v>0</v>
      </c>
      <c r="AG23" s="28" t="str">
        <f t="shared" ref="AG23:AL23" si="45">IFERROR(ROUND(AVERAGEIFS($U$2:$U$36,$T$2:$T$36,"="&amp;$AC$21,$J$2:$J$36,"="&amp;$AD21,$S$2:$S$36,"="&amp;AG$2),2),"-")</f>
        <v>-</v>
      </c>
      <c r="AH23" s="28" t="str">
        <f t="shared" si="45"/>
        <v>-</v>
      </c>
      <c r="AI23" s="28" t="str">
        <f t="shared" si="45"/>
        <v>-</v>
      </c>
      <c r="AJ23" s="28" t="str">
        <f t="shared" si="45"/>
        <v>-</v>
      </c>
      <c r="AK23" s="28">
        <f t="shared" ca="1" si="45"/>
        <v>0</v>
      </c>
      <c r="AL23" s="29" t="str">
        <f t="shared" si="45"/>
        <v>-</v>
      </c>
      <c r="AR23" s="148"/>
      <c r="AS23" s="73" t="s">
        <v>169</v>
      </c>
      <c r="AT23" s="134">
        <f ca="1">_xlfn.MAXIFS($U$2:$U$36,$S$2:$S$36,"="&amp;$AR$22,$J$2:$J$36,"="&amp;$AS23,$I$2:$I$36,"&gt;="&amp;$AT$12,$I$2:$I$36,"&lt;"&amp;$AV$12)</f>
        <v>0</v>
      </c>
      <c r="AU23" s="77">
        <f ca="1">_xlfn.MINIFS($U$2:$U$36,$S$2:$S$36,"="&amp;$AR$22,$J$2:$J$36,"="&amp;$AS23,$I$2:$I$36,"&gt;="&amp;$AT$12,$I$2:$I$36,"&lt;"&amp;$AV$12)</f>
        <v>0</v>
      </c>
      <c r="AV23" s="77">
        <f ca="1">_xlfn.MAXIFS($U$2:$U$36,$S$2:$S$36,"="&amp;$AR$22,$J$2:$J$36,"="&amp;$AS23,$I$2:$I$36,"&gt;="&amp;$AV$12,$I$2:$I$36,"&lt;"&amp;$AX$12)</f>
        <v>0.2</v>
      </c>
      <c r="AW23" s="77">
        <f ca="1">_xlfn.MINIFS($U$2:$U$36,$S$2:$S$36,"="&amp;$AR$22,$J$2:$J$36,"="&amp;$AS23,$I$2:$I$36,"&gt;="&amp;$AV$12,$I$2:$I$36,"&lt;"&amp;$AX$12)</f>
        <v>0.2</v>
      </c>
      <c r="AX23" s="77">
        <f ca="1">_xlfn.MAXIFS($U$2:$U$36,$S$2:$S$36,"="&amp;$AR$22,$J$2:$J$36,"="&amp;$AS23,$I$2:$I$36,"&gt;="&amp;$AX$12)</f>
        <v>0.15</v>
      </c>
      <c r="AY23" s="82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94" t="str">
        <f t="shared" si="0"/>
        <v>yeslee84-4866</v>
      </c>
      <c r="B24" s="104" t="s">
        <v>34</v>
      </c>
      <c r="C24" s="105" t="s">
        <v>98</v>
      </c>
      <c r="D24" s="96" t="str">
        <f t="shared" si="1"/>
        <v>840628-2******</v>
      </c>
      <c r="E24" s="101">
        <f t="shared" si="2"/>
        <v>30861</v>
      </c>
      <c r="F24" s="96">
        <f t="shared" si="3"/>
        <v>1984</v>
      </c>
      <c r="G24" s="96">
        <f t="shared" si="4"/>
        <v>6</v>
      </c>
      <c r="H24" s="96">
        <f t="shared" si="5"/>
        <v>28</v>
      </c>
      <c r="I24" s="96">
        <f t="shared" ca="1" si="6"/>
        <v>35</v>
      </c>
      <c r="J24" s="105" t="str">
        <f t="shared" si="7"/>
        <v>여</v>
      </c>
      <c r="K24" s="96">
        <f t="shared" ca="1" si="8"/>
        <v>12936</v>
      </c>
      <c r="L24" s="106" t="s">
        <v>63</v>
      </c>
      <c r="M24" s="107" t="s">
        <v>134</v>
      </c>
      <c r="N24" s="94">
        <v>38491</v>
      </c>
      <c r="O24" s="96">
        <f t="shared" ca="1" si="9"/>
        <v>14</v>
      </c>
      <c r="P24" s="96">
        <f t="shared" ca="1" si="10"/>
        <v>6</v>
      </c>
      <c r="Q24" s="96">
        <f t="shared" ca="1" si="11"/>
        <v>9</v>
      </c>
      <c r="R24" s="108">
        <v>142000</v>
      </c>
      <c r="S24" s="123" t="str">
        <f t="shared" si="12"/>
        <v>목</v>
      </c>
      <c r="T24" s="120" t="str">
        <f>HLOOKUP(R24, 할인율!$C$1:$F$3,3,TRUE)</f>
        <v>GOLD</v>
      </c>
      <c r="U24" s="109">
        <f ca="1">INDEX(할인율!$C$4:$F$9,MATCH(O24,할인율!$B$4:$B$9,1), MATCH(T24,할인율!$C$3:$F$3,0))</f>
        <v>0.2</v>
      </c>
      <c r="AC24" s="148"/>
      <c r="AD24" s="154" t="s">
        <v>169</v>
      </c>
      <c r="AE24" s="30" t="s">
        <v>180</v>
      </c>
      <c r="AF24" s="48">
        <f>COUNTIFS($T$2:$T$36,"="&amp;$AC$21,$J$2:$J$36,"="&amp;$AD24,$S$2:$S$36,"="&amp;AF$2)</f>
        <v>0</v>
      </c>
      <c r="AG24" s="31">
        <f t="shared" ref="AG24:AL24" si="46">COUNTIFS($T$2:$T$36,"="&amp;$AC$21,$J$2:$J$36,"="&amp;$AD24,$S$2:$S$36,"="&amp;AG$2)</f>
        <v>1</v>
      </c>
      <c r="AH24" s="31">
        <f t="shared" si="46"/>
        <v>1</v>
      </c>
      <c r="AI24" s="31">
        <f t="shared" si="46"/>
        <v>0</v>
      </c>
      <c r="AJ24" s="31">
        <f t="shared" si="46"/>
        <v>0</v>
      </c>
      <c r="AK24" s="31">
        <f t="shared" si="46"/>
        <v>0</v>
      </c>
      <c r="AL24" s="30">
        <f t="shared" si="46"/>
        <v>1</v>
      </c>
      <c r="AR24" s="152" t="s">
        <v>178</v>
      </c>
      <c r="AS24" s="74" t="s">
        <v>168</v>
      </c>
      <c r="AT24" s="79">
        <f ca="1">_xlfn.MAXIFS($U$2:$U$36,$S$2:$S$36,"="&amp;$AR$24,$J$2:$J$36,"="&amp;$AS24,$I$2:$I$36,"&gt;="&amp;$AT$12,$I$2:$I$36,"&lt;"&amp;$AV$12)</f>
        <v>0</v>
      </c>
      <c r="AU24" s="80">
        <f ca="1">_xlfn.MINIFS($U$2:$U$36,$S$2:$S$36,"="&amp;$AR$24,$J$2:$J$36,"="&amp;$AS24,$I$2:$I$36,"&gt;="&amp;$AT$12,$I$2:$I$36,"&lt;"&amp;$AV$12)</f>
        <v>0</v>
      </c>
      <c r="AV24" s="80">
        <f ca="1">_xlfn.MAXIFS($U$2:$U$36,$S$2:$S$36,"="&amp;$AR$24,$J$2:$J$36,"="&amp;$AS24,$I$2:$I$36,"&gt;="&amp;$AV$12,$I$2:$I$36,"&lt;"&amp;$AX$12)</f>
        <v>0.2</v>
      </c>
      <c r="AW24" s="80">
        <f ca="1">_xlfn.MINIFS($U$2:$U$36,$S$2:$S$36,"="&amp;$AR$24,$J$2:$J$36,"="&amp;$AS24,$I$2:$I$36,"&gt;="&amp;$AV$12,$I$2:$I$36,"&lt;"&amp;$AX$12)</f>
        <v>0.2</v>
      </c>
      <c r="AX24" s="80">
        <f ca="1">_xlfn.MAXIFS($U$2:$U$36,$S$2:$S$36,"="&amp;$AR$24,$J$2:$J$36,"="&amp;$AS24,$I$2:$I$36,"&gt;="&amp;$AX$12)</f>
        <v>0.3</v>
      </c>
      <c r="AY24" s="83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94" t="str">
        <f t="shared" si="0"/>
        <v>jiyoungida-9762</v>
      </c>
      <c r="B25" s="104" t="s">
        <v>35</v>
      </c>
      <c r="C25" s="105" t="s">
        <v>99</v>
      </c>
      <c r="D25" s="96" t="str">
        <f t="shared" si="1"/>
        <v>870203-2******</v>
      </c>
      <c r="E25" s="101">
        <f t="shared" si="2"/>
        <v>31811</v>
      </c>
      <c r="F25" s="96">
        <f t="shared" si="3"/>
        <v>1987</v>
      </c>
      <c r="G25" s="96">
        <f t="shared" si="4"/>
        <v>2</v>
      </c>
      <c r="H25" s="96">
        <f t="shared" si="5"/>
        <v>3</v>
      </c>
      <c r="I25" s="96">
        <f t="shared" ca="1" si="6"/>
        <v>32</v>
      </c>
      <c r="J25" s="105" t="str">
        <f t="shared" si="7"/>
        <v>여</v>
      </c>
      <c r="K25" s="96">
        <f t="shared" ca="1" si="8"/>
        <v>11986</v>
      </c>
      <c r="L25" s="106" t="s">
        <v>64</v>
      </c>
      <c r="M25" s="107" t="s">
        <v>135</v>
      </c>
      <c r="N25" s="94">
        <v>42273</v>
      </c>
      <c r="O25" s="96">
        <f t="shared" ca="1" si="9"/>
        <v>4</v>
      </c>
      <c r="P25" s="96">
        <f t="shared" ca="1" si="10"/>
        <v>2</v>
      </c>
      <c r="Q25" s="96">
        <f t="shared" ca="1" si="11"/>
        <v>2</v>
      </c>
      <c r="R25" s="108">
        <v>100500</v>
      </c>
      <c r="S25" s="126" t="str">
        <f t="shared" si="12"/>
        <v>화</v>
      </c>
      <c r="T25" s="120" t="str">
        <f>HLOOKUP(R25, 할인율!$C$1:$F$3,3,TRUE)</f>
        <v>GOLD</v>
      </c>
      <c r="U25" s="109">
        <f ca="1">INDEX(할인율!$C$4:$F$9,MATCH(O25,할인율!$B$4:$B$9,1), MATCH(T25,할인율!$C$3:$F$3,0))</f>
        <v>0.1</v>
      </c>
      <c r="AC25" s="148"/>
      <c r="AD25" s="155"/>
      <c r="AE25" s="25" t="s">
        <v>182</v>
      </c>
      <c r="AF25" s="49">
        <f>SUMIFS($R$2:$R$36,$T$2:$T$36,"="&amp;$AC$21,$J$2:$J$36,"="&amp;$AD24,$S$2:$S$36,"="&amp;AF$2)</f>
        <v>0</v>
      </c>
      <c r="AG25" s="141">
        <f t="shared" ref="AG25:AL25" si="47">SUMIFS($R$2:$R$36,$T$2:$T$36,"="&amp;$AC$21,$J$2:$J$36,"="&amp;$AD24,$S$2:$S$36,"="&amp;AG$2)</f>
        <v>3700</v>
      </c>
      <c r="AH25" s="141">
        <f t="shared" si="47"/>
        <v>2400</v>
      </c>
      <c r="AI25" s="141">
        <f t="shared" si="47"/>
        <v>0</v>
      </c>
      <c r="AJ25" s="141">
        <f t="shared" si="47"/>
        <v>0</v>
      </c>
      <c r="AK25" s="141">
        <f t="shared" si="47"/>
        <v>0</v>
      </c>
      <c r="AL25" s="26">
        <f t="shared" si="47"/>
        <v>6500</v>
      </c>
      <c r="AR25" s="153"/>
      <c r="AS25" s="67" t="s">
        <v>169</v>
      </c>
      <c r="AT25" s="133">
        <f ca="1">_xlfn.MAXIFS($U$2:$U$36,$S$2:$S$36,"="&amp;$AR$24,$J$2:$J$36,"="&amp;$AS25,$I$2:$I$36,"&gt;="&amp;$AT$12,$I$2:$I$36,"&lt;"&amp;$AV$12)</f>
        <v>0</v>
      </c>
      <c r="AU25" s="81">
        <f ca="1">_xlfn.MINIFS($U$2:$U$36,$S$2:$S$36,"="&amp;$AR$24,$J$2:$J$36,"="&amp;$AS25,$I$2:$I$36,"&gt;="&amp;$AT$12,$I$2:$I$36,"&lt;"&amp;$AV$12)</f>
        <v>0</v>
      </c>
      <c r="AV25" s="81">
        <f ca="1">_xlfn.MAXIFS($U$2:$U$36,$S$2:$S$36,"="&amp;$AR$24,$J$2:$J$36,"="&amp;$AS25,$I$2:$I$36,"&gt;="&amp;$AV$12,$I$2:$I$36,"&lt;"&amp;$AX$12)</f>
        <v>0.05</v>
      </c>
      <c r="AW25" s="81">
        <f ca="1">_xlfn.MINIFS($U$2:$U$36,$S$2:$S$36,"="&amp;$AR$24,$J$2:$J$36,"="&amp;$AS25,$I$2:$I$36,"&gt;="&amp;$AV$12,$I$2:$I$36,"&lt;"&amp;$AX$12)</f>
        <v>0.05</v>
      </c>
      <c r="AX25" s="81">
        <f ca="1">_xlfn.MAXIFS($U$2:$U$36,$S$2:$S$36,"="&amp;$AR$24,$J$2:$J$36,"="&amp;$AS25,$I$2:$I$36,"&gt;="&amp;$AX$12)</f>
        <v>0.3</v>
      </c>
      <c r="AY25" s="84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94" t="str">
        <f t="shared" si="0"/>
        <v>okteajinok-1235</v>
      </c>
      <c r="B26" s="104" t="s">
        <v>37</v>
      </c>
      <c r="C26" s="105" t="s">
        <v>100</v>
      </c>
      <c r="D26" s="96" t="str">
        <f t="shared" si="1"/>
        <v>790416-1******</v>
      </c>
      <c r="E26" s="101">
        <f t="shared" si="2"/>
        <v>28961</v>
      </c>
      <c r="F26" s="96">
        <f t="shared" si="3"/>
        <v>1979</v>
      </c>
      <c r="G26" s="96">
        <f t="shared" si="4"/>
        <v>4</v>
      </c>
      <c r="H26" s="96">
        <f t="shared" si="5"/>
        <v>16</v>
      </c>
      <c r="I26" s="96">
        <f t="shared" ca="1" si="6"/>
        <v>40</v>
      </c>
      <c r="J26" s="105" t="str">
        <f t="shared" si="7"/>
        <v>남</v>
      </c>
      <c r="K26" s="96">
        <f t="shared" ca="1" si="8"/>
        <v>14836</v>
      </c>
      <c r="L26" s="106" t="s">
        <v>65</v>
      </c>
      <c r="M26" s="107" t="s">
        <v>136</v>
      </c>
      <c r="N26" s="94">
        <v>41246</v>
      </c>
      <c r="O26" s="96">
        <f t="shared" ca="1" si="9"/>
        <v>6</v>
      </c>
      <c r="P26" s="96">
        <f t="shared" ca="1" si="10"/>
        <v>11</v>
      </c>
      <c r="Q26" s="96">
        <f t="shared" ca="1" si="11"/>
        <v>25</v>
      </c>
      <c r="R26" s="108">
        <v>17300</v>
      </c>
      <c r="S26" s="125" t="str">
        <f t="shared" si="12"/>
        <v>월</v>
      </c>
      <c r="T26" s="131" t="str">
        <f>HLOOKUP(R26, 할인율!$C$1:$F$3,3,TRUE)</f>
        <v>SILVER</v>
      </c>
      <c r="U26" s="109">
        <f ca="1">INDEX(할인율!$C$4:$F$9,MATCH(O26,할인율!$B$4:$B$9,1), MATCH(T26,할인율!$C$3:$F$3,0))</f>
        <v>0.08</v>
      </c>
      <c r="AC26" s="149"/>
      <c r="AD26" s="158"/>
      <c r="AE26" s="37" t="s">
        <v>183</v>
      </c>
      <c r="AF26" s="51" t="str">
        <f>IFERROR(ROUND(AVERAGEIFS($U$2:$U$36,$T$2:$T$36,"="&amp;$AC$21,$J$2:$J$36,"="&amp;$AD24,$S$2:$S$36,"="&amp;AF$2),2),"-")</f>
        <v>-</v>
      </c>
      <c r="AG26" s="38">
        <f t="shared" ref="AG26:AL26" ca="1" si="48">IFERROR(ROUND(AVERAGEIFS($U$2:$U$36,$T$2:$T$36,"="&amp;$AC$21,$J$2:$J$36,"="&amp;$AD24,$S$2:$S$36,"="&amp;AG$2),2),"-")</f>
        <v>0.04</v>
      </c>
      <c r="AH26" s="38">
        <f t="shared" ca="1" si="48"/>
        <v>0</v>
      </c>
      <c r="AI26" s="38" t="str">
        <f t="shared" si="48"/>
        <v>-</v>
      </c>
      <c r="AJ26" s="38" t="str">
        <f t="shared" si="48"/>
        <v>-</v>
      </c>
      <c r="AK26" s="38" t="str">
        <f t="shared" si="48"/>
        <v>-</v>
      </c>
      <c r="AL26" s="39">
        <f t="shared" ca="1" si="48"/>
        <v>0.02</v>
      </c>
      <c r="AR26" s="148" t="s">
        <v>179</v>
      </c>
      <c r="AS26" s="60" t="s">
        <v>168</v>
      </c>
      <c r="AT26" s="75">
        <f ca="1">_xlfn.MAXIFS($U$2:$U$36,$S$2:$S$36,"="&amp;$AR$26,$J$2:$J$36,"="&amp;$AS26,$I$2:$I$36,"&gt;="&amp;$AT$12,$I$2:$I$36,"&lt;"&amp;$AV$12)</f>
        <v>0</v>
      </c>
      <c r="AU26" s="59">
        <f ca="1">_xlfn.MINIFS($U$2:$U$36,$S$2:$S$36,"="&amp;$AR$26,$J$2:$J$36,"="&amp;$AS26,$I$2:$I$36,"&gt;="&amp;$AT$12,$I$2:$I$36,"&lt;"&amp;$AV$12)</f>
        <v>0</v>
      </c>
      <c r="AV26" s="59">
        <f ca="1">_xlfn.MAXIFS($U$2:$U$36,$S$2:$S$36,"="&amp;$AR$26,$J$2:$J$36,"="&amp;$AS26,$I$2:$I$36,"&gt;="&amp;$AV$12,$I$2:$I$36,"&lt;"&amp;$AX$12)</f>
        <v>0.2</v>
      </c>
      <c r="AW26" s="59">
        <f ca="1">_xlfn.MINIFS($U$2:$U$36,$S$2:$S$36,"="&amp;$AR$26,$J$2:$J$36,"="&amp;$AS26,$I$2:$I$36,"&gt;="&amp;$AV$12,$I$2:$I$36,"&lt;"&amp;$AX$12)</f>
        <v>0.2</v>
      </c>
      <c r="AX26" s="59">
        <f ca="1">_xlfn.MAXIFS($U$2:$U$36,$S$2:$S$36,"="&amp;$AR$26,$J$2:$J$36,"="&amp;$AS26,$I$2:$I$36,"&gt;="&amp;$AX$12)</f>
        <v>0.2</v>
      </c>
      <c r="AY26" s="85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94" t="str">
        <f t="shared" si="0"/>
        <v>notingzeor0-7619</v>
      </c>
      <c r="B27" s="104" t="s">
        <v>38</v>
      </c>
      <c r="C27" s="105" t="s">
        <v>101</v>
      </c>
      <c r="D27" s="96" t="str">
        <f t="shared" si="1"/>
        <v>831205-1******</v>
      </c>
      <c r="E27" s="101">
        <f t="shared" si="2"/>
        <v>30655</v>
      </c>
      <c r="F27" s="96">
        <f t="shared" si="3"/>
        <v>1983</v>
      </c>
      <c r="G27" s="96">
        <f t="shared" si="4"/>
        <v>12</v>
      </c>
      <c r="H27" s="96">
        <f t="shared" si="5"/>
        <v>5</v>
      </c>
      <c r="I27" s="96">
        <f t="shared" ca="1" si="6"/>
        <v>35</v>
      </c>
      <c r="J27" s="105" t="str">
        <f t="shared" si="7"/>
        <v>남</v>
      </c>
      <c r="K27" s="96">
        <f t="shared" ca="1" si="8"/>
        <v>13142</v>
      </c>
      <c r="L27" s="106" t="s">
        <v>66</v>
      </c>
      <c r="M27" s="107" t="s">
        <v>137</v>
      </c>
      <c r="N27" s="94">
        <v>41468</v>
      </c>
      <c r="O27" s="96">
        <f t="shared" ca="1" si="9"/>
        <v>6</v>
      </c>
      <c r="P27" s="96">
        <f t="shared" ca="1" si="10"/>
        <v>4</v>
      </c>
      <c r="Q27" s="96">
        <f t="shared" ca="1" si="11"/>
        <v>15</v>
      </c>
      <c r="R27" s="108">
        <v>193000</v>
      </c>
      <c r="S27" s="125" t="str">
        <f t="shared" si="12"/>
        <v>월</v>
      </c>
      <c r="T27" s="120" t="str">
        <f>HLOOKUP(R27, 할인율!$C$1:$F$3,3,TRUE)</f>
        <v>GOLD</v>
      </c>
      <c r="U27" s="109">
        <f ca="1">INDEX(할인율!$C$4:$F$9,MATCH(O27,할인율!$B$4:$B$9,1), MATCH(T27,할인율!$C$3:$F$3,0))</f>
        <v>0.15</v>
      </c>
      <c r="AR27" s="149"/>
      <c r="AS27" s="142" t="s">
        <v>169</v>
      </c>
      <c r="AT27" s="135">
        <f ca="1">_xlfn.MAXIFS($U$2:$U$36,$S$2:$S$36,"="&amp;$AR$26,$J$2:$J$36,"="&amp;$AS27,$I$2:$I$36,"&gt;="&amp;$AT$12,$I$2:$I$36,"&lt;"&amp;$AV$12)</f>
        <v>0</v>
      </c>
      <c r="AU27" s="86">
        <f ca="1">_xlfn.MINIFS($U$2:$U$36,$S$2:$S$36,"="&amp;$AR$26,$J$2:$J$36,"="&amp;$AS27,$I$2:$I$36,"&gt;="&amp;$AT$12,$I$2:$I$36,"&lt;"&amp;$AV$12)</f>
        <v>0</v>
      </c>
      <c r="AV27" s="86">
        <f ca="1">_xlfn.MAXIFS($U$2:$U$36,$S$2:$S$36,"="&amp;$AR$26,$J$2:$J$36,"="&amp;$AS27,$I$2:$I$36,"&gt;="&amp;$AV$12,$I$2:$I$36,"&lt;"&amp;$AX$12)</f>
        <v>0.08</v>
      </c>
      <c r="AW27" s="86">
        <f ca="1">_xlfn.MINIFS($U$2:$U$36,$S$2:$S$36,"="&amp;$AR$26,$J$2:$J$36,"="&amp;$AS27,$I$2:$I$36,"&gt;="&amp;$AV$12,$I$2:$I$36,"&lt;"&amp;$AX$12)</f>
        <v>0.02</v>
      </c>
      <c r="AX27" s="86">
        <f ca="1">_xlfn.MAXIFS($U$2:$U$36,$S$2:$S$36,"="&amp;$AR$26,$J$2:$J$36,"="&amp;$AS27,$I$2:$I$36,"&gt;="&amp;$AX$12)</f>
        <v>0.25</v>
      </c>
      <c r="AY27" s="87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94" t="str">
        <f t="shared" si="0"/>
        <v>thlee1985-7913</v>
      </c>
      <c r="B28" s="104" t="s">
        <v>8</v>
      </c>
      <c r="C28" s="105" t="s">
        <v>102</v>
      </c>
      <c r="D28" s="96" t="str">
        <f t="shared" si="1"/>
        <v>850927-1******</v>
      </c>
      <c r="E28" s="101">
        <f t="shared" si="2"/>
        <v>31317</v>
      </c>
      <c r="F28" s="96">
        <f t="shared" si="3"/>
        <v>1985</v>
      </c>
      <c r="G28" s="96">
        <f t="shared" si="4"/>
        <v>9</v>
      </c>
      <c r="H28" s="96">
        <f t="shared" si="5"/>
        <v>27</v>
      </c>
      <c r="I28" s="96">
        <f t="shared" ca="1" si="6"/>
        <v>34</v>
      </c>
      <c r="J28" s="105" t="str">
        <f t="shared" si="7"/>
        <v>남</v>
      </c>
      <c r="K28" s="96">
        <f t="shared" ca="1" si="8"/>
        <v>12480</v>
      </c>
      <c r="L28" s="106" t="s">
        <v>67</v>
      </c>
      <c r="M28" s="107" t="s">
        <v>138</v>
      </c>
      <c r="N28" s="94">
        <v>39737</v>
      </c>
      <c r="O28" s="96">
        <f t="shared" ca="1" si="9"/>
        <v>11</v>
      </c>
      <c r="P28" s="96">
        <f t="shared" ca="1" si="10"/>
        <v>1</v>
      </c>
      <c r="Q28" s="96">
        <f t="shared" ca="1" si="11"/>
        <v>12</v>
      </c>
      <c r="R28" s="108">
        <v>187000</v>
      </c>
      <c r="S28" s="128" t="str">
        <f t="shared" si="12"/>
        <v>금</v>
      </c>
      <c r="T28" s="120" t="str">
        <f>HLOOKUP(R28, 할인율!$C$1:$F$3,3,TRUE)</f>
        <v>GOLD</v>
      </c>
      <c r="U28" s="109">
        <f ca="1">INDEX(할인율!$C$4:$F$9,MATCH(O28,할인율!$B$4:$B$9,1), MATCH(T28,할인율!$C$3:$F$3,0))</f>
        <v>0.2</v>
      </c>
    </row>
    <row r="29" spans="1:51" ht="17.100000000000001" customHeight="1" x14ac:dyDescent="0.3">
      <c r="A29" s="94" t="str">
        <f t="shared" si="0"/>
        <v>soyoon1212-1296</v>
      </c>
      <c r="B29" s="104" t="s">
        <v>9</v>
      </c>
      <c r="C29" s="105" t="s">
        <v>103</v>
      </c>
      <c r="D29" s="96" t="str">
        <f t="shared" si="1"/>
        <v>710621-2******</v>
      </c>
      <c r="E29" s="101">
        <f t="shared" si="2"/>
        <v>26105</v>
      </c>
      <c r="F29" s="96">
        <f t="shared" si="3"/>
        <v>1971</v>
      </c>
      <c r="G29" s="96">
        <f t="shared" si="4"/>
        <v>6</v>
      </c>
      <c r="H29" s="96">
        <f t="shared" si="5"/>
        <v>21</v>
      </c>
      <c r="I29" s="96">
        <f t="shared" ca="1" si="6"/>
        <v>48</v>
      </c>
      <c r="J29" s="105" t="str">
        <f t="shared" si="7"/>
        <v>여</v>
      </c>
      <c r="K29" s="96">
        <f t="shared" ca="1" si="8"/>
        <v>17692</v>
      </c>
      <c r="L29" s="106" t="s">
        <v>68</v>
      </c>
      <c r="M29" s="107" t="s">
        <v>139</v>
      </c>
      <c r="N29" s="94">
        <v>42001</v>
      </c>
      <c r="O29" s="96">
        <f t="shared" ca="1" si="9"/>
        <v>4</v>
      </c>
      <c r="P29" s="96">
        <f t="shared" ca="1" si="10"/>
        <v>11</v>
      </c>
      <c r="Q29" s="96">
        <f t="shared" ca="1" si="11"/>
        <v>0</v>
      </c>
      <c r="R29" s="108">
        <v>55600</v>
      </c>
      <c r="S29" s="125" t="str">
        <f t="shared" si="12"/>
        <v>월</v>
      </c>
      <c r="T29" s="131" t="str">
        <f>HLOOKUP(R29, 할인율!$C$1:$F$3,3,TRUE)</f>
        <v>SILVER</v>
      </c>
      <c r="U29" s="109">
        <f ca="1">INDEX(할인율!$C$4:$F$9,MATCH(O29,할인율!$B$4:$B$9,1), MATCH(T29,할인율!$C$3:$F$3,0))</f>
        <v>0.05</v>
      </c>
    </row>
    <row r="30" spans="1:51" ht="17.100000000000001" customHeight="1" x14ac:dyDescent="0.3">
      <c r="A30" s="94" t="str">
        <f t="shared" si="0"/>
        <v>soosoodduk-1496</v>
      </c>
      <c r="B30" s="104" t="s">
        <v>39</v>
      </c>
      <c r="C30" s="105" t="s">
        <v>104</v>
      </c>
      <c r="D30" s="96" t="str">
        <f t="shared" si="1"/>
        <v>810308-1******</v>
      </c>
      <c r="E30" s="101">
        <f t="shared" si="2"/>
        <v>29653</v>
      </c>
      <c r="F30" s="96">
        <f t="shared" si="3"/>
        <v>1981</v>
      </c>
      <c r="G30" s="96">
        <f t="shared" si="4"/>
        <v>3</v>
      </c>
      <c r="H30" s="96">
        <f t="shared" si="5"/>
        <v>8</v>
      </c>
      <c r="I30" s="96">
        <f t="shared" ca="1" si="6"/>
        <v>38</v>
      </c>
      <c r="J30" s="105" t="str">
        <f t="shared" si="7"/>
        <v>남</v>
      </c>
      <c r="K30" s="96">
        <f t="shared" ca="1" si="8"/>
        <v>14144</v>
      </c>
      <c r="L30" s="106" t="s">
        <v>69</v>
      </c>
      <c r="M30" s="107" t="s">
        <v>140</v>
      </c>
      <c r="N30" s="94">
        <v>39282</v>
      </c>
      <c r="O30" s="96">
        <f t="shared" ca="1" si="9"/>
        <v>12</v>
      </c>
      <c r="P30" s="96">
        <f t="shared" ca="1" si="10"/>
        <v>4</v>
      </c>
      <c r="Q30" s="96">
        <f t="shared" ca="1" si="11"/>
        <v>9</v>
      </c>
      <c r="R30" s="108">
        <v>214000</v>
      </c>
      <c r="S30" s="124" t="str">
        <f t="shared" si="12"/>
        <v>일</v>
      </c>
      <c r="T30" s="121" t="str">
        <f>HLOOKUP(R30, 할인율!$C$1:$F$3,3,TRUE)</f>
        <v>PURE GOLD</v>
      </c>
      <c r="U30" s="109">
        <f ca="1">INDEX(할인율!$C$4:$F$9,MATCH(O30,할인율!$B$4:$B$9,1), MATCH(T30,할인율!$C$3:$F$3,0))</f>
        <v>0.25</v>
      </c>
    </row>
    <row r="31" spans="1:51" ht="17.100000000000001" customHeight="1" x14ac:dyDescent="0.3">
      <c r="A31" s="94" t="str">
        <f t="shared" si="0"/>
        <v>ksjung74-7659</v>
      </c>
      <c r="B31" s="104" t="s">
        <v>10</v>
      </c>
      <c r="C31" s="105" t="s">
        <v>107</v>
      </c>
      <c r="D31" s="96" t="str">
        <f t="shared" si="1"/>
        <v>740201-1******</v>
      </c>
      <c r="E31" s="101">
        <f t="shared" si="2"/>
        <v>27061</v>
      </c>
      <c r="F31" s="96">
        <f t="shared" si="3"/>
        <v>1974</v>
      </c>
      <c r="G31" s="96">
        <f t="shared" si="4"/>
        <v>2</v>
      </c>
      <c r="H31" s="96">
        <f t="shared" si="5"/>
        <v>1</v>
      </c>
      <c r="I31" s="96">
        <f t="shared" ca="1" si="6"/>
        <v>45</v>
      </c>
      <c r="J31" s="105" t="str">
        <f t="shared" si="7"/>
        <v>남</v>
      </c>
      <c r="K31" s="96">
        <f t="shared" ca="1" si="8"/>
        <v>16736</v>
      </c>
      <c r="L31" s="106" t="s">
        <v>70</v>
      </c>
      <c r="M31" s="107" t="s">
        <v>141</v>
      </c>
      <c r="N31" s="94">
        <v>36920</v>
      </c>
      <c r="O31" s="96">
        <f t="shared" ca="1" si="9"/>
        <v>18</v>
      </c>
      <c r="P31" s="96">
        <f t="shared" ca="1" si="10"/>
        <v>9</v>
      </c>
      <c r="Q31" s="96">
        <f t="shared" ca="1" si="11"/>
        <v>30</v>
      </c>
      <c r="R31" s="108">
        <v>224100</v>
      </c>
      <c r="S31" s="128" t="str">
        <f t="shared" si="12"/>
        <v>금</v>
      </c>
      <c r="T31" s="121" t="str">
        <f>HLOOKUP(R31, 할인율!$C$1:$F$3,3,TRUE)</f>
        <v>PURE GOLD</v>
      </c>
      <c r="U31" s="109">
        <f ca="1">INDEX(할인율!$C$4:$F$9,MATCH(O31,할인율!$B$4:$B$9,1), MATCH(T31,할인율!$C$3:$F$3,0))</f>
        <v>0.3</v>
      </c>
    </row>
    <row r="32" spans="1:51" ht="17.100000000000001" customHeight="1" x14ac:dyDescent="0.3">
      <c r="A32" s="94" t="str">
        <f t="shared" si="0"/>
        <v>tellhjtrue-4963</v>
      </c>
      <c r="B32" s="104" t="s">
        <v>11</v>
      </c>
      <c r="C32" s="105" t="s">
        <v>106</v>
      </c>
      <c r="D32" s="96" t="str">
        <f t="shared" si="1"/>
        <v>801112-1******</v>
      </c>
      <c r="E32" s="101">
        <f t="shared" si="2"/>
        <v>29537</v>
      </c>
      <c r="F32" s="96">
        <f t="shared" si="3"/>
        <v>1980</v>
      </c>
      <c r="G32" s="96">
        <f t="shared" si="4"/>
        <v>11</v>
      </c>
      <c r="H32" s="96">
        <f t="shared" si="5"/>
        <v>12</v>
      </c>
      <c r="I32" s="96">
        <f t="shared" ca="1" si="6"/>
        <v>39</v>
      </c>
      <c r="J32" s="105" t="str">
        <f t="shared" si="7"/>
        <v>남</v>
      </c>
      <c r="K32" s="96">
        <f t="shared" ca="1" si="8"/>
        <v>14260</v>
      </c>
      <c r="L32" s="106" t="s">
        <v>71</v>
      </c>
      <c r="M32" s="107" t="s">
        <v>142</v>
      </c>
      <c r="N32" s="94">
        <v>40712</v>
      </c>
      <c r="O32" s="96">
        <f t="shared" ca="1" si="9"/>
        <v>8</v>
      </c>
      <c r="P32" s="96">
        <f t="shared" ca="1" si="10"/>
        <v>5</v>
      </c>
      <c r="Q32" s="96">
        <f t="shared" ca="1" si="11"/>
        <v>10</v>
      </c>
      <c r="R32" s="108">
        <v>147600</v>
      </c>
      <c r="S32" s="127" t="str">
        <f t="shared" si="12"/>
        <v>수</v>
      </c>
      <c r="T32" s="120" t="str">
        <f>HLOOKUP(R32, 할인율!$C$1:$F$3,3,TRUE)</f>
        <v>GOLD</v>
      </c>
      <c r="U32" s="109">
        <f ca="1">INDEX(할인율!$C$4:$F$9,MATCH(O32,할인율!$B$4:$B$9,1), MATCH(T32,할인율!$C$3:$F$3,0))</f>
        <v>0.15</v>
      </c>
    </row>
    <row r="33" spans="1:21" ht="17.100000000000001" customHeight="1" x14ac:dyDescent="0.3">
      <c r="A33" s="94" t="str">
        <f t="shared" si="0"/>
        <v>minuminu-6743</v>
      </c>
      <c r="B33" s="104" t="s">
        <v>12</v>
      </c>
      <c r="C33" s="105" t="s">
        <v>105</v>
      </c>
      <c r="D33" s="96" t="str">
        <f t="shared" si="1"/>
        <v>870722-1******</v>
      </c>
      <c r="E33" s="101">
        <f t="shared" si="2"/>
        <v>31980</v>
      </c>
      <c r="F33" s="96">
        <f t="shared" si="3"/>
        <v>1987</v>
      </c>
      <c r="G33" s="96">
        <f t="shared" si="4"/>
        <v>7</v>
      </c>
      <c r="H33" s="96">
        <f t="shared" si="5"/>
        <v>22</v>
      </c>
      <c r="I33" s="96">
        <f t="shared" ca="1" si="6"/>
        <v>32</v>
      </c>
      <c r="J33" s="105" t="str">
        <f t="shared" si="7"/>
        <v>남</v>
      </c>
      <c r="K33" s="96">
        <f t="shared" ca="1" si="8"/>
        <v>11817</v>
      </c>
      <c r="L33" s="106" t="s">
        <v>72</v>
      </c>
      <c r="M33" s="107" t="s">
        <v>143</v>
      </c>
      <c r="N33" s="94">
        <v>40212</v>
      </c>
      <c r="O33" s="96">
        <f t="shared" ca="1" si="9"/>
        <v>9</v>
      </c>
      <c r="P33" s="96">
        <f t="shared" ca="1" si="10"/>
        <v>9</v>
      </c>
      <c r="Q33" s="96">
        <f t="shared" ca="1" si="11"/>
        <v>25</v>
      </c>
      <c r="R33" s="108">
        <v>36800</v>
      </c>
      <c r="S33" s="127" t="str">
        <f t="shared" si="12"/>
        <v>수</v>
      </c>
      <c r="T33" s="131" t="str">
        <f>HLOOKUP(R33, 할인율!$C$1:$F$3,3,TRUE)</f>
        <v>SILVER</v>
      </c>
      <c r="U33" s="109">
        <f ca="1">INDEX(할인율!$C$4:$F$9,MATCH(O33,할인율!$B$4:$B$9,1), MATCH(T33,할인율!$C$3:$F$3,0))</f>
        <v>0.08</v>
      </c>
    </row>
    <row r="34" spans="1:21" ht="17.100000000000001" customHeight="1" x14ac:dyDescent="0.3">
      <c r="A34" s="94" t="str">
        <f t="shared" si="0"/>
        <v>lovelyhuson-1476</v>
      </c>
      <c r="B34" s="104" t="s">
        <v>36</v>
      </c>
      <c r="C34" s="105" t="s">
        <v>108</v>
      </c>
      <c r="D34" s="96" t="str">
        <f t="shared" si="1"/>
        <v>860513-2******</v>
      </c>
      <c r="E34" s="101">
        <f t="shared" si="2"/>
        <v>31545</v>
      </c>
      <c r="F34" s="96">
        <f t="shared" si="3"/>
        <v>1986</v>
      </c>
      <c r="G34" s="96">
        <f t="shared" si="4"/>
        <v>5</v>
      </c>
      <c r="H34" s="96">
        <f t="shared" si="5"/>
        <v>13</v>
      </c>
      <c r="I34" s="96">
        <f t="shared" ca="1" si="6"/>
        <v>33</v>
      </c>
      <c r="J34" s="105" t="str">
        <f t="shared" si="7"/>
        <v>여</v>
      </c>
      <c r="K34" s="96">
        <f t="shared" ca="1" si="8"/>
        <v>12252</v>
      </c>
      <c r="L34" s="106" t="s">
        <v>73</v>
      </c>
      <c r="M34" s="107" t="s">
        <v>144</v>
      </c>
      <c r="N34" s="94">
        <v>43355</v>
      </c>
      <c r="O34" s="96">
        <f t="shared" ca="1" si="9"/>
        <v>1</v>
      </c>
      <c r="P34" s="96">
        <f t="shared" ca="1" si="10"/>
        <v>2</v>
      </c>
      <c r="Q34" s="96">
        <f t="shared" ca="1" si="11"/>
        <v>16</v>
      </c>
      <c r="R34" s="108">
        <v>2400</v>
      </c>
      <c r="S34" s="126" t="str">
        <f t="shared" si="12"/>
        <v>화</v>
      </c>
      <c r="T34" s="118" t="str">
        <f>HLOOKUP(R34, 할인율!$C$1:$F$3,3,TRUE)</f>
        <v>BRONZE</v>
      </c>
      <c r="U34" s="109">
        <f ca="1">INDEX(할인율!$C$4:$F$9,MATCH(O34,할인율!$B$4:$B$9,1), MATCH(T34,할인율!$C$3:$F$3,0))</f>
        <v>0</v>
      </c>
    </row>
    <row r="35" spans="1:21" ht="17.100000000000001" customHeight="1" x14ac:dyDescent="0.3">
      <c r="A35" s="94" t="str">
        <f t="shared" si="0"/>
        <v>ssossok914-2579</v>
      </c>
      <c r="B35" s="104" t="s">
        <v>13</v>
      </c>
      <c r="C35" s="105" t="s">
        <v>109</v>
      </c>
      <c r="D35" s="96" t="str">
        <f t="shared" si="1"/>
        <v>791019-2******</v>
      </c>
      <c r="E35" s="101">
        <f t="shared" si="2"/>
        <v>29147</v>
      </c>
      <c r="F35" s="96">
        <f t="shared" si="3"/>
        <v>1979</v>
      </c>
      <c r="G35" s="96">
        <f t="shared" si="4"/>
        <v>10</v>
      </c>
      <c r="H35" s="96">
        <f t="shared" si="5"/>
        <v>19</v>
      </c>
      <c r="I35" s="96">
        <f t="shared" ca="1" si="6"/>
        <v>40</v>
      </c>
      <c r="J35" s="105" t="str">
        <f t="shared" si="7"/>
        <v>여</v>
      </c>
      <c r="K35" s="96">
        <f t="shared" ca="1" si="8"/>
        <v>14650</v>
      </c>
      <c r="L35" s="106" t="s">
        <v>74</v>
      </c>
      <c r="M35" s="107" t="s">
        <v>145</v>
      </c>
      <c r="N35" s="94">
        <v>37832</v>
      </c>
      <c r="O35" s="96">
        <f t="shared" ca="1" si="9"/>
        <v>16</v>
      </c>
      <c r="P35" s="96">
        <f t="shared" ca="1" si="10"/>
        <v>3</v>
      </c>
      <c r="Q35" s="96">
        <f t="shared" ca="1" si="11"/>
        <v>29</v>
      </c>
      <c r="R35" s="108">
        <v>221000</v>
      </c>
      <c r="S35" s="128" t="str">
        <f t="shared" si="12"/>
        <v>금</v>
      </c>
      <c r="T35" s="121" t="str">
        <f>HLOOKUP(R35, 할인율!$C$1:$F$3,3,TRUE)</f>
        <v>PURE GOLD</v>
      </c>
      <c r="U35" s="109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94" t="str">
        <f t="shared" si="0"/>
        <v>seaaaaaaa-8521</v>
      </c>
      <c r="B36" s="4" t="s">
        <v>40</v>
      </c>
      <c r="C36" s="110" t="s">
        <v>110</v>
      </c>
      <c r="D36" s="111" t="str">
        <f t="shared" si="1"/>
        <v>821224-2******</v>
      </c>
      <c r="E36" s="112">
        <f t="shared" si="2"/>
        <v>30309</v>
      </c>
      <c r="F36" s="111">
        <f t="shared" si="3"/>
        <v>1982</v>
      </c>
      <c r="G36" s="111">
        <f t="shared" si="4"/>
        <v>12</v>
      </c>
      <c r="H36" s="111">
        <f t="shared" si="5"/>
        <v>24</v>
      </c>
      <c r="I36" s="111">
        <f t="shared" ca="1" si="6"/>
        <v>36</v>
      </c>
      <c r="J36" s="110" t="str">
        <f t="shared" si="7"/>
        <v>여</v>
      </c>
      <c r="K36" s="111">
        <f t="shared" ca="1" si="8"/>
        <v>13488</v>
      </c>
      <c r="L36" s="113" t="s">
        <v>75</v>
      </c>
      <c r="M36" s="114" t="s">
        <v>146</v>
      </c>
      <c r="N36" s="115">
        <v>42274</v>
      </c>
      <c r="O36" s="111">
        <f t="shared" ca="1" si="9"/>
        <v>4</v>
      </c>
      <c r="P36" s="111">
        <f t="shared" ca="1" si="10"/>
        <v>2</v>
      </c>
      <c r="Q36" s="111">
        <f t="shared" ca="1" si="11"/>
        <v>1</v>
      </c>
      <c r="R36" s="116">
        <v>78300</v>
      </c>
      <c r="S36" s="129" t="str">
        <f t="shared" si="12"/>
        <v>금</v>
      </c>
      <c r="T36" s="132" t="str">
        <f>HLOOKUP(R36, 할인율!$C$1:$F$3,3,TRUE)</f>
        <v>SILVER</v>
      </c>
      <c r="U36" s="117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8E6CCC9A-7E08-474F-A0A1-061EAE3D10C3}"/>
    <hyperlink ref="L3" r:id="rId2" xr:uid="{AC16899C-5E30-4F88-B495-2F03FCFED345}"/>
    <hyperlink ref="L4" r:id="rId3" xr:uid="{A8A19DE4-5390-420B-912A-040DE47A2B1F}"/>
    <hyperlink ref="L5" r:id="rId4" xr:uid="{0EE65018-B14B-4591-9E58-682A3904118B}"/>
    <hyperlink ref="L6" r:id="rId5" xr:uid="{0483ED73-49D8-4ADF-8246-849B5AEC1054}"/>
    <hyperlink ref="L7" r:id="rId6" xr:uid="{350104F4-09A0-4975-ACEF-ECF08CA387AB}"/>
    <hyperlink ref="L8" r:id="rId7" xr:uid="{926F061C-8EC1-4C7A-AB58-D8B5639C5FFC}"/>
    <hyperlink ref="L9" r:id="rId8" xr:uid="{A89CFBA6-7934-4CAE-A209-FDEDEEF496AD}"/>
    <hyperlink ref="L10" r:id="rId9" xr:uid="{BF03F728-C72B-4686-B7E3-33D81BCAA7F3}"/>
    <hyperlink ref="L11" r:id="rId10" xr:uid="{04F9CE79-00AB-4151-B733-67E21A5EE415}"/>
    <hyperlink ref="L12" r:id="rId11" xr:uid="{394DF8C5-A222-4848-824C-1EE9BB77A450}"/>
    <hyperlink ref="L13" r:id="rId12" xr:uid="{476FC792-7708-45D1-A276-E44B4A0337AA}"/>
    <hyperlink ref="L14" r:id="rId13" xr:uid="{4CA81C6C-624B-4C96-8ED9-B8A4408D85AE}"/>
    <hyperlink ref="L15" r:id="rId14" xr:uid="{262CC4FE-5B9D-4F58-B829-EF9E05F59B2E}"/>
    <hyperlink ref="L16" r:id="rId15" xr:uid="{9DE42F59-9DAA-4E10-AD64-A9177E5F28F8}"/>
    <hyperlink ref="L17" r:id="rId16" xr:uid="{73DA9700-607C-45BE-AF03-4A93879C71DE}"/>
    <hyperlink ref="L18" r:id="rId17" xr:uid="{2D3ED2AD-C632-4E09-977F-2408AB1FA9CE}"/>
    <hyperlink ref="L19" r:id="rId18" xr:uid="{79182F86-2949-4262-A595-A107B64F2CDA}"/>
    <hyperlink ref="L20" r:id="rId19" xr:uid="{2582E17B-F363-4649-8D38-994E948330FC}"/>
    <hyperlink ref="L21" r:id="rId20" xr:uid="{DA3FD8DB-AF5C-4B68-8B7C-159006C3E6D6}"/>
    <hyperlink ref="L23" r:id="rId21" xr:uid="{B57E18D1-0A59-41F9-A2CA-343BB875C7E0}"/>
    <hyperlink ref="L22" r:id="rId22" xr:uid="{DADC0E1A-8E33-4400-B55A-3DD8609B5965}"/>
    <hyperlink ref="L24" r:id="rId23" xr:uid="{1704ADD5-C84B-4F54-AF27-F3390C3148D9}"/>
    <hyperlink ref="L25" r:id="rId24" xr:uid="{B4077EF4-397F-42E2-919C-3F0B3C94A097}"/>
    <hyperlink ref="L26" r:id="rId25" xr:uid="{05BD9A34-8BA7-4B26-9782-C3F06EE89C7A}"/>
    <hyperlink ref="L27" r:id="rId26" xr:uid="{23DE252E-B13E-4D12-9438-DE528AB06508}"/>
    <hyperlink ref="L28" r:id="rId27" xr:uid="{69E3564B-6359-4438-AD00-AD6BA8B111F0}"/>
    <hyperlink ref="L29" r:id="rId28" xr:uid="{4ABF05CC-4C4B-4CA1-941F-7DDBC9385EC3}"/>
    <hyperlink ref="L30" r:id="rId29" xr:uid="{BEE23523-78BF-4E85-8FC7-7341981699EA}"/>
    <hyperlink ref="L31" r:id="rId30" xr:uid="{462300A8-EAA1-4172-A157-9270BD859DFD}"/>
    <hyperlink ref="L32" r:id="rId31" xr:uid="{AF9AFECE-E770-4F42-A88A-C9E9C6E451D1}"/>
    <hyperlink ref="L33" r:id="rId32" xr:uid="{26A284C7-A49D-4D09-9903-C914BF075E03}"/>
    <hyperlink ref="L34" r:id="rId33" xr:uid="{C1AC1F69-E059-4A42-95CD-56590264FE3B}"/>
    <hyperlink ref="L35" r:id="rId34" xr:uid="{48C1C861-B738-4213-B554-B77673954B58}"/>
    <hyperlink ref="L36" r:id="rId35" xr:uid="{A4834123-527C-468B-9B13-1CA8B4A0611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E3F6-4E28-4E3F-B35D-B10E9B562608}">
  <dimension ref="A3:D12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6.25" bestFit="1" customWidth="1"/>
    <col min="4" max="4" width="7.375" bestFit="1" customWidth="1"/>
  </cols>
  <sheetData>
    <row r="3" spans="1:4" x14ac:dyDescent="0.3">
      <c r="A3" s="145" t="s">
        <v>192</v>
      </c>
      <c r="B3" s="145" t="s">
        <v>194</v>
      </c>
    </row>
    <row r="4" spans="1:4" x14ac:dyDescent="0.3">
      <c r="A4" s="145" t="s">
        <v>191</v>
      </c>
      <c r="B4" t="s">
        <v>195</v>
      </c>
      <c r="C4" t="s">
        <v>196</v>
      </c>
      <c r="D4" t="s">
        <v>193</v>
      </c>
    </row>
    <row r="5" spans="1:4" x14ac:dyDescent="0.3">
      <c r="A5" s="146" t="s">
        <v>197</v>
      </c>
      <c r="B5" s="147">
        <v>0.73</v>
      </c>
      <c r="C5" s="147">
        <v>0.25</v>
      </c>
      <c r="D5" s="147">
        <v>0.98</v>
      </c>
    </row>
    <row r="6" spans="1:4" x14ac:dyDescent="0.3">
      <c r="A6" s="146" t="s">
        <v>198</v>
      </c>
      <c r="B6" s="147">
        <v>0.22999999999999998</v>
      </c>
      <c r="C6" s="147">
        <v>0.09</v>
      </c>
      <c r="D6" s="147">
        <v>0.31999999999999995</v>
      </c>
    </row>
    <row r="7" spans="1:4" x14ac:dyDescent="0.3">
      <c r="A7" s="146" t="s">
        <v>199</v>
      </c>
      <c r="B7" s="147">
        <v>0.43</v>
      </c>
      <c r="C7" s="147">
        <v>0.4</v>
      </c>
      <c r="D7" s="147">
        <v>0.83000000000000007</v>
      </c>
    </row>
    <row r="8" spans="1:4" x14ac:dyDescent="0.3">
      <c r="A8" s="146" t="s">
        <v>200</v>
      </c>
      <c r="B8" s="147">
        <v>0.22999999999999998</v>
      </c>
      <c r="C8" s="147">
        <v>0.2</v>
      </c>
      <c r="D8" s="147">
        <v>0.43</v>
      </c>
    </row>
    <row r="9" spans="1:4" x14ac:dyDescent="0.3">
      <c r="A9" s="146" t="s">
        <v>201</v>
      </c>
      <c r="B9" s="147">
        <v>0.26</v>
      </c>
      <c r="C9" s="147">
        <v>0.35</v>
      </c>
      <c r="D9" s="147">
        <v>0.61</v>
      </c>
    </row>
    <row r="10" spans="1:4" x14ac:dyDescent="0.3">
      <c r="A10" s="146" t="s">
        <v>202</v>
      </c>
      <c r="B10" s="147">
        <v>0.55000000000000004</v>
      </c>
      <c r="C10" s="147">
        <v>0.35</v>
      </c>
      <c r="D10" s="147">
        <v>0.9</v>
      </c>
    </row>
    <row r="11" spans="1:4" x14ac:dyDescent="0.3">
      <c r="A11" s="146" t="s">
        <v>203</v>
      </c>
      <c r="B11" s="147">
        <v>0.4</v>
      </c>
      <c r="C11" s="147">
        <v>0.5</v>
      </c>
      <c r="D11" s="147">
        <v>0.9</v>
      </c>
    </row>
    <row r="12" spans="1:4" x14ac:dyDescent="0.3">
      <c r="A12" s="146" t="s">
        <v>193</v>
      </c>
      <c r="B12" s="147">
        <v>2.8299999999999996</v>
      </c>
      <c r="C12" s="147">
        <v>2.14</v>
      </c>
      <c r="D12" s="147">
        <v>4.9700000000000006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5409-8142-4D3E-8A33-3BC8558C7DC2}">
  <dimension ref="A3:D12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6.25" bestFit="1" customWidth="1"/>
    <col min="4" max="4" width="7.375" bestFit="1" customWidth="1"/>
  </cols>
  <sheetData>
    <row r="3" spans="1:4" x14ac:dyDescent="0.3">
      <c r="A3" t="s">
        <v>192</v>
      </c>
      <c r="B3" t="s">
        <v>194</v>
      </c>
    </row>
    <row r="4" spans="1:4" x14ac:dyDescent="0.3">
      <c r="A4" t="s">
        <v>191</v>
      </c>
      <c r="B4" t="s">
        <v>195</v>
      </c>
      <c r="C4" t="s">
        <v>196</v>
      </c>
      <c r="D4" t="s">
        <v>193</v>
      </c>
    </row>
    <row r="5" spans="1:4" x14ac:dyDescent="0.3">
      <c r="A5" s="146" t="s">
        <v>197</v>
      </c>
      <c r="B5" s="147">
        <v>0.73</v>
      </c>
      <c r="C5" s="147">
        <v>0.25</v>
      </c>
      <c r="D5" s="147">
        <v>0.98</v>
      </c>
    </row>
    <row r="6" spans="1:4" x14ac:dyDescent="0.3">
      <c r="A6" s="146" t="s">
        <v>198</v>
      </c>
      <c r="B6" s="147">
        <v>0.22999999999999998</v>
      </c>
      <c r="C6" s="147">
        <v>0.09</v>
      </c>
      <c r="D6" s="147">
        <v>0.31999999999999995</v>
      </c>
    </row>
    <row r="7" spans="1:4" x14ac:dyDescent="0.3">
      <c r="A7" s="146" t="s">
        <v>199</v>
      </c>
      <c r="B7" s="147">
        <v>0.43</v>
      </c>
      <c r="C7" s="147">
        <v>0.4</v>
      </c>
      <c r="D7" s="147">
        <v>0.83000000000000007</v>
      </c>
    </row>
    <row r="8" spans="1:4" x14ac:dyDescent="0.3">
      <c r="A8" s="146" t="s">
        <v>200</v>
      </c>
      <c r="B8" s="147">
        <v>0.22999999999999998</v>
      </c>
      <c r="C8" s="147">
        <v>0.2</v>
      </c>
      <c r="D8" s="147">
        <v>0.43</v>
      </c>
    </row>
    <row r="9" spans="1:4" x14ac:dyDescent="0.3">
      <c r="A9" s="146" t="s">
        <v>201</v>
      </c>
      <c r="B9" s="147">
        <v>0.26</v>
      </c>
      <c r="C9" s="147">
        <v>0.35</v>
      </c>
      <c r="D9" s="147">
        <v>0.61</v>
      </c>
    </row>
    <row r="10" spans="1:4" x14ac:dyDescent="0.3">
      <c r="A10" s="146" t="s">
        <v>202</v>
      </c>
      <c r="B10" s="147">
        <v>0.55000000000000004</v>
      </c>
      <c r="C10" s="147">
        <v>0.35</v>
      </c>
      <c r="D10" s="147">
        <v>0.9</v>
      </c>
    </row>
    <row r="11" spans="1:4" x14ac:dyDescent="0.3">
      <c r="A11" s="146" t="s">
        <v>203</v>
      </c>
      <c r="B11" s="147">
        <v>0.4</v>
      </c>
      <c r="C11" s="147">
        <v>0.5</v>
      </c>
      <c r="D11" s="147">
        <v>0.9</v>
      </c>
    </row>
    <row r="12" spans="1:4" x14ac:dyDescent="0.3">
      <c r="A12" s="146" t="s">
        <v>193</v>
      </c>
      <c r="B12" s="147">
        <v>2.8299999999999996</v>
      </c>
      <c r="C12" s="147">
        <v>2.14</v>
      </c>
      <c r="D12" s="147">
        <v>4.9700000000000006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EE99-81A7-438D-AA0C-404544A8E6EF}">
  <dimension ref="A3:D12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6.25" bestFit="1" customWidth="1"/>
    <col min="4" max="4" width="7.375" bestFit="1" customWidth="1"/>
  </cols>
  <sheetData>
    <row r="3" spans="1:4" x14ac:dyDescent="0.3">
      <c r="A3" t="s">
        <v>192</v>
      </c>
      <c r="B3" t="s">
        <v>194</v>
      </c>
    </row>
    <row r="4" spans="1:4" x14ac:dyDescent="0.3">
      <c r="A4" t="s">
        <v>191</v>
      </c>
      <c r="B4" t="s">
        <v>195</v>
      </c>
      <c r="C4" t="s">
        <v>196</v>
      </c>
      <c r="D4" t="s">
        <v>193</v>
      </c>
    </row>
    <row r="5" spans="1:4" x14ac:dyDescent="0.3">
      <c r="A5" s="146" t="s">
        <v>197</v>
      </c>
      <c r="B5" s="147">
        <v>0.73</v>
      </c>
      <c r="C5" s="147">
        <v>0.25</v>
      </c>
      <c r="D5" s="147">
        <v>0.98</v>
      </c>
    </row>
    <row r="6" spans="1:4" x14ac:dyDescent="0.3">
      <c r="A6" s="146" t="s">
        <v>198</v>
      </c>
      <c r="B6" s="147">
        <v>0.22999999999999998</v>
      </c>
      <c r="C6" s="147">
        <v>0.09</v>
      </c>
      <c r="D6" s="147">
        <v>0.31999999999999995</v>
      </c>
    </row>
    <row r="7" spans="1:4" x14ac:dyDescent="0.3">
      <c r="A7" s="146" t="s">
        <v>199</v>
      </c>
      <c r="B7" s="147">
        <v>0.43</v>
      </c>
      <c r="C7" s="147">
        <v>0.4</v>
      </c>
      <c r="D7" s="147">
        <v>0.83000000000000007</v>
      </c>
    </row>
    <row r="8" spans="1:4" x14ac:dyDescent="0.3">
      <c r="A8" s="146" t="s">
        <v>200</v>
      </c>
      <c r="B8" s="147">
        <v>0.22999999999999998</v>
      </c>
      <c r="C8" s="147">
        <v>0.2</v>
      </c>
      <c r="D8" s="147">
        <v>0.43</v>
      </c>
    </row>
    <row r="9" spans="1:4" x14ac:dyDescent="0.3">
      <c r="A9" s="146" t="s">
        <v>201</v>
      </c>
      <c r="B9" s="147">
        <v>0.26</v>
      </c>
      <c r="C9" s="147">
        <v>0.35</v>
      </c>
      <c r="D9" s="147">
        <v>0.61</v>
      </c>
    </row>
    <row r="10" spans="1:4" x14ac:dyDescent="0.3">
      <c r="A10" s="146" t="s">
        <v>202</v>
      </c>
      <c r="B10" s="147">
        <v>0.55000000000000004</v>
      </c>
      <c r="C10" s="147">
        <v>0.35</v>
      </c>
      <c r="D10" s="147">
        <v>0.9</v>
      </c>
    </row>
    <row r="11" spans="1:4" x14ac:dyDescent="0.3">
      <c r="A11" s="146" t="s">
        <v>203</v>
      </c>
      <c r="B11" s="147">
        <v>0.4</v>
      </c>
      <c r="C11" s="147">
        <v>0.5</v>
      </c>
      <c r="D11" s="147">
        <v>0.9</v>
      </c>
    </row>
    <row r="12" spans="1:4" x14ac:dyDescent="0.3">
      <c r="A12" s="146" t="s">
        <v>193</v>
      </c>
      <c r="B12" s="147">
        <v>2.8299999999999996</v>
      </c>
      <c r="C12" s="147">
        <v>2.14</v>
      </c>
      <c r="D12" s="147">
        <v>4.9700000000000006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4EC0-CF02-4866-BB6F-7E00590E3E1D}">
  <dimension ref="A3:D12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6.25" bestFit="1" customWidth="1"/>
    <col min="4" max="4" width="7.375" bestFit="1" customWidth="1"/>
  </cols>
  <sheetData>
    <row r="3" spans="1:4" x14ac:dyDescent="0.3">
      <c r="A3" t="s">
        <v>192</v>
      </c>
      <c r="B3" t="s">
        <v>194</v>
      </c>
    </row>
    <row r="4" spans="1:4" x14ac:dyDescent="0.3">
      <c r="A4" t="s">
        <v>191</v>
      </c>
      <c r="B4" t="s">
        <v>195</v>
      </c>
      <c r="C4" t="s">
        <v>196</v>
      </c>
      <c r="D4" t="s">
        <v>193</v>
      </c>
    </row>
    <row r="5" spans="1:4" x14ac:dyDescent="0.3">
      <c r="A5" s="146" t="s">
        <v>197</v>
      </c>
      <c r="B5" s="147">
        <v>0.73</v>
      </c>
      <c r="C5" s="147">
        <v>0.25</v>
      </c>
      <c r="D5" s="147">
        <v>0.98</v>
      </c>
    </row>
    <row r="6" spans="1:4" x14ac:dyDescent="0.3">
      <c r="A6" s="146" t="s">
        <v>198</v>
      </c>
      <c r="B6" s="147">
        <v>0.22999999999999998</v>
      </c>
      <c r="C6" s="147">
        <v>0.09</v>
      </c>
      <c r="D6" s="147">
        <v>0.31999999999999995</v>
      </c>
    </row>
    <row r="7" spans="1:4" x14ac:dyDescent="0.3">
      <c r="A7" s="146" t="s">
        <v>199</v>
      </c>
      <c r="B7" s="147">
        <v>0.43</v>
      </c>
      <c r="C7" s="147">
        <v>0.4</v>
      </c>
      <c r="D7" s="147">
        <v>0.83000000000000007</v>
      </c>
    </row>
    <row r="8" spans="1:4" x14ac:dyDescent="0.3">
      <c r="A8" s="146" t="s">
        <v>200</v>
      </c>
      <c r="B8" s="147">
        <v>0.22999999999999998</v>
      </c>
      <c r="C8" s="147">
        <v>0.2</v>
      </c>
      <c r="D8" s="147">
        <v>0.43</v>
      </c>
    </row>
    <row r="9" spans="1:4" x14ac:dyDescent="0.3">
      <c r="A9" s="146" t="s">
        <v>201</v>
      </c>
      <c r="B9" s="147">
        <v>0.26</v>
      </c>
      <c r="C9" s="147">
        <v>0.35</v>
      </c>
      <c r="D9" s="147">
        <v>0.61</v>
      </c>
    </row>
    <row r="10" spans="1:4" x14ac:dyDescent="0.3">
      <c r="A10" s="146" t="s">
        <v>202</v>
      </c>
      <c r="B10" s="147">
        <v>0.55000000000000004</v>
      </c>
      <c r="C10" s="147">
        <v>0.35</v>
      </c>
      <c r="D10" s="147">
        <v>0.9</v>
      </c>
    </row>
    <row r="11" spans="1:4" x14ac:dyDescent="0.3">
      <c r="A11" s="146" t="s">
        <v>203</v>
      </c>
      <c r="B11" s="147">
        <v>0.4</v>
      </c>
      <c r="C11" s="147">
        <v>0.5</v>
      </c>
      <c r="D11" s="147">
        <v>0.9</v>
      </c>
    </row>
    <row r="12" spans="1:4" x14ac:dyDescent="0.3">
      <c r="A12" s="146" t="s">
        <v>193</v>
      </c>
      <c r="B12" s="147">
        <v>2.8299999999999996</v>
      </c>
      <c r="C12" s="147">
        <v>2.14</v>
      </c>
      <c r="D12" s="147">
        <v>4.9700000000000006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86" t="s">
        <v>157</v>
      </c>
      <c r="B1" s="187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86" t="s">
        <v>158</v>
      </c>
      <c r="B2" s="187"/>
      <c r="C2" s="6">
        <v>4</v>
      </c>
      <c r="D2" s="6">
        <v>3</v>
      </c>
      <c r="E2" s="6">
        <v>2</v>
      </c>
      <c r="F2" s="6">
        <v>1</v>
      </c>
      <c r="N2" t="e">
        <f>VLOOKUP(#REF!,$B$4:$F$9,MATCH(#REF!,$C$3:$F$3,0)+1,TRUE)</f>
        <v>#REF!</v>
      </c>
    </row>
    <row r="3" spans="1:14" ht="16.5" customHeight="1" x14ac:dyDescent="0.3">
      <c r="A3" s="186" t="s">
        <v>159</v>
      </c>
      <c r="B3" s="187"/>
      <c r="C3" s="6" t="s">
        <v>160</v>
      </c>
      <c r="D3" s="6" t="s">
        <v>161</v>
      </c>
      <c r="E3" s="6" t="s">
        <v>162</v>
      </c>
      <c r="F3" s="6" t="s">
        <v>163</v>
      </c>
    </row>
    <row r="4" spans="1:14" x14ac:dyDescent="0.3">
      <c r="A4" s="188" t="s">
        <v>164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89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89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89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89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0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요일별남녀할인율</vt:lpstr>
      <vt:lpstr>화요일할인율</vt:lpstr>
      <vt:lpstr>jj할인율</vt:lpstr>
      <vt:lpstr>0.3이상0.5이하</vt:lpstr>
      <vt:lpstr>합의오름차순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2019-11-28T04:58:45Z</dcterms:modified>
</cp:coreProperties>
</file>