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3차_초교\제3부 엑셀을 이용한 데이터분석\Chap14_피벗테이블\Chap14_피벗테이블_준비파일\"/>
    </mc:Choice>
  </mc:AlternateContent>
  <xr:revisionPtr revIDLastSave="0" documentId="13_ncr:1_{2B05292C-5070-4B5A-9DB1-1F427BE1F6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6" r:id="rId1"/>
    <sheet name="분반1" sheetId="1" r:id="rId2"/>
    <sheet name="학과코드" sheetId="3" r:id="rId3"/>
    <sheet name="정렬예제" sheetId="4" r:id="rId4"/>
  </sheet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4" i="1" l="1"/>
  <c r="AC13" i="1"/>
  <c r="AC11" i="1"/>
  <c r="AB11" i="1"/>
  <c r="T3" i="1" l="1"/>
  <c r="D3" i="1" s="1"/>
  <c r="T4" i="1"/>
  <c r="D4" i="1" s="1"/>
  <c r="T5" i="1"/>
  <c r="D5" i="1" s="1"/>
  <c r="T6" i="1"/>
  <c r="T7" i="1"/>
  <c r="T8" i="1"/>
  <c r="D8" i="1" s="1"/>
  <c r="T9" i="1"/>
  <c r="D9" i="1" s="1"/>
  <c r="T10" i="1"/>
  <c r="D10" i="1" s="1"/>
  <c r="T11" i="1"/>
  <c r="D11" i="1" s="1"/>
  <c r="T12" i="1"/>
  <c r="D12" i="1" s="1"/>
  <c r="T13" i="1"/>
  <c r="D13" i="1" s="1"/>
  <c r="T14" i="1"/>
  <c r="D14" i="1" s="1"/>
  <c r="T15" i="1"/>
  <c r="T16" i="1"/>
  <c r="D16" i="1" s="1"/>
  <c r="T17" i="1"/>
  <c r="D17" i="1" s="1"/>
  <c r="T18" i="1"/>
  <c r="D18" i="1" s="1"/>
  <c r="T19" i="1"/>
  <c r="D19" i="1" s="1"/>
  <c r="T20" i="1"/>
  <c r="D20" i="1" s="1"/>
  <c r="T21" i="1"/>
  <c r="D21" i="1" s="1"/>
  <c r="T22" i="1"/>
  <c r="D22" i="1" s="1"/>
  <c r="T23" i="1"/>
  <c r="D23" i="1" s="1"/>
  <c r="T24" i="1"/>
  <c r="D24" i="1" s="1"/>
  <c r="T25" i="1"/>
  <c r="D25" i="1" s="1"/>
  <c r="T26" i="1"/>
  <c r="D26" i="1" s="1"/>
  <c r="T27" i="1"/>
  <c r="D27" i="1" s="1"/>
  <c r="T28" i="1"/>
  <c r="D28" i="1" s="1"/>
  <c r="T29" i="1"/>
  <c r="D29" i="1" s="1"/>
  <c r="T30" i="1"/>
  <c r="D30" i="1" s="1"/>
  <c r="T31" i="1"/>
  <c r="D31" i="1" s="1"/>
  <c r="T32" i="1"/>
  <c r="D32" i="1" s="1"/>
  <c r="T33" i="1"/>
  <c r="D33" i="1" s="1"/>
  <c r="T34" i="1"/>
  <c r="D34" i="1" s="1"/>
  <c r="T35" i="1"/>
  <c r="D35" i="1" s="1"/>
  <c r="T36" i="1"/>
  <c r="D36" i="1" s="1"/>
  <c r="T37" i="1"/>
  <c r="D37" i="1" s="1"/>
  <c r="T38" i="1"/>
  <c r="D38" i="1" s="1"/>
  <c r="T39" i="1"/>
  <c r="D39" i="1" s="1"/>
  <c r="T40" i="1"/>
  <c r="D40" i="1" s="1"/>
  <c r="T41" i="1"/>
  <c r="D41" i="1" s="1"/>
  <c r="T42" i="1"/>
  <c r="D42" i="1" s="1"/>
  <c r="T43" i="1"/>
  <c r="D43" i="1" s="1"/>
  <c r="T44" i="1"/>
  <c r="D44" i="1" s="1"/>
  <c r="T45" i="1"/>
  <c r="D45" i="1" s="1"/>
  <c r="T46" i="1"/>
  <c r="D46" i="1" s="1"/>
  <c r="T47" i="1"/>
  <c r="D47" i="1" s="1"/>
  <c r="T48" i="1"/>
  <c r="D48" i="1" s="1"/>
  <c r="T49" i="1"/>
  <c r="D49" i="1" s="1"/>
  <c r="T50" i="1"/>
  <c r="D50" i="1" s="1"/>
  <c r="T51" i="1"/>
  <c r="D51" i="1" s="1"/>
  <c r="T52" i="1"/>
  <c r="D52" i="1" s="1"/>
  <c r="T53" i="1"/>
  <c r="D53" i="1" s="1"/>
  <c r="T54" i="1"/>
  <c r="D54" i="1" s="1"/>
  <c r="D6" i="1" l="1"/>
  <c r="D15" i="1"/>
  <c r="AT27" i="1"/>
  <c r="AX27" i="1"/>
  <c r="AT28" i="1"/>
  <c r="AX28" i="1"/>
  <c r="AT29" i="1"/>
  <c r="AX29" i="1"/>
  <c r="AQ27" i="1"/>
  <c r="AU27" i="1"/>
  <c r="AQ28" i="1"/>
  <c r="AU28" i="1"/>
  <c r="AQ29" i="1"/>
  <c r="AU29" i="1"/>
  <c r="AP27" i="1"/>
  <c r="AR27" i="1"/>
  <c r="AV27" i="1"/>
  <c r="AR28" i="1"/>
  <c r="AV28" i="1"/>
  <c r="AR29" i="1"/>
  <c r="AV29" i="1"/>
  <c r="AP29" i="1"/>
  <c r="AS28" i="1"/>
  <c r="AP28" i="1"/>
  <c r="AS15" i="1"/>
  <c r="AW15" i="1"/>
  <c r="AS16" i="1"/>
  <c r="AW16" i="1"/>
  <c r="AS17" i="1"/>
  <c r="AW17" i="1"/>
  <c r="AP15" i="1"/>
  <c r="AS3" i="1"/>
  <c r="AW3" i="1"/>
  <c r="AS4" i="1"/>
  <c r="AW4" i="1"/>
  <c r="AS5" i="1"/>
  <c r="AW5" i="1"/>
  <c r="AP3" i="1"/>
  <c r="AW27" i="1"/>
  <c r="AR16" i="1"/>
  <c r="AW28" i="1"/>
  <c r="AT15" i="1"/>
  <c r="AX15" i="1"/>
  <c r="AT16" i="1"/>
  <c r="AX16" i="1"/>
  <c r="AT17" i="1"/>
  <c r="AX17" i="1"/>
  <c r="AT3" i="1"/>
  <c r="AX3" i="1"/>
  <c r="AT4" i="1"/>
  <c r="AX4" i="1"/>
  <c r="AT5" i="1"/>
  <c r="AX5" i="1"/>
  <c r="AV15" i="1"/>
  <c r="AR17" i="1"/>
  <c r="AS27" i="1"/>
  <c r="AS29" i="1"/>
  <c r="AQ15" i="1"/>
  <c r="AU15" i="1"/>
  <c r="AQ16" i="1"/>
  <c r="AU16" i="1"/>
  <c r="AQ17" i="1"/>
  <c r="AU17" i="1"/>
  <c r="AP17" i="1"/>
  <c r="AQ3" i="1"/>
  <c r="AU3" i="1"/>
  <c r="AQ4" i="1"/>
  <c r="AU4" i="1"/>
  <c r="AQ5" i="1"/>
  <c r="AU5" i="1"/>
  <c r="AP5" i="1"/>
  <c r="AW29" i="1"/>
  <c r="AR15" i="1"/>
  <c r="AV16" i="1"/>
  <c r="AV17" i="1"/>
  <c r="AR4" i="1"/>
  <c r="AP4" i="1"/>
  <c r="AP16" i="1"/>
  <c r="AV4" i="1"/>
  <c r="AV5" i="1"/>
  <c r="AR3" i="1"/>
  <c r="AR5" i="1"/>
  <c r="AV3" i="1"/>
  <c r="D7" i="1"/>
  <c r="AR55" i="1"/>
  <c r="AV55" i="1"/>
  <c r="AQ56" i="1"/>
  <c r="AU56" i="1"/>
  <c r="AP57" i="1"/>
  <c r="AT57" i="1"/>
  <c r="AX57" i="1"/>
  <c r="AS55" i="1"/>
  <c r="AW55" i="1"/>
  <c r="AR56" i="1"/>
  <c r="AV56" i="1"/>
  <c r="AQ57" i="1"/>
  <c r="AU57" i="1"/>
  <c r="AP55" i="1"/>
  <c r="AT55" i="1"/>
  <c r="AX55" i="1"/>
  <c r="AS56" i="1"/>
  <c r="AW56" i="1"/>
  <c r="AR57" i="1"/>
  <c r="AV57" i="1"/>
  <c r="AT56" i="1"/>
  <c r="AQ55" i="1"/>
  <c r="AX56" i="1"/>
  <c r="AP56" i="1"/>
  <c r="AU55" i="1"/>
  <c r="AS57" i="1"/>
  <c r="AW57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T2" i="1"/>
  <c r="S2" i="1"/>
  <c r="U2" i="1" s="1"/>
  <c r="I2" i="1"/>
  <c r="L2" i="1"/>
  <c r="D2" i="1" l="1"/>
  <c r="BL22" i="1"/>
  <c r="BP22" i="1"/>
  <c r="BL23" i="1"/>
  <c r="BP23" i="1"/>
  <c r="BR20" i="1"/>
  <c r="BR17" i="1"/>
  <c r="BR18" i="1"/>
  <c r="BN19" i="1"/>
  <c r="BP16" i="1"/>
  <c r="BP13" i="1"/>
  <c r="BL14" i="1"/>
  <c r="BP14" i="1"/>
  <c r="BL15" i="1"/>
  <c r="BP15" i="1"/>
  <c r="BN12" i="1"/>
  <c r="BR12" i="1"/>
  <c r="BR9" i="1"/>
  <c r="BR10" i="1"/>
  <c r="BN11" i="1"/>
  <c r="BR11" i="1"/>
  <c r="BP8" i="1"/>
  <c r="BL6" i="1"/>
  <c r="BL7" i="1"/>
  <c r="BN4" i="1"/>
  <c r="BR4" i="1"/>
  <c r="BK8" i="1"/>
  <c r="BO22" i="1"/>
  <c r="BQ17" i="1"/>
  <c r="BM19" i="1"/>
  <c r="BO14" i="1"/>
  <c r="BQ12" i="1"/>
  <c r="BQ11" i="1"/>
  <c r="BK7" i="1"/>
  <c r="BQ4" i="1"/>
  <c r="BM21" i="1"/>
  <c r="BQ21" i="1"/>
  <c r="BM22" i="1"/>
  <c r="BM23" i="1"/>
  <c r="BQ23" i="1"/>
  <c r="BO20" i="1"/>
  <c r="BO17" i="1"/>
  <c r="BK18" i="1"/>
  <c r="BO18" i="1"/>
  <c r="BK19" i="1"/>
  <c r="BO19" i="1"/>
  <c r="BM16" i="1"/>
  <c r="BQ16" i="1"/>
  <c r="BQ13" i="1"/>
  <c r="BM15" i="1"/>
  <c r="BO12" i="1"/>
  <c r="BK10" i="1"/>
  <c r="BK11" i="1"/>
  <c r="BM8" i="1"/>
  <c r="BQ8" i="1"/>
  <c r="BQ5" i="1"/>
  <c r="BM6" i="1"/>
  <c r="BM7" i="1"/>
  <c r="BQ7" i="1"/>
  <c r="BO4" i="1"/>
  <c r="BL12" i="1"/>
  <c r="BL4" i="1"/>
  <c r="BK23" i="1"/>
  <c r="BQ20" i="1"/>
  <c r="BO13" i="1"/>
  <c r="BK15" i="1"/>
  <c r="BM12" i="1"/>
  <c r="BQ9" i="1"/>
  <c r="BM11" i="1"/>
  <c r="BM4" i="1"/>
  <c r="BL8" i="1"/>
  <c r="BN21" i="1"/>
  <c r="BR21" i="1"/>
  <c r="BN22" i="1"/>
  <c r="BN23" i="1"/>
  <c r="BR23" i="1"/>
  <c r="BP20" i="1"/>
  <c r="BP17" i="1"/>
  <c r="BL18" i="1"/>
  <c r="BP18" i="1"/>
  <c r="BL19" i="1"/>
  <c r="BP19" i="1"/>
  <c r="BN16" i="1"/>
  <c r="BR16" i="1"/>
  <c r="BR13" i="1"/>
  <c r="BN15" i="1"/>
  <c r="BP12" i="1"/>
  <c r="BL10" i="1"/>
  <c r="BL11" i="1"/>
  <c r="BN8" i="1"/>
  <c r="BR8" i="1"/>
  <c r="BR5" i="1"/>
  <c r="BN6" i="1"/>
  <c r="BN7" i="1"/>
  <c r="BR7" i="1"/>
  <c r="BP4" i="1"/>
  <c r="BK12" i="1"/>
  <c r="BK4" i="1"/>
  <c r="BK22" i="1"/>
  <c r="BO23" i="1"/>
  <c r="BQ18" i="1"/>
  <c r="BO16" i="1"/>
  <c r="BK14" i="1"/>
  <c r="BO15" i="1"/>
  <c r="BQ10" i="1"/>
  <c r="BO8" i="1"/>
  <c r="BK6" i="1"/>
  <c r="BF22" i="1"/>
  <c r="BG7" i="1"/>
  <c r="BF3" i="1"/>
  <c r="BG22" i="1"/>
  <c r="BF7" i="1"/>
  <c r="BG11" i="1"/>
  <c r="BG3" i="1"/>
  <c r="BF1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G3" i="1"/>
  <c r="O3" i="1" s="1"/>
  <c r="G4" i="1"/>
  <c r="G5" i="1"/>
  <c r="O5" i="1" s="1"/>
  <c r="G6" i="1"/>
  <c r="G7" i="1"/>
  <c r="O7" i="1" s="1"/>
  <c r="G8" i="1"/>
  <c r="G9" i="1"/>
  <c r="G10" i="1"/>
  <c r="G11" i="1"/>
  <c r="O11" i="1" s="1"/>
  <c r="G12" i="1"/>
  <c r="G13" i="1"/>
  <c r="O13" i="1" s="1"/>
  <c r="G14" i="1"/>
  <c r="G15" i="1"/>
  <c r="O15" i="1" s="1"/>
  <c r="G16" i="1"/>
  <c r="G17" i="1"/>
  <c r="O17" i="1" s="1"/>
  <c r="G18" i="1"/>
  <c r="G19" i="1"/>
  <c r="O19" i="1" s="1"/>
  <c r="G20" i="1"/>
  <c r="G21" i="1"/>
  <c r="O21" i="1" s="1"/>
  <c r="G22" i="1"/>
  <c r="G23" i="1"/>
  <c r="O23" i="1" s="1"/>
  <c r="G24" i="1"/>
  <c r="G25" i="1"/>
  <c r="O25" i="1" s="1"/>
  <c r="G26" i="1"/>
  <c r="G27" i="1"/>
  <c r="O27" i="1" s="1"/>
  <c r="G28" i="1"/>
  <c r="O28" i="1" s="1"/>
  <c r="G29" i="1"/>
  <c r="O29" i="1" s="1"/>
  <c r="G30" i="1"/>
  <c r="G31" i="1"/>
  <c r="O31" i="1" s="1"/>
  <c r="G32" i="1"/>
  <c r="G33" i="1"/>
  <c r="O33" i="1" s="1"/>
  <c r="G34" i="1"/>
  <c r="G35" i="1"/>
  <c r="O35" i="1" s="1"/>
  <c r="BG15" i="1" s="1"/>
  <c r="G36" i="1"/>
  <c r="O36" i="1" s="1"/>
  <c r="G37" i="1"/>
  <c r="O37" i="1" s="1"/>
  <c r="G38" i="1"/>
  <c r="G39" i="1"/>
  <c r="O39" i="1" s="1"/>
  <c r="BR6" i="1" s="1"/>
  <c r="G40" i="1"/>
  <c r="G41" i="1"/>
  <c r="O41" i="1" s="1"/>
  <c r="G42" i="1"/>
  <c r="G43" i="1"/>
  <c r="O43" i="1" s="1"/>
  <c r="G44" i="1"/>
  <c r="G45" i="1"/>
  <c r="O45" i="1" s="1"/>
  <c r="BM17" i="1" s="1"/>
  <c r="G46" i="1"/>
  <c r="G47" i="1"/>
  <c r="O47" i="1" s="1"/>
  <c r="G48" i="1"/>
  <c r="G49" i="1"/>
  <c r="O49" i="1" s="1"/>
  <c r="BL20" i="1" s="1"/>
  <c r="G50" i="1"/>
  <c r="G51" i="1"/>
  <c r="O51" i="1" s="1"/>
  <c r="G52" i="1"/>
  <c r="G53" i="1"/>
  <c r="O53" i="1" s="1"/>
  <c r="G54" i="1"/>
  <c r="G2" i="1"/>
  <c r="O8" i="1"/>
  <c r="O9" i="1"/>
  <c r="BM13" i="1" l="1"/>
  <c r="BN5" i="1"/>
  <c r="BN17" i="1"/>
  <c r="BM9" i="1"/>
  <c r="BK20" i="1"/>
  <c r="BO9" i="1"/>
  <c r="BP9" i="1"/>
  <c r="BN20" i="1"/>
  <c r="BM20" i="1"/>
  <c r="BF19" i="1"/>
  <c r="BG19" i="1"/>
  <c r="BF15" i="1"/>
  <c r="BL16" i="1"/>
  <c r="BM5" i="1"/>
  <c r="BN9" i="1"/>
  <c r="BN13" i="1"/>
  <c r="BQ6" i="1"/>
  <c r="BK16" i="1"/>
  <c r="O52" i="1"/>
  <c r="O48" i="1"/>
  <c r="O44" i="1"/>
  <c r="O40" i="1"/>
  <c r="O32" i="1"/>
  <c r="O24" i="1"/>
  <c r="O20" i="1"/>
  <c r="O16" i="1"/>
  <c r="O12" i="1"/>
  <c r="O4" i="1"/>
  <c r="O2" i="1"/>
  <c r="O54" i="1"/>
  <c r="O50" i="1"/>
  <c r="BR22" i="1" s="1"/>
  <c r="O46" i="1"/>
  <c r="O42" i="1"/>
  <c r="O38" i="1"/>
  <c r="BL9" i="1" s="1"/>
  <c r="O34" i="1"/>
  <c r="BG6" i="1" s="1"/>
  <c r="O30" i="1"/>
  <c r="O26" i="1"/>
  <c r="O22" i="1"/>
  <c r="O18" i="1"/>
  <c r="O14" i="1"/>
  <c r="O10" i="1"/>
  <c r="O6" i="1"/>
  <c r="BK21" i="1" l="1"/>
  <c r="BL21" i="1"/>
  <c r="BP7" i="1"/>
  <c r="BP21" i="1"/>
  <c r="BF20" i="1"/>
  <c r="BG20" i="1"/>
  <c r="BO21" i="1"/>
  <c r="BO5" i="1"/>
  <c r="BP5" i="1"/>
  <c r="BQ15" i="1"/>
  <c r="BF14" i="1"/>
  <c r="BG14" i="1"/>
  <c r="BR15" i="1"/>
  <c r="BB15" i="1"/>
  <c r="BA15" i="1"/>
  <c r="BF4" i="1"/>
  <c r="BL5" i="1"/>
  <c r="BG4" i="1"/>
  <c r="BK5" i="1"/>
  <c r="BP10" i="1"/>
  <c r="BO10" i="1"/>
  <c r="BO7" i="1"/>
  <c r="BK9" i="1"/>
  <c r="BB14" i="1"/>
  <c r="Q39" i="1"/>
  <c r="BN10" i="1"/>
  <c r="BF9" i="1"/>
  <c r="BM10" i="1"/>
  <c r="BG9" i="1"/>
  <c r="BG10" i="1"/>
  <c r="BP11" i="1"/>
  <c r="BF10" i="1"/>
  <c r="BO11" i="1"/>
  <c r="BG16" i="1"/>
  <c r="BK17" i="1"/>
  <c r="BL17" i="1"/>
  <c r="BF16" i="1"/>
  <c r="BN14" i="1"/>
  <c r="BM14" i="1"/>
  <c r="BG13" i="1"/>
  <c r="BF13" i="1"/>
  <c r="BN18" i="1"/>
  <c r="BM18" i="1"/>
  <c r="BG17" i="1"/>
  <c r="BF17" i="1"/>
  <c r="BF6" i="1"/>
  <c r="BR14" i="1"/>
  <c r="BQ14" i="1"/>
  <c r="BG8" i="1"/>
  <c r="BA14" i="1"/>
  <c r="BF8" i="1"/>
  <c r="BR19" i="1"/>
  <c r="BQ19" i="1"/>
  <c r="BG18" i="1"/>
  <c r="BF18" i="1"/>
  <c r="BG21" i="1"/>
  <c r="BQ22" i="1"/>
  <c r="BK13" i="1"/>
  <c r="BF12" i="1"/>
  <c r="BG12" i="1"/>
  <c r="BL13" i="1"/>
  <c r="BP6" i="1"/>
  <c r="BF5" i="1"/>
  <c r="BG5" i="1"/>
  <c r="BO6" i="1"/>
  <c r="BF21" i="1"/>
  <c r="Q54" i="1"/>
  <c r="P10" i="1"/>
  <c r="Q22" i="1"/>
  <c r="P38" i="1"/>
  <c r="P18" i="1"/>
  <c r="P34" i="1"/>
  <c r="P50" i="1"/>
  <c r="P26" i="1"/>
  <c r="P42" i="1"/>
  <c r="Q14" i="1"/>
  <c r="Q30" i="1"/>
  <c r="Q46" i="1"/>
  <c r="Q21" i="1"/>
  <c r="Q48" i="1"/>
  <c r="Q40" i="1"/>
  <c r="Q32" i="1"/>
  <c r="Q24" i="1"/>
  <c r="Q16" i="1"/>
  <c r="Q8" i="1"/>
  <c r="P54" i="1"/>
  <c r="P46" i="1"/>
  <c r="P30" i="1"/>
  <c r="P22" i="1"/>
  <c r="P14" i="1"/>
  <c r="P6" i="1"/>
  <c r="Q45" i="1"/>
  <c r="Q37" i="1"/>
  <c r="Q29" i="1"/>
  <c r="Q19" i="1"/>
  <c r="Q11" i="1"/>
  <c r="Q3" i="1"/>
  <c r="P53" i="1"/>
  <c r="P45" i="1"/>
  <c r="P37" i="1"/>
  <c r="P29" i="1"/>
  <c r="P21" i="1"/>
  <c r="P13" i="1"/>
  <c r="P3" i="1"/>
  <c r="P2" i="1"/>
  <c r="P52" i="1"/>
  <c r="P36" i="1"/>
  <c r="P20" i="1"/>
  <c r="P4" i="1"/>
  <c r="Q35" i="1"/>
  <c r="Q17" i="1"/>
  <c r="Q53" i="1"/>
  <c r="P43" i="1"/>
  <c r="P35" i="1"/>
  <c r="P27" i="1"/>
  <c r="P11" i="1"/>
  <c r="Q38" i="1"/>
  <c r="Q6" i="1"/>
  <c r="P44" i="1"/>
  <c r="P28" i="1"/>
  <c r="P12" i="1"/>
  <c r="Q43" i="1"/>
  <c r="Q27" i="1"/>
  <c r="Q9" i="1"/>
  <c r="P51" i="1"/>
  <c r="P19" i="1"/>
  <c r="Q52" i="1"/>
  <c r="Q44" i="1"/>
  <c r="Q36" i="1"/>
  <c r="Q28" i="1"/>
  <c r="Q20" i="1"/>
  <c r="Q12" i="1"/>
  <c r="Q4" i="1"/>
  <c r="Q51" i="1"/>
  <c r="Q41" i="1"/>
  <c r="Q33" i="1"/>
  <c r="Q25" i="1"/>
  <c r="Q15" i="1"/>
  <c r="Q7" i="1"/>
  <c r="Q49" i="1"/>
  <c r="P49" i="1"/>
  <c r="P41" i="1"/>
  <c r="P33" i="1"/>
  <c r="P25" i="1"/>
  <c r="P17" i="1"/>
  <c r="P9" i="1"/>
  <c r="P7" i="1"/>
  <c r="Q50" i="1"/>
  <c r="Q42" i="1"/>
  <c r="Q34" i="1"/>
  <c r="Q26" i="1"/>
  <c r="Q18" i="1"/>
  <c r="Q10" i="1"/>
  <c r="P48" i="1"/>
  <c r="P40" i="1"/>
  <c r="P32" i="1"/>
  <c r="P24" i="1"/>
  <c r="P16" i="1"/>
  <c r="P8" i="1"/>
  <c r="Q47" i="1"/>
  <c r="Q31" i="1"/>
  <c r="Q23" i="1"/>
  <c r="Q13" i="1"/>
  <c r="Q5" i="1"/>
  <c r="Q2" i="1"/>
  <c r="P47" i="1"/>
  <c r="P39" i="1"/>
  <c r="P31" i="1"/>
  <c r="P23" i="1"/>
  <c r="P15" i="1"/>
  <c r="P5" i="1"/>
  <c r="V15" i="1" l="1"/>
  <c r="V48" i="1"/>
  <c r="V9" i="1"/>
  <c r="V19" i="1"/>
  <c r="V21" i="1"/>
  <c r="V54" i="1"/>
  <c r="V23" i="1"/>
  <c r="V24" i="1"/>
  <c r="V17" i="1"/>
  <c r="V49" i="1"/>
  <c r="V51" i="1"/>
  <c r="V12" i="1"/>
  <c r="V43" i="1"/>
  <c r="V4" i="1"/>
  <c r="V2" i="1"/>
  <c r="V29" i="1"/>
  <c r="V22" i="1"/>
  <c r="V42" i="1"/>
  <c r="V18" i="1"/>
  <c r="V41" i="1"/>
  <c r="V31" i="1"/>
  <c r="V25" i="1"/>
  <c r="V28" i="1"/>
  <c r="V11" i="1"/>
  <c r="V20" i="1"/>
  <c r="V3" i="1"/>
  <c r="V37" i="1"/>
  <c r="V30" i="1"/>
  <c r="V26" i="1"/>
  <c r="V38" i="1"/>
  <c r="V47" i="1"/>
  <c r="V16" i="1"/>
  <c r="V35" i="1"/>
  <c r="V52" i="1"/>
  <c r="V53" i="1"/>
  <c r="V14" i="1"/>
  <c r="V34" i="1"/>
  <c r="V10" i="1"/>
  <c r="V32" i="1"/>
  <c r="V5" i="1"/>
  <c r="V39" i="1"/>
  <c r="V8" i="1"/>
  <c r="V40" i="1"/>
  <c r="V7" i="1"/>
  <c r="V33" i="1"/>
  <c r="V44" i="1"/>
  <c r="V27" i="1"/>
  <c r="V36" i="1"/>
  <c r="V13" i="1"/>
  <c r="V45" i="1"/>
  <c r="V6" i="1"/>
  <c r="V46" i="1"/>
  <c r="V50" i="1"/>
  <c r="AH4" i="1" l="1"/>
  <c r="AH7" i="1"/>
  <c r="AG6" i="1"/>
  <c r="AG5" i="1"/>
  <c r="AH6" i="1"/>
  <c r="AH3" i="1"/>
  <c r="AF4" i="1"/>
  <c r="AF3" i="1"/>
  <c r="AG7" i="1"/>
  <c r="AF7" i="1"/>
  <c r="AH5" i="1"/>
  <c r="AF6" i="1"/>
  <c r="AF5" i="1"/>
  <c r="AG3" i="1"/>
  <c r="AG4" i="1"/>
  <c r="W25" i="1" l="1"/>
  <c r="W10" i="1"/>
  <c r="W44" i="1"/>
  <c r="W46" i="1"/>
  <c r="W15" i="1"/>
  <c r="W9" i="1"/>
  <c r="W21" i="1"/>
  <c r="W23" i="1"/>
  <c r="W17" i="1"/>
  <c r="W51" i="1"/>
  <c r="W43" i="1"/>
  <c r="W2" i="1"/>
  <c r="W22" i="1"/>
  <c r="W18" i="1"/>
  <c r="W31" i="1"/>
  <c r="W28" i="1"/>
  <c r="W20" i="1"/>
  <c r="W37" i="1"/>
  <c r="W26" i="1"/>
  <c r="W47" i="1"/>
  <c r="W35" i="1"/>
  <c r="W53" i="1"/>
  <c r="W34" i="1"/>
  <c r="W32" i="1"/>
  <c r="W39" i="1"/>
  <c r="W40" i="1"/>
  <c r="W33" i="1"/>
  <c r="W27" i="1"/>
  <c r="W13" i="1"/>
  <c r="W6" i="1"/>
  <c r="W50" i="1"/>
  <c r="W19" i="1"/>
  <c r="W54" i="1"/>
  <c r="W24" i="1"/>
  <c r="W12" i="1"/>
  <c r="W29" i="1"/>
  <c r="W41" i="1"/>
  <c r="W3" i="1"/>
  <c r="W38" i="1"/>
  <c r="W52" i="1"/>
  <c r="W5" i="1"/>
  <c r="W7" i="1"/>
  <c r="W45" i="1"/>
  <c r="W48" i="1"/>
  <c r="W49" i="1"/>
  <c r="W4" i="1"/>
  <c r="W42" i="1"/>
  <c r="W11" i="1"/>
  <c r="W30" i="1"/>
  <c r="W16" i="1"/>
  <c r="W14" i="1"/>
  <c r="W8" i="1"/>
  <c r="W36" i="1"/>
  <c r="BB11" i="1" l="1"/>
  <c r="BB9" i="1"/>
  <c r="BB7" i="1"/>
  <c r="BB5" i="1"/>
  <c r="BB3" i="1"/>
  <c r="BA10" i="1"/>
  <c r="BA4" i="1"/>
  <c r="BA11" i="1"/>
  <c r="BA9" i="1"/>
  <c r="BA7" i="1"/>
  <c r="BA5" i="1"/>
  <c r="BA3" i="1"/>
  <c r="BA6" i="1"/>
  <c r="BB10" i="1"/>
  <c r="BB8" i="1"/>
  <c r="BB6" i="1"/>
  <c r="BB4" i="1"/>
  <c r="BA8" i="1"/>
  <c r="AX7" i="1"/>
  <c r="AQ6" i="1"/>
  <c r="AW7" i="1"/>
  <c r="AP6" i="1"/>
  <c r="AV7" i="1"/>
  <c r="AV6" i="1"/>
  <c r="AU7" i="1"/>
  <c r="AB36" i="1"/>
  <c r="AC31" i="1"/>
  <c r="AC32" i="1"/>
  <c r="AC39" i="1"/>
  <c r="AB33" i="1"/>
  <c r="AC37" i="1"/>
  <c r="AB19" i="1"/>
  <c r="AB20" i="1"/>
  <c r="AB21" i="1"/>
  <c r="AT6" i="1"/>
  <c r="AT8" i="1"/>
  <c r="AB34" i="1"/>
  <c r="AC33" i="1"/>
  <c r="AT7" i="1"/>
  <c r="AS7" i="1"/>
  <c r="AR7" i="1"/>
  <c r="AP8" i="1"/>
  <c r="AQ7" i="1"/>
  <c r="AB38" i="1"/>
  <c r="AC34" i="1"/>
  <c r="AB35" i="1"/>
  <c r="AB23" i="1"/>
  <c r="AB24" i="1"/>
  <c r="AB25" i="1"/>
  <c r="AU6" i="1"/>
  <c r="AR8" i="1"/>
  <c r="AQ8" i="1"/>
  <c r="AX8" i="1"/>
  <c r="AC35" i="1"/>
  <c r="AC38" i="1"/>
  <c r="AB39" i="1"/>
  <c r="AB22" i="1"/>
  <c r="AW8" i="1"/>
  <c r="AP7" i="1"/>
  <c r="AV8" i="1"/>
  <c r="AX6" i="1"/>
  <c r="AU8" i="1"/>
  <c r="AW6" i="1"/>
  <c r="AR6" i="1"/>
  <c r="AB32" i="1"/>
  <c r="AC36" i="1"/>
  <c r="AB31" i="1"/>
  <c r="AB37" i="1"/>
  <c r="AB27" i="1"/>
  <c r="AB26" i="1"/>
  <c r="AS8" i="1"/>
  <c r="AS6" i="1"/>
  <c r="AQ45" i="1"/>
  <c r="AX46" i="1"/>
  <c r="AU46" i="1"/>
  <c r="AV46" i="1"/>
  <c r="AX45" i="1"/>
  <c r="AQ46" i="1"/>
  <c r="AW46" i="1"/>
  <c r="AU45" i="1"/>
  <c r="AS47" i="1"/>
  <c r="AR45" i="1"/>
  <c r="AP47" i="1"/>
  <c r="AS45" i="1"/>
  <c r="AQ47" i="1"/>
  <c r="AV47" i="1"/>
  <c r="AT45" i="1"/>
  <c r="AP46" i="1"/>
  <c r="AW47" i="1"/>
  <c r="AV45" i="1"/>
  <c r="AT47" i="1"/>
  <c r="AW45" i="1"/>
  <c r="AU47" i="1"/>
  <c r="AP45" i="1"/>
  <c r="AR47" i="1"/>
  <c r="AT46" i="1"/>
  <c r="AX47" i="1"/>
  <c r="AR46" i="1"/>
  <c r="AS46" i="1"/>
  <c r="AX42" i="1"/>
  <c r="AV44" i="1"/>
  <c r="AU42" i="1"/>
  <c r="AS44" i="1"/>
  <c r="AR42" i="1"/>
  <c r="AP44" i="1"/>
  <c r="AW42" i="1"/>
  <c r="AR43" i="1"/>
  <c r="AQ44" i="1"/>
  <c r="AH37" i="1"/>
  <c r="AI33" i="1"/>
  <c r="AI34" i="1"/>
  <c r="AH34" i="1"/>
  <c r="AE27" i="1"/>
  <c r="AT42" i="1"/>
  <c r="AQ42" i="1"/>
  <c r="AH32" i="1"/>
  <c r="AE24" i="1"/>
  <c r="AS43" i="1"/>
  <c r="AP43" i="1"/>
  <c r="AW44" i="1"/>
  <c r="AV42" i="1"/>
  <c r="AT44" i="1"/>
  <c r="AU44" i="1"/>
  <c r="AH39" i="1"/>
  <c r="AI32" i="1"/>
  <c r="AI35" i="1"/>
  <c r="AI31" i="1"/>
  <c r="AH36" i="1"/>
  <c r="AE23" i="1"/>
  <c r="AX43" i="1"/>
  <c r="AU43" i="1"/>
  <c r="AH35" i="1"/>
  <c r="AP42" i="1"/>
  <c r="AW43" i="1"/>
  <c r="AT43" i="1"/>
  <c r="AQ43" i="1"/>
  <c r="AX44" i="1"/>
  <c r="AS42" i="1"/>
  <c r="AH33" i="1"/>
  <c r="AI38" i="1"/>
  <c r="AI37" i="1"/>
  <c r="AI36" i="1"/>
  <c r="AH38" i="1"/>
  <c r="AE20" i="1"/>
  <c r="AE21" i="1"/>
  <c r="AE19" i="1"/>
  <c r="AE22" i="1"/>
  <c r="AR44" i="1"/>
  <c r="AV43" i="1"/>
  <c r="AH31" i="1"/>
  <c r="AI39" i="1"/>
  <c r="AE25" i="1"/>
  <c r="AE26" i="1"/>
  <c r="AV36" i="1"/>
  <c r="AT38" i="1"/>
  <c r="AR37" i="1"/>
  <c r="AX36" i="1"/>
  <c r="AV38" i="1"/>
  <c r="AU36" i="1"/>
  <c r="AQ37" i="1"/>
  <c r="AX38" i="1"/>
  <c r="AV37" i="1"/>
  <c r="AS37" i="1"/>
  <c r="AS38" i="1"/>
  <c r="AQ36" i="1"/>
  <c r="AU37" i="1"/>
  <c r="AS36" i="1"/>
  <c r="AQ38" i="1"/>
  <c r="AP36" i="1"/>
  <c r="AW37" i="1"/>
  <c r="AP37" i="1"/>
  <c r="AT37" i="1"/>
  <c r="AX37" i="1"/>
  <c r="AR36" i="1"/>
  <c r="AT36" i="1"/>
  <c r="AU38" i="1"/>
  <c r="AW38" i="1"/>
  <c r="AP38" i="1"/>
  <c r="AW36" i="1"/>
  <c r="AR38" i="1"/>
  <c r="AP25" i="1"/>
  <c r="AW26" i="1"/>
  <c r="AS25" i="1"/>
  <c r="AR24" i="1"/>
  <c r="AP26" i="1"/>
  <c r="AX24" i="1"/>
  <c r="AW24" i="1"/>
  <c r="AU26" i="1"/>
  <c r="AW25" i="1"/>
  <c r="AT25" i="1"/>
  <c r="AV26" i="1"/>
  <c r="AV24" i="1"/>
  <c r="AT26" i="1"/>
  <c r="AR26" i="1"/>
  <c r="AR25" i="1"/>
  <c r="AQ24" i="1"/>
  <c r="AX25" i="1"/>
  <c r="AQ25" i="1"/>
  <c r="AX26" i="1"/>
  <c r="AV25" i="1"/>
  <c r="AP24" i="1"/>
  <c r="AU25" i="1"/>
  <c r="AQ26" i="1"/>
  <c r="AT24" i="1"/>
  <c r="AS24" i="1"/>
  <c r="AU24" i="1"/>
  <c r="AS26" i="1"/>
  <c r="AS31" i="1"/>
  <c r="AP31" i="1"/>
  <c r="AW32" i="1"/>
  <c r="AV30" i="1"/>
  <c r="AT32" i="1"/>
  <c r="AS30" i="1"/>
  <c r="AF34" i="1"/>
  <c r="AG38" i="1"/>
  <c r="AF39" i="1"/>
  <c r="AD25" i="1"/>
  <c r="AD26" i="1"/>
  <c r="AD24" i="1"/>
  <c r="AD27" i="1"/>
  <c r="AV32" i="1"/>
  <c r="AS32" i="1"/>
  <c r="AP32" i="1"/>
  <c r="AG36" i="1"/>
  <c r="AF37" i="1"/>
  <c r="AD22" i="1"/>
  <c r="AP30" i="1"/>
  <c r="AW31" i="1"/>
  <c r="AT31" i="1"/>
  <c r="AQ31" i="1"/>
  <c r="AX32" i="1"/>
  <c r="AV31" i="1"/>
  <c r="AQ32" i="1"/>
  <c r="AW30" i="1"/>
  <c r="AF36" i="1"/>
  <c r="AG37" i="1"/>
  <c r="AG32" i="1"/>
  <c r="AG35" i="1"/>
  <c r="AG31" i="1"/>
  <c r="AF33" i="1"/>
  <c r="AG33" i="1"/>
  <c r="AD20" i="1"/>
  <c r="AX30" i="1"/>
  <c r="AU32" i="1"/>
  <c r="AD23" i="1"/>
  <c r="AT30" i="1"/>
  <c r="AR32" i="1"/>
  <c r="AQ30" i="1"/>
  <c r="AX31" i="1"/>
  <c r="AU31" i="1"/>
  <c r="AR31" i="1"/>
  <c r="AF38" i="1"/>
  <c r="AG34" i="1"/>
  <c r="AF35" i="1"/>
  <c r="AF31" i="1"/>
  <c r="AG39" i="1"/>
  <c r="AD19" i="1"/>
  <c r="AU30" i="1"/>
  <c r="AR30" i="1"/>
  <c r="AF32" i="1"/>
  <c r="AD21" i="1"/>
  <c r="AR13" i="1"/>
  <c r="AT14" i="1"/>
  <c r="AV12" i="1"/>
  <c r="AT13" i="1"/>
  <c r="AR14" i="1"/>
  <c r="AP12" i="1"/>
  <c r="AX12" i="1"/>
  <c r="AU14" i="1"/>
  <c r="AW12" i="1"/>
  <c r="AP14" i="1"/>
  <c r="AR12" i="1"/>
  <c r="AW14" i="1"/>
  <c r="AP13" i="1"/>
  <c r="AW13" i="1"/>
  <c r="AV14" i="1"/>
  <c r="AQ14" i="1"/>
  <c r="AS12" i="1"/>
  <c r="AU13" i="1"/>
  <c r="AS14" i="1"/>
  <c r="AU12" i="1"/>
  <c r="AX14" i="1"/>
  <c r="AX13" i="1"/>
  <c r="AS13" i="1"/>
  <c r="AQ13" i="1"/>
  <c r="AV13" i="1"/>
  <c r="AQ12" i="1"/>
  <c r="AT12" i="1"/>
  <c r="AU10" i="1"/>
  <c r="AT10" i="1"/>
  <c r="AV11" i="1"/>
  <c r="AX9" i="1"/>
  <c r="AU11" i="1"/>
  <c r="AP11" i="1"/>
  <c r="AS9" i="1"/>
  <c r="AX11" i="1"/>
  <c r="AQ10" i="1"/>
  <c r="AW11" i="1"/>
  <c r="AP10" i="1"/>
  <c r="AR11" i="1"/>
  <c r="AT9" i="1"/>
  <c r="AW9" i="1"/>
  <c r="AR9" i="1"/>
  <c r="AX10" i="1"/>
  <c r="AV10" i="1"/>
  <c r="AT11" i="1"/>
  <c r="AV9" i="1"/>
  <c r="AS11" i="1"/>
  <c r="AU9" i="1"/>
  <c r="AW10" i="1"/>
  <c r="AP9" i="1"/>
  <c r="AR10" i="1"/>
  <c r="AQ11" i="1"/>
  <c r="AQ9" i="1"/>
  <c r="AS10" i="1"/>
  <c r="AX21" i="1"/>
  <c r="AV23" i="1"/>
  <c r="AV22" i="1"/>
  <c r="AP22" i="1"/>
  <c r="AW23" i="1"/>
  <c r="AU22" i="1"/>
  <c r="AW21" i="1"/>
  <c r="AT21" i="1"/>
  <c r="AX23" i="1"/>
  <c r="AS22" i="1"/>
  <c r="AT22" i="1"/>
  <c r="AR22" i="1"/>
  <c r="AR21" i="1"/>
  <c r="AP23" i="1"/>
  <c r="AQ23" i="1"/>
  <c r="AR23" i="1"/>
  <c r="AU21" i="1"/>
  <c r="AP21" i="1"/>
  <c r="AW22" i="1"/>
  <c r="AQ21" i="1"/>
  <c r="AX22" i="1"/>
  <c r="AU23" i="1"/>
  <c r="AV21" i="1"/>
  <c r="AT23" i="1"/>
  <c r="AS21" i="1"/>
  <c r="AS23" i="1"/>
  <c r="AQ22" i="1"/>
  <c r="AR48" i="1"/>
  <c r="AP50" i="1"/>
  <c r="AS48" i="1"/>
  <c r="AQ50" i="1"/>
  <c r="AT48" i="1"/>
  <c r="AR50" i="1"/>
  <c r="AU48" i="1"/>
  <c r="AP49" i="1"/>
  <c r="AV48" i="1"/>
  <c r="AT50" i="1"/>
  <c r="AW48" i="1"/>
  <c r="AU50" i="1"/>
  <c r="AX48" i="1"/>
  <c r="AV50" i="1"/>
  <c r="AS50" i="1"/>
  <c r="AW50" i="1"/>
  <c r="AT49" i="1"/>
  <c r="AQ49" i="1"/>
  <c r="AX50" i="1"/>
  <c r="AR49" i="1"/>
  <c r="AS49" i="1"/>
  <c r="AQ48" i="1"/>
  <c r="AU49" i="1"/>
  <c r="AW49" i="1"/>
  <c r="AX49" i="1"/>
  <c r="AP48" i="1"/>
  <c r="AV49" i="1"/>
  <c r="AJ32" i="1"/>
  <c r="AK36" i="1"/>
  <c r="AJ37" i="1"/>
  <c r="AJ38" i="1"/>
  <c r="AK39" i="1"/>
  <c r="AK31" i="1"/>
  <c r="AJ34" i="1"/>
  <c r="AK38" i="1"/>
  <c r="AJ39" i="1"/>
  <c r="AF19" i="1"/>
  <c r="AF20" i="1"/>
  <c r="AF26" i="1"/>
  <c r="AF21" i="1"/>
  <c r="AF25" i="1"/>
  <c r="AK37" i="1"/>
  <c r="AK35" i="1"/>
  <c r="AJ36" i="1"/>
  <c r="AK33" i="1"/>
  <c r="AK32" i="1"/>
  <c r="AJ33" i="1"/>
  <c r="AF23" i="1"/>
  <c r="AF24" i="1"/>
  <c r="AF22" i="1"/>
  <c r="AK34" i="1"/>
  <c r="AJ35" i="1"/>
  <c r="AJ31" i="1"/>
  <c r="AF27" i="1"/>
  <c r="AT54" i="1"/>
  <c r="AQ54" i="1"/>
  <c r="AX54" i="1"/>
  <c r="AU54" i="1"/>
  <c r="AR54" i="1"/>
  <c r="AP54" i="1"/>
  <c r="AV54" i="1"/>
  <c r="AS54" i="1"/>
  <c r="AW54" i="1"/>
  <c r="AU33" i="1"/>
  <c r="AS35" i="1"/>
  <c r="AR33" i="1"/>
  <c r="AP35" i="1"/>
  <c r="AW33" i="1"/>
  <c r="AU35" i="1"/>
  <c r="AP33" i="1"/>
  <c r="AT33" i="1"/>
  <c r="AV35" i="1"/>
  <c r="AX34" i="1"/>
  <c r="AS33" i="1"/>
  <c r="AP34" i="1"/>
  <c r="AW35" i="1"/>
  <c r="AV33" i="1"/>
  <c r="AT35" i="1"/>
  <c r="AR34" i="1"/>
  <c r="AW34" i="1"/>
  <c r="AR35" i="1"/>
  <c r="AQ33" i="1"/>
  <c r="AU34" i="1"/>
  <c r="AQ35" i="1"/>
  <c r="AX33" i="1"/>
  <c r="AT34" i="1"/>
  <c r="AQ34" i="1"/>
  <c r="AX35" i="1"/>
  <c r="AV34" i="1"/>
  <c r="AS34" i="1"/>
  <c r="AP18" i="1"/>
  <c r="AT19" i="1"/>
  <c r="AQ19" i="1"/>
  <c r="AQ20" i="1"/>
  <c r="AR20" i="1"/>
  <c r="AR19" i="1"/>
  <c r="AS20" i="1"/>
  <c r="AD39" i="1"/>
  <c r="AE36" i="1"/>
  <c r="AE35" i="1"/>
  <c r="AE31" i="1"/>
  <c r="AD36" i="1"/>
  <c r="AE32" i="1"/>
  <c r="AC22" i="1"/>
  <c r="AC21" i="1"/>
  <c r="AC23" i="1"/>
  <c r="AC24" i="1"/>
  <c r="AV19" i="1"/>
  <c r="AX19" i="1"/>
  <c r="AC20" i="1"/>
  <c r="AC25" i="1"/>
  <c r="AT18" i="1"/>
  <c r="AQ18" i="1"/>
  <c r="AU19" i="1"/>
  <c r="AU20" i="1"/>
  <c r="AP20" i="1"/>
  <c r="AV20" i="1"/>
  <c r="AX20" i="1"/>
  <c r="AW20" i="1"/>
  <c r="AD33" i="1"/>
  <c r="AE37" i="1"/>
  <c r="AD38" i="1"/>
  <c r="AE38" i="1"/>
  <c r="AC26" i="1"/>
  <c r="AC27" i="1"/>
  <c r="AS19" i="1"/>
  <c r="AP19" i="1"/>
  <c r="AE33" i="1"/>
  <c r="AD34" i="1"/>
  <c r="AC19" i="1"/>
  <c r="AX18" i="1"/>
  <c r="AU18" i="1"/>
  <c r="AR18" i="1"/>
  <c r="AS18" i="1"/>
  <c r="AW18" i="1"/>
  <c r="AT20" i="1"/>
  <c r="AD35" i="1"/>
  <c r="AD31" i="1"/>
  <c r="AE39" i="1"/>
  <c r="AD32" i="1"/>
  <c r="AE34" i="1"/>
  <c r="AV18" i="1"/>
  <c r="AW19" i="1"/>
  <c r="AD37" i="1"/>
  <c r="AX39" i="1"/>
  <c r="AX41" i="1"/>
  <c r="AQ40" i="1"/>
  <c r="AP41" i="1"/>
  <c r="AV39" i="1"/>
  <c r="AV41" i="1"/>
  <c r="AW41" i="1"/>
  <c r="AP39" i="1"/>
  <c r="AU41" i="1"/>
  <c r="AR41" i="1"/>
  <c r="AW39" i="1"/>
  <c r="AT40" i="1"/>
  <c r="AU40" i="1"/>
  <c r="AR40" i="1"/>
  <c r="AP40" i="1"/>
  <c r="AT39" i="1"/>
  <c r="AU39" i="1"/>
  <c r="AX40" i="1"/>
  <c r="AQ39" i="1"/>
  <c r="AQ41" i="1"/>
  <c r="AV40" i="1"/>
  <c r="AS41" i="1"/>
  <c r="AS39" i="1"/>
  <c r="AT41" i="1"/>
  <c r="AR39" i="1"/>
  <c r="AS40" i="1"/>
  <c r="AW40" i="1"/>
  <c r="AX52" i="1"/>
  <c r="AU51" i="1"/>
  <c r="AU53" i="1"/>
  <c r="AR51" i="1"/>
  <c r="AR53" i="1"/>
  <c r="AV52" i="1"/>
  <c r="AT51" i="1"/>
  <c r="AT53" i="1"/>
  <c r="AQ52" i="1"/>
  <c r="AP52" i="1"/>
  <c r="AV51" i="1"/>
  <c r="AV53" i="1"/>
  <c r="AS51" i="1"/>
  <c r="AW52" i="1"/>
  <c r="AW51" i="1"/>
  <c r="AS52" i="1"/>
  <c r="AQ51" i="1"/>
  <c r="AX51" i="1"/>
  <c r="AX53" i="1"/>
  <c r="AU52" i="1"/>
  <c r="AR52" i="1"/>
  <c r="AP53" i="1"/>
  <c r="AS53" i="1"/>
  <c r="AW53" i="1"/>
  <c r="AP51" i="1"/>
  <c r="AT52" i="1"/>
  <c r="AQ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<sst xmlns="http://schemas.openxmlformats.org/spreadsheetml/2006/main" count="268" uniqueCount="152">
  <si>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</si>
  <si>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</si>
  <si>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</si>
  <si>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</si>
  <si>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</si>
  <si>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</si>
  <si>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</si>
  <si>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</si>
  <si>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</si>
  <si>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</si>
  <si>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</si>
  <si>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</si>
  <si>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</si>
  <si>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</si>
  <si>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</si>
  <si>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</si>
  <si>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</si>
  <si>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</si>
  <si>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</si>
  <si>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</si>
  <si>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</si>
  <si>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</si>
  <si>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</si>
  <si>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</si>
  <si>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</si>
  <si>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</si>
  <si>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</si>
  <si>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</si>
  <si>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</si>
  <si>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</si>
  <si>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</si>
  <si>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</si>
  <si>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</si>
  <si>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</si>
  <si>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</si>
  <si>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</si>
  <si>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</si>
  <si>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</si>
  <si>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</si>
  <si>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</si>
  <si>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</si>
  <si>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</si>
  <si>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</si>
  <si>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</si>
  <si>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</si>
  <si>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</si>
  <si>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</si>
  <si>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</si>
  <si>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</si>
  <si>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</si>
  <si>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</si>
  <si>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</si>
  <si>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</si>
  <si>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</si>
  <si>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</si>
  <si>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</si>
  <si>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</si>
  <si>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</si>
  <si>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</si>
  <si>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</si>
  <si>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</si>
  <si>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</si>
  <si>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</si>
  <si>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</si>
  <si>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</si>
  <si>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</si>
  <si>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</si>
  <si>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</si>
  <si>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</si>
  <si>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</si>
  <si>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</si>
  <si>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</si>
  <si>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</si>
  <si>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</si>
  <si>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</si>
  <si>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</si>
  <si>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</si>
  <si>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</si>
  <si>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</si>
  <si>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</si>
  <si>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</si>
  <si>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</si>
  <si>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</si>
  <si>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</si>
  <si>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</si>
  <si>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</si>
  <si>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</si>
  <si>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</si>
  <si>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</si>
  <si>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</si>
  <si>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</si>
  <si>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</si>
  <si>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</si>
  <si>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</si>
  <si>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</si>
  <si>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</si>
  <si>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</si>
  <si>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F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</si>
  <si>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</si>
  <si>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</si>
  <si>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</si>
  <si>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</si>
  <si>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</si>
  <si>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</si>
  <si>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</si>
  <si>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</si>
  <si>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</si>
  <si>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</si>
  <si>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</si>
  <si>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</si>
  <si>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</si>
  <si>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 xml:space="preserve">        학과
학점</t>
    <phoneticPr fontId="18" type="noConversion"/>
  </si>
  <si>
    <t>합</t>
    <phoneticPr fontId="18" type="noConversion"/>
  </si>
  <si>
    <t>평균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</si>
  <si>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</si>
  <si>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</si>
  <si>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</si>
  <si>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</si>
  <si>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</si>
  <si>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</si>
  <si>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</si>
  <si>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</si>
  <si>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F</t>
    <phoneticPr fontId="18" type="noConversion"/>
  </si>
  <si>
    <t>인원수</t>
    <phoneticPr fontId="18" type="noConversion"/>
  </si>
  <si>
    <t>합</t>
    <phoneticPr fontId="18" type="noConversion"/>
  </si>
  <si>
    <t>평균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</si>
  <si>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</si>
  <si>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</si>
  <si>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</si>
  <si>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</si>
  <si>
    <t>데이터1</t>
    <phoneticPr fontId="18" type="noConversion"/>
  </si>
  <si>
    <t>데이터2</t>
    <phoneticPr fontId="18" type="noConversion"/>
  </si>
  <si>
    <t>사과</t>
    <phoneticPr fontId="18" type="noConversion"/>
  </si>
  <si>
    <t>포도</t>
    <phoneticPr fontId="18" type="noConversion"/>
  </si>
  <si>
    <t>딸기</t>
    <phoneticPr fontId="18" type="noConversion"/>
  </si>
  <si>
    <t>수박</t>
    <phoneticPr fontId="18" type="noConversion"/>
  </si>
  <si>
    <t>오렌지</t>
    <phoneticPr fontId="18" type="noConversion"/>
  </si>
  <si>
    <t>토마토</t>
    <phoneticPr fontId="18" type="noConversion"/>
  </si>
  <si>
    <t>배</t>
    <phoneticPr fontId="18" type="noConversion"/>
  </si>
  <si>
    <t>복숭아</t>
    <phoneticPr fontId="18" type="noConversion"/>
  </si>
  <si>
    <t>자두</t>
    <phoneticPr fontId="18" type="noConversion"/>
  </si>
  <si>
    <t>행 레이블</t>
  </si>
  <si>
    <t>게임학과</t>
  </si>
  <si>
    <t>보안학과</t>
  </si>
  <si>
    <t>전자학과</t>
  </si>
  <si>
    <t>컴퓨터학과</t>
  </si>
  <si>
    <t>통신학과</t>
  </si>
  <si>
    <t>총합계</t>
  </si>
  <si>
    <t>합계 : 중간합200</t>
  </si>
  <si>
    <t>합계 : 기말합110</t>
  </si>
  <si>
    <t>합계 : 퀴즈1합110</t>
  </si>
  <si>
    <t>입학연도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</si>
</sst>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 diagonalDown="1">
      <left style="double">
        <color auto="1"/>
      </left>
      <right/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/>
      <top/>
      <bottom style="double">
        <color auto="1"/>
      </bottom>
      <diagonal style="thin">
        <color auto="1"/>
      </diagonal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8">
    <xf numFmtId="0" fontId="0" fillId="0" borderId="0" xfId="0">
      <alignment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23" fillId="33" borderId="27" xfId="0" applyFont="1" applyFill="1" applyBorder="1" applyAlignment="1">
      <alignment horizontal="center" vertical="center"/>
    </xf>
    <xf numFmtId="0" fontId="23" fillId="33" borderId="30" xfId="0" applyFont="1" applyFill="1" applyBorder="1" applyAlignment="1">
      <alignment horizontal="center" vertical="center"/>
    </xf>
    <xf numFmtId="49" fontId="23" fillId="33" borderId="31" xfId="0" applyNumberFormat="1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20" fillId="33" borderId="38" xfId="0" applyFont="1" applyFill="1" applyBorder="1" applyAlignment="1">
      <alignment horizontal="center" vertical="center"/>
    </xf>
    <xf numFmtId="0" fontId="20" fillId="33" borderId="35" xfId="0" applyFont="1" applyFill="1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0" fillId="33" borderId="41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27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5" borderId="26" xfId="0" applyFont="1" applyFill="1" applyBorder="1" applyAlignment="1">
      <alignment horizontal="center" vertical="center"/>
    </xf>
    <xf numFmtId="0" fontId="20" fillId="35" borderId="26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3" fillId="35" borderId="29" xfId="0" applyFont="1" applyFill="1" applyBorder="1" applyAlignment="1">
      <alignment horizontal="center" vertical="center"/>
    </xf>
    <xf numFmtId="0" fontId="20" fillId="35" borderId="29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28" xfId="0" applyFont="1" applyFill="1" applyBorder="1" applyAlignment="1">
      <alignment horizontal="center" vertical="center"/>
    </xf>
    <xf numFmtId="0" fontId="23" fillId="35" borderId="53" xfId="0" applyFont="1" applyFill="1" applyBorder="1" applyAlignment="1">
      <alignment horizontal="center" vertical="center"/>
    </xf>
    <xf numFmtId="0" fontId="23" fillId="35" borderId="54" xfId="0" applyFont="1" applyFill="1" applyBorder="1" applyAlignment="1">
      <alignment horizontal="center" vertical="center"/>
    </xf>
    <xf numFmtId="0" fontId="23" fillId="35" borderId="52" xfId="0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3" fillId="35" borderId="27" xfId="0" applyFont="1" applyFill="1" applyBorder="1" applyAlignment="1">
      <alignment horizontal="center" vertical="center"/>
    </xf>
    <xf numFmtId="0" fontId="23" fillId="35" borderId="35" xfId="0" applyFont="1" applyFill="1" applyBorder="1" applyAlignment="1">
      <alignment horizontal="center" vertical="center"/>
    </xf>
    <xf numFmtId="0" fontId="23" fillId="35" borderId="55" xfId="0" applyFont="1" applyFill="1" applyBorder="1" applyAlignment="1">
      <alignment horizontal="center" vertical="center"/>
    </xf>
    <xf numFmtId="0" fontId="23" fillId="35" borderId="56" xfId="0" applyFont="1" applyFill="1" applyBorder="1" applyAlignment="1">
      <alignment horizontal="center" vertical="center"/>
    </xf>
    <xf numFmtId="0" fontId="23" fillId="35" borderId="43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30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3" fillId="35" borderId="32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3" fillId="35" borderId="64" xfId="0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3" fillId="35" borderId="6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31" xfId="0" applyFont="1" applyFill="1" applyBorder="1" applyAlignment="1">
      <alignment horizontal="center" vertical="center"/>
    </xf>
    <xf numFmtId="0" fontId="20" fillId="36" borderId="27" xfId="0" applyFont="1" applyFill="1" applyBorder="1" applyAlignment="1">
      <alignment horizontal="center" vertical="center"/>
    </xf>
    <xf numFmtId="0" fontId="20" fillId="36" borderId="66" xfId="0" applyFont="1" applyFill="1" applyBorder="1" applyAlignment="1">
      <alignment horizontal="center" vertical="center"/>
    </xf>
    <xf numFmtId="0" fontId="20" fillId="36" borderId="67" xfId="0" applyFont="1" applyFill="1" applyBorder="1" applyAlignment="1">
      <alignment horizontal="center" vertical="center"/>
    </xf>
    <xf numFmtId="0" fontId="20" fillId="36" borderId="36" xfId="0" applyFont="1" applyFill="1" applyBorder="1" applyAlignment="1">
      <alignment horizontal="center" vertical="center"/>
    </xf>
    <xf numFmtId="0" fontId="20" fillId="36" borderId="37" xfId="0" applyFont="1" applyFill="1" applyBorder="1" applyAlignment="1">
      <alignment horizontal="center" vertical="center"/>
    </xf>
    <xf numFmtId="0" fontId="20" fillId="36" borderId="76" xfId="0" applyFont="1" applyFill="1" applyBorder="1" applyAlignment="1">
      <alignment horizontal="center" vertical="center"/>
    </xf>
    <xf numFmtId="0" fontId="20" fillId="36" borderId="77" xfId="0" applyFont="1" applyFill="1" applyBorder="1" applyAlignment="1">
      <alignment horizontal="center" vertical="center"/>
    </xf>
    <xf numFmtId="0" fontId="20" fillId="36" borderId="78" xfId="0" applyFont="1" applyFill="1" applyBorder="1" applyAlignment="1">
      <alignment horizontal="center" vertical="center"/>
    </xf>
    <xf numFmtId="0" fontId="20" fillId="36" borderId="79" xfId="0" applyFont="1" applyFill="1" applyBorder="1" applyAlignment="1">
      <alignment horizontal="center" vertical="center"/>
    </xf>
    <xf numFmtId="0" fontId="20" fillId="36" borderId="80" xfId="0" applyFont="1" applyFill="1" applyBorder="1" applyAlignment="1">
      <alignment horizontal="center" vertical="center"/>
    </xf>
    <xf numFmtId="0" fontId="20" fillId="36" borderId="81" xfId="0" applyFont="1" applyFill="1" applyBorder="1" applyAlignment="1">
      <alignment horizontal="center" vertical="center"/>
    </xf>
    <xf numFmtId="0" fontId="20" fillId="36" borderId="82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6" borderId="101" xfId="0" applyFont="1" applyFill="1" applyBorder="1" applyAlignment="1">
      <alignment horizontal="center" vertical="center"/>
    </xf>
    <xf numFmtId="0" fontId="20" fillId="36" borderId="10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5" borderId="34" xfId="0" applyFont="1" applyFill="1" applyBorder="1" applyAlignment="1">
      <alignment horizontal="center" vertical="center"/>
    </xf>
    <xf numFmtId="0" fontId="20" fillId="35" borderId="37" xfId="0" applyFont="1" applyFill="1" applyBorder="1" applyAlignment="1">
      <alignment horizontal="center" vertical="center"/>
    </xf>
    <xf numFmtId="0" fontId="20" fillId="35" borderId="36" xfId="0" applyFont="1" applyFill="1" applyBorder="1" applyAlignment="1">
      <alignment horizontal="center" vertical="center"/>
    </xf>
    <xf numFmtId="0" fontId="20" fillId="35" borderId="40" xfId="0" applyFont="1" applyFill="1" applyBorder="1" applyAlignment="1">
      <alignment horizontal="center" vertical="center"/>
    </xf>
    <xf numFmtId="0" fontId="20" fillId="35" borderId="38" xfId="0" applyFont="1" applyFill="1" applyBorder="1" applyAlignment="1">
      <alignment horizontal="center" vertical="center"/>
    </xf>
    <xf numFmtId="0" fontId="20" fillId="35" borderId="35" xfId="0" applyFont="1" applyFill="1" applyBorder="1" applyAlignment="1">
      <alignment horizontal="center" vertical="center"/>
    </xf>
    <xf numFmtId="0" fontId="20" fillId="35" borderId="39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33" xfId="0" applyFont="1" applyFill="1" applyBorder="1" applyAlignment="1">
      <alignment horizontal="center" vertical="center"/>
    </xf>
    <xf numFmtId="0" fontId="20" fillId="35" borderId="32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104" xfId="0" applyFont="1" applyFill="1" applyBorder="1" applyAlignment="1">
      <alignment horizontal="center" vertical="center"/>
    </xf>
    <xf numFmtId="0" fontId="20" fillId="35" borderId="105" xfId="0" applyFont="1" applyFill="1" applyBorder="1" applyAlignment="1">
      <alignment horizontal="center" vertical="center"/>
    </xf>
    <xf numFmtId="0" fontId="20" fillId="35" borderId="106" xfId="0" applyFont="1" applyFill="1" applyBorder="1" applyAlignment="1">
      <alignment horizontal="center" vertical="center"/>
    </xf>
    <xf numFmtId="0" fontId="20" fillId="35" borderId="107" xfId="0" applyFont="1" applyFill="1" applyBorder="1" applyAlignment="1">
      <alignment horizontal="center" vertical="center"/>
    </xf>
    <xf numFmtId="0" fontId="20" fillId="35" borderId="108" xfId="0" applyFont="1" applyFill="1" applyBorder="1" applyAlignment="1">
      <alignment horizontal="center" vertical="center"/>
    </xf>
    <xf numFmtId="0" fontId="20" fillId="35" borderId="103" xfId="0" applyFont="1" applyFill="1" applyBorder="1" applyAlignment="1">
      <alignment horizontal="center" vertical="center"/>
    </xf>
    <xf numFmtId="0" fontId="20" fillId="35" borderId="42" xfId="0" applyFont="1" applyFill="1" applyBorder="1" applyAlignment="1">
      <alignment horizontal="center" vertical="center"/>
    </xf>
    <xf numFmtId="0" fontId="20" fillId="35" borderId="111" xfId="0" applyFont="1" applyFill="1" applyBorder="1" applyAlignment="1">
      <alignment horizontal="center" vertical="center"/>
    </xf>
    <xf numFmtId="0" fontId="20" fillId="35" borderId="112" xfId="0" applyFont="1" applyFill="1" applyBorder="1" applyAlignment="1">
      <alignment horizontal="center" vertical="center"/>
    </xf>
    <xf numFmtId="0" fontId="20" fillId="35" borderId="113" xfId="0" applyFont="1" applyFill="1" applyBorder="1" applyAlignment="1">
      <alignment horizontal="center" vertical="center"/>
    </xf>
    <xf numFmtId="0" fontId="20" fillId="35" borderId="114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25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115" xfId="0" applyFont="1" applyFill="1" applyBorder="1" applyAlignment="1">
      <alignment horizontal="center" vertical="center"/>
    </xf>
    <xf numFmtId="0" fontId="20" fillId="35" borderId="116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5" borderId="117" xfId="0" applyFont="1" applyFill="1" applyBorder="1" applyAlignment="1">
      <alignment horizontal="center" vertical="center"/>
    </xf>
    <xf numFmtId="0" fontId="20" fillId="35" borderId="118" xfId="0" applyFont="1" applyFill="1" applyBorder="1" applyAlignment="1">
      <alignment horizontal="center" vertical="center"/>
    </xf>
    <xf numFmtId="0" fontId="20" fillId="35" borderId="119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20" fillId="35" borderId="121" xfId="0" applyFont="1" applyFill="1" applyBorder="1" applyAlignment="1">
      <alignment horizontal="center" vertical="center"/>
    </xf>
    <xf numFmtId="0" fontId="20" fillId="35" borderId="122" xfId="0" applyFont="1" applyFill="1" applyBorder="1" applyAlignment="1">
      <alignment horizontal="center" vertical="center"/>
    </xf>
    <xf numFmtId="0" fontId="20" fillId="35" borderId="123" xfId="0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21" xfId="0" applyNumberFormat="1" applyFont="1" applyFill="1" applyBorder="1" applyAlignment="1">
      <alignment horizontal="center" vertical="center" wrapText="1"/>
    </xf>
    <xf numFmtId="0" fontId="20" fillId="0" borderId="17" xfId="0" applyNumberFormat="1" applyFont="1" applyFill="1" applyBorder="1" applyAlignment="1">
      <alignment horizontal="center" vertical="center" wrapText="1"/>
    </xf>
    <xf numFmtId="49" fontId="20" fillId="0" borderId="17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9" xfId="0" applyNumberFormat="1" applyFont="1" applyFill="1" applyBorder="1" applyAlignment="1">
      <alignment horizontal="center" vertical="center"/>
    </xf>
    <xf numFmtId="0" fontId="20" fillId="0" borderId="22" xfId="0" applyNumberFormat="1" applyFont="1" applyFill="1" applyBorder="1" applyAlignment="1">
      <alignment horizontal="center" vertical="center" wrapText="1"/>
    </xf>
    <xf numFmtId="0" fontId="20" fillId="0" borderId="10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0" borderId="125" xfId="0" applyNumberFormat="1" applyFont="1" applyFill="1" applyBorder="1" applyAlignment="1">
      <alignment horizontal="center" vertical="center" wrapText="1"/>
    </xf>
    <xf numFmtId="0" fontId="20" fillId="0" borderId="126" xfId="0" applyFont="1" applyFill="1" applyBorder="1" applyAlignment="1">
      <alignment horizontal="center" vertical="center"/>
    </xf>
    <xf numFmtId="0" fontId="20" fillId="0" borderId="126" xfId="0" applyNumberFormat="1" applyFont="1" applyFill="1" applyBorder="1" applyAlignment="1">
      <alignment horizontal="center" vertical="center"/>
    </xf>
    <xf numFmtId="0" fontId="20" fillId="0" borderId="126" xfId="0" applyNumberFormat="1" applyFont="1" applyFill="1" applyBorder="1" applyAlignment="1">
      <alignment horizontal="center" vertical="center" wrapText="1"/>
    </xf>
    <xf numFmtId="0" fontId="20" fillId="0" borderId="127" xfId="0" applyFont="1" applyFill="1" applyBorder="1" applyAlignment="1">
      <alignment horizontal="center" vertical="center"/>
    </xf>
    <xf numFmtId="0" fontId="20" fillId="0" borderId="124" xfId="0" applyFont="1" applyFill="1" applyBorder="1" applyAlignment="1">
      <alignment horizontal="center" vertical="center"/>
    </xf>
    <xf numFmtId="0" fontId="20" fillId="0" borderId="124" xfId="0" applyNumberFormat="1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71" xfId="0" applyFont="1" applyFill="1" applyBorder="1" applyAlignment="1">
      <alignment horizontal="center" vertical="center"/>
    </xf>
    <xf numFmtId="0" fontId="20" fillId="36" borderId="75" xfId="0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 vertical="center"/>
    </xf>
    <xf numFmtId="0" fontId="20" fillId="36" borderId="56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6" borderId="70" xfId="0" applyFont="1" applyFill="1" applyBorder="1" applyAlignment="1">
      <alignment horizontal="center" vertical="center"/>
    </xf>
    <xf numFmtId="0" fontId="20" fillId="36" borderId="68" xfId="0" applyFont="1" applyFill="1" applyBorder="1" applyAlignment="1">
      <alignment horizontal="center" vertical="center"/>
    </xf>
    <xf numFmtId="0" fontId="20" fillId="36" borderId="55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74" xfId="0" applyFont="1" applyFill="1" applyBorder="1" applyAlignment="1">
      <alignment horizontal="center" vertical="center"/>
    </xf>
    <xf numFmtId="0" fontId="20" fillId="36" borderId="69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0" fillId="35" borderId="31" xfId="0" applyFont="1" applyFill="1" applyBorder="1" applyAlignment="1">
      <alignment horizontal="center" vertical="center"/>
    </xf>
    <xf numFmtId="0" fontId="20" fillId="35" borderId="59" xfId="0" applyFont="1" applyFill="1" applyBorder="1" applyAlignment="1">
      <alignment horizontal="center" vertical="center"/>
    </xf>
    <xf numFmtId="0" fontId="20" fillId="35" borderId="61" xfId="0" applyFont="1" applyFill="1" applyBorder="1" applyAlignment="1">
      <alignment horizontal="center" vertical="center"/>
    </xf>
    <xf numFmtId="0" fontId="20" fillId="35" borderId="6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3" fillId="33" borderId="31" xfId="0" applyFont="1" applyFill="1" applyBorder="1" applyAlignment="1">
      <alignment horizontal="center" vertical="center"/>
    </xf>
    <xf numFmtId="0" fontId="23" fillId="33" borderId="50" xfId="0" applyFont="1" applyFill="1" applyBorder="1" applyAlignment="1">
      <alignment horizontal="center" vertical="center" wrapText="1"/>
    </xf>
    <xf numFmtId="0" fontId="23" fillId="33" borderId="51" xfId="0" applyFont="1" applyFill="1" applyBorder="1" applyAlignment="1">
      <alignment horizontal="center" vertical="center" wrapText="1"/>
    </xf>
    <xf numFmtId="0" fontId="23" fillId="33" borderId="52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35" borderId="47" xfId="0" applyFont="1" applyFill="1" applyBorder="1" applyAlignment="1">
      <alignment horizontal="left" vertical="center" wrapText="1"/>
    </xf>
    <xf numFmtId="0" fontId="23" fillId="35" borderId="48" xfId="0" applyFont="1" applyFill="1" applyBorder="1" applyAlignment="1">
      <alignment horizontal="left" vertical="center" wrapText="1"/>
    </xf>
    <xf numFmtId="0" fontId="23" fillId="35" borderId="57" xfId="0" applyFont="1" applyFill="1" applyBorder="1" applyAlignment="1">
      <alignment horizontal="left" vertical="center" wrapText="1"/>
    </xf>
    <xf numFmtId="0" fontId="23" fillId="35" borderId="58" xfId="0" applyFont="1" applyFill="1" applyBorder="1" applyAlignment="1">
      <alignment horizontal="left" vertical="center" wrapText="1"/>
    </xf>
    <xf numFmtId="0" fontId="23" fillId="35" borderId="2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68" xfId="0" applyFont="1" applyFill="1" applyBorder="1" applyAlignment="1">
      <alignment horizontal="center" vertical="center"/>
    </xf>
    <xf numFmtId="0" fontId="20" fillId="35" borderId="74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69" xfId="0" applyFont="1" applyFill="1" applyBorder="1" applyAlignment="1">
      <alignment horizontal="center" vertical="center"/>
    </xf>
    <xf numFmtId="0" fontId="20" fillId="35" borderId="49" xfId="0" applyFont="1" applyFill="1" applyBorder="1" applyAlignment="1">
      <alignment horizontal="center" vertical="center"/>
    </xf>
    <xf numFmtId="0" fontId="20" fillId="35" borderId="109" xfId="0" applyFont="1" applyFill="1" applyBorder="1" applyAlignment="1">
      <alignment horizontal="center" vertical="center"/>
    </xf>
    <xf numFmtId="0" fontId="20" fillId="35" borderId="110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797.632517129627" createdVersion="6" refreshedVersion="6" minRefreshableVersion="3" recordCount="53" xr:uid="{BC42B7BE-61C8-462F-8EE8-492D95CCB0B9}">
  <cacheSource type="worksheet">
    <worksheetSource ref="A1:W54" sheet="분반1"/>
  </cacheSource>
  <cacheFields count="23">
    <cacheField name="순번" numFmtId="0">
      <sharedItems containsSemiMixedTypes="0" containsString="0" containsNumber="1" containsInteger="1" minValue="1" maxValue="53"/>
    </cacheField>
    <cacheField name="학년" numFmtId="0">
      <sharedItems containsSemiMixedTypes="0" containsString="0" containsNumber="1" containsInteger="1" minValue="1" maxValue="4"/>
    </cacheField>
    <cacheField name="학번" numFmtId="0">
      <sharedItems containsSemiMixedTypes="0" containsString="0" containsNumber="1" containsInteger="1" minValue="201510196" maxValue="201810585"/>
    </cacheField>
    <cacheField name="소속학과" numFmtId="0">
      <sharedItems count="5">
        <s v="컴퓨터학과"/>
        <s v="게임학과"/>
        <s v="전자학과"/>
        <s v="보안학과"/>
        <s v="통신학과"/>
      </sharedItems>
    </cacheField>
    <cacheField name="성명" numFmtId="0">
      <sharedItems count="53">
        <s v="김민서"/>
        <s v="김규상"/>
        <s v="김현태"/>
        <s v="박영진"/>
        <s v="박호석"/>
        <s v="박예빈"/>
        <s v="배정환"/>
        <s v="오원선"/>
        <s v="유아정"/>
        <s v="이철승"/>
        <s v="이재민"/>
        <s v="임영규"/>
        <s v="정영주"/>
        <s v="채혜정"/>
        <s v="최연진"/>
        <s v="한지혜"/>
        <s v="한화연"/>
        <s v="강정모"/>
        <s v="강수정"/>
        <s v="김동규"/>
        <s v="김민현"/>
        <s v="김범훈"/>
        <s v="김도영"/>
        <s v="박도현"/>
        <s v="송건호"/>
        <s v="임주은"/>
        <s v="주영진"/>
        <s v="최성욱"/>
        <s v="박민주"/>
        <s v="김정석"/>
        <s v="박재호"/>
        <s v="이정환"/>
        <s v="이승원"/>
        <s v="정성환"/>
        <s v="강기정"/>
        <s v="권준기"/>
        <s v="김태환"/>
        <s v="배진형"/>
        <s v="양상원"/>
        <s v="김상흠"/>
        <s v="최운주"/>
        <s v="김훈정"/>
        <s v="박연수"/>
        <s v="이형진"/>
        <s v="김지수"/>
        <s v="장수원"/>
        <s v="권원재"/>
        <s v="박규석"/>
        <s v="김태길"/>
        <s v="강성연"/>
        <s v="강선진"/>
        <s v="구정민"/>
        <s v="김주원"/>
      </sharedItems>
    </cacheField>
    <cacheField name="중간합200" numFmtId="0">
      <sharedItems containsSemiMixedTypes="0" containsString="0" containsNumber="1" containsInteger="1" minValue="16" maxValue="167"/>
    </cacheField>
    <cacheField name="중간합100" numFmtId="0">
      <sharedItems containsSemiMixedTypes="0" containsString="0" containsNumber="1" minValue="8" maxValue="83.5"/>
    </cacheField>
    <cacheField name="기말합110" numFmtId="0">
      <sharedItems containsSemiMixedTypes="0" containsString="0" containsNumber="1" containsInteger="1" minValue="0" maxValue="105"/>
    </cacheField>
    <cacheField name="기말합100" numFmtId="0">
      <sharedItems containsSemiMixedTypes="0" containsString="0" containsNumber="1" minValue="0" maxValue="95.45"/>
    </cacheField>
    <cacheField name="출석100" numFmtId="0">
      <sharedItems containsSemiMixedTypes="0" containsString="0" containsNumber="1" minValue="60" maxValue="100"/>
    </cacheField>
    <cacheField name="퀴즈1합110" numFmtId="0">
      <sharedItems containsSemiMixedTypes="0" containsString="0" containsNumber="1" containsInteger="1" minValue="9" maxValue="102"/>
    </cacheField>
    <cacheField name="퀴즈1합100" numFmtId="0">
      <sharedItems containsSemiMixedTypes="0" containsString="0" containsNumber="1" minValue="8.18" maxValue="92.73"/>
    </cacheField>
    <cacheField name="퀴즈2합100" numFmtId="0">
      <sharedItems containsSemiMixedTypes="0" containsString="0" containsNumber="1" containsInteger="1" minValue="0" maxValue="95"/>
    </cacheField>
    <cacheField name="참여도" numFmtId="0">
      <sharedItems containsSemiMixedTypes="0" containsString="0" containsNumber="1" containsInteger="1" minValue="0" maxValue="100"/>
    </cacheField>
    <cacheField name="총합" numFmtId="0">
      <sharedItems containsSemiMixedTypes="0" containsString="0" containsNumber="1" minValue="26.57" maxValue="89.82"/>
    </cacheField>
    <cacheField name="등수(EQ)" numFmtId="0">
      <sharedItems containsSemiMixedTypes="0" containsString="0" containsNumber="1" containsInteger="1" minValue="1" maxValue="53"/>
    </cacheField>
    <cacheField name="등수(AVG)" numFmtId="0">
      <sharedItems containsSemiMixedTypes="0" containsString="0" containsNumber="1" containsInteger="1" minValue="1" maxValue="53"/>
    </cacheField>
    <cacheField name="재수강여부" numFmtId="0">
      <sharedItems containsBlank="1"/>
    </cacheField>
    <cacheField name="입학연도" numFmtId="0">
      <sharedItems/>
    </cacheField>
    <cacheField name="학과코드" numFmtId="0">
      <sharedItems/>
    </cacheField>
    <cacheField name="A0부여_x000a_가능여부" numFmtId="0">
      <sharedItems/>
    </cacheField>
    <cacheField name="1차_x000a_학점" numFmtId="0">
      <sharedItems/>
    </cacheField>
    <cacheField name="최종학점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n v="1"/>
    <n v="2"/>
    <n v="201810187"/>
    <x v="0"/>
    <x v="0"/>
    <n v="41"/>
    <n v="20.5"/>
    <n v="22"/>
    <n v="20"/>
    <n v="92.22"/>
    <n v="9"/>
    <n v="8.18"/>
    <n v="22"/>
    <n v="100"/>
    <n v="30.39"/>
    <n v="50"/>
    <n v="50"/>
    <m/>
    <s v="2018"/>
    <s v="101"/>
    <b v="1"/>
    <s v="F"/>
    <s v="F"/>
  </r>
  <r>
    <n v="2"/>
    <n v="2"/>
    <n v="201810488"/>
    <x v="1"/>
    <x v="1"/>
    <n v="55"/>
    <n v="27.5"/>
    <n v="47"/>
    <n v="42.73"/>
    <n v="81.11"/>
    <n v="47"/>
    <n v="42.73"/>
    <n v="25"/>
    <n v="100"/>
    <n v="43.09"/>
    <n v="45"/>
    <n v="45"/>
    <m/>
    <s v="2018"/>
    <s v="104"/>
    <b v="1"/>
    <s v="D"/>
    <s v="D+"/>
  </r>
  <r>
    <n v="3"/>
    <n v="2"/>
    <n v="201810390"/>
    <x v="2"/>
    <x v="2"/>
    <n v="82"/>
    <n v="41"/>
    <n v="34"/>
    <n v="30.91"/>
    <n v="100"/>
    <n v="34"/>
    <n v="30.91"/>
    <n v="45"/>
    <n v="100"/>
    <n v="45.71"/>
    <n v="42"/>
    <n v="42"/>
    <m/>
    <s v="2018"/>
    <s v="103"/>
    <b v="1"/>
    <s v="C"/>
    <s v="C0"/>
  </r>
  <r>
    <n v="4"/>
    <n v="2"/>
    <n v="201710239"/>
    <x v="3"/>
    <x v="3"/>
    <n v="126"/>
    <n v="63"/>
    <n v="79"/>
    <n v="71.819999999999993"/>
    <n v="97.78"/>
    <n v="54"/>
    <n v="49.09"/>
    <n v="39"/>
    <n v="100"/>
    <n v="67.62"/>
    <n v="26"/>
    <n v="26"/>
    <m/>
    <s v="2017"/>
    <s v="102"/>
    <b v="1"/>
    <s v="B"/>
    <s v="B0"/>
  </r>
  <r>
    <n v="5"/>
    <n v="3"/>
    <n v="201710275"/>
    <x v="3"/>
    <x v="4"/>
    <n v="131"/>
    <n v="65.5"/>
    <n v="88"/>
    <n v="80"/>
    <n v="88.89"/>
    <n v="53"/>
    <n v="48.18"/>
    <n v="61"/>
    <n v="100"/>
    <n v="72.459999999999994"/>
    <n v="16"/>
    <n v="16"/>
    <m/>
    <s v="2017"/>
    <s v="102"/>
    <b v="1"/>
    <s v="B"/>
    <s v="B+"/>
  </r>
  <r>
    <n v="6"/>
    <n v="4"/>
    <n v="201610177"/>
    <x v="0"/>
    <x v="5"/>
    <n v="156"/>
    <n v="78"/>
    <n v="63"/>
    <n v="57.27"/>
    <n v="95.56"/>
    <n v="55"/>
    <n v="50"/>
    <n v="70"/>
    <n v="80"/>
    <n v="69"/>
    <n v="21"/>
    <n v="21"/>
    <s v="Y"/>
    <s v="2016"/>
    <s v="101"/>
    <b v="0"/>
    <s v="B"/>
    <s v="B+"/>
  </r>
  <r>
    <n v="7"/>
    <n v="4"/>
    <n v="201610179"/>
    <x v="0"/>
    <x v="6"/>
    <n v="120"/>
    <n v="60"/>
    <n v="47"/>
    <n v="42.73"/>
    <n v="88.89"/>
    <n v="59"/>
    <n v="53.64"/>
    <n v="51"/>
    <n v="60"/>
    <n v="55.31"/>
    <n v="37"/>
    <n v="37"/>
    <m/>
    <s v="2016"/>
    <s v="101"/>
    <b v="1"/>
    <s v="C"/>
    <s v="C+"/>
  </r>
  <r>
    <n v="8"/>
    <n v="3"/>
    <n v="201510585"/>
    <x v="4"/>
    <x v="7"/>
    <n v="136"/>
    <n v="68"/>
    <n v="64"/>
    <n v="58.18"/>
    <n v="100"/>
    <n v="80"/>
    <n v="72.73"/>
    <n v="44"/>
    <n v="100"/>
    <n v="67.44"/>
    <n v="27"/>
    <n v="27"/>
    <m/>
    <s v="2015"/>
    <s v="105"/>
    <b v="1"/>
    <s v="B"/>
    <s v="B0"/>
  </r>
  <r>
    <n v="9"/>
    <n v="2"/>
    <n v="201610586"/>
    <x v="4"/>
    <x v="8"/>
    <n v="129"/>
    <n v="64.5"/>
    <n v="73"/>
    <n v="66.36"/>
    <n v="100"/>
    <n v="61"/>
    <n v="55.45"/>
    <n v="74"/>
    <n v="100"/>
    <n v="70.52"/>
    <n v="19"/>
    <n v="19"/>
    <m/>
    <s v="2016"/>
    <s v="105"/>
    <b v="1"/>
    <s v="B"/>
    <s v="B+"/>
  </r>
  <r>
    <n v="10"/>
    <n v="2"/>
    <n v="201710388"/>
    <x v="2"/>
    <x v="9"/>
    <n v="150"/>
    <n v="75"/>
    <n v="72"/>
    <n v="65.45"/>
    <n v="96.67"/>
    <n v="59"/>
    <n v="53.64"/>
    <n v="67"/>
    <n v="100"/>
    <n v="72.14"/>
    <n v="18"/>
    <n v="18"/>
    <m/>
    <s v="2017"/>
    <s v="103"/>
    <b v="1"/>
    <s v="B"/>
    <s v="B+"/>
  </r>
  <r>
    <n v="11"/>
    <n v="2"/>
    <n v="201810189"/>
    <x v="0"/>
    <x v="10"/>
    <n v="134"/>
    <n v="67"/>
    <n v="62"/>
    <n v="56.36"/>
    <n v="98.89"/>
    <n v="46"/>
    <n v="41.82"/>
    <n v="28"/>
    <n v="80"/>
    <n v="60.7"/>
    <n v="32"/>
    <n v="32"/>
    <m/>
    <s v="2018"/>
    <s v="101"/>
    <b v="1"/>
    <s v="C"/>
    <s v="C+"/>
  </r>
  <r>
    <n v="12"/>
    <n v="2"/>
    <n v="201810293"/>
    <x v="3"/>
    <x v="11"/>
    <n v="106"/>
    <n v="53"/>
    <n v="92"/>
    <n v="83.64"/>
    <n v="98.89"/>
    <n v="28"/>
    <n v="25.45"/>
    <n v="42"/>
    <n v="80"/>
    <n v="65.81"/>
    <n v="28"/>
    <n v="28"/>
    <m/>
    <s v="2018"/>
    <s v="102"/>
    <b v="1"/>
    <s v="B"/>
    <s v="B0"/>
  </r>
  <r>
    <n v="13"/>
    <n v="2"/>
    <n v="201810402"/>
    <x v="1"/>
    <x v="12"/>
    <n v="65"/>
    <n v="32.5"/>
    <n v="18"/>
    <n v="16.36"/>
    <n v="87.78"/>
    <n v="15"/>
    <n v="13.64"/>
    <n v="14"/>
    <n v="60"/>
    <n v="30.02"/>
    <n v="51"/>
    <n v="51"/>
    <m/>
    <s v="2018"/>
    <s v="104"/>
    <b v="1"/>
    <s v="F"/>
    <s v="F"/>
  </r>
  <r>
    <n v="14"/>
    <n v="1"/>
    <n v="201710504"/>
    <x v="4"/>
    <x v="13"/>
    <n v="71"/>
    <n v="35.5"/>
    <n v="0"/>
    <n v="0"/>
    <n v="93.33"/>
    <n v="26"/>
    <n v="23.64"/>
    <n v="29"/>
    <n v="60"/>
    <n v="28.25"/>
    <n v="52"/>
    <n v="52"/>
    <m/>
    <s v="2017"/>
    <s v="105"/>
    <b v="1"/>
    <s v="F"/>
    <s v="F"/>
  </r>
  <r>
    <n v="15"/>
    <n v="3"/>
    <n v="201610205"/>
    <x v="3"/>
    <x v="14"/>
    <n v="108"/>
    <n v="54"/>
    <n v="64"/>
    <n v="58.18"/>
    <n v="100"/>
    <n v="44"/>
    <n v="40"/>
    <n v="48"/>
    <n v="100"/>
    <n v="60.36"/>
    <n v="33"/>
    <n v="33"/>
    <s v="Y"/>
    <s v="2016"/>
    <s v="102"/>
    <b v="0"/>
    <s v="C"/>
    <s v="C+"/>
  </r>
  <r>
    <n v="16"/>
    <n v="2"/>
    <n v="201710306"/>
    <x v="2"/>
    <x v="15"/>
    <n v="134"/>
    <n v="67"/>
    <n v="54"/>
    <n v="49.09"/>
    <n v="100"/>
    <n v="59"/>
    <n v="53.64"/>
    <n v="63"/>
    <n v="100"/>
    <n v="63.95"/>
    <n v="30"/>
    <n v="30"/>
    <m/>
    <s v="2017"/>
    <s v="103"/>
    <b v="1"/>
    <s v="B"/>
    <s v="B0"/>
  </r>
  <r>
    <n v="17"/>
    <n v="4"/>
    <n v="201510412"/>
    <x v="1"/>
    <x v="16"/>
    <n v="141"/>
    <n v="70.5"/>
    <n v="64"/>
    <n v="58.18"/>
    <n v="100"/>
    <n v="61"/>
    <n v="55.45"/>
    <n v="26"/>
    <n v="100"/>
    <n v="64.66"/>
    <n v="29"/>
    <n v="29"/>
    <m/>
    <s v="2015"/>
    <s v="104"/>
    <b v="1"/>
    <s v="B"/>
    <s v="B0"/>
  </r>
  <r>
    <n v="18"/>
    <n v="3"/>
    <n v="201710214"/>
    <x v="3"/>
    <x v="17"/>
    <n v="117"/>
    <n v="58.5"/>
    <n v="71"/>
    <n v="64.55"/>
    <n v="100"/>
    <n v="80"/>
    <n v="72.73"/>
    <n v="74"/>
    <n v="100"/>
    <n v="69.819999999999993"/>
    <n v="20"/>
    <n v="20"/>
    <m/>
    <s v="2017"/>
    <s v="102"/>
    <b v="1"/>
    <s v="B"/>
    <s v="B+"/>
  </r>
  <r>
    <n v="19"/>
    <n v="2"/>
    <n v="201810117"/>
    <x v="0"/>
    <x v="18"/>
    <n v="139"/>
    <n v="69.5"/>
    <n v="89"/>
    <n v="80.91"/>
    <n v="96.67"/>
    <n v="60"/>
    <n v="54.55"/>
    <n v="87"/>
    <n v="100"/>
    <n v="77.989999999999995"/>
    <n v="6"/>
    <n v="6"/>
    <m/>
    <s v="2018"/>
    <s v="101"/>
    <b v="1"/>
    <s v="A"/>
    <s v="A0"/>
  </r>
  <r>
    <n v="20"/>
    <n v="4"/>
    <n v="201610118"/>
    <x v="0"/>
    <x v="19"/>
    <n v="145"/>
    <n v="72.5"/>
    <n v="93"/>
    <n v="84.55"/>
    <n v="98.89"/>
    <n v="74"/>
    <n v="67.27"/>
    <n v="50"/>
    <n v="100"/>
    <n v="77.959999999999994"/>
    <n v="7"/>
    <n v="7"/>
    <m/>
    <s v="2016"/>
    <s v="101"/>
    <b v="1"/>
    <s v="A"/>
    <s v="A0"/>
  </r>
  <r>
    <n v="21"/>
    <n v="4"/>
    <n v="201510420"/>
    <x v="1"/>
    <x v="20"/>
    <n v="82"/>
    <n v="41"/>
    <n v="50"/>
    <n v="45.45"/>
    <n v="94.44"/>
    <n v="54"/>
    <n v="49.09"/>
    <n v="26"/>
    <n v="60"/>
    <n v="48.16"/>
    <n v="41"/>
    <n v="41"/>
    <s v="Y"/>
    <s v="2015"/>
    <s v="104"/>
    <b v="1"/>
    <s v="C"/>
    <s v="C0"/>
  </r>
  <r>
    <n v="22"/>
    <n v="2"/>
    <n v="201810321"/>
    <x v="2"/>
    <x v="21"/>
    <n v="131"/>
    <n v="65.5"/>
    <n v="56"/>
    <n v="50.91"/>
    <n v="94.44"/>
    <n v="47"/>
    <n v="42.73"/>
    <n v="48"/>
    <n v="80"/>
    <n v="59.99"/>
    <n v="34"/>
    <n v="34"/>
    <m/>
    <s v="2018"/>
    <s v="103"/>
    <b v="1"/>
    <s v="C"/>
    <s v="C+"/>
  </r>
  <r>
    <n v="23"/>
    <n v="3"/>
    <n v="201610124"/>
    <x v="0"/>
    <x v="22"/>
    <n v="111"/>
    <n v="55.5"/>
    <n v="60"/>
    <n v="54.55"/>
    <n v="94.44"/>
    <n v="47"/>
    <n v="42.73"/>
    <n v="30"/>
    <n v="80"/>
    <n v="56.46"/>
    <n v="36"/>
    <n v="36"/>
    <m/>
    <s v="2016"/>
    <s v="101"/>
    <b v="1"/>
    <s v="C"/>
    <s v="C+"/>
  </r>
  <r>
    <n v="24"/>
    <n v="2"/>
    <n v="201710128"/>
    <x v="0"/>
    <x v="23"/>
    <n v="130"/>
    <n v="65"/>
    <n v="0"/>
    <n v="0"/>
    <n v="60"/>
    <n v="57"/>
    <n v="51.82"/>
    <n v="0"/>
    <n v="0"/>
    <n v="30.68"/>
    <n v="49"/>
    <n v="49"/>
    <m/>
    <s v="2017"/>
    <s v="101"/>
    <b v="1"/>
    <s v="F"/>
    <s v="F"/>
  </r>
  <r>
    <n v="25"/>
    <n v="2"/>
    <n v="201610130"/>
    <x v="0"/>
    <x v="24"/>
    <n v="162"/>
    <n v="81"/>
    <n v="80"/>
    <n v="72.73"/>
    <n v="96.67"/>
    <n v="55"/>
    <n v="50"/>
    <n v="83"/>
    <n v="100"/>
    <n v="77.72"/>
    <n v="8"/>
    <n v="8"/>
    <m/>
    <s v="2016"/>
    <s v="101"/>
    <b v="1"/>
    <s v="A"/>
    <s v="A0"/>
  </r>
  <r>
    <n v="26"/>
    <n v="2"/>
    <n v="201810531"/>
    <x v="4"/>
    <x v="25"/>
    <n v="141"/>
    <n v="70.5"/>
    <n v="85"/>
    <n v="77.27"/>
    <n v="100"/>
    <n v="70"/>
    <n v="63.64"/>
    <n v="77"/>
    <n v="100"/>
    <n v="77.260000000000005"/>
    <n v="9"/>
    <n v="9"/>
    <m/>
    <s v="2018"/>
    <s v="105"/>
    <b v="1"/>
    <s v="A"/>
    <s v="A0"/>
  </r>
  <r>
    <n v="27"/>
    <n v="2"/>
    <n v="201810538"/>
    <x v="4"/>
    <x v="26"/>
    <n v="153"/>
    <n v="76.5"/>
    <n v="105"/>
    <n v="95.45"/>
    <n v="100"/>
    <n v="81"/>
    <n v="73.64"/>
    <n v="83"/>
    <n v="100"/>
    <n v="87.02"/>
    <n v="2"/>
    <n v="2"/>
    <m/>
    <s v="2018"/>
    <s v="105"/>
    <b v="1"/>
    <s v="A"/>
    <s v="A+"/>
  </r>
  <r>
    <n v="28"/>
    <n v="2"/>
    <n v="201810139"/>
    <x v="0"/>
    <x v="27"/>
    <n v="86"/>
    <n v="43"/>
    <n v="21"/>
    <n v="19.09"/>
    <n v="78.89"/>
    <n v="56"/>
    <n v="50.91"/>
    <n v="13"/>
    <n v="40"/>
    <n v="35.86"/>
    <n v="48"/>
    <n v="48"/>
    <m/>
    <s v="2018"/>
    <s v="101"/>
    <b v="1"/>
    <s v="F"/>
    <s v="F"/>
  </r>
  <r>
    <n v="29"/>
    <n v="3"/>
    <n v="201710327"/>
    <x v="2"/>
    <x v="28"/>
    <n v="113"/>
    <n v="56.5"/>
    <n v="89"/>
    <n v="80.91"/>
    <n v="100"/>
    <n v="66"/>
    <n v="60"/>
    <n v="75"/>
    <n v="100"/>
    <n v="73.77"/>
    <n v="13"/>
    <n v="13"/>
    <s v="Y"/>
    <s v="2017"/>
    <s v="103"/>
    <b v="0"/>
    <s v="A"/>
    <s v="A0"/>
  </r>
  <r>
    <n v="30"/>
    <n v="2"/>
    <n v="201810573"/>
    <x v="4"/>
    <x v="29"/>
    <n v="124"/>
    <n v="62"/>
    <n v="97"/>
    <n v="88.18"/>
    <n v="96.67"/>
    <n v="60"/>
    <n v="54.55"/>
    <n v="74"/>
    <n v="100"/>
    <n v="76.989999999999995"/>
    <n v="10"/>
    <n v="10"/>
    <m/>
    <s v="2018"/>
    <s v="105"/>
    <b v="1"/>
    <s v="A"/>
    <s v="A0"/>
  </r>
  <r>
    <n v="31"/>
    <n v="4"/>
    <n v="201610256"/>
    <x v="3"/>
    <x v="30"/>
    <n v="57"/>
    <n v="28.5"/>
    <n v="47"/>
    <n v="42.73"/>
    <n v="90"/>
    <n v="58"/>
    <n v="52.73"/>
    <n v="21"/>
    <n v="100"/>
    <n v="44.88"/>
    <n v="43"/>
    <n v="43"/>
    <s v="Y"/>
    <s v="2016"/>
    <s v="102"/>
    <b v="0"/>
    <s v="D"/>
    <s v="D+"/>
  </r>
  <r>
    <n v="32"/>
    <n v="4"/>
    <n v="201610162"/>
    <x v="0"/>
    <x v="31"/>
    <n v="111"/>
    <n v="55.5"/>
    <n v="52"/>
    <n v="47.27"/>
    <n v="96.67"/>
    <n v="23"/>
    <n v="20.91"/>
    <n v="59"/>
    <n v="70"/>
    <n v="54.35"/>
    <n v="38"/>
    <n v="38"/>
    <m/>
    <s v="2016"/>
    <s v="101"/>
    <b v="1"/>
    <s v="C"/>
    <s v="C0"/>
  </r>
  <r>
    <n v="33"/>
    <n v="4"/>
    <n v="201610102"/>
    <x v="0"/>
    <x v="32"/>
    <n v="46"/>
    <n v="23"/>
    <n v="58"/>
    <n v="52.73"/>
    <n v="86.67"/>
    <n v="10"/>
    <n v="9.09"/>
    <n v="10"/>
    <n v="60"/>
    <n v="38.93"/>
    <n v="47"/>
    <n v="47"/>
    <m/>
    <s v="2016"/>
    <s v="101"/>
    <b v="1"/>
    <s v="D"/>
    <s v="D0"/>
  </r>
  <r>
    <n v="34"/>
    <n v="1"/>
    <n v="201810418"/>
    <x v="1"/>
    <x v="33"/>
    <n v="85"/>
    <n v="42.5"/>
    <n v="58"/>
    <n v="52.73"/>
    <n v="94.44"/>
    <n v="40"/>
    <n v="36.36"/>
    <n v="58"/>
    <n v="60"/>
    <n v="53.09"/>
    <n v="39"/>
    <n v="39"/>
    <m/>
    <s v="2018"/>
    <s v="104"/>
    <b v="1"/>
    <s v="C"/>
    <s v="C0"/>
  </r>
  <r>
    <n v="35"/>
    <n v="2"/>
    <n v="201710223"/>
    <x v="3"/>
    <x v="34"/>
    <n v="52"/>
    <n v="26"/>
    <n v="56"/>
    <n v="50.91"/>
    <n v="83.33"/>
    <n v="31"/>
    <n v="28.18"/>
    <n v="0"/>
    <n v="60"/>
    <n v="39.770000000000003"/>
    <n v="46"/>
    <n v="46"/>
    <s v="Y"/>
    <s v="2017"/>
    <s v="102"/>
    <b v="0"/>
    <s v="D"/>
    <s v="D0"/>
  </r>
  <r>
    <n v="36"/>
    <n v="2"/>
    <n v="201710339"/>
    <x v="2"/>
    <x v="35"/>
    <n v="16"/>
    <n v="8"/>
    <n v="20"/>
    <n v="18.18"/>
    <n v="88.89"/>
    <n v="20"/>
    <n v="18.18"/>
    <n v="21"/>
    <n v="100"/>
    <n v="26.57"/>
    <n v="53"/>
    <n v="53"/>
    <m/>
    <s v="2017"/>
    <s v="103"/>
    <b v="1"/>
    <s v="F"/>
    <s v="F"/>
  </r>
  <r>
    <n v="37"/>
    <n v="2"/>
    <n v="201810223"/>
    <x v="3"/>
    <x v="36"/>
    <n v="143"/>
    <n v="71.5"/>
    <n v="82"/>
    <n v="74.55"/>
    <n v="100"/>
    <n v="48"/>
    <n v="43.64"/>
    <n v="65"/>
    <n v="100"/>
    <n v="73.41"/>
    <n v="14"/>
    <n v="14"/>
    <m/>
    <s v="2018"/>
    <s v="102"/>
    <b v="1"/>
    <s v="A"/>
    <s v="A0"/>
  </r>
  <r>
    <n v="38"/>
    <n v="3"/>
    <n v="201510196"/>
    <x v="0"/>
    <x v="37"/>
    <n v="160"/>
    <n v="80"/>
    <n v="79"/>
    <n v="71.819999999999993"/>
    <n v="91.11"/>
    <n v="67"/>
    <n v="60.91"/>
    <n v="95"/>
    <n v="100"/>
    <n v="78.84"/>
    <n v="5"/>
    <n v="5"/>
    <s v="Y"/>
    <s v="2015"/>
    <s v="101"/>
    <b v="1"/>
    <s v="A"/>
    <s v="A0"/>
  </r>
  <r>
    <n v="39"/>
    <n v="2"/>
    <n v="201610106"/>
    <x v="0"/>
    <x v="38"/>
    <n v="128"/>
    <n v="64"/>
    <n v="85"/>
    <n v="77.27"/>
    <n v="100"/>
    <n v="60"/>
    <n v="54.55"/>
    <n v="56"/>
    <n v="100"/>
    <n v="72.3"/>
    <n v="17"/>
    <n v="17"/>
    <m/>
    <s v="2016"/>
    <s v="101"/>
    <b v="1"/>
    <s v="B"/>
    <s v="B+"/>
  </r>
  <r>
    <n v="40"/>
    <n v="2"/>
    <n v="201710110"/>
    <x v="0"/>
    <x v="39"/>
    <n v="167"/>
    <n v="83.5"/>
    <n v="99"/>
    <n v="90"/>
    <n v="100"/>
    <n v="102"/>
    <n v="92.73"/>
    <n v="90"/>
    <n v="100"/>
    <n v="89.82"/>
    <n v="1"/>
    <n v="1"/>
    <m/>
    <s v="2017"/>
    <s v="101"/>
    <b v="1"/>
    <s v="A"/>
    <s v="A+"/>
  </r>
  <r>
    <n v="41"/>
    <n v="4"/>
    <n v="201510311"/>
    <x v="2"/>
    <x v="40"/>
    <n v="127"/>
    <n v="63.5"/>
    <n v="80"/>
    <n v="72.73"/>
    <n v="100"/>
    <n v="74"/>
    <n v="67.27"/>
    <n v="91"/>
    <n v="100"/>
    <n v="75.33"/>
    <n v="12"/>
    <n v="12"/>
    <s v="Y"/>
    <s v="2015"/>
    <s v="103"/>
    <b v="1"/>
    <s v="A"/>
    <s v="A0"/>
  </r>
  <r>
    <n v="42"/>
    <n v="4"/>
    <n v="201510319"/>
    <x v="2"/>
    <x v="41"/>
    <n v="86"/>
    <n v="43"/>
    <n v="76"/>
    <n v="69.09"/>
    <n v="98.89"/>
    <n v="56"/>
    <n v="50.91"/>
    <n v="58"/>
    <n v="100"/>
    <n v="62.86"/>
    <n v="31"/>
    <n v="31"/>
    <s v="Y"/>
    <s v="2015"/>
    <s v="103"/>
    <b v="1"/>
    <s v="B"/>
    <s v="B0"/>
  </r>
  <r>
    <n v="43"/>
    <n v="3"/>
    <n v="201510342"/>
    <x v="2"/>
    <x v="42"/>
    <n v="160"/>
    <n v="80"/>
    <n v="82"/>
    <n v="74.55"/>
    <n v="100"/>
    <n v="79"/>
    <n v="71.819999999999993"/>
    <n v="90"/>
    <n v="100"/>
    <n v="81.27"/>
    <n v="4"/>
    <n v="4"/>
    <m/>
    <s v="2015"/>
    <s v="103"/>
    <b v="1"/>
    <s v="A"/>
    <s v="A+"/>
  </r>
  <r>
    <n v="44"/>
    <n v="2"/>
    <n v="201710460"/>
    <x v="1"/>
    <x v="43"/>
    <n v="129"/>
    <n v="64.5"/>
    <n v="70"/>
    <n v="63.64"/>
    <n v="97.78"/>
    <n v="66"/>
    <n v="60"/>
    <n v="57"/>
    <n v="100"/>
    <n v="68.099999999999994"/>
    <n v="25"/>
    <n v="25"/>
    <m/>
    <s v="2017"/>
    <s v="104"/>
    <b v="1"/>
    <s v="B"/>
    <s v="B0"/>
  </r>
  <r>
    <n v="45"/>
    <n v="3"/>
    <n v="201710471"/>
    <x v="1"/>
    <x v="44"/>
    <n v="155"/>
    <n v="77.5"/>
    <n v="91"/>
    <n v="82.73"/>
    <n v="100"/>
    <n v="82"/>
    <n v="74.55"/>
    <n v="76"/>
    <n v="100"/>
    <n v="82.26"/>
    <n v="3"/>
    <n v="3"/>
    <s v="Y"/>
    <s v="2017"/>
    <s v="104"/>
    <b v="0"/>
    <s v="A"/>
    <s v="B+"/>
  </r>
  <r>
    <n v="46"/>
    <n v="2"/>
    <n v="201710226"/>
    <x v="3"/>
    <x v="45"/>
    <n v="105"/>
    <n v="52.5"/>
    <n v="57"/>
    <n v="51.82"/>
    <n v="97.78"/>
    <n v="33"/>
    <n v="30"/>
    <n v="53"/>
    <n v="100"/>
    <n v="56.97"/>
    <n v="35"/>
    <n v="35"/>
    <m/>
    <s v="2017"/>
    <s v="102"/>
    <b v="1"/>
    <s v="C"/>
    <s v="C+"/>
  </r>
  <r>
    <n v="47"/>
    <n v="2"/>
    <n v="201810529"/>
    <x v="4"/>
    <x v="46"/>
    <n v="141"/>
    <n v="70.5"/>
    <n v="67"/>
    <n v="60.91"/>
    <n v="97.78"/>
    <n v="78"/>
    <n v="70.91"/>
    <n v="54"/>
    <n v="80"/>
    <n v="68.739999999999995"/>
    <n v="23"/>
    <n v="23"/>
    <m/>
    <s v="2018"/>
    <s v="105"/>
    <b v="1"/>
    <s v="B"/>
    <s v="B+"/>
  </r>
  <r>
    <n v="48"/>
    <n v="1"/>
    <n v="201810535"/>
    <x v="4"/>
    <x v="47"/>
    <n v="114"/>
    <n v="57"/>
    <n v="92"/>
    <n v="83.64"/>
    <n v="95.56"/>
    <n v="48"/>
    <n v="43.64"/>
    <n v="74"/>
    <n v="100"/>
    <n v="72.69"/>
    <n v="15"/>
    <n v="15"/>
    <m/>
    <s v="2018"/>
    <s v="105"/>
    <b v="1"/>
    <s v="A"/>
    <s v="A0"/>
  </r>
  <r>
    <n v="49"/>
    <n v="3"/>
    <n v="201510546"/>
    <x v="4"/>
    <x v="48"/>
    <n v="148"/>
    <n v="74"/>
    <n v="66"/>
    <n v="60"/>
    <n v="96.67"/>
    <n v="57"/>
    <n v="51.82"/>
    <n v="51"/>
    <n v="100"/>
    <n v="68.150000000000006"/>
    <n v="24"/>
    <n v="24"/>
    <s v="Y"/>
    <s v="2015"/>
    <s v="105"/>
    <b v="1"/>
    <s v="B"/>
    <s v="B0"/>
  </r>
  <r>
    <n v="50"/>
    <n v="2"/>
    <n v="201610266"/>
    <x v="3"/>
    <x v="49"/>
    <n v="97"/>
    <n v="48.5"/>
    <n v="101"/>
    <n v="91.82"/>
    <n v="98.89"/>
    <n v="73"/>
    <n v="66.36"/>
    <n v="88"/>
    <n v="80"/>
    <n v="76.010000000000005"/>
    <n v="11"/>
    <n v="11"/>
    <m/>
    <s v="2016"/>
    <s v="102"/>
    <b v="1"/>
    <s v="A"/>
    <s v="A0"/>
  </r>
  <r>
    <n v="51"/>
    <n v="4"/>
    <n v="201610275"/>
    <x v="3"/>
    <x v="50"/>
    <n v="154"/>
    <n v="77"/>
    <n v="66"/>
    <n v="60"/>
    <n v="100"/>
    <n v="68"/>
    <n v="61.82"/>
    <n v="36"/>
    <n v="100"/>
    <n v="68.88"/>
    <n v="22"/>
    <n v="22"/>
    <m/>
    <s v="2016"/>
    <s v="102"/>
    <b v="1"/>
    <s v="B"/>
    <s v="B+"/>
  </r>
  <r>
    <n v="52"/>
    <n v="4"/>
    <n v="201610177"/>
    <x v="0"/>
    <x v="51"/>
    <n v="58"/>
    <n v="29"/>
    <n v="62"/>
    <n v="56.36"/>
    <n v="100"/>
    <n v="48"/>
    <n v="43.64"/>
    <n v="49"/>
    <n v="100"/>
    <n v="52.69"/>
    <n v="40"/>
    <n v="40"/>
    <m/>
    <s v="2016"/>
    <s v="101"/>
    <b v="1"/>
    <s v="C"/>
    <s v="C0"/>
  </r>
  <r>
    <n v="53"/>
    <n v="2"/>
    <n v="201810585"/>
    <x v="4"/>
    <x v="52"/>
    <n v="75"/>
    <n v="37.5"/>
    <n v="42"/>
    <n v="38.18"/>
    <n v="97.78"/>
    <n v="37"/>
    <n v="33.64"/>
    <n v="11"/>
    <n v="100"/>
    <n v="43.86"/>
    <n v="44"/>
    <n v="44"/>
    <m/>
    <s v="2018"/>
    <s v="105"/>
    <b v="1"/>
    <s v="D"/>
    <s v="D+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27060-D939-4EAE-AF96-6AA5587A8E11}" name="피벗 테이블2" cacheId="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D9" firstHeaderRow="0" firstDataRow="1" firstDataCol="1"/>
  <pivotFields count="23">
    <pivotField showAll="0"/>
    <pivotField showAll="0"/>
    <pivotField showAll="0"/>
    <pivotField axis="axisRow" showAll="0">
      <items count="6">
        <item sd="0" x="1"/>
        <item sd="0" x="3"/>
        <item sd="0" x="2"/>
        <item sd="0" x="0"/>
        <item sd="0" x="4"/>
        <item t="default" sd="0"/>
      </items>
    </pivotField>
    <pivotField axis="axisRow" showAll="0">
      <items count="54">
        <item x="34"/>
        <item x="50"/>
        <item x="49"/>
        <item x="18"/>
        <item x="17"/>
        <item x="51"/>
        <item x="46"/>
        <item x="35"/>
        <item x="1"/>
        <item x="22"/>
        <item x="19"/>
        <item x="0"/>
        <item x="20"/>
        <item x="21"/>
        <item x="39"/>
        <item x="29"/>
        <item x="52"/>
        <item x="44"/>
        <item x="48"/>
        <item x="36"/>
        <item x="2"/>
        <item x="41"/>
        <item x="47"/>
        <item x="23"/>
        <item x="28"/>
        <item x="42"/>
        <item x="3"/>
        <item x="5"/>
        <item x="30"/>
        <item x="4"/>
        <item x="6"/>
        <item x="37"/>
        <item x="24"/>
        <item x="38"/>
        <item x="7"/>
        <item x="8"/>
        <item x="32"/>
        <item x="10"/>
        <item x="31"/>
        <item x="9"/>
        <item x="43"/>
        <item x="11"/>
        <item x="25"/>
        <item x="45"/>
        <item x="33"/>
        <item x="12"/>
        <item x="26"/>
        <item x="13"/>
        <item x="27"/>
        <item x="14"/>
        <item x="40"/>
        <item x="15"/>
        <item x="16"/>
        <item t="default"/>
      </items>
    </pivotField>
    <pivotField dataField="1"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합계 : 중간합200" fld="5" baseField="0" baseItem="0"/>
    <dataField name="합계 : 기말합110" fld="7" baseField="0" baseItem="0"/>
    <dataField name="합계 : 퀴즈1합110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2FD3F-F846-40B7-BFBB-CAD2ADD5596E}">
  <dimension ref="A3:D9"/>
  <sheetViews>
    <sheetView tabSelected="1" workbookViewId="0">
      <selection activeCell="A3" sqref="A3"/>
    </sheetView>
  </sheetViews>
  <sheetFormatPr defaultRowHeight="16.5" x14ac:dyDescent="0.3"/>
  <cols>
    <col min="1" max="1" width="13.375" bestFit="1" customWidth="1"/>
    <col min="2" max="3" width="16.875" bestFit="1" customWidth="1"/>
    <col min="4" max="4" width="18.125" bestFit="1" customWidth="1"/>
  </cols>
  <sheetData>
    <row r="3" spans="1:4" x14ac:dyDescent="0.3">
      <c r="A3" s="165" t="s">
        <v>141</v>
      </c>
      <c r="B3" t="s">
        <v>148</v>
      </c>
      <c r="C3" t="s">
        <v>149</v>
      </c>
      <c r="D3" t="s">
        <v>150</v>
      </c>
    </row>
    <row r="4" spans="1:4" x14ac:dyDescent="0.3">
      <c r="A4" s="166" t="s">
        <v>142</v>
      </c>
      <c r="B4" s="167">
        <v>712</v>
      </c>
      <c r="C4" s="167">
        <v>398</v>
      </c>
      <c r="D4" s="167">
        <v>365</v>
      </c>
    </row>
    <row r="5" spans="1:4" x14ac:dyDescent="0.3">
      <c r="A5" s="166" t="s">
        <v>143</v>
      </c>
      <c r="B5" s="167">
        <v>1196</v>
      </c>
      <c r="C5" s="167">
        <v>803</v>
      </c>
      <c r="D5" s="167">
        <v>570</v>
      </c>
    </row>
    <row r="6" spans="1:4" x14ac:dyDescent="0.3">
      <c r="A6" s="166" t="s">
        <v>144</v>
      </c>
      <c r="B6" s="167">
        <v>999</v>
      </c>
      <c r="C6" s="167">
        <v>563</v>
      </c>
      <c r="D6" s="167">
        <v>494</v>
      </c>
    </row>
    <row r="7" spans="1:4" x14ac:dyDescent="0.3">
      <c r="A7" s="166" t="s">
        <v>145</v>
      </c>
      <c r="B7" s="167">
        <v>1894</v>
      </c>
      <c r="C7" s="167">
        <v>972</v>
      </c>
      <c r="D7" s="167">
        <v>828</v>
      </c>
    </row>
    <row r="8" spans="1:4" x14ac:dyDescent="0.3">
      <c r="A8" s="166" t="s">
        <v>146</v>
      </c>
      <c r="B8" s="167">
        <v>1232</v>
      </c>
      <c r="C8" s="167">
        <v>691</v>
      </c>
      <c r="D8" s="167">
        <v>598</v>
      </c>
    </row>
    <row r="9" spans="1:4" x14ac:dyDescent="0.3">
      <c r="A9" s="166" t="s">
        <v>147</v>
      </c>
      <c r="B9" s="167">
        <v>6033</v>
      </c>
      <c r="C9" s="167">
        <v>3427</v>
      </c>
      <c r="D9" s="167">
        <v>2855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S2" sqref="S2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6" bestFit="1" customWidth="1"/>
    <col min="6" max="16" width="8.625" style="6" customWidth="1"/>
    <col min="17" max="17" width="9" style="6" customWidth="1"/>
    <col min="18" max="18" width="9" style="5" customWidth="1"/>
    <col min="19" max="19" width="8.625" style="6" customWidth="1"/>
    <col min="20" max="20" width="8.625" style="14" customWidth="1"/>
    <col min="21" max="22" width="8.625" style="6" customWidth="1"/>
    <col min="23" max="25" width="9" style="6" customWidth="1"/>
    <col min="26" max="26" width="3.75" style="6" customWidth="1"/>
    <col min="27" max="27" width="9" style="13" customWidth="1"/>
    <col min="28" max="29" width="8.625" style="13" customWidth="1"/>
    <col min="30" max="37" width="8.625" style="6" customWidth="1"/>
    <col min="38" max="38" width="9" style="6" customWidth="1"/>
    <col min="39" max="39" width="5.625" style="6" customWidth="1"/>
    <col min="40" max="40" width="3.625" style="6" customWidth="1"/>
    <col min="41" max="41" width="6.625" style="6" customWidth="1"/>
    <col min="42" max="50" width="7.625" style="6" customWidth="1"/>
    <col min="51" max="54" width="9" style="6" customWidth="1"/>
    <col min="55" max="57" width="3.625" style="6" customWidth="1"/>
    <col min="58" max="59" width="8.625" style="6" customWidth="1"/>
    <col min="60" max="62" width="3.625" style="6" customWidth="1"/>
    <col min="63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39" t="s">
        <v>72</v>
      </c>
      <c r="E1" s="2" t="s">
        <v>3</v>
      </c>
      <c r="F1" s="3" t="s">
        <v>6</v>
      </c>
      <c r="G1" s="3" t="s">
        <v>64</v>
      </c>
      <c r="H1" s="3" t="s">
        <v>7</v>
      </c>
      <c r="I1" s="3" t="s">
        <v>65</v>
      </c>
      <c r="J1" s="3" t="s">
        <v>9</v>
      </c>
      <c r="K1" s="3" t="s">
        <v>8</v>
      </c>
      <c r="L1" s="3" t="s">
        <v>66</v>
      </c>
      <c r="M1" s="3" t="s">
        <v>10</v>
      </c>
      <c r="N1" s="4" t="s">
        <v>38</v>
      </c>
      <c r="O1" s="7" t="s">
        <v>67</v>
      </c>
      <c r="P1" s="140" t="s">
        <v>68</v>
      </c>
      <c r="Q1" s="7" t="s">
        <v>69</v>
      </c>
      <c r="R1" s="7" t="s">
        <v>70</v>
      </c>
      <c r="S1" s="7" t="s">
        <v>151</v>
      </c>
      <c r="T1" s="141" t="s">
        <v>5</v>
      </c>
      <c r="U1" s="142" t="s">
        <v>73</v>
      </c>
      <c r="V1" s="142" t="s">
        <v>86</v>
      </c>
      <c r="W1" s="7" t="s">
        <v>96</v>
      </c>
    </row>
    <row r="2" spans="1:70" ht="20.100000000000001" customHeight="1" thickTop="1" thickBot="1" x14ac:dyDescent="0.35">
      <c r="A2" s="143">
        <v>1</v>
      </c>
      <c r="B2" s="144">
        <v>2</v>
      </c>
      <c r="C2" s="144">
        <v>201810187</v>
      </c>
      <c r="D2" s="144" t="str">
        <f t="shared" ref="D2:D33" si="0">VLOOKUP(VALUE(T2),$AA$4:$AB$8,2,FALSE)&amp;"학과"</f>
        <v>컴퓨터학과</v>
      </c>
      <c r="E2" s="145" t="s">
        <v>11</v>
      </c>
      <c r="F2" s="146">
        <v>41</v>
      </c>
      <c r="G2" s="146">
        <f t="shared" ref="G2:G33" si="1">ROUND((F2*100)/200,2)</f>
        <v>20.5</v>
      </c>
      <c r="H2" s="146">
        <v>22</v>
      </c>
      <c r="I2" s="146">
        <f t="shared" ref="I2:I33" si="2">ROUND((H2*100)/110,2)</f>
        <v>20</v>
      </c>
      <c r="J2" s="146">
        <v>92.22</v>
      </c>
      <c r="K2" s="146">
        <v>9</v>
      </c>
      <c r="L2" s="146">
        <f t="shared" ref="L2:L33" si="3">ROUND((K2*100)/110,2)</f>
        <v>8.18</v>
      </c>
      <c r="M2" s="146">
        <v>22</v>
      </c>
      <c r="N2" s="147">
        <v>100</v>
      </c>
      <c r="O2" s="8">
        <f t="shared" ref="O2:O33" si="4">ROUND(G2*0.3+I2*0.35+J2*0.1+L2*0.1+M2*0.1+N2*0.05,2)</f>
        <v>30.39</v>
      </c>
      <c r="P2" s="148">
        <f t="shared" ref="P2:P33" si="5">_xlfn.RANK.EQ(O2,$O$2:$O$54,0)</f>
        <v>50</v>
      </c>
      <c r="Q2" s="8">
        <f t="shared" ref="Q2:Q33" si="6">_xlfn.RANK.AVG(O2,$O$2:$O$54,0)</f>
        <v>50</v>
      </c>
      <c r="R2" s="8"/>
      <c r="S2" s="8" t="str">
        <f t="shared" ref="S2:S33" si="7">LEFT(C2,4)</f>
        <v>2018</v>
      </c>
      <c r="T2" s="149" t="str">
        <f t="shared" ref="T2:T33" si="8">MID(C2,5,3)</f>
        <v>101</v>
      </c>
      <c r="U2" s="8" t="b">
        <f t="shared" ref="U2:U33" si="9">OR(R2="", S2&lt;="2015")</f>
        <v>1</v>
      </c>
      <c r="V2" s="8" t="str">
        <f t="shared" ref="V2:V33" si="10">IF(P2&lt;=$AB$11*0.3, "A", IF(P2&lt;=$AB$11*0.6, "B", IF(P2&lt;=$AB$11*0.8, "C", IF(P2&lt;=$AB$11*0.9, "D","F"))))</f>
        <v>F</v>
      </c>
      <c r="W2" s="8" t="str">
        <f t="shared" ref="W2:W33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187" t="s">
        <v>80</v>
      </c>
      <c r="AB2" s="187"/>
      <c r="AC2" s="12"/>
      <c r="AD2" s="5"/>
      <c r="AE2" s="21" t="s">
        <v>87</v>
      </c>
      <c r="AF2" s="22" t="s">
        <v>88</v>
      </c>
      <c r="AG2" s="30" t="s">
        <v>89</v>
      </c>
      <c r="AH2" s="23" t="s">
        <v>95</v>
      </c>
      <c r="AI2" s="5"/>
      <c r="AM2" s="70"/>
      <c r="AN2" s="71"/>
      <c r="AO2" s="72"/>
      <c r="AP2" s="73" t="s">
        <v>114</v>
      </c>
      <c r="AQ2" s="71" t="s">
        <v>115</v>
      </c>
      <c r="AR2" s="71" t="s">
        <v>116</v>
      </c>
      <c r="AS2" s="71" t="s">
        <v>117</v>
      </c>
      <c r="AT2" s="71" t="s">
        <v>118</v>
      </c>
      <c r="AU2" s="71" t="s">
        <v>119</v>
      </c>
      <c r="AV2" s="71" t="s">
        <v>120</v>
      </c>
      <c r="AW2" s="71" t="s">
        <v>121</v>
      </c>
      <c r="AX2" s="72" t="s">
        <v>122</v>
      </c>
      <c r="AZ2" s="102"/>
      <c r="BA2" s="103" t="s">
        <v>126</v>
      </c>
      <c r="BB2" s="104" t="s">
        <v>129</v>
      </c>
      <c r="BD2" s="119"/>
      <c r="BE2" s="118"/>
      <c r="BF2" s="103" t="s">
        <v>126</v>
      </c>
      <c r="BG2" s="104" t="s">
        <v>129</v>
      </c>
      <c r="BI2" s="121"/>
      <c r="BJ2" s="122"/>
      <c r="BK2" s="205">
        <v>2018</v>
      </c>
      <c r="BL2" s="206"/>
      <c r="BM2" s="207">
        <v>2017</v>
      </c>
      <c r="BN2" s="207"/>
      <c r="BO2" s="205">
        <v>2016</v>
      </c>
      <c r="BP2" s="206"/>
      <c r="BQ2" s="207">
        <v>2015</v>
      </c>
      <c r="BR2" s="206"/>
    </row>
    <row r="3" spans="1:70" ht="20.100000000000001" customHeight="1" thickTop="1" thickBot="1" x14ac:dyDescent="0.35">
      <c r="A3" s="150">
        <v>2</v>
      </c>
      <c r="B3" s="151">
        <v>2</v>
      </c>
      <c r="C3" s="151">
        <v>201810488</v>
      </c>
      <c r="D3" s="144" t="str">
        <f t="shared" si="0"/>
        <v>게임학과</v>
      </c>
      <c r="E3" s="152" t="s">
        <v>12</v>
      </c>
      <c r="F3" s="153">
        <v>55</v>
      </c>
      <c r="G3" s="146">
        <f t="shared" si="1"/>
        <v>27.5</v>
      </c>
      <c r="H3" s="153">
        <v>47</v>
      </c>
      <c r="I3" s="146">
        <f t="shared" si="2"/>
        <v>42.73</v>
      </c>
      <c r="J3" s="153">
        <v>81.11</v>
      </c>
      <c r="K3" s="153">
        <v>47</v>
      </c>
      <c r="L3" s="146">
        <f t="shared" si="3"/>
        <v>42.73</v>
      </c>
      <c r="M3" s="153">
        <v>25</v>
      </c>
      <c r="N3" s="154">
        <v>100</v>
      </c>
      <c r="O3" s="8">
        <f t="shared" si="4"/>
        <v>43.09</v>
      </c>
      <c r="P3" s="148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49" t="str">
        <f t="shared" si="8"/>
        <v>104</v>
      </c>
      <c r="U3" s="8" t="b">
        <f t="shared" si="9"/>
        <v>1</v>
      </c>
      <c r="V3" s="8" t="str">
        <f t="shared" si="10"/>
        <v>D</v>
      </c>
      <c r="W3" s="8" t="str">
        <f t="shared" si="11"/>
        <v>D+</v>
      </c>
      <c r="AA3" s="15" t="s">
        <v>5</v>
      </c>
      <c r="AB3" s="15" t="s">
        <v>74</v>
      </c>
      <c r="AE3" s="24" t="s">
        <v>90</v>
      </c>
      <c r="AF3" s="25">
        <f>SUMIF($V$2:$V$54, "="&amp;AE3, $O$2:$O$54)</f>
        <v>1178.3400000000001</v>
      </c>
      <c r="AG3" s="31">
        <f>ROUND(AVERAGEIF($V$2:$V$54, "="&amp;AE3, $O$2:$O$54),2)</f>
        <v>78.56</v>
      </c>
      <c r="AH3" s="33">
        <f>COUNTIF($V$2:$V$54, "="&amp;AE3)</f>
        <v>15</v>
      </c>
      <c r="AM3" s="179">
        <v>101</v>
      </c>
      <c r="AN3" s="174">
        <v>1</v>
      </c>
      <c r="AO3" s="69" t="s">
        <v>123</v>
      </c>
      <c r="AP3" s="90">
        <f>COUNTIFS($B$2:$B$54,"="&amp;$AN3,$T$2:$T$54,"="&amp;$AM$3,$W$2:$W$54,"="&amp;AP$2)</f>
        <v>0</v>
      </c>
      <c r="AQ3" s="75">
        <f t="shared" ref="AQ3:AX3" si="12">COUNTIFS($B$2:$B$54,"="&amp;$AN3,$T$2:$T$54,"="&amp;$AM$3,$W$2:$W$54,"="&amp;AQ$2)</f>
        <v>0</v>
      </c>
      <c r="AR3" s="75">
        <f t="shared" si="12"/>
        <v>0</v>
      </c>
      <c r="AS3" s="75">
        <f t="shared" si="12"/>
        <v>0</v>
      </c>
      <c r="AT3" s="75">
        <f t="shared" si="12"/>
        <v>0</v>
      </c>
      <c r="AU3" s="75">
        <f t="shared" si="12"/>
        <v>0</v>
      </c>
      <c r="AV3" s="75">
        <f t="shared" si="12"/>
        <v>0</v>
      </c>
      <c r="AW3" s="75">
        <f t="shared" si="12"/>
        <v>0</v>
      </c>
      <c r="AX3" s="74">
        <f t="shared" si="12"/>
        <v>0</v>
      </c>
      <c r="AZ3" s="105" t="s">
        <v>98</v>
      </c>
      <c r="BA3" s="126">
        <f>_xlfn.MAXIFS($O$2:$O$54,$W$2:$W$54,"="&amp;$AZ3)</f>
        <v>89.82</v>
      </c>
      <c r="BB3" s="101">
        <f>_xlfn.MINIFS($O$2:$O$54,$W$2:$W$54,"="&amp;$AZ3)</f>
        <v>81.27</v>
      </c>
      <c r="BD3" s="204">
        <v>101</v>
      </c>
      <c r="BE3" s="107">
        <v>1</v>
      </c>
      <c r="BF3" s="126">
        <f>_xlfn.MAXIFS($O$2:$O$54,$T$2:$T$54,"="&amp;$BD$3,$B$2:$B$54,"="&amp;$BE3)</f>
        <v>0</v>
      </c>
      <c r="BG3" s="101">
        <f>_xlfn.MINIFS($O$2:$O$54,$T$2:$T$54,"="&amp;$BD$3,$B$2:$B$54,"="&amp;$BE3)</f>
        <v>0</v>
      </c>
      <c r="BI3" s="123"/>
      <c r="BJ3" s="124"/>
      <c r="BK3" s="112" t="s">
        <v>126</v>
      </c>
      <c r="BL3" s="41" t="s">
        <v>129</v>
      </c>
      <c r="BM3" s="111" t="s">
        <v>126</v>
      </c>
      <c r="BN3" s="120" t="s">
        <v>129</v>
      </c>
      <c r="BO3" s="112" t="s">
        <v>126</v>
      </c>
      <c r="BP3" s="41" t="s">
        <v>129</v>
      </c>
      <c r="BQ3" s="111" t="s">
        <v>126</v>
      </c>
      <c r="BR3" s="41" t="s">
        <v>129</v>
      </c>
    </row>
    <row r="4" spans="1:70" ht="20.100000000000001" customHeight="1" thickTop="1" x14ac:dyDescent="0.3">
      <c r="A4" s="150">
        <v>3</v>
      </c>
      <c r="B4" s="151">
        <v>2</v>
      </c>
      <c r="C4" s="151">
        <v>201810390</v>
      </c>
      <c r="D4" s="144" t="str">
        <f t="shared" si="0"/>
        <v>전자학과</v>
      </c>
      <c r="E4" s="152" t="s">
        <v>13</v>
      </c>
      <c r="F4" s="153">
        <v>82</v>
      </c>
      <c r="G4" s="146">
        <f t="shared" si="1"/>
        <v>41</v>
      </c>
      <c r="H4" s="153">
        <v>34</v>
      </c>
      <c r="I4" s="146">
        <f t="shared" si="2"/>
        <v>30.91</v>
      </c>
      <c r="J4" s="153">
        <v>100</v>
      </c>
      <c r="K4" s="153">
        <v>34</v>
      </c>
      <c r="L4" s="146">
        <f t="shared" si="3"/>
        <v>30.91</v>
      </c>
      <c r="M4" s="153">
        <v>45</v>
      </c>
      <c r="N4" s="154">
        <v>100</v>
      </c>
      <c r="O4" s="8">
        <f t="shared" si="4"/>
        <v>45.71</v>
      </c>
      <c r="P4" s="148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49" t="str">
        <f t="shared" si="8"/>
        <v>103</v>
      </c>
      <c r="U4" s="8" t="b">
        <f t="shared" si="9"/>
        <v>1</v>
      </c>
      <c r="V4" s="8" t="str">
        <f t="shared" si="10"/>
        <v>C</v>
      </c>
      <c r="W4" s="8" t="str">
        <f t="shared" si="11"/>
        <v>C0</v>
      </c>
      <c r="AA4" s="16">
        <v>101</v>
      </c>
      <c r="AB4" s="15" t="s">
        <v>75</v>
      </c>
      <c r="AE4" s="27" t="s">
        <v>91</v>
      </c>
      <c r="AF4" s="25">
        <f t="shared" ref="AF4:AF7" si="13">SUMIF($V$2:$V$54, "="&amp;AE4, $O$2:$O$54)</f>
        <v>1092.4499999999998</v>
      </c>
      <c r="AG4" s="31">
        <f t="shared" ref="AG4:AG7" si="14">ROUND(AVERAGEIF($V$2:$V$54, "="&amp;AE4, $O$2:$O$54),2)</f>
        <v>68.28</v>
      </c>
      <c r="AH4" s="26">
        <f t="shared" ref="AH4:AH7" si="15">COUNTIF($V$2:$V$54, "="&amp;AE4)</f>
        <v>16</v>
      </c>
      <c r="AM4" s="175"/>
      <c r="AN4" s="169"/>
      <c r="AO4" s="84" t="s">
        <v>124</v>
      </c>
      <c r="AP4" s="91">
        <f>SUMIFS($O$2:$O$54,$B$2:$B$54,"="&amp;$AN3,$T$2:$T$54,"="&amp;$AM$3,$W$2:$W$54,"="&amp;AP$2)</f>
        <v>0</v>
      </c>
      <c r="AQ4" s="77">
        <f t="shared" ref="AQ4:AX4" si="16">SUMIFS($O$2:$O$54,$B$2:$B$54,"="&amp;$AN3,$T$2:$T$54,"="&amp;$AM$3,$W$2:$W$54,"="&amp;AQ$2)</f>
        <v>0</v>
      </c>
      <c r="AR4" s="77">
        <f t="shared" si="16"/>
        <v>0</v>
      </c>
      <c r="AS4" s="77">
        <f t="shared" si="16"/>
        <v>0</v>
      </c>
      <c r="AT4" s="77">
        <f t="shared" si="16"/>
        <v>0</v>
      </c>
      <c r="AU4" s="77">
        <f t="shared" si="16"/>
        <v>0</v>
      </c>
      <c r="AV4" s="77">
        <f t="shared" si="16"/>
        <v>0</v>
      </c>
      <c r="AW4" s="77">
        <f t="shared" si="16"/>
        <v>0</v>
      </c>
      <c r="AX4" s="76">
        <f t="shared" si="16"/>
        <v>0</v>
      </c>
      <c r="AZ4" s="108" t="s">
        <v>99</v>
      </c>
      <c r="BA4" s="127">
        <f t="shared" ref="BA4:BA11" si="17">_xlfn.MAXIFS($O$2:$O$54,$W$2:$W$54,"="&amp;$AZ4)</f>
        <v>78.84</v>
      </c>
      <c r="BB4" s="107">
        <f t="shared" ref="BB4:BB11" si="18">_xlfn.MINIFS($O$2:$O$54,$W$2:$W$54,"="&amp;$AZ4)</f>
        <v>72.69</v>
      </c>
      <c r="BD4" s="201"/>
      <c r="BE4" s="109">
        <v>2</v>
      </c>
      <c r="BF4" s="131">
        <f t="shared" ref="BF4:BF6" si="19">_xlfn.MAXIFS($O$2:$O$54,$T$2:$T$54,"="&amp;$BD$3,$B$2:$B$54,"="&amp;$BE4)</f>
        <v>89.82</v>
      </c>
      <c r="BG4" s="109">
        <f t="shared" ref="BG4:BG6" si="20">_xlfn.MINIFS($O$2:$O$54,$T$2:$T$54,"="&amp;$BD$3,$B$2:$B$54,"="&amp;$BE4)</f>
        <v>30.39</v>
      </c>
      <c r="BI4" s="201">
        <v>101</v>
      </c>
      <c r="BJ4" s="107">
        <v>1</v>
      </c>
      <c r="BK4" s="106">
        <f>_xlfn.MAXIFS($O$2:$O$54,$T$2:$T$54,"="&amp;$BI$4,$B$2:$B$54,"="&amp;$BJ4,$S$2:$S$54,"="&amp;BK$2)</f>
        <v>0</v>
      </c>
      <c r="BL4" s="107">
        <f>_xlfn.MINIFS($O$2:$O$54,$T$2:$T$54,"="&amp;$BI$4,$B$2:$B$54,"="&amp;$BJ4,$S$2:$S$54,"="&amp;BK$2)</f>
        <v>0</v>
      </c>
      <c r="BM4" s="106">
        <f t="shared" ref="BM4:BM7" si="21">_xlfn.MAXIFS($O$2:$O$54,$T$2:$T$54,"="&amp;$BI$4,$B$2:$B$54,"="&amp;$BJ4,$S$2:$S$54,"="&amp;BM$2)</f>
        <v>0</v>
      </c>
      <c r="BN4" s="107">
        <f t="shared" ref="BN4" si="22">_xlfn.MINIFS($O$2:$O$54,$T$2:$T$54,"="&amp;$BI$4,$B$2:$B$54,"="&amp;$BJ4,$S$2:$S$54,"="&amp;BM$2)</f>
        <v>0</v>
      </c>
      <c r="BO4" s="106">
        <f t="shared" ref="BO4:BO7" si="23">_xlfn.MAXIFS($O$2:$O$54,$T$2:$T$54,"="&amp;$BI$4,$B$2:$B$54,"="&amp;$BJ4,$S$2:$S$54,"="&amp;BO$2)</f>
        <v>0</v>
      </c>
      <c r="BP4" s="107">
        <f t="shared" ref="BP4" si="24">_xlfn.MINIFS($O$2:$O$54,$T$2:$T$54,"="&amp;$BI$4,$B$2:$B$54,"="&amp;$BJ4,$S$2:$S$54,"="&amp;BO$2)</f>
        <v>0</v>
      </c>
      <c r="BQ4" s="106">
        <f t="shared" ref="BQ4:BQ7" si="25">_xlfn.MAXIFS($O$2:$O$54,$T$2:$T$54,"="&amp;$BI$4,$B$2:$B$54,"="&amp;$BJ4,$S$2:$S$54,"="&amp;BQ$2)</f>
        <v>0</v>
      </c>
      <c r="BR4" s="107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50">
        <v>4</v>
      </c>
      <c r="B5" s="151">
        <v>2</v>
      </c>
      <c r="C5" s="151">
        <v>201710239</v>
      </c>
      <c r="D5" s="144" t="str">
        <f t="shared" si="0"/>
        <v>보안학과</v>
      </c>
      <c r="E5" s="152" t="s">
        <v>14</v>
      </c>
      <c r="F5" s="153">
        <v>126</v>
      </c>
      <c r="G5" s="146">
        <f t="shared" si="1"/>
        <v>63</v>
      </c>
      <c r="H5" s="153">
        <v>79</v>
      </c>
      <c r="I5" s="146">
        <f t="shared" si="2"/>
        <v>71.819999999999993</v>
      </c>
      <c r="J5" s="153">
        <v>97.78</v>
      </c>
      <c r="K5" s="153">
        <v>54</v>
      </c>
      <c r="L5" s="146">
        <f t="shared" si="3"/>
        <v>49.09</v>
      </c>
      <c r="M5" s="153">
        <v>39</v>
      </c>
      <c r="N5" s="154">
        <v>100</v>
      </c>
      <c r="O5" s="8">
        <f t="shared" si="4"/>
        <v>67.62</v>
      </c>
      <c r="P5" s="148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49" t="str">
        <f t="shared" si="8"/>
        <v>102</v>
      </c>
      <c r="U5" s="8" t="b">
        <f t="shared" si="9"/>
        <v>1</v>
      </c>
      <c r="V5" s="8" t="str">
        <f t="shared" si="10"/>
        <v>B</v>
      </c>
      <c r="W5" s="8" t="str">
        <f t="shared" si="11"/>
        <v>B0</v>
      </c>
      <c r="AA5" s="16">
        <v>102</v>
      </c>
      <c r="AB5" s="15" t="s">
        <v>76</v>
      </c>
      <c r="AE5" s="27" t="s">
        <v>92</v>
      </c>
      <c r="AF5" s="25">
        <f t="shared" si="13"/>
        <v>603.79</v>
      </c>
      <c r="AG5" s="31">
        <f t="shared" si="14"/>
        <v>54.89</v>
      </c>
      <c r="AH5" s="26">
        <f t="shared" si="15"/>
        <v>11</v>
      </c>
      <c r="AM5" s="175"/>
      <c r="AN5" s="171"/>
      <c r="AO5" s="78" t="s">
        <v>125</v>
      </c>
      <c r="AP5" s="93" t="str">
        <f>IFERROR(ROUND(AVERAGEIFS($O$2:$O$54,$B$2:$B$54,"="&amp;$AN3,$T$2:$T$54,"="&amp;$AM$3,$W$2:$W$54,"="&amp;AP$2),2),"-")</f>
        <v>-</v>
      </c>
      <c r="AQ5" s="81" t="str">
        <f t="shared" ref="AQ5:AX5" si="27">IFERROR(ROUND(AVERAGEIFS($O$2:$O$54,$B$2:$B$54,"="&amp;$AN3,$T$2:$T$54,"="&amp;$AM$3,$W$2:$W$54,"="&amp;AQ$2),2),"-")</f>
        <v>-</v>
      </c>
      <c r="AR5" s="81" t="str">
        <f t="shared" si="27"/>
        <v>-</v>
      </c>
      <c r="AS5" s="81" t="str">
        <f t="shared" si="27"/>
        <v>-</v>
      </c>
      <c r="AT5" s="81" t="str">
        <f t="shared" si="27"/>
        <v>-</v>
      </c>
      <c r="AU5" s="81" t="str">
        <f t="shared" si="27"/>
        <v>-</v>
      </c>
      <c r="AV5" s="81" t="str">
        <f t="shared" si="27"/>
        <v>-</v>
      </c>
      <c r="AW5" s="81" t="str">
        <f t="shared" si="27"/>
        <v>-</v>
      </c>
      <c r="AX5" s="80" t="str">
        <f t="shared" si="27"/>
        <v>-</v>
      </c>
      <c r="AZ5" s="108" t="s">
        <v>100</v>
      </c>
      <c r="BA5" s="127">
        <f t="shared" si="17"/>
        <v>82.26</v>
      </c>
      <c r="BB5" s="107">
        <f t="shared" si="18"/>
        <v>68.739999999999995</v>
      </c>
      <c r="BD5" s="201"/>
      <c r="BE5" s="109">
        <v>3</v>
      </c>
      <c r="BF5" s="131">
        <f t="shared" si="19"/>
        <v>78.84</v>
      </c>
      <c r="BG5" s="109">
        <f t="shared" si="20"/>
        <v>56.46</v>
      </c>
      <c r="BI5" s="201"/>
      <c r="BJ5" s="109">
        <v>2</v>
      </c>
      <c r="BK5" s="106">
        <f t="shared" ref="BK5:BK7" si="28">_xlfn.MAXIFS($O$2:$O$54,$T$2:$T$54,"="&amp;$BI$4,$B$2:$B$54,"="&amp;$BJ5,$S$2:$S$54,"="&amp;BK$2)</f>
        <v>77.989999999999995</v>
      </c>
      <c r="BL5" s="107">
        <f t="shared" ref="BL5:BL7" si="29">_xlfn.MINIFS($O$2:$O$54,$T$2:$T$54,"="&amp;$BI$4,$B$2:$B$54,"="&amp;$BJ5,$S$2:$S$54,"="&amp;BK$2)</f>
        <v>30.39</v>
      </c>
      <c r="BM5" s="106">
        <f t="shared" si="21"/>
        <v>89.82</v>
      </c>
      <c r="BN5" s="107">
        <f t="shared" ref="BN5" si="30">_xlfn.MINIFS($O$2:$O$54,$T$2:$T$54,"="&amp;$BI$4,$B$2:$B$54,"="&amp;$BJ5,$S$2:$S$54,"="&amp;BM$2)</f>
        <v>30.68</v>
      </c>
      <c r="BO5" s="106">
        <f t="shared" si="23"/>
        <v>77.72</v>
      </c>
      <c r="BP5" s="107">
        <f t="shared" ref="BP5" si="31">_xlfn.MINIFS($O$2:$O$54,$T$2:$T$54,"="&amp;$BI$4,$B$2:$B$54,"="&amp;$BJ5,$S$2:$S$54,"="&amp;BO$2)</f>
        <v>72.3</v>
      </c>
      <c r="BQ5" s="106">
        <f t="shared" si="25"/>
        <v>0</v>
      </c>
      <c r="BR5" s="107">
        <f t="shared" si="26"/>
        <v>0</v>
      </c>
    </row>
    <row r="6" spans="1:70" ht="20.100000000000001" customHeight="1" thickBot="1" x14ac:dyDescent="0.35">
      <c r="A6" s="150">
        <v>5</v>
      </c>
      <c r="B6" s="151">
        <v>3</v>
      </c>
      <c r="C6" s="151">
        <v>201710275</v>
      </c>
      <c r="D6" s="144" t="str">
        <f t="shared" si="0"/>
        <v>보안학과</v>
      </c>
      <c r="E6" s="152" t="s">
        <v>15</v>
      </c>
      <c r="F6" s="153">
        <v>131</v>
      </c>
      <c r="G6" s="146">
        <f t="shared" si="1"/>
        <v>65.5</v>
      </c>
      <c r="H6" s="153">
        <v>88</v>
      </c>
      <c r="I6" s="146">
        <f t="shared" si="2"/>
        <v>80</v>
      </c>
      <c r="J6" s="153">
        <v>88.89</v>
      </c>
      <c r="K6" s="153">
        <v>53</v>
      </c>
      <c r="L6" s="146">
        <f t="shared" si="3"/>
        <v>48.18</v>
      </c>
      <c r="M6" s="153">
        <v>61</v>
      </c>
      <c r="N6" s="154">
        <v>100</v>
      </c>
      <c r="O6" s="8">
        <f t="shared" si="4"/>
        <v>72.459999999999994</v>
      </c>
      <c r="P6" s="148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49" t="str">
        <f t="shared" si="8"/>
        <v>102</v>
      </c>
      <c r="U6" s="8" t="b">
        <f t="shared" si="9"/>
        <v>1</v>
      </c>
      <c r="V6" s="8" t="str">
        <f t="shared" si="10"/>
        <v>B</v>
      </c>
      <c r="W6" s="8" t="str">
        <f t="shared" si="11"/>
        <v>B+</v>
      </c>
      <c r="AA6" s="16">
        <v>103</v>
      </c>
      <c r="AB6" s="15" t="s">
        <v>77</v>
      </c>
      <c r="AE6" s="27" t="s">
        <v>93</v>
      </c>
      <c r="AF6" s="25">
        <f t="shared" si="13"/>
        <v>210.53000000000003</v>
      </c>
      <c r="AG6" s="31">
        <f t="shared" si="14"/>
        <v>42.11</v>
      </c>
      <c r="AH6" s="26">
        <f t="shared" si="15"/>
        <v>5</v>
      </c>
      <c r="AM6" s="175"/>
      <c r="AN6" s="168">
        <v>2</v>
      </c>
      <c r="AO6" s="84" t="s">
        <v>123</v>
      </c>
      <c r="AP6" s="94">
        <f t="shared" ref="AP6:AX12" si="32">COUNTIFS($B$2:$B$54,"="&amp;$AN6,$T$2:$T$54,"="&amp;$AM$3,$W$2:$W$54,"="&amp;AP$2)</f>
        <v>1</v>
      </c>
      <c r="AQ6" s="83">
        <f t="shared" si="32"/>
        <v>2</v>
      </c>
      <c r="AR6" s="83">
        <f t="shared" si="32"/>
        <v>1</v>
      </c>
      <c r="AS6" s="83">
        <f t="shared" si="32"/>
        <v>0</v>
      </c>
      <c r="AT6" s="83">
        <f t="shared" si="32"/>
        <v>1</v>
      </c>
      <c r="AU6" s="83">
        <f t="shared" si="32"/>
        <v>0</v>
      </c>
      <c r="AV6" s="83">
        <f t="shared" si="32"/>
        <v>0</v>
      </c>
      <c r="AW6" s="83">
        <f t="shared" si="32"/>
        <v>0</v>
      </c>
      <c r="AX6" s="82">
        <f t="shared" si="32"/>
        <v>3</v>
      </c>
      <c r="AZ6" s="108" t="s">
        <v>101</v>
      </c>
      <c r="BA6" s="127">
        <f t="shared" si="17"/>
        <v>68.150000000000006</v>
      </c>
      <c r="BB6" s="107">
        <f t="shared" si="18"/>
        <v>62.86</v>
      </c>
      <c r="BD6" s="201"/>
      <c r="BE6" s="114">
        <v>4</v>
      </c>
      <c r="BF6" s="132">
        <f t="shared" si="19"/>
        <v>77.959999999999994</v>
      </c>
      <c r="BG6" s="114">
        <f t="shared" si="20"/>
        <v>38.93</v>
      </c>
      <c r="BI6" s="201"/>
      <c r="BJ6" s="109">
        <v>3</v>
      </c>
      <c r="BK6" s="106">
        <f t="shared" si="28"/>
        <v>0</v>
      </c>
      <c r="BL6" s="107">
        <f t="shared" si="29"/>
        <v>0</v>
      </c>
      <c r="BM6" s="106">
        <f t="shared" si="21"/>
        <v>0</v>
      </c>
      <c r="BN6" s="107">
        <f t="shared" ref="BN6" si="33">_xlfn.MINIFS($O$2:$O$54,$T$2:$T$54,"="&amp;$BI$4,$B$2:$B$54,"="&amp;$BJ6,$S$2:$S$54,"="&amp;BM$2)</f>
        <v>0</v>
      </c>
      <c r="BO6" s="106">
        <f t="shared" si="23"/>
        <v>56.46</v>
      </c>
      <c r="BP6" s="107">
        <f t="shared" ref="BP6" si="34">_xlfn.MINIFS($O$2:$O$54,$T$2:$T$54,"="&amp;$BI$4,$B$2:$B$54,"="&amp;$BJ6,$S$2:$S$54,"="&amp;BO$2)</f>
        <v>56.46</v>
      </c>
      <c r="BQ6" s="106">
        <f t="shared" si="25"/>
        <v>78.84</v>
      </c>
      <c r="BR6" s="107">
        <f t="shared" si="26"/>
        <v>78.84</v>
      </c>
    </row>
    <row r="7" spans="1:70" ht="20.100000000000001" customHeight="1" thickTop="1" thickBot="1" x14ac:dyDescent="0.35">
      <c r="A7" s="150">
        <v>6</v>
      </c>
      <c r="B7" s="151">
        <v>4</v>
      </c>
      <c r="C7" s="151">
        <v>201610177</v>
      </c>
      <c r="D7" s="144" t="str">
        <f t="shared" si="0"/>
        <v>컴퓨터학과</v>
      </c>
      <c r="E7" s="152" t="s">
        <v>16</v>
      </c>
      <c r="F7" s="153">
        <v>156</v>
      </c>
      <c r="G7" s="146">
        <f t="shared" si="1"/>
        <v>78</v>
      </c>
      <c r="H7" s="153">
        <v>63</v>
      </c>
      <c r="I7" s="146">
        <f t="shared" si="2"/>
        <v>57.27</v>
      </c>
      <c r="J7" s="153">
        <v>95.56</v>
      </c>
      <c r="K7" s="153">
        <v>55</v>
      </c>
      <c r="L7" s="146">
        <f t="shared" si="3"/>
        <v>50</v>
      </c>
      <c r="M7" s="153">
        <v>70</v>
      </c>
      <c r="N7" s="154">
        <v>80</v>
      </c>
      <c r="O7" s="8">
        <f t="shared" si="4"/>
        <v>69</v>
      </c>
      <c r="P7" s="148">
        <f t="shared" si="5"/>
        <v>21</v>
      </c>
      <c r="Q7" s="8">
        <f t="shared" si="6"/>
        <v>21</v>
      </c>
      <c r="R7" s="9" t="s">
        <v>71</v>
      </c>
      <c r="S7" s="8" t="str">
        <f t="shared" si="7"/>
        <v>2016</v>
      </c>
      <c r="T7" s="149" t="str">
        <f t="shared" si="8"/>
        <v>101</v>
      </c>
      <c r="U7" s="8" t="b">
        <f t="shared" si="9"/>
        <v>0</v>
      </c>
      <c r="V7" s="8" t="str">
        <f t="shared" si="10"/>
        <v>B</v>
      </c>
      <c r="W7" s="8" t="str">
        <f t="shared" si="11"/>
        <v>B+</v>
      </c>
      <c r="AA7" s="16">
        <v>104</v>
      </c>
      <c r="AB7" s="15" t="s">
        <v>78</v>
      </c>
      <c r="AE7" s="28" t="s">
        <v>94</v>
      </c>
      <c r="AF7" s="29">
        <f t="shared" si="13"/>
        <v>181.76999999999998</v>
      </c>
      <c r="AG7" s="32">
        <f t="shared" si="14"/>
        <v>30.3</v>
      </c>
      <c r="AH7" s="34">
        <f t="shared" si="15"/>
        <v>6</v>
      </c>
      <c r="AM7" s="175"/>
      <c r="AN7" s="169"/>
      <c r="AO7" s="76" t="s">
        <v>124</v>
      </c>
      <c r="AP7" s="91">
        <f t="shared" ref="AP7" si="35">SUMIFS($O$2:$O$54,$B$2:$B$54,"="&amp;$AN6,$T$2:$T$54,"="&amp;$AM$3,$W$2:$W$54,"="&amp;AP$2)</f>
        <v>89.82</v>
      </c>
      <c r="AQ7" s="77">
        <f t="shared" ref="AQ7" si="36">SUMIFS($O$2:$O$54,$B$2:$B$54,"="&amp;$AN6,$T$2:$T$54,"="&amp;$AM$3,$W$2:$W$54,"="&amp;AQ$2)</f>
        <v>155.70999999999998</v>
      </c>
      <c r="AR7" s="77">
        <f t="shared" ref="AR7" si="37">SUMIFS($O$2:$O$54,$B$2:$B$54,"="&amp;$AN6,$T$2:$T$54,"="&amp;$AM$3,$W$2:$W$54,"="&amp;AR$2)</f>
        <v>72.3</v>
      </c>
      <c r="AS7" s="77">
        <f t="shared" ref="AS7" si="38">SUMIFS($O$2:$O$54,$B$2:$B$54,"="&amp;$AN6,$T$2:$T$54,"="&amp;$AM$3,$W$2:$W$54,"="&amp;AS$2)</f>
        <v>0</v>
      </c>
      <c r="AT7" s="77">
        <f t="shared" ref="AT7" si="39">SUMIFS($O$2:$O$54,$B$2:$B$54,"="&amp;$AN6,$T$2:$T$54,"="&amp;$AM$3,$W$2:$W$54,"="&amp;AT$2)</f>
        <v>60.7</v>
      </c>
      <c r="AU7" s="77">
        <f t="shared" ref="AU7" si="40">SUMIFS($O$2:$O$54,$B$2:$B$54,"="&amp;$AN6,$T$2:$T$54,"="&amp;$AM$3,$W$2:$W$54,"="&amp;AU$2)</f>
        <v>0</v>
      </c>
      <c r="AV7" s="77">
        <f t="shared" ref="AV7" si="41">SUMIFS($O$2:$O$54,$B$2:$B$54,"="&amp;$AN6,$T$2:$T$54,"="&amp;$AM$3,$W$2:$W$54,"="&amp;AV$2)</f>
        <v>0</v>
      </c>
      <c r="AW7" s="77">
        <f t="shared" ref="AW7" si="42">SUMIFS($O$2:$O$54,$B$2:$B$54,"="&amp;$AN6,$T$2:$T$54,"="&amp;$AM$3,$W$2:$W$54,"="&amp;AW$2)</f>
        <v>0</v>
      </c>
      <c r="AX7" s="76">
        <f t="shared" ref="AX7" si="43">SUMIFS($O$2:$O$54,$B$2:$B$54,"="&amp;$AN6,$T$2:$T$54,"="&amp;$AM$3,$W$2:$W$54,"="&amp;AX$2)</f>
        <v>96.93</v>
      </c>
      <c r="AZ7" s="108" t="s">
        <v>102</v>
      </c>
      <c r="BA7" s="127">
        <f t="shared" si="17"/>
        <v>60.7</v>
      </c>
      <c r="BB7" s="107">
        <f t="shared" si="18"/>
        <v>55.31</v>
      </c>
      <c r="BD7" s="200">
        <v>102</v>
      </c>
      <c r="BE7" s="115">
        <v>1</v>
      </c>
      <c r="BF7" s="130">
        <f>_xlfn.MAXIFS($O$2:$O$54,$T$2:$T$54,"="&amp;$BD$7,$B$2:$B$54,"="&amp;$BE7)</f>
        <v>0</v>
      </c>
      <c r="BG7" s="115">
        <f>_xlfn.MINIFS($O$2:$O$54,$T$2:$T$54,"="&amp;$BD$7,$B$2:$B$54,"="&amp;$BE7)</f>
        <v>0</v>
      </c>
      <c r="BI7" s="201"/>
      <c r="BJ7" s="114">
        <v>4</v>
      </c>
      <c r="BK7" s="135">
        <f t="shared" si="28"/>
        <v>0</v>
      </c>
      <c r="BL7" s="136">
        <f t="shared" si="29"/>
        <v>0</v>
      </c>
      <c r="BM7" s="135">
        <f t="shared" si="21"/>
        <v>0</v>
      </c>
      <c r="BN7" s="136">
        <f t="shared" ref="BN7" si="44">_xlfn.MINIFS($O$2:$O$54,$T$2:$T$54,"="&amp;$BI$4,$B$2:$B$54,"="&amp;$BJ7,$S$2:$S$54,"="&amp;BM$2)</f>
        <v>0</v>
      </c>
      <c r="BO7" s="135">
        <f t="shared" si="23"/>
        <v>77.959999999999994</v>
      </c>
      <c r="BP7" s="136">
        <f t="shared" ref="BP7" si="45">_xlfn.MINIFS($O$2:$O$54,$T$2:$T$54,"="&amp;$BI$4,$B$2:$B$54,"="&amp;$BJ7,$S$2:$S$54,"="&amp;BO$2)</f>
        <v>38.93</v>
      </c>
      <c r="BQ7" s="135">
        <f t="shared" si="25"/>
        <v>0</v>
      </c>
      <c r="BR7" s="136">
        <f t="shared" si="26"/>
        <v>0</v>
      </c>
    </row>
    <row r="8" spans="1:70" ht="20.100000000000001" customHeight="1" thickTop="1" x14ac:dyDescent="0.3">
      <c r="A8" s="150">
        <v>7</v>
      </c>
      <c r="B8" s="151">
        <v>4</v>
      </c>
      <c r="C8" s="151">
        <v>201610179</v>
      </c>
      <c r="D8" s="144" t="str">
        <f t="shared" si="0"/>
        <v>컴퓨터학과</v>
      </c>
      <c r="E8" s="152" t="s">
        <v>17</v>
      </c>
      <c r="F8" s="153">
        <v>120</v>
      </c>
      <c r="G8" s="146">
        <f t="shared" si="1"/>
        <v>60</v>
      </c>
      <c r="H8" s="153">
        <v>47</v>
      </c>
      <c r="I8" s="146">
        <f t="shared" si="2"/>
        <v>42.73</v>
      </c>
      <c r="J8" s="153">
        <v>88.89</v>
      </c>
      <c r="K8" s="153">
        <v>59</v>
      </c>
      <c r="L8" s="146">
        <f t="shared" si="3"/>
        <v>53.64</v>
      </c>
      <c r="M8" s="153">
        <v>51</v>
      </c>
      <c r="N8" s="154">
        <v>60</v>
      </c>
      <c r="O8" s="8">
        <f t="shared" si="4"/>
        <v>55.31</v>
      </c>
      <c r="P8" s="148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49" t="str">
        <f t="shared" si="8"/>
        <v>101</v>
      </c>
      <c r="U8" s="8" t="b">
        <f t="shared" si="9"/>
        <v>1</v>
      </c>
      <c r="V8" s="8" t="str">
        <f t="shared" si="10"/>
        <v>C</v>
      </c>
      <c r="W8" s="8" t="str">
        <f t="shared" si="11"/>
        <v>C+</v>
      </c>
      <c r="AA8" s="16">
        <v>105</v>
      </c>
      <c r="AB8" s="15" t="s">
        <v>79</v>
      </c>
      <c r="AM8" s="175"/>
      <c r="AN8" s="171"/>
      <c r="AO8" s="78" t="s">
        <v>125</v>
      </c>
      <c r="AP8" s="92">
        <f t="shared" ref="AP8:AX8" si="46">IFERROR(ROUND(AVERAGEIFS($O$2:$O$54,$B$2:$B$54,"="&amp;$AN6,$T$2:$T$54,"="&amp;$AM$3,$W$2:$W$54,"="&amp;AP$2),2),"-")</f>
        <v>89.82</v>
      </c>
      <c r="AQ8" s="79">
        <f t="shared" si="46"/>
        <v>77.86</v>
      </c>
      <c r="AR8" s="79">
        <f t="shared" si="46"/>
        <v>72.3</v>
      </c>
      <c r="AS8" s="79" t="str">
        <f t="shared" si="46"/>
        <v>-</v>
      </c>
      <c r="AT8" s="79">
        <f t="shared" si="46"/>
        <v>60.7</v>
      </c>
      <c r="AU8" s="79" t="str">
        <f t="shared" si="46"/>
        <v>-</v>
      </c>
      <c r="AV8" s="79" t="str">
        <f t="shared" si="46"/>
        <v>-</v>
      </c>
      <c r="AW8" s="79" t="str">
        <f t="shared" si="46"/>
        <v>-</v>
      </c>
      <c r="AX8" s="78">
        <f t="shared" si="46"/>
        <v>32.31</v>
      </c>
      <c r="AZ8" s="108" t="s">
        <v>103</v>
      </c>
      <c r="BA8" s="127">
        <f t="shared" si="17"/>
        <v>54.35</v>
      </c>
      <c r="BB8" s="107">
        <f t="shared" si="18"/>
        <v>45.71</v>
      </c>
      <c r="BD8" s="201"/>
      <c r="BE8" s="109">
        <v>2</v>
      </c>
      <c r="BF8" s="131">
        <f t="shared" ref="BF8:BF10" si="47">_xlfn.MAXIFS($O$2:$O$54,$T$2:$T$54,"="&amp;$BD$7,$B$2:$B$54,"="&amp;$BE8)</f>
        <v>76.010000000000005</v>
      </c>
      <c r="BG8" s="109">
        <f t="shared" ref="BG8:BG10" si="48">_xlfn.MINIFS($O$2:$O$54,$T$2:$T$54,"="&amp;$BD$7,$B$2:$B$54,"="&amp;$BE8)</f>
        <v>39.770000000000003</v>
      </c>
      <c r="BI8" s="200">
        <v>102</v>
      </c>
      <c r="BJ8" s="115">
        <v>1</v>
      </c>
      <c r="BK8" s="116">
        <f>_xlfn.MAXIFS($O$2:$O$54,$T$2:$T$54,"="&amp;$BI$8,$B$2:$B$54,"="&amp;$BJ8,$S$2:$S$54,"="&amp;BK$2)</f>
        <v>0</v>
      </c>
      <c r="BL8" s="115">
        <f>_xlfn.MINIFS($O$2:$O$54,$T$2:$T$54,"="&amp;$BI$8,$B$2:$B$54,"="&amp;$BJ8,$S$2:$S$54,"="&amp;BK$2)</f>
        <v>0</v>
      </c>
      <c r="BM8" s="116">
        <f t="shared" ref="BM8:BM11" si="49">_xlfn.MAXIFS($O$2:$O$54,$T$2:$T$54,"="&amp;$BI$8,$B$2:$B$54,"="&amp;$BJ8,$S$2:$S$54,"="&amp;BM$2)</f>
        <v>0</v>
      </c>
      <c r="BN8" s="115">
        <f t="shared" ref="BN8" si="50">_xlfn.MINIFS($O$2:$O$54,$T$2:$T$54,"="&amp;$BI$8,$B$2:$B$54,"="&amp;$BJ8,$S$2:$S$54,"="&amp;BM$2)</f>
        <v>0</v>
      </c>
      <c r="BO8" s="116">
        <f t="shared" ref="BO8:BO11" si="51">_xlfn.MAXIFS($O$2:$O$54,$T$2:$T$54,"="&amp;$BI$8,$B$2:$B$54,"="&amp;$BJ8,$S$2:$S$54,"="&amp;BO$2)</f>
        <v>0</v>
      </c>
      <c r="BP8" s="115">
        <f t="shared" ref="BP8" si="52">_xlfn.MINIFS($O$2:$O$54,$T$2:$T$54,"="&amp;$BI$8,$B$2:$B$54,"="&amp;$BJ8,$S$2:$S$54,"="&amp;BO$2)</f>
        <v>0</v>
      </c>
      <c r="BQ8" s="116">
        <f t="shared" ref="BQ8:BQ11" si="53">_xlfn.MAXIFS($O$2:$O$54,$T$2:$T$54,"="&amp;$BI$8,$B$2:$B$54,"="&amp;$BJ8,$S$2:$S$54,"="&amp;BQ$2)</f>
        <v>0</v>
      </c>
      <c r="BR8" s="115">
        <f t="shared" ref="BR8:BR11" si="54">_xlfn.MINIFS($O$2:$O$54,$T$2:$T$54,"="&amp;$BI$8,$B$2:$B$54,"="&amp;$BJ8,$S$2:$S$54,"="&amp;BQ$2)</f>
        <v>0</v>
      </c>
    </row>
    <row r="9" spans="1:70" ht="20.100000000000001" customHeight="1" thickBot="1" x14ac:dyDescent="0.35">
      <c r="A9" s="150">
        <v>8</v>
      </c>
      <c r="B9" s="151">
        <v>3</v>
      </c>
      <c r="C9" s="151">
        <v>201510585</v>
      </c>
      <c r="D9" s="144" t="str">
        <f t="shared" si="0"/>
        <v>통신학과</v>
      </c>
      <c r="E9" s="152" t="s">
        <v>18</v>
      </c>
      <c r="F9" s="153">
        <v>136</v>
      </c>
      <c r="G9" s="146">
        <f t="shared" si="1"/>
        <v>68</v>
      </c>
      <c r="H9" s="153">
        <v>64</v>
      </c>
      <c r="I9" s="146">
        <f t="shared" si="2"/>
        <v>58.18</v>
      </c>
      <c r="J9" s="153">
        <v>100</v>
      </c>
      <c r="K9" s="153">
        <v>80</v>
      </c>
      <c r="L9" s="146">
        <f t="shared" si="3"/>
        <v>72.73</v>
      </c>
      <c r="M9" s="153">
        <v>44</v>
      </c>
      <c r="N9" s="154">
        <v>100</v>
      </c>
      <c r="O9" s="8">
        <f t="shared" si="4"/>
        <v>67.44</v>
      </c>
      <c r="P9" s="148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49" t="str">
        <f t="shared" si="8"/>
        <v>105</v>
      </c>
      <c r="U9" s="8" t="b">
        <f t="shared" si="9"/>
        <v>1</v>
      </c>
      <c r="V9" s="8" t="str">
        <f t="shared" si="10"/>
        <v>B</v>
      </c>
      <c r="W9" s="8" t="str">
        <f t="shared" si="11"/>
        <v>B0</v>
      </c>
      <c r="AM9" s="175"/>
      <c r="AN9" s="168">
        <v>3</v>
      </c>
      <c r="AO9" s="82" t="s">
        <v>123</v>
      </c>
      <c r="AP9" s="94">
        <f t="shared" ref="AP9" si="55">COUNTIFS($B$2:$B$54,"="&amp;$AN9,$T$2:$T$54,"="&amp;$AM$3,$W$2:$W$54,"="&amp;AP$2)</f>
        <v>0</v>
      </c>
      <c r="AQ9" s="83">
        <f t="shared" si="32"/>
        <v>1</v>
      </c>
      <c r="AR9" s="83">
        <f t="shared" si="32"/>
        <v>0</v>
      </c>
      <c r="AS9" s="83">
        <f t="shared" si="32"/>
        <v>0</v>
      </c>
      <c r="AT9" s="83">
        <f t="shared" si="32"/>
        <v>1</v>
      </c>
      <c r="AU9" s="83">
        <f t="shared" si="32"/>
        <v>0</v>
      </c>
      <c r="AV9" s="83">
        <f t="shared" si="32"/>
        <v>0</v>
      </c>
      <c r="AW9" s="83">
        <f t="shared" si="32"/>
        <v>0</v>
      </c>
      <c r="AX9" s="82">
        <f t="shared" si="32"/>
        <v>0</v>
      </c>
      <c r="AZ9" s="108" t="s">
        <v>104</v>
      </c>
      <c r="BA9" s="127">
        <f t="shared" si="17"/>
        <v>44.88</v>
      </c>
      <c r="BB9" s="107">
        <f t="shared" si="18"/>
        <v>43.09</v>
      </c>
      <c r="BD9" s="201"/>
      <c r="BE9" s="109">
        <v>3</v>
      </c>
      <c r="BF9" s="131">
        <f t="shared" si="47"/>
        <v>72.459999999999994</v>
      </c>
      <c r="BG9" s="109">
        <f t="shared" si="48"/>
        <v>60.36</v>
      </c>
      <c r="BI9" s="201"/>
      <c r="BJ9" s="109">
        <v>2</v>
      </c>
      <c r="BK9" s="106">
        <f t="shared" ref="BK9:BK11" si="56">_xlfn.MAXIFS($O$2:$O$54,$T$2:$T$54,"="&amp;$BI$8,$B$2:$B$54,"="&amp;$BJ9,$S$2:$S$54,"="&amp;BK$2)</f>
        <v>73.41</v>
      </c>
      <c r="BL9" s="107">
        <f t="shared" ref="BL9:BL11" si="57">_xlfn.MINIFS($O$2:$O$54,$T$2:$T$54,"="&amp;$BI$8,$B$2:$B$54,"="&amp;$BJ9,$S$2:$S$54,"="&amp;BK$2)</f>
        <v>65.81</v>
      </c>
      <c r="BM9" s="106">
        <f t="shared" si="49"/>
        <v>67.62</v>
      </c>
      <c r="BN9" s="107">
        <f t="shared" ref="BN9" si="58">_xlfn.MINIFS($O$2:$O$54,$T$2:$T$54,"="&amp;$BI$8,$B$2:$B$54,"="&amp;$BJ9,$S$2:$S$54,"="&amp;BM$2)</f>
        <v>39.770000000000003</v>
      </c>
      <c r="BO9" s="106">
        <f t="shared" si="51"/>
        <v>76.010000000000005</v>
      </c>
      <c r="BP9" s="107">
        <f t="shared" ref="BP9" si="59">_xlfn.MINIFS($O$2:$O$54,$T$2:$T$54,"="&amp;$BI$8,$B$2:$B$54,"="&amp;$BJ9,$S$2:$S$54,"="&amp;BO$2)</f>
        <v>76.010000000000005</v>
      </c>
      <c r="BQ9" s="106">
        <f t="shared" si="53"/>
        <v>0</v>
      </c>
      <c r="BR9" s="107">
        <f t="shared" si="54"/>
        <v>0</v>
      </c>
    </row>
    <row r="10" spans="1:70" ht="20.100000000000001" customHeight="1" thickTop="1" thickBot="1" x14ac:dyDescent="0.35">
      <c r="A10" s="150">
        <v>9</v>
      </c>
      <c r="B10" s="151">
        <v>2</v>
      </c>
      <c r="C10" s="151">
        <v>201610586</v>
      </c>
      <c r="D10" s="144" t="str">
        <f t="shared" si="0"/>
        <v>통신학과</v>
      </c>
      <c r="E10" s="152" t="s">
        <v>19</v>
      </c>
      <c r="F10" s="153">
        <v>129</v>
      </c>
      <c r="G10" s="146">
        <f t="shared" si="1"/>
        <v>64.5</v>
      </c>
      <c r="H10" s="153">
        <v>73</v>
      </c>
      <c r="I10" s="146">
        <f t="shared" si="2"/>
        <v>66.36</v>
      </c>
      <c r="J10" s="153">
        <v>100</v>
      </c>
      <c r="K10" s="153">
        <v>61</v>
      </c>
      <c r="L10" s="146">
        <f t="shared" si="3"/>
        <v>55.45</v>
      </c>
      <c r="M10" s="153">
        <v>74</v>
      </c>
      <c r="N10" s="154">
        <v>100</v>
      </c>
      <c r="O10" s="8">
        <f t="shared" si="4"/>
        <v>70.52</v>
      </c>
      <c r="P10" s="148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49" t="str">
        <f t="shared" si="8"/>
        <v>105</v>
      </c>
      <c r="U10" s="8" t="b">
        <f t="shared" si="9"/>
        <v>1</v>
      </c>
      <c r="V10" s="8" t="str">
        <f t="shared" si="10"/>
        <v>B</v>
      </c>
      <c r="W10" s="8" t="str">
        <f t="shared" si="11"/>
        <v>B+</v>
      </c>
      <c r="AA10" s="190" t="s">
        <v>81</v>
      </c>
      <c r="AB10" s="19" t="s">
        <v>82</v>
      </c>
      <c r="AC10" s="17" t="s">
        <v>83</v>
      </c>
      <c r="AM10" s="175"/>
      <c r="AN10" s="169"/>
      <c r="AO10" s="76" t="s">
        <v>124</v>
      </c>
      <c r="AP10" s="91">
        <f t="shared" ref="AP10" si="60">SUMIFS($O$2:$O$54,$B$2:$B$54,"="&amp;$AN9,$T$2:$T$54,"="&amp;$AM$3,$W$2:$W$54,"="&amp;AP$2)</f>
        <v>0</v>
      </c>
      <c r="AQ10" s="77">
        <f t="shared" ref="AQ10" si="61">SUMIFS($O$2:$O$54,$B$2:$B$54,"="&amp;$AN9,$T$2:$T$54,"="&amp;$AM$3,$W$2:$W$54,"="&amp;AQ$2)</f>
        <v>78.84</v>
      </c>
      <c r="AR10" s="77">
        <f t="shared" ref="AR10" si="62">SUMIFS($O$2:$O$54,$B$2:$B$54,"="&amp;$AN9,$T$2:$T$54,"="&amp;$AM$3,$W$2:$W$54,"="&amp;AR$2)</f>
        <v>0</v>
      </c>
      <c r="AS10" s="77">
        <f t="shared" ref="AS10" si="63">SUMIFS($O$2:$O$54,$B$2:$B$54,"="&amp;$AN9,$T$2:$T$54,"="&amp;$AM$3,$W$2:$W$54,"="&amp;AS$2)</f>
        <v>0</v>
      </c>
      <c r="AT10" s="77">
        <f t="shared" ref="AT10" si="64">SUMIFS($O$2:$O$54,$B$2:$B$54,"="&amp;$AN9,$T$2:$T$54,"="&amp;$AM$3,$W$2:$W$54,"="&amp;AT$2)</f>
        <v>56.46</v>
      </c>
      <c r="AU10" s="77">
        <f t="shared" ref="AU10" si="65">SUMIFS($O$2:$O$54,$B$2:$B$54,"="&amp;$AN9,$T$2:$T$54,"="&amp;$AM$3,$W$2:$W$54,"="&amp;AU$2)</f>
        <v>0</v>
      </c>
      <c r="AV10" s="77">
        <f t="shared" ref="AV10" si="66">SUMIFS($O$2:$O$54,$B$2:$B$54,"="&amp;$AN9,$T$2:$T$54,"="&amp;$AM$3,$W$2:$W$54,"="&amp;AV$2)</f>
        <v>0</v>
      </c>
      <c r="AW10" s="77">
        <f t="shared" ref="AW10" si="67">SUMIFS($O$2:$O$54,$B$2:$B$54,"="&amp;$AN9,$T$2:$T$54,"="&amp;$AM$3,$W$2:$W$54,"="&amp;AW$2)</f>
        <v>0</v>
      </c>
      <c r="AX10" s="76">
        <f t="shared" ref="AX10" si="68">SUMIFS($O$2:$O$54,$B$2:$B$54,"="&amp;$AN9,$T$2:$T$54,"="&amp;$AM$3,$W$2:$W$54,"="&amp;AX$2)</f>
        <v>0</v>
      </c>
      <c r="AZ10" s="108" t="s">
        <v>105</v>
      </c>
      <c r="BA10" s="127">
        <f t="shared" si="17"/>
        <v>39.770000000000003</v>
      </c>
      <c r="BB10" s="107">
        <f t="shared" si="18"/>
        <v>38.93</v>
      </c>
      <c r="BD10" s="202"/>
      <c r="BE10" s="117">
        <v>4</v>
      </c>
      <c r="BF10" s="133">
        <f t="shared" si="47"/>
        <v>68.88</v>
      </c>
      <c r="BG10" s="117">
        <f t="shared" si="48"/>
        <v>44.88</v>
      </c>
      <c r="BI10" s="201"/>
      <c r="BJ10" s="109">
        <v>3</v>
      </c>
      <c r="BK10" s="106">
        <f t="shared" si="56"/>
        <v>0</v>
      </c>
      <c r="BL10" s="107">
        <f t="shared" si="57"/>
        <v>0</v>
      </c>
      <c r="BM10" s="106">
        <f t="shared" si="49"/>
        <v>72.459999999999994</v>
      </c>
      <c r="BN10" s="107">
        <f t="shared" ref="BN10" si="69">_xlfn.MINIFS($O$2:$O$54,$T$2:$T$54,"="&amp;$BI$8,$B$2:$B$54,"="&amp;$BJ10,$S$2:$S$54,"="&amp;BM$2)</f>
        <v>69.819999999999993</v>
      </c>
      <c r="BO10" s="106">
        <f t="shared" si="51"/>
        <v>60.36</v>
      </c>
      <c r="BP10" s="107">
        <f t="shared" ref="BP10" si="70">_xlfn.MINIFS($O$2:$O$54,$T$2:$T$54,"="&amp;$BI$8,$B$2:$B$54,"="&amp;$BJ10,$S$2:$S$54,"="&amp;BO$2)</f>
        <v>60.36</v>
      </c>
      <c r="BQ10" s="106">
        <f t="shared" si="53"/>
        <v>0</v>
      </c>
      <c r="BR10" s="107">
        <f t="shared" si="54"/>
        <v>0</v>
      </c>
    </row>
    <row r="11" spans="1:70" ht="20.100000000000001" customHeight="1" thickTop="1" thickBot="1" x14ac:dyDescent="0.35">
      <c r="A11" s="150">
        <v>10</v>
      </c>
      <c r="B11" s="151">
        <v>2</v>
      </c>
      <c r="C11" s="151">
        <v>201710388</v>
      </c>
      <c r="D11" s="144" t="str">
        <f t="shared" si="0"/>
        <v>전자학과</v>
      </c>
      <c r="E11" s="152" t="s">
        <v>20</v>
      </c>
      <c r="F11" s="153">
        <v>150</v>
      </c>
      <c r="G11" s="146">
        <f t="shared" si="1"/>
        <v>75</v>
      </c>
      <c r="H11" s="153">
        <v>72</v>
      </c>
      <c r="I11" s="146">
        <f t="shared" si="2"/>
        <v>65.45</v>
      </c>
      <c r="J11" s="153">
        <v>96.67</v>
      </c>
      <c r="K11" s="153">
        <v>59</v>
      </c>
      <c r="L11" s="146">
        <f t="shared" si="3"/>
        <v>53.64</v>
      </c>
      <c r="M11" s="153">
        <v>67</v>
      </c>
      <c r="N11" s="154">
        <v>100</v>
      </c>
      <c r="O11" s="8">
        <f t="shared" si="4"/>
        <v>72.14</v>
      </c>
      <c r="P11" s="148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49" t="str">
        <f t="shared" si="8"/>
        <v>103</v>
      </c>
      <c r="U11" s="8" t="b">
        <f t="shared" si="9"/>
        <v>1</v>
      </c>
      <c r="V11" s="8" t="str">
        <f t="shared" si="10"/>
        <v>B</v>
      </c>
      <c r="W11" s="8" t="str">
        <f t="shared" si="11"/>
        <v>B+</v>
      </c>
      <c r="AA11" s="191"/>
      <c r="AB11" s="20">
        <f>COUNT(B2:B54)</f>
        <v>53</v>
      </c>
      <c r="AC11" s="18">
        <f>COUNTA(E2:E54)</f>
        <v>53</v>
      </c>
      <c r="AM11" s="175"/>
      <c r="AN11" s="171"/>
      <c r="AO11" s="78" t="s">
        <v>125</v>
      </c>
      <c r="AP11" s="92" t="str">
        <f t="shared" ref="AP11:AX11" si="71">IFERROR(ROUND(AVERAGEIFS($O$2:$O$54,$B$2:$B$54,"="&amp;$AN9,$T$2:$T$54,"="&amp;$AM$3,$W$2:$W$54,"="&amp;AP$2),2),"-")</f>
        <v>-</v>
      </c>
      <c r="AQ11" s="79">
        <f t="shared" si="71"/>
        <v>78.84</v>
      </c>
      <c r="AR11" s="79" t="str">
        <f t="shared" si="71"/>
        <v>-</v>
      </c>
      <c r="AS11" s="79" t="str">
        <f t="shared" si="71"/>
        <v>-</v>
      </c>
      <c r="AT11" s="79">
        <f t="shared" si="71"/>
        <v>56.46</v>
      </c>
      <c r="AU11" s="79" t="str">
        <f t="shared" si="71"/>
        <v>-</v>
      </c>
      <c r="AV11" s="79" t="str">
        <f t="shared" si="71"/>
        <v>-</v>
      </c>
      <c r="AW11" s="79" t="str">
        <f t="shared" si="71"/>
        <v>-</v>
      </c>
      <c r="AX11" s="78" t="str">
        <f t="shared" si="71"/>
        <v>-</v>
      </c>
      <c r="AZ11" s="110" t="s">
        <v>94</v>
      </c>
      <c r="BA11" s="113">
        <f t="shared" si="17"/>
        <v>35.86</v>
      </c>
      <c r="BB11" s="128">
        <f t="shared" si="18"/>
        <v>26.57</v>
      </c>
      <c r="BD11" s="201">
        <v>103</v>
      </c>
      <c r="BE11" s="107">
        <v>1</v>
      </c>
      <c r="BF11" s="127">
        <f>_xlfn.MAXIFS($O$2:$O$54,$T$2:$T$54,"="&amp;$BD$11,$B$2:$B$54,"="&amp;$BE11)</f>
        <v>0</v>
      </c>
      <c r="BG11" s="107">
        <f>_xlfn.MINIFS($O$2:$O$54,$T$2:$T$54,"="&amp;$BD$11,$B$2:$B$54,"="&amp;$BE11)</f>
        <v>0</v>
      </c>
      <c r="BI11" s="202"/>
      <c r="BJ11" s="117">
        <v>4</v>
      </c>
      <c r="BK11" s="137">
        <f t="shared" si="56"/>
        <v>0</v>
      </c>
      <c r="BL11" s="138">
        <f t="shared" si="57"/>
        <v>0</v>
      </c>
      <c r="BM11" s="137">
        <f t="shared" si="49"/>
        <v>0</v>
      </c>
      <c r="BN11" s="138">
        <f t="shared" ref="BN11" si="72">_xlfn.MINIFS($O$2:$O$54,$T$2:$T$54,"="&amp;$BI$8,$B$2:$B$54,"="&amp;$BJ11,$S$2:$S$54,"="&amp;BM$2)</f>
        <v>0</v>
      </c>
      <c r="BO11" s="137">
        <f t="shared" si="51"/>
        <v>68.88</v>
      </c>
      <c r="BP11" s="138">
        <f t="shared" ref="BP11" si="73">_xlfn.MINIFS($O$2:$O$54,$T$2:$T$54,"="&amp;$BI$8,$B$2:$B$54,"="&amp;$BJ11,$S$2:$S$54,"="&amp;BO$2)</f>
        <v>44.88</v>
      </c>
      <c r="BQ11" s="137">
        <f t="shared" si="53"/>
        <v>0</v>
      </c>
      <c r="BR11" s="138">
        <f t="shared" si="54"/>
        <v>0</v>
      </c>
    </row>
    <row r="12" spans="1:70" ht="20.100000000000001" customHeight="1" thickTop="1" thickBot="1" x14ac:dyDescent="0.35">
      <c r="A12" s="150">
        <v>11</v>
      </c>
      <c r="B12" s="151">
        <v>2</v>
      </c>
      <c r="C12" s="151">
        <v>201810189</v>
      </c>
      <c r="D12" s="144" t="str">
        <f t="shared" si="0"/>
        <v>컴퓨터학과</v>
      </c>
      <c r="E12" s="152" t="s">
        <v>21</v>
      </c>
      <c r="F12" s="153">
        <v>134</v>
      </c>
      <c r="G12" s="146">
        <f t="shared" si="1"/>
        <v>67</v>
      </c>
      <c r="H12" s="153">
        <v>62</v>
      </c>
      <c r="I12" s="146">
        <f t="shared" si="2"/>
        <v>56.36</v>
      </c>
      <c r="J12" s="153">
        <v>98.89</v>
      </c>
      <c r="K12" s="153">
        <v>46</v>
      </c>
      <c r="L12" s="146">
        <f t="shared" si="3"/>
        <v>41.82</v>
      </c>
      <c r="M12" s="153">
        <v>28</v>
      </c>
      <c r="N12" s="154">
        <v>80</v>
      </c>
      <c r="O12" s="8">
        <f t="shared" si="4"/>
        <v>60.7</v>
      </c>
      <c r="P12" s="148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49" t="str">
        <f t="shared" si="8"/>
        <v>101</v>
      </c>
      <c r="U12" s="8" t="b">
        <f t="shared" si="9"/>
        <v>1</v>
      </c>
      <c r="V12" s="8" t="str">
        <f t="shared" si="10"/>
        <v>C</v>
      </c>
      <c r="W12" s="8" t="str">
        <f t="shared" si="11"/>
        <v>C+</v>
      </c>
      <c r="AM12" s="175"/>
      <c r="AN12" s="168">
        <v>4</v>
      </c>
      <c r="AO12" s="82" t="s">
        <v>123</v>
      </c>
      <c r="AP12" s="95">
        <f t="shared" ref="AP12" si="74">COUNTIFS($B$2:$B$54,"="&amp;$AN12,$T$2:$T$54,"="&amp;$AM$3,$W$2:$W$54,"="&amp;AP$2)</f>
        <v>0</v>
      </c>
      <c r="AQ12" s="85">
        <f t="shared" si="32"/>
        <v>1</v>
      </c>
      <c r="AR12" s="85">
        <f t="shared" si="32"/>
        <v>1</v>
      </c>
      <c r="AS12" s="85">
        <f t="shared" si="32"/>
        <v>0</v>
      </c>
      <c r="AT12" s="85">
        <f t="shared" si="32"/>
        <v>1</v>
      </c>
      <c r="AU12" s="85">
        <f t="shared" si="32"/>
        <v>2</v>
      </c>
      <c r="AV12" s="85">
        <f t="shared" si="32"/>
        <v>0</v>
      </c>
      <c r="AW12" s="85">
        <f t="shared" si="32"/>
        <v>1</v>
      </c>
      <c r="AX12" s="84">
        <f t="shared" si="32"/>
        <v>0</v>
      </c>
      <c r="BD12" s="201"/>
      <c r="BE12" s="109">
        <v>2</v>
      </c>
      <c r="BF12" s="131">
        <f t="shared" ref="BF12:BF14" si="75">_xlfn.MAXIFS($O$2:$O$54,$T$2:$T$54,"="&amp;$BD$11,$B$2:$B$54,"="&amp;$BE12)</f>
        <v>72.14</v>
      </c>
      <c r="BG12" s="109">
        <f t="shared" ref="BG12:BG14" si="76">_xlfn.MINIFS($O$2:$O$54,$T$2:$T$54,"="&amp;$BD$11,$B$2:$B$54,"="&amp;$BE12)</f>
        <v>26.57</v>
      </c>
      <c r="BI12" s="201">
        <v>103</v>
      </c>
      <c r="BJ12" s="107">
        <v>1</v>
      </c>
      <c r="BK12" s="106">
        <f>_xlfn.MAXIFS($O$2:$O$54,$T$2:$T$54,"="&amp;$BI$12,$B$2:$B$54,"="&amp;$BJ12,$S$2:$S$54,"="&amp;BK$2)</f>
        <v>0</v>
      </c>
      <c r="BL12" s="107">
        <f>_xlfn.MINIFS($O$2:$O$54,$T$2:$T$54,"="&amp;$BI$12,$B$2:$B$54,"="&amp;$BJ12,$S$2:$S$54,"="&amp;BK$2)</f>
        <v>0</v>
      </c>
      <c r="BM12" s="106">
        <f t="shared" ref="BM12:BM15" si="77">_xlfn.MAXIFS($O$2:$O$54,$T$2:$T$54,"="&amp;$BI$12,$B$2:$B$54,"="&amp;$BJ12,$S$2:$S$54,"="&amp;BM$2)</f>
        <v>0</v>
      </c>
      <c r="BN12" s="107">
        <f t="shared" ref="BN12" si="78">_xlfn.MINIFS($O$2:$O$54,$T$2:$T$54,"="&amp;$BI$12,$B$2:$B$54,"="&amp;$BJ12,$S$2:$S$54,"="&amp;BM$2)</f>
        <v>0</v>
      </c>
      <c r="BO12" s="106">
        <f t="shared" ref="BO12:BO15" si="79">_xlfn.MAXIFS($O$2:$O$54,$T$2:$T$54,"="&amp;$BI$12,$B$2:$B$54,"="&amp;$BJ12,$S$2:$S$54,"="&amp;BO$2)</f>
        <v>0</v>
      </c>
      <c r="BP12" s="107">
        <f t="shared" ref="BP12" si="80">_xlfn.MINIFS($O$2:$O$54,$T$2:$T$54,"="&amp;$BI$12,$B$2:$B$54,"="&amp;$BJ12,$S$2:$S$54,"="&amp;BO$2)</f>
        <v>0</v>
      </c>
      <c r="BQ12" s="106">
        <f t="shared" ref="BQ12:BQ15" si="81">_xlfn.MAXIFS($O$2:$O$54,$T$2:$T$54,"="&amp;$BI$12,$B$2:$B$54,"="&amp;$BJ12,$S$2:$S$54,"="&amp;BQ$2)</f>
        <v>0</v>
      </c>
      <c r="BR12" s="107">
        <f t="shared" ref="BR12:BR15" si="82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50">
        <v>12</v>
      </c>
      <c r="B13" s="151">
        <v>2</v>
      </c>
      <c r="C13" s="151">
        <v>201810293</v>
      </c>
      <c r="D13" s="144" t="str">
        <f t="shared" si="0"/>
        <v>보안학과</v>
      </c>
      <c r="E13" s="152" t="s">
        <v>22</v>
      </c>
      <c r="F13" s="153">
        <v>106</v>
      </c>
      <c r="G13" s="146">
        <f t="shared" si="1"/>
        <v>53</v>
      </c>
      <c r="H13" s="153">
        <v>92</v>
      </c>
      <c r="I13" s="146">
        <f t="shared" si="2"/>
        <v>83.64</v>
      </c>
      <c r="J13" s="153">
        <v>98.89</v>
      </c>
      <c r="K13" s="153">
        <v>28</v>
      </c>
      <c r="L13" s="146">
        <f t="shared" si="3"/>
        <v>25.45</v>
      </c>
      <c r="M13" s="153">
        <v>42</v>
      </c>
      <c r="N13" s="154">
        <v>80</v>
      </c>
      <c r="O13" s="8">
        <f t="shared" si="4"/>
        <v>65.81</v>
      </c>
      <c r="P13" s="148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49" t="str">
        <f t="shared" si="8"/>
        <v>102</v>
      </c>
      <c r="U13" s="8" t="b">
        <f t="shared" si="9"/>
        <v>1</v>
      </c>
      <c r="V13" s="8" t="str">
        <f t="shared" si="10"/>
        <v>B</v>
      </c>
      <c r="W13" s="8" t="str">
        <f t="shared" si="11"/>
        <v>B0</v>
      </c>
      <c r="AA13" s="188" t="s">
        <v>84</v>
      </c>
      <c r="AB13" s="189"/>
      <c r="AC13" s="17">
        <f>COUNTA(R2:R54)</f>
        <v>11</v>
      </c>
      <c r="AM13" s="175"/>
      <c r="AN13" s="169"/>
      <c r="AO13" s="76" t="s">
        <v>124</v>
      </c>
      <c r="AP13" s="91">
        <f t="shared" ref="AP13" si="83">SUMIFS($O$2:$O$54,$B$2:$B$54,"="&amp;$AN12,$T$2:$T$54,"="&amp;$AM$3,$W$2:$W$54,"="&amp;AP$2)</f>
        <v>0</v>
      </c>
      <c r="AQ13" s="77">
        <f t="shared" ref="AQ13" si="84">SUMIFS($O$2:$O$54,$B$2:$B$54,"="&amp;$AN12,$T$2:$T$54,"="&amp;$AM$3,$W$2:$W$54,"="&amp;AQ$2)</f>
        <v>77.959999999999994</v>
      </c>
      <c r="AR13" s="77">
        <f t="shared" ref="AR13" si="85">SUMIFS($O$2:$O$54,$B$2:$B$54,"="&amp;$AN12,$T$2:$T$54,"="&amp;$AM$3,$W$2:$W$54,"="&amp;AR$2)</f>
        <v>69</v>
      </c>
      <c r="AS13" s="77">
        <f t="shared" ref="AS13" si="86">SUMIFS($O$2:$O$54,$B$2:$B$54,"="&amp;$AN12,$T$2:$T$54,"="&amp;$AM$3,$W$2:$W$54,"="&amp;AS$2)</f>
        <v>0</v>
      </c>
      <c r="AT13" s="77">
        <f t="shared" ref="AT13" si="87">SUMIFS($O$2:$O$54,$B$2:$B$54,"="&amp;$AN12,$T$2:$T$54,"="&amp;$AM$3,$W$2:$W$54,"="&amp;AT$2)</f>
        <v>55.31</v>
      </c>
      <c r="AU13" s="77">
        <f t="shared" ref="AU13" si="88">SUMIFS($O$2:$O$54,$B$2:$B$54,"="&amp;$AN12,$T$2:$T$54,"="&amp;$AM$3,$W$2:$W$54,"="&amp;AU$2)</f>
        <v>107.03999999999999</v>
      </c>
      <c r="AV13" s="77">
        <f t="shared" ref="AV13" si="89">SUMIFS($O$2:$O$54,$B$2:$B$54,"="&amp;$AN12,$T$2:$T$54,"="&amp;$AM$3,$W$2:$W$54,"="&amp;AV$2)</f>
        <v>0</v>
      </c>
      <c r="AW13" s="77">
        <f t="shared" ref="AW13" si="90">SUMIFS($O$2:$O$54,$B$2:$B$54,"="&amp;$AN12,$T$2:$T$54,"="&amp;$AM$3,$W$2:$W$54,"="&amp;AW$2)</f>
        <v>38.93</v>
      </c>
      <c r="AX13" s="76">
        <f t="shared" ref="AX13" si="91">SUMIFS($O$2:$O$54,$B$2:$B$54,"="&amp;$AN12,$T$2:$T$54,"="&amp;$AM$3,$W$2:$W$54,"="&amp;AX$2)</f>
        <v>0</v>
      </c>
      <c r="AZ13" s="102"/>
      <c r="BA13" s="103" t="s">
        <v>126</v>
      </c>
      <c r="BB13" s="104" t="s">
        <v>129</v>
      </c>
      <c r="BD13" s="201"/>
      <c r="BE13" s="109">
        <v>3</v>
      </c>
      <c r="BF13" s="131">
        <f t="shared" si="75"/>
        <v>81.27</v>
      </c>
      <c r="BG13" s="109">
        <f t="shared" si="76"/>
        <v>73.77</v>
      </c>
      <c r="BI13" s="201"/>
      <c r="BJ13" s="109">
        <v>2</v>
      </c>
      <c r="BK13" s="106">
        <f t="shared" ref="BK13:BK15" si="92">_xlfn.MAXIFS($O$2:$O$54,$T$2:$T$54,"="&amp;$BI$12,$B$2:$B$54,"="&amp;$BJ13,$S$2:$S$54,"="&amp;BK$2)</f>
        <v>59.99</v>
      </c>
      <c r="BL13" s="107">
        <f t="shared" ref="BL13:BL15" si="93">_xlfn.MINIFS($O$2:$O$54,$T$2:$T$54,"="&amp;$BI$12,$B$2:$B$54,"="&amp;$BJ13,$S$2:$S$54,"="&amp;BK$2)</f>
        <v>45.71</v>
      </c>
      <c r="BM13" s="106">
        <f t="shared" si="77"/>
        <v>72.14</v>
      </c>
      <c r="BN13" s="107">
        <f t="shared" ref="BN13" si="94">_xlfn.MINIFS($O$2:$O$54,$T$2:$T$54,"="&amp;$BI$12,$B$2:$B$54,"="&amp;$BJ13,$S$2:$S$54,"="&amp;BM$2)</f>
        <v>26.57</v>
      </c>
      <c r="BO13" s="106">
        <f t="shared" si="79"/>
        <v>0</v>
      </c>
      <c r="BP13" s="107">
        <f t="shared" ref="BP13" si="95">_xlfn.MINIFS($O$2:$O$54,$T$2:$T$54,"="&amp;$BI$12,$B$2:$B$54,"="&amp;$BJ13,$S$2:$S$54,"="&amp;BO$2)</f>
        <v>0</v>
      </c>
      <c r="BQ13" s="106">
        <f t="shared" si="81"/>
        <v>0</v>
      </c>
      <c r="BR13" s="107">
        <f t="shared" si="82"/>
        <v>0</v>
      </c>
    </row>
    <row r="14" spans="1:70" ht="20.100000000000001" customHeight="1" thickTop="1" thickBot="1" x14ac:dyDescent="0.35">
      <c r="A14" s="150">
        <v>13</v>
      </c>
      <c r="B14" s="151">
        <v>2</v>
      </c>
      <c r="C14" s="151">
        <v>201810402</v>
      </c>
      <c r="D14" s="144" t="str">
        <f t="shared" si="0"/>
        <v>게임학과</v>
      </c>
      <c r="E14" s="152" t="s">
        <v>23</v>
      </c>
      <c r="F14" s="153">
        <v>65</v>
      </c>
      <c r="G14" s="146">
        <f t="shared" si="1"/>
        <v>32.5</v>
      </c>
      <c r="H14" s="153">
        <v>18</v>
      </c>
      <c r="I14" s="146">
        <f t="shared" si="2"/>
        <v>16.36</v>
      </c>
      <c r="J14" s="153">
        <v>87.78</v>
      </c>
      <c r="K14" s="153">
        <v>15</v>
      </c>
      <c r="L14" s="146">
        <f t="shared" si="3"/>
        <v>13.64</v>
      </c>
      <c r="M14" s="153">
        <v>14</v>
      </c>
      <c r="N14" s="154">
        <v>60</v>
      </c>
      <c r="O14" s="8">
        <f t="shared" si="4"/>
        <v>30.02</v>
      </c>
      <c r="P14" s="148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49" t="str">
        <f t="shared" si="8"/>
        <v>104</v>
      </c>
      <c r="U14" s="8" t="b">
        <f t="shared" si="9"/>
        <v>1</v>
      </c>
      <c r="V14" s="8" t="str">
        <f t="shared" si="10"/>
        <v>F</v>
      </c>
      <c r="W14" s="8" t="str">
        <f t="shared" si="11"/>
        <v>F</v>
      </c>
      <c r="AA14" s="192" t="s">
        <v>85</v>
      </c>
      <c r="AB14" s="193"/>
      <c r="AC14" s="18">
        <f>COUNTBLANK(R2:R54)</f>
        <v>42</v>
      </c>
      <c r="AM14" s="175"/>
      <c r="AN14" s="169"/>
      <c r="AO14" s="80" t="s">
        <v>125</v>
      </c>
      <c r="AP14" s="93" t="str">
        <f t="shared" ref="AP14:AX14" si="96">IFERROR(ROUND(AVERAGEIFS($O$2:$O$54,$B$2:$B$54,"="&amp;$AN12,$T$2:$T$54,"="&amp;$AM$3,$W$2:$W$54,"="&amp;AP$2),2),"-")</f>
        <v>-</v>
      </c>
      <c r="AQ14" s="81">
        <f t="shared" si="96"/>
        <v>77.959999999999994</v>
      </c>
      <c r="AR14" s="81">
        <f t="shared" si="96"/>
        <v>69</v>
      </c>
      <c r="AS14" s="81" t="str">
        <f t="shared" si="96"/>
        <v>-</v>
      </c>
      <c r="AT14" s="81">
        <f t="shared" si="96"/>
        <v>55.31</v>
      </c>
      <c r="AU14" s="81">
        <f t="shared" si="96"/>
        <v>53.52</v>
      </c>
      <c r="AV14" s="81" t="str">
        <f t="shared" si="96"/>
        <v>-</v>
      </c>
      <c r="AW14" s="81">
        <f t="shared" si="96"/>
        <v>38.93</v>
      </c>
      <c r="AX14" s="80" t="str">
        <f t="shared" si="96"/>
        <v>-</v>
      </c>
      <c r="AZ14" s="105" t="s">
        <v>128</v>
      </c>
      <c r="BA14" s="106">
        <f>_xlfn.MAXIFS($O$2:$O$54,$R$2:$R$54,"=Y")</f>
        <v>82.26</v>
      </c>
      <c r="BB14" s="129">
        <f>_xlfn.MINIFS($O$2:$O$54,$R$2:$R$54,"=Y")</f>
        <v>39.770000000000003</v>
      </c>
      <c r="BD14" s="201"/>
      <c r="BE14" s="114">
        <v>4</v>
      </c>
      <c r="BF14" s="132">
        <f t="shared" si="75"/>
        <v>75.33</v>
      </c>
      <c r="BG14" s="114">
        <f t="shared" si="76"/>
        <v>62.86</v>
      </c>
      <c r="BI14" s="201"/>
      <c r="BJ14" s="109">
        <v>3</v>
      </c>
      <c r="BK14" s="106">
        <f t="shared" si="92"/>
        <v>0</v>
      </c>
      <c r="BL14" s="107">
        <f t="shared" si="93"/>
        <v>0</v>
      </c>
      <c r="BM14" s="106">
        <f t="shared" si="77"/>
        <v>73.77</v>
      </c>
      <c r="BN14" s="107">
        <f t="shared" ref="BN14" si="97">_xlfn.MINIFS($O$2:$O$54,$T$2:$T$54,"="&amp;$BI$12,$B$2:$B$54,"="&amp;$BJ14,$S$2:$S$54,"="&amp;BM$2)</f>
        <v>73.77</v>
      </c>
      <c r="BO14" s="106">
        <f t="shared" si="79"/>
        <v>0</v>
      </c>
      <c r="BP14" s="107">
        <f t="shared" ref="BP14" si="98">_xlfn.MINIFS($O$2:$O$54,$T$2:$T$54,"="&amp;$BI$12,$B$2:$B$54,"="&amp;$BJ14,$S$2:$S$54,"="&amp;BO$2)</f>
        <v>0</v>
      </c>
      <c r="BQ14" s="106">
        <f t="shared" si="81"/>
        <v>81.27</v>
      </c>
      <c r="BR14" s="107">
        <f t="shared" si="82"/>
        <v>81.27</v>
      </c>
    </row>
    <row r="15" spans="1:70" ht="20.100000000000001" customHeight="1" thickTop="1" thickBot="1" x14ac:dyDescent="0.35">
      <c r="A15" s="150">
        <v>14</v>
      </c>
      <c r="B15" s="151">
        <v>1</v>
      </c>
      <c r="C15" s="151">
        <v>201710504</v>
      </c>
      <c r="D15" s="144" t="str">
        <f t="shared" si="0"/>
        <v>통신학과</v>
      </c>
      <c r="E15" s="152" t="s">
        <v>24</v>
      </c>
      <c r="F15" s="153">
        <v>71</v>
      </c>
      <c r="G15" s="146">
        <f t="shared" si="1"/>
        <v>35.5</v>
      </c>
      <c r="H15" s="153">
        <v>0</v>
      </c>
      <c r="I15" s="146">
        <f t="shared" si="2"/>
        <v>0</v>
      </c>
      <c r="J15" s="153">
        <v>93.33</v>
      </c>
      <c r="K15" s="153">
        <v>26</v>
      </c>
      <c r="L15" s="146">
        <f t="shared" si="3"/>
        <v>23.64</v>
      </c>
      <c r="M15" s="153">
        <v>29</v>
      </c>
      <c r="N15" s="154">
        <v>60</v>
      </c>
      <c r="O15" s="8">
        <f t="shared" si="4"/>
        <v>28.25</v>
      </c>
      <c r="P15" s="148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49" t="str">
        <f t="shared" si="8"/>
        <v>105</v>
      </c>
      <c r="U15" s="8" t="b">
        <f t="shared" si="9"/>
        <v>1</v>
      </c>
      <c r="V15" s="8" t="str">
        <f t="shared" si="10"/>
        <v>F</v>
      </c>
      <c r="W15" s="8" t="str">
        <f t="shared" si="11"/>
        <v>F</v>
      </c>
      <c r="AM15" s="177">
        <v>102</v>
      </c>
      <c r="AN15" s="173">
        <v>1</v>
      </c>
      <c r="AO15" s="86" t="s">
        <v>123</v>
      </c>
      <c r="AP15" s="96">
        <f>COUNTIFS($B$2:$B$54,"="&amp;$AN15,$T$2:$T$54,"="&amp;$AM$15,$W$2:$W$54,"="&amp;AP$2)</f>
        <v>0</v>
      </c>
      <c r="AQ15" s="87">
        <f t="shared" ref="AQ15:AX15" si="99">COUNTIFS($B$2:$B$54,"="&amp;$AN15,$T$2:$T$54,"="&amp;$AM$15,$W$2:$W$54,"="&amp;AQ$2)</f>
        <v>0</v>
      </c>
      <c r="AR15" s="87">
        <f t="shared" si="99"/>
        <v>0</v>
      </c>
      <c r="AS15" s="87">
        <f t="shared" si="99"/>
        <v>0</v>
      </c>
      <c r="AT15" s="87">
        <f t="shared" si="99"/>
        <v>0</v>
      </c>
      <c r="AU15" s="87">
        <f t="shared" si="99"/>
        <v>0</v>
      </c>
      <c r="AV15" s="87">
        <f t="shared" si="99"/>
        <v>0</v>
      </c>
      <c r="AW15" s="87">
        <f t="shared" si="99"/>
        <v>0</v>
      </c>
      <c r="AX15" s="86">
        <f t="shared" si="99"/>
        <v>0</v>
      </c>
      <c r="AZ15" s="110" t="s">
        <v>127</v>
      </c>
      <c r="BA15" s="112">
        <f>_xlfn.MAXIFS($O$2:$O$54,$R$2:$R$54,"=")</f>
        <v>89.82</v>
      </c>
      <c r="BB15" s="41">
        <f>_xlfn.MINIFS($O$2:$O$54,$R$2:$R$54,"=")</f>
        <v>26.57</v>
      </c>
      <c r="BD15" s="200">
        <v>104</v>
      </c>
      <c r="BE15" s="115">
        <v>1</v>
      </c>
      <c r="BF15" s="130">
        <f>_xlfn.MAXIFS($O$2:$O$54,$T$2:$T$54,"="&amp;$BD$15,$B$2:$B$54,"="&amp;$BE15)</f>
        <v>53.09</v>
      </c>
      <c r="BG15" s="115">
        <f>_xlfn.MINIFS($O$2:$O$54,$T$2:$T$54,"="&amp;$BD$15,$B$2:$B$54,"="&amp;$BE15)</f>
        <v>53.09</v>
      </c>
      <c r="BI15" s="201"/>
      <c r="BJ15" s="114">
        <v>4</v>
      </c>
      <c r="BK15" s="135">
        <f t="shared" si="92"/>
        <v>0</v>
      </c>
      <c r="BL15" s="136">
        <f t="shared" si="93"/>
        <v>0</v>
      </c>
      <c r="BM15" s="135">
        <f t="shared" si="77"/>
        <v>0</v>
      </c>
      <c r="BN15" s="136">
        <f t="shared" ref="BN15" si="100">_xlfn.MINIFS($O$2:$O$54,$T$2:$T$54,"="&amp;$BI$12,$B$2:$B$54,"="&amp;$BJ15,$S$2:$S$54,"="&amp;BM$2)</f>
        <v>0</v>
      </c>
      <c r="BO15" s="135">
        <f t="shared" si="79"/>
        <v>0</v>
      </c>
      <c r="BP15" s="136">
        <f t="shared" ref="BP15" si="101">_xlfn.MINIFS($O$2:$O$54,$T$2:$T$54,"="&amp;$BI$12,$B$2:$B$54,"="&amp;$BJ15,$S$2:$S$54,"="&amp;BO$2)</f>
        <v>0</v>
      </c>
      <c r="BQ15" s="135">
        <f t="shared" si="81"/>
        <v>75.33</v>
      </c>
      <c r="BR15" s="136">
        <f t="shared" si="82"/>
        <v>62.86</v>
      </c>
    </row>
    <row r="16" spans="1:70" ht="20.100000000000001" customHeight="1" thickTop="1" thickBot="1" x14ac:dyDescent="0.35">
      <c r="A16" s="150">
        <v>15</v>
      </c>
      <c r="B16" s="151">
        <v>3</v>
      </c>
      <c r="C16" s="151">
        <v>201610205</v>
      </c>
      <c r="D16" s="144" t="str">
        <f t="shared" si="0"/>
        <v>보안학과</v>
      </c>
      <c r="E16" s="152" t="s">
        <v>25</v>
      </c>
      <c r="F16" s="153">
        <v>108</v>
      </c>
      <c r="G16" s="146">
        <f t="shared" si="1"/>
        <v>54</v>
      </c>
      <c r="H16" s="153">
        <v>64</v>
      </c>
      <c r="I16" s="146">
        <f t="shared" si="2"/>
        <v>58.18</v>
      </c>
      <c r="J16" s="153">
        <v>100</v>
      </c>
      <c r="K16" s="153">
        <v>44</v>
      </c>
      <c r="L16" s="146">
        <f t="shared" si="3"/>
        <v>40</v>
      </c>
      <c r="M16" s="153">
        <v>48</v>
      </c>
      <c r="N16" s="154">
        <v>100</v>
      </c>
      <c r="O16" s="8">
        <f t="shared" si="4"/>
        <v>60.36</v>
      </c>
      <c r="P16" s="148">
        <f t="shared" si="5"/>
        <v>33</v>
      </c>
      <c r="Q16" s="8">
        <f t="shared" si="6"/>
        <v>33</v>
      </c>
      <c r="R16" s="9" t="s">
        <v>71</v>
      </c>
      <c r="S16" s="8" t="str">
        <f t="shared" si="7"/>
        <v>2016</v>
      </c>
      <c r="T16" s="149" t="str">
        <f t="shared" si="8"/>
        <v>102</v>
      </c>
      <c r="U16" s="8" t="b">
        <f t="shared" si="9"/>
        <v>0</v>
      </c>
      <c r="V16" s="8" t="str">
        <f t="shared" si="10"/>
        <v>C</v>
      </c>
      <c r="W16" s="8" t="str">
        <f t="shared" si="11"/>
        <v>C+</v>
      </c>
      <c r="AA16" s="35"/>
      <c r="AM16" s="175"/>
      <c r="AN16" s="169"/>
      <c r="AO16" s="76" t="s">
        <v>124</v>
      </c>
      <c r="AP16" s="91">
        <f>SUMIFS($O$2:$O$54,$B$2:$B$54,"="&amp;$AN15,$T$2:$T$54,"="&amp;$AM$15,$W$2:$W$54,"="&amp;AP$2)</f>
        <v>0</v>
      </c>
      <c r="AQ16" s="77">
        <f t="shared" ref="AQ16:AX16" si="102">SUMIFS($O$2:$O$54,$B$2:$B$54,"="&amp;$AN15,$T$2:$T$54,"="&amp;$AM$15,$W$2:$W$54,"="&amp;AQ$2)</f>
        <v>0</v>
      </c>
      <c r="AR16" s="77">
        <f t="shared" si="102"/>
        <v>0</v>
      </c>
      <c r="AS16" s="77">
        <f t="shared" si="102"/>
        <v>0</v>
      </c>
      <c r="AT16" s="77">
        <f t="shared" si="102"/>
        <v>0</v>
      </c>
      <c r="AU16" s="77">
        <f t="shared" si="102"/>
        <v>0</v>
      </c>
      <c r="AV16" s="77">
        <f t="shared" si="102"/>
        <v>0</v>
      </c>
      <c r="AW16" s="77">
        <f t="shared" si="102"/>
        <v>0</v>
      </c>
      <c r="AX16" s="76">
        <f t="shared" si="102"/>
        <v>0</v>
      </c>
      <c r="BD16" s="201"/>
      <c r="BE16" s="109">
        <v>2</v>
      </c>
      <c r="BF16" s="131">
        <f t="shared" ref="BF16:BF18" si="103">_xlfn.MAXIFS($O$2:$O$54,$T$2:$T$54,"="&amp;$BD$15,$B$2:$B$54,"="&amp;$BE16)</f>
        <v>68.099999999999994</v>
      </c>
      <c r="BG16" s="109">
        <f t="shared" ref="BG16:BG18" si="104">_xlfn.MINIFS($O$2:$O$54,$T$2:$T$54,"="&amp;$BD$15,$B$2:$B$54,"="&amp;$BE16)</f>
        <v>30.02</v>
      </c>
      <c r="BI16" s="200">
        <v>104</v>
      </c>
      <c r="BJ16" s="115">
        <v>1</v>
      </c>
      <c r="BK16" s="116">
        <f>_xlfn.MAXIFS($O$2:$O$54,$T$2:$T$54,"="&amp;$BI$16,$B$2:$B$54,"="&amp;$BJ16,$S$2:$S$54,"="&amp;BK$2)</f>
        <v>53.09</v>
      </c>
      <c r="BL16" s="115">
        <f>_xlfn.MINIFS($O$2:$O$54,$T$2:$T$54,"="&amp;$BI$16,$B$2:$B$54,"="&amp;$BJ16,$S$2:$S$54,"="&amp;BK$2)</f>
        <v>53.09</v>
      </c>
      <c r="BM16" s="116">
        <f t="shared" ref="BM16:BM19" si="105">_xlfn.MAXIFS($O$2:$O$54,$T$2:$T$54,"="&amp;$BI$16,$B$2:$B$54,"="&amp;$BJ16,$S$2:$S$54,"="&amp;BM$2)</f>
        <v>0</v>
      </c>
      <c r="BN16" s="115">
        <f t="shared" ref="BN16" si="106">_xlfn.MINIFS($O$2:$O$54,$T$2:$T$54,"="&amp;$BI$16,$B$2:$B$54,"="&amp;$BJ16,$S$2:$S$54,"="&amp;BM$2)</f>
        <v>0</v>
      </c>
      <c r="BO16" s="116">
        <f t="shared" ref="BO16:BO19" si="107">_xlfn.MAXIFS($O$2:$O$54,$T$2:$T$54,"="&amp;$BI$16,$B$2:$B$54,"="&amp;$BJ16,$S$2:$S$54,"="&amp;BO$2)</f>
        <v>0</v>
      </c>
      <c r="BP16" s="115">
        <f t="shared" ref="BP16" si="108">_xlfn.MINIFS($O$2:$O$54,$T$2:$T$54,"="&amp;$BI$16,$B$2:$B$54,"="&amp;$BJ16,$S$2:$S$54,"="&amp;BO$2)</f>
        <v>0</v>
      </c>
      <c r="BQ16" s="116">
        <f t="shared" ref="BQ16:BQ19" si="109">_xlfn.MAXIFS($O$2:$O$54,$T$2:$T$54,"="&amp;$BI$16,$B$2:$B$54,"="&amp;$BJ16,$S$2:$S$54,"="&amp;BQ$2)</f>
        <v>0</v>
      </c>
      <c r="BR16" s="115">
        <f t="shared" ref="BR16:BR19" si="110">_xlfn.MINIFS($O$2:$O$54,$T$2:$T$54,"="&amp;$BI$16,$B$2:$B$54,"="&amp;$BJ16,$S$2:$S$54,"="&amp;BQ$2)</f>
        <v>0</v>
      </c>
    </row>
    <row r="17" spans="1:70" ht="20.100000000000001" customHeight="1" thickTop="1" x14ac:dyDescent="0.3">
      <c r="A17" s="150">
        <v>16</v>
      </c>
      <c r="B17" s="151">
        <v>2</v>
      </c>
      <c r="C17" s="151">
        <v>201710306</v>
      </c>
      <c r="D17" s="144" t="str">
        <f t="shared" si="0"/>
        <v>전자학과</v>
      </c>
      <c r="E17" s="152" t="s">
        <v>4</v>
      </c>
      <c r="F17" s="153">
        <v>134</v>
      </c>
      <c r="G17" s="146">
        <f t="shared" si="1"/>
        <v>67</v>
      </c>
      <c r="H17" s="153">
        <v>54</v>
      </c>
      <c r="I17" s="146">
        <f t="shared" si="2"/>
        <v>49.09</v>
      </c>
      <c r="J17" s="153">
        <v>100</v>
      </c>
      <c r="K17" s="153">
        <v>59</v>
      </c>
      <c r="L17" s="146">
        <f t="shared" si="3"/>
        <v>53.64</v>
      </c>
      <c r="M17" s="153">
        <v>63</v>
      </c>
      <c r="N17" s="154">
        <v>100</v>
      </c>
      <c r="O17" s="8">
        <f t="shared" si="4"/>
        <v>63.95</v>
      </c>
      <c r="P17" s="148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49" t="str">
        <f t="shared" si="8"/>
        <v>103</v>
      </c>
      <c r="U17" s="8" t="b">
        <f t="shared" si="9"/>
        <v>1</v>
      </c>
      <c r="V17" s="8" t="str">
        <f t="shared" si="10"/>
        <v>B</v>
      </c>
      <c r="W17" s="8" t="str">
        <f t="shared" si="11"/>
        <v>B0</v>
      </c>
      <c r="AA17" s="194" t="s">
        <v>111</v>
      </c>
      <c r="AB17" s="36">
        <v>101</v>
      </c>
      <c r="AC17" s="36">
        <v>102</v>
      </c>
      <c r="AD17" s="37">
        <v>103</v>
      </c>
      <c r="AE17" s="37">
        <v>104</v>
      </c>
      <c r="AF17" s="38">
        <v>105</v>
      </c>
      <c r="AM17" s="175"/>
      <c r="AN17" s="171"/>
      <c r="AO17" s="78" t="s">
        <v>125</v>
      </c>
      <c r="AP17" s="93" t="str">
        <f>IFERROR(ROUND(AVERAGEIFS($O$2:$O$54,$B$2:$B$54,"="&amp;$AN15,$T$2:$T$54,"="&amp;$AM$15,$W$2:$W$54,"="&amp;AP$2),2),"-")</f>
        <v>-</v>
      </c>
      <c r="AQ17" s="81" t="str">
        <f t="shared" ref="AQ17:AX17" si="111">IFERROR(ROUND(AVERAGEIFS($O$2:$O$54,$B$2:$B$54,"="&amp;$AN15,$T$2:$T$54,"="&amp;$AM$15,$W$2:$W$54,"="&amp;AQ$2),2),"-")</f>
        <v>-</v>
      </c>
      <c r="AR17" s="81" t="str">
        <f t="shared" si="111"/>
        <v>-</v>
      </c>
      <c r="AS17" s="81" t="str">
        <f t="shared" si="111"/>
        <v>-</v>
      </c>
      <c r="AT17" s="81" t="str">
        <f t="shared" si="111"/>
        <v>-</v>
      </c>
      <c r="AU17" s="81" t="str">
        <f t="shared" si="111"/>
        <v>-</v>
      </c>
      <c r="AV17" s="81" t="str">
        <f t="shared" si="111"/>
        <v>-</v>
      </c>
      <c r="AW17" s="81" t="str">
        <f t="shared" si="111"/>
        <v>-</v>
      </c>
      <c r="AX17" s="80" t="str">
        <f t="shared" si="111"/>
        <v>-</v>
      </c>
      <c r="BD17" s="201"/>
      <c r="BE17" s="109">
        <v>3</v>
      </c>
      <c r="BF17" s="131">
        <f t="shared" si="103"/>
        <v>82.26</v>
      </c>
      <c r="BG17" s="109">
        <f t="shared" si="104"/>
        <v>82.26</v>
      </c>
      <c r="BI17" s="201"/>
      <c r="BJ17" s="109">
        <v>2</v>
      </c>
      <c r="BK17" s="106">
        <f t="shared" ref="BK17:BK19" si="112">_xlfn.MAXIFS($O$2:$O$54,$T$2:$T$54,"="&amp;$BI$16,$B$2:$B$54,"="&amp;$BJ17,$S$2:$S$54,"="&amp;BK$2)</f>
        <v>43.09</v>
      </c>
      <c r="BL17" s="107">
        <f t="shared" ref="BL17:BL19" si="113">_xlfn.MINIFS($O$2:$O$54,$T$2:$T$54,"="&amp;$BI$16,$B$2:$B$54,"="&amp;$BJ17,$S$2:$S$54,"="&amp;BK$2)</f>
        <v>30.02</v>
      </c>
      <c r="BM17" s="106">
        <f t="shared" si="105"/>
        <v>68.099999999999994</v>
      </c>
      <c r="BN17" s="107">
        <f t="shared" ref="BN17" si="114">_xlfn.MINIFS($O$2:$O$54,$T$2:$T$54,"="&amp;$BI$16,$B$2:$B$54,"="&amp;$BJ17,$S$2:$S$54,"="&amp;BM$2)</f>
        <v>68.099999999999994</v>
      </c>
      <c r="BO17" s="106">
        <f t="shared" si="107"/>
        <v>0</v>
      </c>
      <c r="BP17" s="107">
        <f t="shared" ref="BP17" si="115">_xlfn.MINIFS($O$2:$O$54,$T$2:$T$54,"="&amp;$BI$16,$B$2:$B$54,"="&amp;$BJ17,$S$2:$S$54,"="&amp;BO$2)</f>
        <v>0</v>
      </c>
      <c r="BQ17" s="106">
        <f t="shared" si="109"/>
        <v>0</v>
      </c>
      <c r="BR17" s="107">
        <f t="shared" si="110"/>
        <v>0</v>
      </c>
    </row>
    <row r="18" spans="1:70" ht="20.100000000000001" customHeight="1" thickBot="1" x14ac:dyDescent="0.35">
      <c r="A18" s="150">
        <v>17</v>
      </c>
      <c r="B18" s="151">
        <v>4</v>
      </c>
      <c r="C18" s="151">
        <v>201510412</v>
      </c>
      <c r="D18" s="144" t="str">
        <f t="shared" si="0"/>
        <v>게임학과</v>
      </c>
      <c r="E18" s="152" t="s">
        <v>26</v>
      </c>
      <c r="F18" s="153">
        <v>141</v>
      </c>
      <c r="G18" s="146">
        <f t="shared" si="1"/>
        <v>70.5</v>
      </c>
      <c r="H18" s="153">
        <v>64</v>
      </c>
      <c r="I18" s="146">
        <f t="shared" si="2"/>
        <v>58.18</v>
      </c>
      <c r="J18" s="153">
        <v>100</v>
      </c>
      <c r="K18" s="153">
        <v>61</v>
      </c>
      <c r="L18" s="146">
        <f t="shared" si="3"/>
        <v>55.45</v>
      </c>
      <c r="M18" s="153">
        <v>26</v>
      </c>
      <c r="N18" s="154">
        <v>100</v>
      </c>
      <c r="O18" s="8">
        <f t="shared" si="4"/>
        <v>64.66</v>
      </c>
      <c r="P18" s="148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49" t="str">
        <f t="shared" si="8"/>
        <v>104</v>
      </c>
      <c r="U18" s="8" t="b">
        <f t="shared" si="9"/>
        <v>1</v>
      </c>
      <c r="V18" s="8" t="str">
        <f t="shared" si="10"/>
        <v>B</v>
      </c>
      <c r="W18" s="8" t="str">
        <f t="shared" si="11"/>
        <v>B0</v>
      </c>
      <c r="AA18" s="195"/>
      <c r="AB18" s="39" t="s">
        <v>106</v>
      </c>
      <c r="AC18" s="39" t="s">
        <v>107</v>
      </c>
      <c r="AD18" s="40" t="s">
        <v>108</v>
      </c>
      <c r="AE18" s="40" t="s">
        <v>109</v>
      </c>
      <c r="AF18" s="41" t="s">
        <v>110</v>
      </c>
      <c r="AM18" s="175"/>
      <c r="AN18" s="168">
        <v>2</v>
      </c>
      <c r="AO18" s="82" t="s">
        <v>123</v>
      </c>
      <c r="AP18" s="94">
        <f t="shared" ref="AP18:AX24" si="116">COUNTIFS($B$2:$B$54,"="&amp;$AN18,$T$2:$T$54,"="&amp;$AM$15,$W$2:$W$54,"="&amp;AP$2)</f>
        <v>0</v>
      </c>
      <c r="AQ18" s="83">
        <f t="shared" si="116"/>
        <v>2</v>
      </c>
      <c r="AR18" s="83">
        <f t="shared" si="116"/>
        <v>0</v>
      </c>
      <c r="AS18" s="83">
        <f t="shared" si="116"/>
        <v>2</v>
      </c>
      <c r="AT18" s="83">
        <f t="shared" si="116"/>
        <v>1</v>
      </c>
      <c r="AU18" s="83">
        <f t="shared" si="116"/>
        <v>0</v>
      </c>
      <c r="AV18" s="83">
        <f t="shared" si="116"/>
        <v>0</v>
      </c>
      <c r="AW18" s="83">
        <f t="shared" si="116"/>
        <v>1</v>
      </c>
      <c r="AX18" s="82">
        <f t="shared" si="116"/>
        <v>0</v>
      </c>
      <c r="BD18" s="202"/>
      <c r="BE18" s="117">
        <v>4</v>
      </c>
      <c r="BF18" s="133">
        <f t="shared" si="103"/>
        <v>64.66</v>
      </c>
      <c r="BG18" s="117">
        <f t="shared" si="104"/>
        <v>48.16</v>
      </c>
      <c r="BI18" s="201"/>
      <c r="BJ18" s="109">
        <v>3</v>
      </c>
      <c r="BK18" s="106">
        <f t="shared" si="112"/>
        <v>0</v>
      </c>
      <c r="BL18" s="107">
        <f t="shared" si="113"/>
        <v>0</v>
      </c>
      <c r="BM18" s="106">
        <f t="shared" si="105"/>
        <v>82.26</v>
      </c>
      <c r="BN18" s="107">
        <f t="shared" ref="BN18" si="117">_xlfn.MINIFS($O$2:$O$54,$T$2:$T$54,"="&amp;$BI$16,$B$2:$B$54,"="&amp;$BJ18,$S$2:$S$54,"="&amp;BM$2)</f>
        <v>82.26</v>
      </c>
      <c r="BO18" s="106">
        <f t="shared" si="107"/>
        <v>0</v>
      </c>
      <c r="BP18" s="107">
        <f t="shared" ref="BP18" si="118">_xlfn.MINIFS($O$2:$O$54,$T$2:$T$54,"="&amp;$BI$16,$B$2:$B$54,"="&amp;$BJ18,$S$2:$S$54,"="&amp;BO$2)</f>
        <v>0</v>
      </c>
      <c r="BQ18" s="106">
        <f t="shared" si="109"/>
        <v>0</v>
      </c>
      <c r="BR18" s="107">
        <f t="shared" si="110"/>
        <v>0</v>
      </c>
    </row>
    <row r="19" spans="1:70" ht="20.100000000000001" customHeight="1" thickTop="1" thickBot="1" x14ac:dyDescent="0.35">
      <c r="A19" s="150">
        <v>18</v>
      </c>
      <c r="B19" s="151">
        <v>3</v>
      </c>
      <c r="C19" s="151">
        <v>201710214</v>
      </c>
      <c r="D19" s="144" t="str">
        <f t="shared" si="0"/>
        <v>보안학과</v>
      </c>
      <c r="E19" s="152" t="s">
        <v>27</v>
      </c>
      <c r="F19" s="153">
        <v>117</v>
      </c>
      <c r="G19" s="146">
        <f t="shared" si="1"/>
        <v>58.5</v>
      </c>
      <c r="H19" s="153">
        <v>71</v>
      </c>
      <c r="I19" s="146">
        <f t="shared" si="2"/>
        <v>64.55</v>
      </c>
      <c r="J19" s="153">
        <v>100</v>
      </c>
      <c r="K19" s="153">
        <v>80</v>
      </c>
      <c r="L19" s="146">
        <f t="shared" si="3"/>
        <v>72.73</v>
      </c>
      <c r="M19" s="153">
        <v>74</v>
      </c>
      <c r="N19" s="154">
        <v>100</v>
      </c>
      <c r="O19" s="8">
        <f t="shared" si="4"/>
        <v>69.819999999999993</v>
      </c>
      <c r="P19" s="148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49" t="str">
        <f t="shared" si="8"/>
        <v>102</v>
      </c>
      <c r="U19" s="8" t="b">
        <f t="shared" si="9"/>
        <v>1</v>
      </c>
      <c r="V19" s="8" t="str">
        <f t="shared" si="10"/>
        <v>B</v>
      </c>
      <c r="W19" s="8" t="str">
        <f t="shared" si="11"/>
        <v>B+</v>
      </c>
      <c r="AA19" s="46" t="s">
        <v>98</v>
      </c>
      <c r="AB19" s="49">
        <f>COUNTIFS($T$2:$T$54,"="&amp;AB$17, $W$2:$W$54,"="&amp;$AA19)</f>
        <v>1</v>
      </c>
      <c r="AC19" s="36">
        <f t="shared" ref="AC19:AF27" si="119">COUNTIFS($T$2:$T$54,"="&amp;AC$17, $W$2:$W$54,"="&amp;$AA19)</f>
        <v>0</v>
      </c>
      <c r="AD19" s="36">
        <f t="shared" si="119"/>
        <v>1</v>
      </c>
      <c r="AE19" s="36">
        <f t="shared" si="119"/>
        <v>0</v>
      </c>
      <c r="AF19" s="50">
        <f t="shared" si="119"/>
        <v>1</v>
      </c>
      <c r="AM19" s="175"/>
      <c r="AN19" s="169"/>
      <c r="AO19" s="76" t="s">
        <v>124</v>
      </c>
      <c r="AP19" s="91">
        <f t="shared" ref="AP19" si="120">SUMIFS($O$2:$O$54,$B$2:$B$54,"="&amp;$AN18,$T$2:$T$54,"="&amp;$AM$15,$W$2:$W$54,"="&amp;AP$2)</f>
        <v>0</v>
      </c>
      <c r="AQ19" s="77">
        <f t="shared" ref="AQ19" si="121">SUMIFS($O$2:$O$54,$B$2:$B$54,"="&amp;$AN18,$T$2:$T$54,"="&amp;$AM$15,$W$2:$W$54,"="&amp;AQ$2)</f>
        <v>149.42000000000002</v>
      </c>
      <c r="AR19" s="77">
        <f t="shared" ref="AR19" si="122">SUMIFS($O$2:$O$54,$B$2:$B$54,"="&amp;$AN18,$T$2:$T$54,"="&amp;$AM$15,$W$2:$W$54,"="&amp;AR$2)</f>
        <v>0</v>
      </c>
      <c r="AS19" s="77">
        <f t="shared" ref="AS19" si="123">SUMIFS($O$2:$O$54,$B$2:$B$54,"="&amp;$AN18,$T$2:$T$54,"="&amp;$AM$15,$W$2:$W$54,"="&amp;AS$2)</f>
        <v>133.43</v>
      </c>
      <c r="AT19" s="77">
        <f t="shared" ref="AT19" si="124">SUMIFS($O$2:$O$54,$B$2:$B$54,"="&amp;$AN18,$T$2:$T$54,"="&amp;$AM$15,$W$2:$W$54,"="&amp;AT$2)</f>
        <v>56.97</v>
      </c>
      <c r="AU19" s="77">
        <f t="shared" ref="AU19" si="125">SUMIFS($O$2:$O$54,$B$2:$B$54,"="&amp;$AN18,$T$2:$T$54,"="&amp;$AM$15,$W$2:$W$54,"="&amp;AU$2)</f>
        <v>0</v>
      </c>
      <c r="AV19" s="77">
        <f t="shared" ref="AV19" si="126">SUMIFS($O$2:$O$54,$B$2:$B$54,"="&amp;$AN18,$T$2:$T$54,"="&amp;$AM$15,$W$2:$W$54,"="&amp;AV$2)</f>
        <v>0</v>
      </c>
      <c r="AW19" s="77">
        <f t="shared" ref="AW19" si="127">SUMIFS($O$2:$O$54,$B$2:$B$54,"="&amp;$AN18,$T$2:$T$54,"="&amp;$AM$15,$W$2:$W$54,"="&amp;AW$2)</f>
        <v>39.770000000000003</v>
      </c>
      <c r="AX19" s="76">
        <f t="shared" ref="AX19" si="128">SUMIFS($O$2:$O$54,$B$2:$B$54,"="&amp;$AN18,$T$2:$T$54,"="&amp;$AM$15,$W$2:$W$54,"="&amp;AX$2)</f>
        <v>0</v>
      </c>
      <c r="BD19" s="201">
        <v>105</v>
      </c>
      <c r="BE19" s="107">
        <v>1</v>
      </c>
      <c r="BF19" s="127">
        <f>_xlfn.MAXIFS($O$2:$O$54,$T$2:$T$54,"="&amp;$BD$19,$B$2:$B$54,"="&amp;$BE19)</f>
        <v>72.69</v>
      </c>
      <c r="BG19" s="107">
        <f>_xlfn.MINIFS($O$2:$O$54,$T$2:$T$54,"="&amp;$BD$19,$B$2:$B$54,"="&amp;$BE19)</f>
        <v>28.25</v>
      </c>
      <c r="BI19" s="202"/>
      <c r="BJ19" s="117">
        <v>4</v>
      </c>
      <c r="BK19" s="137">
        <f t="shared" si="112"/>
        <v>0</v>
      </c>
      <c r="BL19" s="138">
        <f t="shared" si="113"/>
        <v>0</v>
      </c>
      <c r="BM19" s="137">
        <f t="shared" si="105"/>
        <v>0</v>
      </c>
      <c r="BN19" s="138">
        <f t="shared" ref="BN19" si="129">_xlfn.MINIFS($O$2:$O$54,$T$2:$T$54,"="&amp;$BI$16,$B$2:$B$54,"="&amp;$BJ19,$S$2:$S$54,"="&amp;BM$2)</f>
        <v>0</v>
      </c>
      <c r="BO19" s="137">
        <f t="shared" si="107"/>
        <v>0</v>
      </c>
      <c r="BP19" s="138">
        <f t="shared" ref="BP19" si="130">_xlfn.MINIFS($O$2:$O$54,$T$2:$T$54,"="&amp;$BI$16,$B$2:$B$54,"="&amp;$BJ19,$S$2:$S$54,"="&amp;BO$2)</f>
        <v>0</v>
      </c>
      <c r="BQ19" s="137">
        <f t="shared" si="109"/>
        <v>64.66</v>
      </c>
      <c r="BR19" s="138">
        <f t="shared" si="110"/>
        <v>48.16</v>
      </c>
    </row>
    <row r="20" spans="1:70" ht="20.100000000000001" customHeight="1" thickTop="1" x14ac:dyDescent="0.3">
      <c r="A20" s="150">
        <v>19</v>
      </c>
      <c r="B20" s="151">
        <v>2</v>
      </c>
      <c r="C20" s="151">
        <v>201810117</v>
      </c>
      <c r="D20" s="144" t="str">
        <f t="shared" si="0"/>
        <v>컴퓨터학과</v>
      </c>
      <c r="E20" s="152" t="s">
        <v>28</v>
      </c>
      <c r="F20" s="153">
        <v>139</v>
      </c>
      <c r="G20" s="146">
        <f t="shared" si="1"/>
        <v>69.5</v>
      </c>
      <c r="H20" s="153">
        <v>89</v>
      </c>
      <c r="I20" s="146">
        <f t="shared" si="2"/>
        <v>80.91</v>
      </c>
      <c r="J20" s="153">
        <v>96.67</v>
      </c>
      <c r="K20" s="153">
        <v>60</v>
      </c>
      <c r="L20" s="146">
        <f t="shared" si="3"/>
        <v>54.55</v>
      </c>
      <c r="M20" s="153">
        <v>87</v>
      </c>
      <c r="N20" s="154">
        <v>100</v>
      </c>
      <c r="O20" s="8">
        <f t="shared" si="4"/>
        <v>77.989999999999995</v>
      </c>
      <c r="P20" s="148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49" t="str">
        <f t="shared" si="8"/>
        <v>101</v>
      </c>
      <c r="U20" s="8" t="b">
        <f t="shared" si="9"/>
        <v>1</v>
      </c>
      <c r="V20" s="8" t="str">
        <f t="shared" si="10"/>
        <v>A</v>
      </c>
      <c r="W20" s="8" t="str">
        <f t="shared" si="11"/>
        <v>A0</v>
      </c>
      <c r="AA20" s="47" t="s">
        <v>99</v>
      </c>
      <c r="AB20" s="42">
        <f t="shared" ref="AB20:AB27" si="131">COUNTIFS($T$2:$T$54,"="&amp;AB$17, $W$2:$W$54,"="&amp;$AA20)</f>
        <v>4</v>
      </c>
      <c r="AC20" s="43">
        <f t="shared" si="119"/>
        <v>2</v>
      </c>
      <c r="AD20" s="43">
        <f t="shared" si="119"/>
        <v>2</v>
      </c>
      <c r="AE20" s="43">
        <f t="shared" si="119"/>
        <v>0</v>
      </c>
      <c r="AF20" s="51">
        <f t="shared" si="119"/>
        <v>3</v>
      </c>
      <c r="AM20" s="175"/>
      <c r="AN20" s="171"/>
      <c r="AO20" s="78" t="s">
        <v>125</v>
      </c>
      <c r="AP20" s="92" t="str">
        <f t="shared" ref="AP20:AX20" si="132">IFERROR(ROUND(AVERAGEIFS($O$2:$O$54,$B$2:$B$54,"="&amp;$AN18,$T$2:$T$54,"="&amp;$AM$15,$W$2:$W$54,"="&amp;AP$2),2),"-")</f>
        <v>-</v>
      </c>
      <c r="AQ20" s="79">
        <f t="shared" si="132"/>
        <v>74.709999999999994</v>
      </c>
      <c r="AR20" s="79" t="str">
        <f t="shared" si="132"/>
        <v>-</v>
      </c>
      <c r="AS20" s="79">
        <f t="shared" si="132"/>
        <v>66.72</v>
      </c>
      <c r="AT20" s="79">
        <f t="shared" si="132"/>
        <v>56.97</v>
      </c>
      <c r="AU20" s="79" t="str">
        <f t="shared" si="132"/>
        <v>-</v>
      </c>
      <c r="AV20" s="79" t="str">
        <f t="shared" si="132"/>
        <v>-</v>
      </c>
      <c r="AW20" s="79">
        <f t="shared" si="132"/>
        <v>39.770000000000003</v>
      </c>
      <c r="AX20" s="78" t="str">
        <f t="shared" si="132"/>
        <v>-</v>
      </c>
      <c r="BD20" s="201"/>
      <c r="BE20" s="109">
        <v>2</v>
      </c>
      <c r="BF20" s="131">
        <f t="shared" ref="BF20:BF22" si="133">_xlfn.MAXIFS($O$2:$O$54,$T$2:$T$54,"="&amp;$BD$19,$B$2:$B$54,"="&amp;$BE20)</f>
        <v>87.02</v>
      </c>
      <c r="BG20" s="109">
        <f t="shared" ref="BG20:BG22" si="134">_xlfn.MINIFS($O$2:$O$54,$T$2:$T$54,"="&amp;$BD$19,$B$2:$B$54,"="&amp;$BE20)</f>
        <v>43.86</v>
      </c>
      <c r="BI20" s="201">
        <v>105</v>
      </c>
      <c r="BJ20" s="107">
        <v>1</v>
      </c>
      <c r="BK20" s="127">
        <f>_xlfn.MAXIFS($O$2:$O$54,$T$2:$T$54,"="&amp;$BI$20,$B$2:$B$54,"="&amp;$BJ20,$S$2:$S$54,"="&amp;BK$2)</f>
        <v>72.69</v>
      </c>
      <c r="BL20" s="107">
        <f>_xlfn.MINIFS($O$2:$O$54,$T$2:$T$54,"="&amp;$BI$20,$B$2:$B$54,"="&amp;$BJ20,$S$2:$S$54,"="&amp;BK$2)</f>
        <v>72.69</v>
      </c>
      <c r="BM20" s="106">
        <f t="shared" ref="BM20:BM23" si="135">_xlfn.MAXIFS($O$2:$O$54,$T$2:$T$54,"="&amp;$BI$20,$B$2:$B$54,"="&amp;$BJ20,$S$2:$S$54,"="&amp;BM$2)</f>
        <v>28.25</v>
      </c>
      <c r="BN20" s="107">
        <f t="shared" ref="BN20" si="136">_xlfn.MINIFS($O$2:$O$54,$T$2:$T$54,"="&amp;$BI$20,$B$2:$B$54,"="&amp;$BJ20,$S$2:$S$54,"="&amp;BM$2)</f>
        <v>28.25</v>
      </c>
      <c r="BO20" s="106">
        <f t="shared" ref="BO20:BO23" si="137">_xlfn.MAXIFS($O$2:$O$54,$T$2:$T$54,"="&amp;$BI$20,$B$2:$B$54,"="&amp;$BJ20,$S$2:$S$54,"="&amp;BO$2)</f>
        <v>0</v>
      </c>
      <c r="BP20" s="107">
        <f t="shared" ref="BP20" si="138">_xlfn.MINIFS($O$2:$O$54,$T$2:$T$54,"="&amp;$BI$20,$B$2:$B$54,"="&amp;$BJ20,$S$2:$S$54,"="&amp;BO$2)</f>
        <v>0</v>
      </c>
      <c r="BQ20" s="106">
        <f t="shared" ref="BQ20:BQ23" si="139">_xlfn.MAXIFS($O$2:$O$54,$T$2:$T$54,"="&amp;$BI$20,$B$2:$B$54,"="&amp;$BJ20,$S$2:$S$54,"="&amp;BQ$2)</f>
        <v>0</v>
      </c>
      <c r="BR20" s="107">
        <f t="shared" ref="BR20:BR23" si="140">_xlfn.MINIFS($O$2:$O$54,$T$2:$T$54,"="&amp;$BI$20,$B$2:$B$54,"="&amp;$BJ20,$S$2:$S$54,"="&amp;BQ$2)</f>
        <v>0</v>
      </c>
    </row>
    <row r="21" spans="1:70" ht="20.100000000000001" customHeight="1" x14ac:dyDescent="0.3">
      <c r="A21" s="150">
        <v>20</v>
      </c>
      <c r="B21" s="151">
        <v>4</v>
      </c>
      <c r="C21" s="151">
        <v>201610118</v>
      </c>
      <c r="D21" s="144" t="str">
        <f t="shared" si="0"/>
        <v>컴퓨터학과</v>
      </c>
      <c r="E21" s="152" t="s">
        <v>29</v>
      </c>
      <c r="F21" s="153">
        <v>145</v>
      </c>
      <c r="G21" s="146">
        <f t="shared" si="1"/>
        <v>72.5</v>
      </c>
      <c r="H21" s="153">
        <v>93</v>
      </c>
      <c r="I21" s="146">
        <f t="shared" si="2"/>
        <v>84.55</v>
      </c>
      <c r="J21" s="153">
        <v>98.89</v>
      </c>
      <c r="K21" s="153">
        <v>74</v>
      </c>
      <c r="L21" s="146">
        <f t="shared" si="3"/>
        <v>67.27</v>
      </c>
      <c r="M21" s="153">
        <v>50</v>
      </c>
      <c r="N21" s="154">
        <v>100</v>
      </c>
      <c r="O21" s="8">
        <f t="shared" si="4"/>
        <v>77.959999999999994</v>
      </c>
      <c r="P21" s="148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49" t="str">
        <f t="shared" si="8"/>
        <v>101</v>
      </c>
      <c r="U21" s="8" t="b">
        <f t="shared" si="9"/>
        <v>1</v>
      </c>
      <c r="V21" s="8" t="str">
        <f t="shared" si="10"/>
        <v>A</v>
      </c>
      <c r="W21" s="8" t="str">
        <f t="shared" si="11"/>
        <v>A0</v>
      </c>
      <c r="AA21" s="47" t="s">
        <v>100</v>
      </c>
      <c r="AB21" s="42">
        <f t="shared" si="131"/>
        <v>2</v>
      </c>
      <c r="AC21" s="43">
        <f t="shared" si="119"/>
        <v>3</v>
      </c>
      <c r="AD21" s="43">
        <f t="shared" si="119"/>
        <v>1</v>
      </c>
      <c r="AE21" s="43">
        <f t="shared" si="119"/>
        <v>1</v>
      </c>
      <c r="AF21" s="51">
        <f t="shared" si="119"/>
        <v>2</v>
      </c>
      <c r="AM21" s="175"/>
      <c r="AN21" s="168">
        <v>3</v>
      </c>
      <c r="AO21" s="82" t="s">
        <v>123</v>
      </c>
      <c r="AP21" s="94">
        <f t="shared" ref="AP21" si="141">COUNTIFS($B$2:$B$54,"="&amp;$AN21,$T$2:$T$54,"="&amp;$AM$15,$W$2:$W$54,"="&amp;AP$2)</f>
        <v>0</v>
      </c>
      <c r="AQ21" s="83">
        <f t="shared" si="116"/>
        <v>0</v>
      </c>
      <c r="AR21" s="83">
        <f t="shared" si="116"/>
        <v>2</v>
      </c>
      <c r="AS21" s="83">
        <f t="shared" si="116"/>
        <v>0</v>
      </c>
      <c r="AT21" s="83">
        <f t="shared" si="116"/>
        <v>1</v>
      </c>
      <c r="AU21" s="83">
        <f t="shared" si="116"/>
        <v>0</v>
      </c>
      <c r="AV21" s="83">
        <f t="shared" si="116"/>
        <v>0</v>
      </c>
      <c r="AW21" s="83">
        <f t="shared" si="116"/>
        <v>0</v>
      </c>
      <c r="AX21" s="82">
        <f t="shared" si="116"/>
        <v>0</v>
      </c>
      <c r="BD21" s="201"/>
      <c r="BE21" s="109">
        <v>3</v>
      </c>
      <c r="BF21" s="131">
        <f t="shared" si="133"/>
        <v>68.150000000000006</v>
      </c>
      <c r="BG21" s="109">
        <f t="shared" si="134"/>
        <v>67.44</v>
      </c>
      <c r="BI21" s="201"/>
      <c r="BJ21" s="109">
        <v>2</v>
      </c>
      <c r="BK21" s="127">
        <f t="shared" ref="BK21:BK23" si="142">_xlfn.MAXIFS($O$2:$O$54,$T$2:$T$54,"="&amp;$BI$20,$B$2:$B$54,"="&amp;$BJ21,$S$2:$S$54,"="&amp;BK$2)</f>
        <v>87.02</v>
      </c>
      <c r="BL21" s="107">
        <f t="shared" ref="BL21:BL23" si="143">_xlfn.MINIFS($O$2:$O$54,$T$2:$T$54,"="&amp;$BI$20,$B$2:$B$54,"="&amp;$BJ21,$S$2:$S$54,"="&amp;BK$2)</f>
        <v>43.86</v>
      </c>
      <c r="BM21" s="106">
        <f t="shared" si="135"/>
        <v>0</v>
      </c>
      <c r="BN21" s="107">
        <f t="shared" ref="BN21" si="144">_xlfn.MINIFS($O$2:$O$54,$T$2:$T$54,"="&amp;$BI$20,$B$2:$B$54,"="&amp;$BJ21,$S$2:$S$54,"="&amp;BM$2)</f>
        <v>0</v>
      </c>
      <c r="BO21" s="106">
        <f t="shared" si="137"/>
        <v>70.52</v>
      </c>
      <c r="BP21" s="107">
        <f t="shared" ref="BP21" si="145">_xlfn.MINIFS($O$2:$O$54,$T$2:$T$54,"="&amp;$BI$20,$B$2:$B$54,"="&amp;$BJ21,$S$2:$S$54,"="&amp;BO$2)</f>
        <v>70.52</v>
      </c>
      <c r="BQ21" s="106">
        <f t="shared" si="139"/>
        <v>0</v>
      </c>
      <c r="BR21" s="107">
        <f t="shared" si="140"/>
        <v>0</v>
      </c>
    </row>
    <row r="22" spans="1:70" ht="20.100000000000001" customHeight="1" thickBot="1" x14ac:dyDescent="0.35">
      <c r="A22" s="150">
        <v>21</v>
      </c>
      <c r="B22" s="151">
        <v>4</v>
      </c>
      <c r="C22" s="151">
        <v>201510420</v>
      </c>
      <c r="D22" s="144" t="str">
        <f t="shared" si="0"/>
        <v>게임학과</v>
      </c>
      <c r="E22" s="152" t="s">
        <v>30</v>
      </c>
      <c r="F22" s="153">
        <v>82</v>
      </c>
      <c r="G22" s="146">
        <f t="shared" si="1"/>
        <v>41</v>
      </c>
      <c r="H22" s="153">
        <v>50</v>
      </c>
      <c r="I22" s="146">
        <f t="shared" si="2"/>
        <v>45.45</v>
      </c>
      <c r="J22" s="153">
        <v>94.44</v>
      </c>
      <c r="K22" s="153">
        <v>54</v>
      </c>
      <c r="L22" s="146">
        <f t="shared" si="3"/>
        <v>49.09</v>
      </c>
      <c r="M22" s="153">
        <v>26</v>
      </c>
      <c r="N22" s="154">
        <v>60</v>
      </c>
      <c r="O22" s="8">
        <f t="shared" si="4"/>
        <v>48.16</v>
      </c>
      <c r="P22" s="148">
        <f t="shared" si="5"/>
        <v>41</v>
      </c>
      <c r="Q22" s="8">
        <f t="shared" si="6"/>
        <v>41</v>
      </c>
      <c r="R22" s="9" t="s">
        <v>71</v>
      </c>
      <c r="S22" s="8" t="str">
        <f t="shared" si="7"/>
        <v>2015</v>
      </c>
      <c r="T22" s="149" t="str">
        <f t="shared" si="8"/>
        <v>104</v>
      </c>
      <c r="U22" s="8" t="b">
        <f t="shared" si="9"/>
        <v>1</v>
      </c>
      <c r="V22" s="8" t="str">
        <f t="shared" si="10"/>
        <v>C</v>
      </c>
      <c r="W22" s="8" t="str">
        <f t="shared" si="11"/>
        <v>C0</v>
      </c>
      <c r="AA22" s="47" t="s">
        <v>101</v>
      </c>
      <c r="AB22" s="42">
        <f t="shared" si="131"/>
        <v>0</v>
      </c>
      <c r="AC22" s="43">
        <f t="shared" si="119"/>
        <v>2</v>
      </c>
      <c r="AD22" s="43">
        <f t="shared" si="119"/>
        <v>2</v>
      </c>
      <c r="AE22" s="43">
        <f t="shared" si="119"/>
        <v>2</v>
      </c>
      <c r="AF22" s="51">
        <f t="shared" si="119"/>
        <v>2</v>
      </c>
      <c r="AM22" s="175"/>
      <c r="AN22" s="169"/>
      <c r="AO22" s="76" t="s">
        <v>124</v>
      </c>
      <c r="AP22" s="91">
        <f t="shared" ref="AP22" si="146">SUMIFS($O$2:$O$54,$B$2:$B$54,"="&amp;$AN21,$T$2:$T$54,"="&amp;$AM$15,$W$2:$W$54,"="&amp;AP$2)</f>
        <v>0</v>
      </c>
      <c r="AQ22" s="77">
        <f t="shared" ref="AQ22" si="147">SUMIFS($O$2:$O$54,$B$2:$B$54,"="&amp;$AN21,$T$2:$T$54,"="&amp;$AM$15,$W$2:$W$54,"="&amp;AQ$2)</f>
        <v>0</v>
      </c>
      <c r="AR22" s="77">
        <f t="shared" ref="AR22" si="148">SUMIFS($O$2:$O$54,$B$2:$B$54,"="&amp;$AN21,$T$2:$T$54,"="&amp;$AM$15,$W$2:$W$54,"="&amp;AR$2)</f>
        <v>142.27999999999997</v>
      </c>
      <c r="AS22" s="77">
        <f t="shared" ref="AS22" si="149">SUMIFS($O$2:$O$54,$B$2:$B$54,"="&amp;$AN21,$T$2:$T$54,"="&amp;$AM$15,$W$2:$W$54,"="&amp;AS$2)</f>
        <v>0</v>
      </c>
      <c r="AT22" s="77">
        <f t="shared" ref="AT22" si="150">SUMIFS($O$2:$O$54,$B$2:$B$54,"="&amp;$AN21,$T$2:$T$54,"="&amp;$AM$15,$W$2:$W$54,"="&amp;AT$2)</f>
        <v>60.36</v>
      </c>
      <c r="AU22" s="77">
        <f t="shared" ref="AU22" si="151">SUMIFS($O$2:$O$54,$B$2:$B$54,"="&amp;$AN21,$T$2:$T$54,"="&amp;$AM$15,$W$2:$W$54,"="&amp;AU$2)</f>
        <v>0</v>
      </c>
      <c r="AV22" s="77">
        <f t="shared" ref="AV22" si="152">SUMIFS($O$2:$O$54,$B$2:$B$54,"="&amp;$AN21,$T$2:$T$54,"="&amp;$AM$15,$W$2:$W$54,"="&amp;AV$2)</f>
        <v>0</v>
      </c>
      <c r="AW22" s="77">
        <f t="shared" ref="AW22" si="153">SUMIFS($O$2:$O$54,$B$2:$B$54,"="&amp;$AN21,$T$2:$T$54,"="&amp;$AM$15,$W$2:$W$54,"="&amp;AW$2)</f>
        <v>0</v>
      </c>
      <c r="AX22" s="76">
        <f t="shared" ref="AX22" si="154">SUMIFS($O$2:$O$54,$B$2:$B$54,"="&amp;$AN21,$T$2:$T$54,"="&amp;$AM$15,$W$2:$W$54,"="&amp;AX$2)</f>
        <v>0</v>
      </c>
      <c r="BD22" s="203"/>
      <c r="BE22" s="41">
        <v>4</v>
      </c>
      <c r="BF22" s="112">
        <f t="shared" si="133"/>
        <v>0</v>
      </c>
      <c r="BG22" s="41">
        <f t="shared" si="134"/>
        <v>0</v>
      </c>
      <c r="BI22" s="201"/>
      <c r="BJ22" s="109">
        <v>3</v>
      </c>
      <c r="BK22" s="127">
        <f t="shared" si="142"/>
        <v>0</v>
      </c>
      <c r="BL22" s="107">
        <f t="shared" si="143"/>
        <v>0</v>
      </c>
      <c r="BM22" s="106">
        <f t="shared" si="135"/>
        <v>0</v>
      </c>
      <c r="BN22" s="107">
        <f t="shared" ref="BN22" si="155">_xlfn.MINIFS($O$2:$O$54,$T$2:$T$54,"="&amp;$BI$20,$B$2:$B$54,"="&amp;$BJ22,$S$2:$S$54,"="&amp;BM$2)</f>
        <v>0</v>
      </c>
      <c r="BO22" s="106">
        <f t="shared" si="137"/>
        <v>0</v>
      </c>
      <c r="BP22" s="107">
        <f t="shared" ref="BP22" si="156">_xlfn.MINIFS($O$2:$O$54,$T$2:$T$54,"="&amp;$BI$20,$B$2:$B$54,"="&amp;$BJ22,$S$2:$S$54,"="&amp;BO$2)</f>
        <v>0</v>
      </c>
      <c r="BQ22" s="106">
        <f t="shared" si="139"/>
        <v>68.150000000000006</v>
      </c>
      <c r="BR22" s="107">
        <f t="shared" si="140"/>
        <v>67.44</v>
      </c>
    </row>
    <row r="23" spans="1:70" ht="20.100000000000001" customHeight="1" thickTop="1" thickBot="1" x14ac:dyDescent="0.35">
      <c r="A23" s="150">
        <v>22</v>
      </c>
      <c r="B23" s="151">
        <v>2</v>
      </c>
      <c r="C23" s="151">
        <v>201810321</v>
      </c>
      <c r="D23" s="144" t="str">
        <f t="shared" si="0"/>
        <v>전자학과</v>
      </c>
      <c r="E23" s="152" t="s">
        <v>31</v>
      </c>
      <c r="F23" s="153">
        <v>131</v>
      </c>
      <c r="G23" s="146">
        <f t="shared" si="1"/>
        <v>65.5</v>
      </c>
      <c r="H23" s="153">
        <v>56</v>
      </c>
      <c r="I23" s="146">
        <f t="shared" si="2"/>
        <v>50.91</v>
      </c>
      <c r="J23" s="153">
        <v>94.44</v>
      </c>
      <c r="K23" s="153">
        <v>47</v>
      </c>
      <c r="L23" s="146">
        <f t="shared" si="3"/>
        <v>42.73</v>
      </c>
      <c r="M23" s="153">
        <v>48</v>
      </c>
      <c r="N23" s="154">
        <v>80</v>
      </c>
      <c r="O23" s="8">
        <f t="shared" si="4"/>
        <v>59.99</v>
      </c>
      <c r="P23" s="148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49" t="str">
        <f t="shared" si="8"/>
        <v>103</v>
      </c>
      <c r="U23" s="8" t="b">
        <f t="shared" si="9"/>
        <v>1</v>
      </c>
      <c r="V23" s="8" t="str">
        <f t="shared" si="10"/>
        <v>C</v>
      </c>
      <c r="W23" s="8" t="str">
        <f t="shared" si="11"/>
        <v>C+</v>
      </c>
      <c r="AA23" s="47" t="s">
        <v>102</v>
      </c>
      <c r="AB23" s="42">
        <f t="shared" si="131"/>
        <v>3</v>
      </c>
      <c r="AC23" s="43">
        <f t="shared" si="119"/>
        <v>2</v>
      </c>
      <c r="AD23" s="43">
        <f t="shared" si="119"/>
        <v>1</v>
      </c>
      <c r="AE23" s="43">
        <f t="shared" si="119"/>
        <v>0</v>
      </c>
      <c r="AF23" s="51">
        <f t="shared" si="119"/>
        <v>0</v>
      </c>
      <c r="AM23" s="175"/>
      <c r="AN23" s="171"/>
      <c r="AO23" s="78" t="s">
        <v>125</v>
      </c>
      <c r="AP23" s="92" t="str">
        <f t="shared" ref="AP23:AX23" si="157">IFERROR(ROUND(AVERAGEIFS($O$2:$O$54,$B$2:$B$54,"="&amp;$AN21,$T$2:$T$54,"="&amp;$AM$15,$W$2:$W$54,"="&amp;AP$2),2),"-")</f>
        <v>-</v>
      </c>
      <c r="AQ23" s="79" t="str">
        <f t="shared" si="157"/>
        <v>-</v>
      </c>
      <c r="AR23" s="79">
        <f t="shared" si="157"/>
        <v>71.14</v>
      </c>
      <c r="AS23" s="79" t="str">
        <f t="shared" si="157"/>
        <v>-</v>
      </c>
      <c r="AT23" s="79">
        <f t="shared" si="157"/>
        <v>60.36</v>
      </c>
      <c r="AU23" s="79" t="str">
        <f t="shared" si="157"/>
        <v>-</v>
      </c>
      <c r="AV23" s="79" t="str">
        <f t="shared" si="157"/>
        <v>-</v>
      </c>
      <c r="AW23" s="79" t="str">
        <f t="shared" si="157"/>
        <v>-</v>
      </c>
      <c r="AX23" s="78" t="str">
        <f t="shared" si="157"/>
        <v>-</v>
      </c>
      <c r="BI23" s="203"/>
      <c r="BJ23" s="41">
        <v>4</v>
      </c>
      <c r="BK23" s="125">
        <f t="shared" si="142"/>
        <v>0</v>
      </c>
      <c r="BL23" s="128">
        <f t="shared" si="143"/>
        <v>0</v>
      </c>
      <c r="BM23" s="134">
        <f t="shared" si="135"/>
        <v>0</v>
      </c>
      <c r="BN23" s="128">
        <f t="shared" ref="BN23" si="158">_xlfn.MINIFS($O$2:$O$54,$T$2:$T$54,"="&amp;$BI$20,$B$2:$B$54,"="&amp;$BJ23,$S$2:$S$54,"="&amp;BM$2)</f>
        <v>0</v>
      </c>
      <c r="BO23" s="134">
        <f t="shared" si="137"/>
        <v>0</v>
      </c>
      <c r="BP23" s="128">
        <f t="shared" ref="BP23" si="159">_xlfn.MINIFS($O$2:$O$54,$T$2:$T$54,"="&amp;$BI$20,$B$2:$B$54,"="&amp;$BJ23,$S$2:$S$54,"="&amp;BO$2)</f>
        <v>0</v>
      </c>
      <c r="BQ23" s="134">
        <f t="shared" si="139"/>
        <v>0</v>
      </c>
      <c r="BR23" s="128">
        <f t="shared" si="140"/>
        <v>0</v>
      </c>
    </row>
    <row r="24" spans="1:70" ht="20.100000000000001" customHeight="1" thickTop="1" x14ac:dyDescent="0.3">
      <c r="A24" s="150">
        <v>23</v>
      </c>
      <c r="B24" s="151">
        <v>3</v>
      </c>
      <c r="C24" s="151">
        <v>201610124</v>
      </c>
      <c r="D24" s="144" t="str">
        <f t="shared" si="0"/>
        <v>컴퓨터학과</v>
      </c>
      <c r="E24" s="152" t="s">
        <v>32</v>
      </c>
      <c r="F24" s="153">
        <v>111</v>
      </c>
      <c r="G24" s="146">
        <f t="shared" si="1"/>
        <v>55.5</v>
      </c>
      <c r="H24" s="153">
        <v>60</v>
      </c>
      <c r="I24" s="146">
        <f t="shared" si="2"/>
        <v>54.55</v>
      </c>
      <c r="J24" s="153">
        <v>94.44</v>
      </c>
      <c r="K24" s="153">
        <v>47</v>
      </c>
      <c r="L24" s="146">
        <f t="shared" si="3"/>
        <v>42.73</v>
      </c>
      <c r="M24" s="153">
        <v>30</v>
      </c>
      <c r="N24" s="154">
        <v>80</v>
      </c>
      <c r="O24" s="8">
        <f t="shared" si="4"/>
        <v>56.46</v>
      </c>
      <c r="P24" s="148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49" t="str">
        <f t="shared" si="8"/>
        <v>101</v>
      </c>
      <c r="U24" s="8" t="b">
        <f t="shared" si="9"/>
        <v>1</v>
      </c>
      <c r="V24" s="8" t="str">
        <f t="shared" si="10"/>
        <v>C</v>
      </c>
      <c r="W24" s="8" t="str">
        <f t="shared" si="11"/>
        <v>C+</v>
      </c>
      <c r="AA24" s="47" t="s">
        <v>103</v>
      </c>
      <c r="AB24" s="42">
        <f t="shared" si="131"/>
        <v>2</v>
      </c>
      <c r="AC24" s="43">
        <f t="shared" si="119"/>
        <v>0</v>
      </c>
      <c r="AD24" s="43">
        <f t="shared" si="119"/>
        <v>1</v>
      </c>
      <c r="AE24" s="43">
        <f t="shared" si="119"/>
        <v>2</v>
      </c>
      <c r="AF24" s="51">
        <f t="shared" si="119"/>
        <v>0</v>
      </c>
      <c r="AM24" s="175"/>
      <c r="AN24" s="168">
        <v>4</v>
      </c>
      <c r="AO24" s="82" t="s">
        <v>123</v>
      </c>
      <c r="AP24" s="95">
        <f t="shared" ref="AP24" si="160">COUNTIFS($B$2:$B$54,"="&amp;$AN24,$T$2:$T$54,"="&amp;$AM$15,$W$2:$W$54,"="&amp;AP$2)</f>
        <v>0</v>
      </c>
      <c r="AQ24" s="85">
        <f t="shared" si="116"/>
        <v>0</v>
      </c>
      <c r="AR24" s="85">
        <f t="shared" si="116"/>
        <v>1</v>
      </c>
      <c r="AS24" s="85">
        <f t="shared" si="116"/>
        <v>0</v>
      </c>
      <c r="AT24" s="85">
        <f t="shared" si="116"/>
        <v>0</v>
      </c>
      <c r="AU24" s="85">
        <f t="shared" si="116"/>
        <v>0</v>
      </c>
      <c r="AV24" s="85">
        <f t="shared" si="116"/>
        <v>1</v>
      </c>
      <c r="AW24" s="85">
        <f t="shared" si="116"/>
        <v>0</v>
      </c>
      <c r="AX24" s="84">
        <f t="shared" si="116"/>
        <v>0</v>
      </c>
    </row>
    <row r="25" spans="1:70" ht="20.100000000000001" customHeight="1" x14ac:dyDescent="0.3">
      <c r="A25" s="150">
        <v>24</v>
      </c>
      <c r="B25" s="151">
        <v>2</v>
      </c>
      <c r="C25" s="151">
        <v>201710128</v>
      </c>
      <c r="D25" s="144" t="str">
        <f t="shared" si="0"/>
        <v>컴퓨터학과</v>
      </c>
      <c r="E25" s="152" t="s">
        <v>33</v>
      </c>
      <c r="F25" s="153">
        <v>130</v>
      </c>
      <c r="G25" s="146">
        <f t="shared" si="1"/>
        <v>65</v>
      </c>
      <c r="H25" s="153">
        <v>0</v>
      </c>
      <c r="I25" s="146">
        <f t="shared" si="2"/>
        <v>0</v>
      </c>
      <c r="J25" s="153">
        <v>60</v>
      </c>
      <c r="K25" s="153">
        <v>57</v>
      </c>
      <c r="L25" s="146">
        <f t="shared" si="3"/>
        <v>51.82</v>
      </c>
      <c r="M25" s="153">
        <v>0</v>
      </c>
      <c r="N25" s="154">
        <v>0</v>
      </c>
      <c r="O25" s="8">
        <f t="shared" si="4"/>
        <v>30.68</v>
      </c>
      <c r="P25" s="148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49" t="str">
        <f t="shared" si="8"/>
        <v>101</v>
      </c>
      <c r="U25" s="8" t="b">
        <f t="shared" si="9"/>
        <v>1</v>
      </c>
      <c r="V25" s="8" t="str">
        <f t="shared" si="10"/>
        <v>F</v>
      </c>
      <c r="W25" s="8" t="str">
        <f t="shared" si="11"/>
        <v>F</v>
      </c>
      <c r="AA25" s="47" t="s">
        <v>104</v>
      </c>
      <c r="AB25" s="42">
        <f t="shared" si="131"/>
        <v>0</v>
      </c>
      <c r="AC25" s="43">
        <f t="shared" si="119"/>
        <v>1</v>
      </c>
      <c r="AD25" s="43">
        <f t="shared" si="119"/>
        <v>0</v>
      </c>
      <c r="AE25" s="43">
        <f t="shared" si="119"/>
        <v>1</v>
      </c>
      <c r="AF25" s="51">
        <f t="shared" si="119"/>
        <v>1</v>
      </c>
      <c r="AM25" s="175"/>
      <c r="AN25" s="169"/>
      <c r="AO25" s="76" t="s">
        <v>124</v>
      </c>
      <c r="AP25" s="91">
        <f t="shared" ref="AP25" si="161">SUMIFS($O$2:$O$54,$B$2:$B$54,"="&amp;$AN24,$T$2:$T$54,"="&amp;$AM$15,$W$2:$W$54,"="&amp;AP$2)</f>
        <v>0</v>
      </c>
      <c r="AQ25" s="77">
        <f t="shared" ref="AQ25" si="162">SUMIFS($O$2:$O$54,$B$2:$B$54,"="&amp;$AN24,$T$2:$T$54,"="&amp;$AM$15,$W$2:$W$54,"="&amp;AQ$2)</f>
        <v>0</v>
      </c>
      <c r="AR25" s="77">
        <f t="shared" ref="AR25" si="163">SUMIFS($O$2:$O$54,$B$2:$B$54,"="&amp;$AN24,$T$2:$T$54,"="&amp;$AM$15,$W$2:$W$54,"="&amp;AR$2)</f>
        <v>68.88</v>
      </c>
      <c r="AS25" s="77">
        <f t="shared" ref="AS25" si="164">SUMIFS($O$2:$O$54,$B$2:$B$54,"="&amp;$AN24,$T$2:$T$54,"="&amp;$AM$15,$W$2:$W$54,"="&amp;AS$2)</f>
        <v>0</v>
      </c>
      <c r="AT25" s="77">
        <f t="shared" ref="AT25" si="165">SUMIFS($O$2:$O$54,$B$2:$B$54,"="&amp;$AN24,$T$2:$T$54,"="&amp;$AM$15,$W$2:$W$54,"="&amp;AT$2)</f>
        <v>0</v>
      </c>
      <c r="AU25" s="77">
        <f t="shared" ref="AU25" si="166">SUMIFS($O$2:$O$54,$B$2:$B$54,"="&amp;$AN24,$T$2:$T$54,"="&amp;$AM$15,$W$2:$W$54,"="&amp;AU$2)</f>
        <v>0</v>
      </c>
      <c r="AV25" s="77">
        <f t="shared" ref="AV25" si="167">SUMIFS($O$2:$O$54,$B$2:$B$54,"="&amp;$AN24,$T$2:$T$54,"="&amp;$AM$15,$W$2:$W$54,"="&amp;AV$2)</f>
        <v>44.88</v>
      </c>
      <c r="AW25" s="77">
        <f t="shared" ref="AW25" si="168">SUMIFS($O$2:$O$54,$B$2:$B$54,"="&amp;$AN24,$T$2:$T$54,"="&amp;$AM$15,$W$2:$W$54,"="&amp;AW$2)</f>
        <v>0</v>
      </c>
      <c r="AX25" s="76">
        <f t="shared" ref="AX25" si="169">SUMIFS($O$2:$O$54,$B$2:$B$54,"="&amp;$AN24,$T$2:$T$54,"="&amp;$AM$15,$W$2:$W$54,"="&amp;AX$2)</f>
        <v>0</v>
      </c>
    </row>
    <row r="26" spans="1:70" ht="20.100000000000001" customHeight="1" thickBot="1" x14ac:dyDescent="0.35">
      <c r="A26" s="150">
        <v>25</v>
      </c>
      <c r="B26" s="151">
        <v>2</v>
      </c>
      <c r="C26" s="151">
        <v>201610130</v>
      </c>
      <c r="D26" s="144" t="str">
        <f t="shared" si="0"/>
        <v>컴퓨터학과</v>
      </c>
      <c r="E26" s="152" t="s">
        <v>34</v>
      </c>
      <c r="F26" s="153">
        <v>162</v>
      </c>
      <c r="G26" s="146">
        <f t="shared" si="1"/>
        <v>81</v>
      </c>
      <c r="H26" s="153">
        <v>80</v>
      </c>
      <c r="I26" s="146">
        <f t="shared" si="2"/>
        <v>72.73</v>
      </c>
      <c r="J26" s="153">
        <v>96.67</v>
      </c>
      <c r="K26" s="153">
        <v>55</v>
      </c>
      <c r="L26" s="146">
        <f t="shared" si="3"/>
        <v>50</v>
      </c>
      <c r="M26" s="153">
        <v>83</v>
      </c>
      <c r="N26" s="154">
        <v>100</v>
      </c>
      <c r="O26" s="8">
        <f t="shared" si="4"/>
        <v>77.72</v>
      </c>
      <c r="P26" s="148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49" t="str">
        <f t="shared" si="8"/>
        <v>101</v>
      </c>
      <c r="U26" s="8" t="b">
        <f t="shared" si="9"/>
        <v>1</v>
      </c>
      <c r="V26" s="8" t="str">
        <f t="shared" si="10"/>
        <v>A</v>
      </c>
      <c r="W26" s="8" t="str">
        <f t="shared" si="11"/>
        <v>A0</v>
      </c>
      <c r="AA26" s="47" t="s">
        <v>105</v>
      </c>
      <c r="AB26" s="42">
        <f t="shared" si="131"/>
        <v>1</v>
      </c>
      <c r="AC26" s="43">
        <f t="shared" si="119"/>
        <v>1</v>
      </c>
      <c r="AD26" s="43">
        <f t="shared" si="119"/>
        <v>0</v>
      </c>
      <c r="AE26" s="43">
        <f t="shared" si="119"/>
        <v>0</v>
      </c>
      <c r="AF26" s="51">
        <f t="shared" si="119"/>
        <v>0</v>
      </c>
      <c r="AM26" s="178"/>
      <c r="AN26" s="170"/>
      <c r="AO26" s="88" t="s">
        <v>125</v>
      </c>
      <c r="AP26" s="97" t="str">
        <f t="shared" ref="AP26:AX26" si="170">IFERROR(ROUND(AVERAGEIFS($O$2:$O$54,$B$2:$B$54,"="&amp;$AN24,$T$2:$T$54,"="&amp;$AM$15,$W$2:$W$54,"="&amp;AP$2),2),"-")</f>
        <v>-</v>
      </c>
      <c r="AQ26" s="89" t="str">
        <f t="shared" si="170"/>
        <v>-</v>
      </c>
      <c r="AR26" s="89">
        <f t="shared" si="170"/>
        <v>68.88</v>
      </c>
      <c r="AS26" s="89" t="str">
        <f t="shared" si="170"/>
        <v>-</v>
      </c>
      <c r="AT26" s="89" t="str">
        <f t="shared" si="170"/>
        <v>-</v>
      </c>
      <c r="AU26" s="89" t="str">
        <f t="shared" si="170"/>
        <v>-</v>
      </c>
      <c r="AV26" s="89">
        <f t="shared" si="170"/>
        <v>44.88</v>
      </c>
      <c r="AW26" s="89" t="str">
        <f t="shared" si="170"/>
        <v>-</v>
      </c>
      <c r="AX26" s="88" t="str">
        <f t="shared" si="170"/>
        <v>-</v>
      </c>
    </row>
    <row r="27" spans="1:70" ht="20.100000000000001" customHeight="1" thickTop="1" thickBot="1" x14ac:dyDescent="0.35">
      <c r="A27" s="150">
        <v>26</v>
      </c>
      <c r="B27" s="151">
        <v>2</v>
      </c>
      <c r="C27" s="151">
        <v>201810531</v>
      </c>
      <c r="D27" s="144" t="str">
        <f t="shared" si="0"/>
        <v>통신학과</v>
      </c>
      <c r="E27" s="152" t="s">
        <v>35</v>
      </c>
      <c r="F27" s="153">
        <v>141</v>
      </c>
      <c r="G27" s="146">
        <f t="shared" si="1"/>
        <v>70.5</v>
      </c>
      <c r="H27" s="153">
        <v>85</v>
      </c>
      <c r="I27" s="146">
        <f t="shared" si="2"/>
        <v>77.27</v>
      </c>
      <c r="J27" s="153">
        <v>100</v>
      </c>
      <c r="K27" s="153">
        <v>70</v>
      </c>
      <c r="L27" s="146">
        <f t="shared" si="3"/>
        <v>63.64</v>
      </c>
      <c r="M27" s="153">
        <v>77</v>
      </c>
      <c r="N27" s="154">
        <v>100</v>
      </c>
      <c r="O27" s="8">
        <f t="shared" si="4"/>
        <v>77.260000000000005</v>
      </c>
      <c r="P27" s="148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49" t="str">
        <f t="shared" si="8"/>
        <v>105</v>
      </c>
      <c r="U27" s="8" t="b">
        <f t="shared" si="9"/>
        <v>1</v>
      </c>
      <c r="V27" s="8" t="str">
        <f t="shared" si="10"/>
        <v>A</v>
      </c>
      <c r="W27" s="8" t="str">
        <f t="shared" si="11"/>
        <v>A0</v>
      </c>
      <c r="AA27" s="48" t="s">
        <v>97</v>
      </c>
      <c r="AB27" s="52">
        <f t="shared" si="131"/>
        <v>3</v>
      </c>
      <c r="AC27" s="53">
        <f t="shared" si="119"/>
        <v>0</v>
      </c>
      <c r="AD27" s="53">
        <f t="shared" si="119"/>
        <v>1</v>
      </c>
      <c r="AE27" s="53">
        <f t="shared" si="119"/>
        <v>1</v>
      </c>
      <c r="AF27" s="54">
        <f t="shared" si="119"/>
        <v>1</v>
      </c>
      <c r="AM27" s="175">
        <v>103</v>
      </c>
      <c r="AN27" s="169">
        <v>1</v>
      </c>
      <c r="AO27" s="84" t="s">
        <v>123</v>
      </c>
      <c r="AP27" s="96">
        <f>COUNTIFS($B$2:$B$54,"="&amp;$AN27,$T$2:$T$54,"="&amp;$AM$27,$W$2:$W$54,"="&amp;AP$2)</f>
        <v>0</v>
      </c>
      <c r="AQ27" s="87">
        <f t="shared" ref="AQ27:AX27" si="171">COUNTIFS($B$2:$B$54,"="&amp;$AN27,$T$2:$T$54,"="&amp;$AM$27,$W$2:$W$54,"="&amp;AQ$2)</f>
        <v>0</v>
      </c>
      <c r="AR27" s="87">
        <f t="shared" si="171"/>
        <v>0</v>
      </c>
      <c r="AS27" s="87">
        <f t="shared" si="171"/>
        <v>0</v>
      </c>
      <c r="AT27" s="87">
        <f t="shared" si="171"/>
        <v>0</v>
      </c>
      <c r="AU27" s="87">
        <f t="shared" si="171"/>
        <v>0</v>
      </c>
      <c r="AV27" s="87">
        <f t="shared" si="171"/>
        <v>0</v>
      </c>
      <c r="AW27" s="87">
        <f t="shared" si="171"/>
        <v>0</v>
      </c>
      <c r="AX27" s="86">
        <f t="shared" si="171"/>
        <v>0</v>
      </c>
    </row>
    <row r="28" spans="1:70" ht="20.100000000000001" customHeight="1" thickTop="1" thickBot="1" x14ac:dyDescent="0.35">
      <c r="A28" s="150">
        <v>27</v>
      </c>
      <c r="B28" s="151">
        <v>2</v>
      </c>
      <c r="C28" s="151">
        <v>201810538</v>
      </c>
      <c r="D28" s="144" t="str">
        <f t="shared" si="0"/>
        <v>통신학과</v>
      </c>
      <c r="E28" s="152" t="s">
        <v>36</v>
      </c>
      <c r="F28" s="153">
        <v>153</v>
      </c>
      <c r="G28" s="146">
        <f t="shared" si="1"/>
        <v>76.5</v>
      </c>
      <c r="H28" s="153">
        <v>105</v>
      </c>
      <c r="I28" s="146">
        <f t="shared" si="2"/>
        <v>95.45</v>
      </c>
      <c r="J28" s="153">
        <v>100</v>
      </c>
      <c r="K28" s="153">
        <v>81</v>
      </c>
      <c r="L28" s="146">
        <f t="shared" si="3"/>
        <v>73.64</v>
      </c>
      <c r="M28" s="153">
        <v>83</v>
      </c>
      <c r="N28" s="154">
        <v>100</v>
      </c>
      <c r="O28" s="8">
        <f t="shared" si="4"/>
        <v>87.02</v>
      </c>
      <c r="P28" s="148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49" t="str">
        <f t="shared" si="8"/>
        <v>105</v>
      </c>
      <c r="U28" s="8" t="b">
        <f t="shared" si="9"/>
        <v>1</v>
      </c>
      <c r="V28" s="8" t="str">
        <f t="shared" si="10"/>
        <v>A</v>
      </c>
      <c r="W28" s="8" t="str">
        <f t="shared" si="11"/>
        <v>A+</v>
      </c>
      <c r="AM28" s="175"/>
      <c r="AN28" s="169"/>
      <c r="AO28" s="76" t="s">
        <v>124</v>
      </c>
      <c r="AP28" s="91">
        <f>SUMIFS($O$2:$O$54,$B$2:$B$54,"="&amp;$AN27,$T$2:$T$54,"="&amp;$AM$27,$W$2:$W$54,"="&amp;AP$2)</f>
        <v>0</v>
      </c>
      <c r="AQ28" s="77">
        <f t="shared" ref="AQ28:AX28" si="172">SUMIFS($O$2:$O$54,$B$2:$B$54,"="&amp;$AN27,$T$2:$T$54,"="&amp;$AM$27,$W$2:$W$54,"="&amp;AQ$2)</f>
        <v>0</v>
      </c>
      <c r="AR28" s="77">
        <f t="shared" si="172"/>
        <v>0</v>
      </c>
      <c r="AS28" s="77">
        <f t="shared" si="172"/>
        <v>0</v>
      </c>
      <c r="AT28" s="77">
        <f t="shared" si="172"/>
        <v>0</v>
      </c>
      <c r="AU28" s="77">
        <f t="shared" si="172"/>
        <v>0</v>
      </c>
      <c r="AV28" s="77">
        <f t="shared" si="172"/>
        <v>0</v>
      </c>
      <c r="AW28" s="77">
        <f t="shared" si="172"/>
        <v>0</v>
      </c>
      <c r="AX28" s="76">
        <f t="shared" si="172"/>
        <v>0</v>
      </c>
    </row>
    <row r="29" spans="1:70" ht="20.100000000000001" customHeight="1" thickTop="1" x14ac:dyDescent="0.3">
      <c r="A29" s="150">
        <v>28</v>
      </c>
      <c r="B29" s="151">
        <v>2</v>
      </c>
      <c r="C29" s="151">
        <v>201810139</v>
      </c>
      <c r="D29" s="144" t="str">
        <f t="shared" si="0"/>
        <v>컴퓨터학과</v>
      </c>
      <c r="E29" s="152" t="s">
        <v>37</v>
      </c>
      <c r="F29" s="153">
        <v>86</v>
      </c>
      <c r="G29" s="146">
        <f t="shared" si="1"/>
        <v>43</v>
      </c>
      <c r="H29" s="153">
        <v>21</v>
      </c>
      <c r="I29" s="146">
        <f t="shared" si="2"/>
        <v>19.09</v>
      </c>
      <c r="J29" s="153">
        <v>78.89</v>
      </c>
      <c r="K29" s="153">
        <v>56</v>
      </c>
      <c r="L29" s="146">
        <f t="shared" si="3"/>
        <v>50.91</v>
      </c>
      <c r="M29" s="153">
        <v>13</v>
      </c>
      <c r="N29" s="154">
        <v>40</v>
      </c>
      <c r="O29" s="8">
        <f t="shared" si="4"/>
        <v>35.86</v>
      </c>
      <c r="P29" s="148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49" t="str">
        <f t="shared" si="8"/>
        <v>101</v>
      </c>
      <c r="U29" s="8" t="b">
        <f t="shared" si="9"/>
        <v>1</v>
      </c>
      <c r="V29" s="8" t="str">
        <f t="shared" si="10"/>
        <v>F</v>
      </c>
      <c r="W29" s="8" t="str">
        <f t="shared" si="11"/>
        <v>F</v>
      </c>
      <c r="AA29" s="196" t="s">
        <v>111</v>
      </c>
      <c r="AB29" s="198">
        <v>101</v>
      </c>
      <c r="AC29" s="199"/>
      <c r="AD29" s="180">
        <v>102</v>
      </c>
      <c r="AE29" s="181"/>
      <c r="AF29" s="182">
        <v>103</v>
      </c>
      <c r="AG29" s="183"/>
      <c r="AH29" s="184">
        <v>104</v>
      </c>
      <c r="AI29" s="185"/>
      <c r="AJ29" s="182">
        <v>105</v>
      </c>
      <c r="AK29" s="186"/>
      <c r="AM29" s="175"/>
      <c r="AN29" s="171"/>
      <c r="AO29" s="78" t="s">
        <v>125</v>
      </c>
      <c r="AP29" s="93" t="str">
        <f>IFERROR(ROUND(AVERAGEIFS($O$2:$O$54,$B$2:$B$54,"="&amp;$AN27,$T$2:$T$54,"="&amp;$AM$27,$W$2:$W$54,"="&amp;AP$2),2),"-")</f>
        <v>-</v>
      </c>
      <c r="AQ29" s="81" t="str">
        <f t="shared" ref="AQ29:AX29" si="173">IFERROR(ROUND(AVERAGEIFS($O$2:$O$54,$B$2:$B$54,"="&amp;$AN27,$T$2:$T$54,"="&amp;$AM$27,$W$2:$W$54,"="&amp;AQ$2),2),"-")</f>
        <v>-</v>
      </c>
      <c r="AR29" s="81" t="str">
        <f t="shared" si="173"/>
        <v>-</v>
      </c>
      <c r="AS29" s="81" t="str">
        <f t="shared" si="173"/>
        <v>-</v>
      </c>
      <c r="AT29" s="81" t="str">
        <f t="shared" si="173"/>
        <v>-</v>
      </c>
      <c r="AU29" s="81" t="str">
        <f t="shared" si="173"/>
        <v>-</v>
      </c>
      <c r="AV29" s="81" t="str">
        <f t="shared" si="173"/>
        <v>-</v>
      </c>
      <c r="AW29" s="81" t="str">
        <f t="shared" si="173"/>
        <v>-</v>
      </c>
      <c r="AX29" s="80" t="str">
        <f t="shared" si="173"/>
        <v>-</v>
      </c>
    </row>
    <row r="30" spans="1:70" ht="20.100000000000001" customHeight="1" thickBot="1" x14ac:dyDescent="0.35">
      <c r="A30" s="150">
        <v>29</v>
      </c>
      <c r="B30" s="153">
        <v>3</v>
      </c>
      <c r="C30" s="155">
        <v>201710327</v>
      </c>
      <c r="D30" s="144" t="str">
        <f t="shared" si="0"/>
        <v>전자학과</v>
      </c>
      <c r="E30" s="153" t="s">
        <v>39</v>
      </c>
      <c r="F30" s="153">
        <v>113</v>
      </c>
      <c r="G30" s="146">
        <f t="shared" si="1"/>
        <v>56.5</v>
      </c>
      <c r="H30" s="153">
        <v>89</v>
      </c>
      <c r="I30" s="146">
        <f t="shared" si="2"/>
        <v>80.91</v>
      </c>
      <c r="J30" s="153">
        <v>100</v>
      </c>
      <c r="K30" s="153">
        <v>66</v>
      </c>
      <c r="L30" s="146">
        <f t="shared" si="3"/>
        <v>60</v>
      </c>
      <c r="M30" s="153">
        <v>75</v>
      </c>
      <c r="N30" s="154">
        <v>100</v>
      </c>
      <c r="O30" s="8">
        <f t="shared" si="4"/>
        <v>73.77</v>
      </c>
      <c r="P30" s="148">
        <f t="shared" si="5"/>
        <v>13</v>
      </c>
      <c r="Q30" s="8">
        <f t="shared" si="6"/>
        <v>13</v>
      </c>
      <c r="R30" s="9" t="s">
        <v>71</v>
      </c>
      <c r="S30" s="8" t="str">
        <f t="shared" si="7"/>
        <v>2017</v>
      </c>
      <c r="T30" s="149" t="str">
        <f t="shared" si="8"/>
        <v>103</v>
      </c>
      <c r="U30" s="8" t="b">
        <f t="shared" si="9"/>
        <v>0</v>
      </c>
      <c r="V30" s="8" t="str">
        <f t="shared" si="10"/>
        <v>A</v>
      </c>
      <c r="W30" s="8" t="str">
        <f t="shared" si="11"/>
        <v>A0</v>
      </c>
      <c r="AA30" s="197"/>
      <c r="AB30" s="45" t="s">
        <v>112</v>
      </c>
      <c r="AC30" s="57" t="s">
        <v>113</v>
      </c>
      <c r="AD30" s="61" t="s">
        <v>112</v>
      </c>
      <c r="AE30" s="62" t="s">
        <v>113</v>
      </c>
      <c r="AF30" s="59" t="s">
        <v>112</v>
      </c>
      <c r="AG30" s="57" t="s">
        <v>113</v>
      </c>
      <c r="AH30" s="61" t="s">
        <v>112</v>
      </c>
      <c r="AI30" s="62" t="s">
        <v>113</v>
      </c>
      <c r="AJ30" s="59" t="s">
        <v>112</v>
      </c>
      <c r="AK30" s="56" t="s">
        <v>113</v>
      </c>
      <c r="AM30" s="175"/>
      <c r="AN30" s="168">
        <v>2</v>
      </c>
      <c r="AO30" s="82" t="s">
        <v>123</v>
      </c>
      <c r="AP30" s="94">
        <f t="shared" ref="AP30:AX36" si="174">COUNTIFS($B$2:$B$54,"="&amp;$AN30,$T$2:$T$54,"="&amp;$AM$27,$W$2:$W$54,"="&amp;AP$2)</f>
        <v>0</v>
      </c>
      <c r="AQ30" s="83">
        <f t="shared" si="174"/>
        <v>0</v>
      </c>
      <c r="AR30" s="83">
        <f t="shared" si="174"/>
        <v>1</v>
      </c>
      <c r="AS30" s="83">
        <f t="shared" si="174"/>
        <v>1</v>
      </c>
      <c r="AT30" s="83">
        <f t="shared" si="174"/>
        <v>1</v>
      </c>
      <c r="AU30" s="83">
        <f t="shared" si="174"/>
        <v>1</v>
      </c>
      <c r="AV30" s="83">
        <f t="shared" si="174"/>
        <v>0</v>
      </c>
      <c r="AW30" s="83">
        <f t="shared" si="174"/>
        <v>0</v>
      </c>
      <c r="AX30" s="82">
        <f t="shared" si="174"/>
        <v>1</v>
      </c>
    </row>
    <row r="31" spans="1:70" ht="20.100000000000001" customHeight="1" thickTop="1" x14ac:dyDescent="0.3">
      <c r="A31" s="150">
        <v>30</v>
      </c>
      <c r="B31" s="153">
        <v>2</v>
      </c>
      <c r="C31" s="155">
        <v>201810573</v>
      </c>
      <c r="D31" s="144" t="str">
        <f t="shared" si="0"/>
        <v>통신학과</v>
      </c>
      <c r="E31" s="153" t="s">
        <v>40</v>
      </c>
      <c r="F31" s="153">
        <v>124</v>
      </c>
      <c r="G31" s="146">
        <f t="shared" si="1"/>
        <v>62</v>
      </c>
      <c r="H31" s="153">
        <v>97</v>
      </c>
      <c r="I31" s="146">
        <f t="shared" si="2"/>
        <v>88.18</v>
      </c>
      <c r="J31" s="153">
        <v>96.67</v>
      </c>
      <c r="K31" s="153">
        <v>60</v>
      </c>
      <c r="L31" s="146">
        <f t="shared" si="3"/>
        <v>54.55</v>
      </c>
      <c r="M31" s="153">
        <v>74</v>
      </c>
      <c r="N31" s="154">
        <v>100</v>
      </c>
      <c r="O31" s="8">
        <f t="shared" si="4"/>
        <v>76.989999999999995</v>
      </c>
      <c r="P31" s="148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49" t="str">
        <f t="shared" si="8"/>
        <v>105</v>
      </c>
      <c r="U31" s="8" t="b">
        <f t="shared" si="9"/>
        <v>1</v>
      </c>
      <c r="V31" s="8" t="str">
        <f t="shared" si="10"/>
        <v>A</v>
      </c>
      <c r="W31" s="8" t="str">
        <f t="shared" si="11"/>
        <v>A0</v>
      </c>
      <c r="AA31" s="46" t="s">
        <v>98</v>
      </c>
      <c r="AB31" s="49">
        <f>SUMIFS($O$2:$O$54,$T$2:$T$54,"="&amp;AB$29,$W$2:$W$54,"="&amp;$AA31)</f>
        <v>89.82</v>
      </c>
      <c r="AC31" s="66">
        <f>IFERROR(ROUND(AVERAGEIFS($O$2:$O$54,$T$2:$T$54,"="&amp;AB$29,$W$2:$W$54,"="&amp;$AA31),2),"NV")</f>
        <v>89.82</v>
      </c>
      <c r="AD31" s="67">
        <f t="shared" ref="AD31:AD39" si="175">SUMIFS($O$2:$O$54,$T$2:$T$54,"="&amp;AD$29,$W$2:$W$54,"="&amp;$AA31)</f>
        <v>0</v>
      </c>
      <c r="AE31" s="64" t="str">
        <f t="shared" ref="AE31" si="176">IFERROR(ROUND(AVERAGEIFS($O$2:$O$54,$T$2:$T$54,"="&amp;AD$29,$W$2:$W$54,"="&amp;$AA31),2),"NV")</f>
        <v>NV</v>
      </c>
      <c r="AF31" s="68">
        <f t="shared" ref="AF31:AF39" si="177">SUMIFS($O$2:$O$54,$T$2:$T$54,"="&amp;AF$29,$W$2:$W$54,"="&amp;$AA31)</f>
        <v>81.27</v>
      </c>
      <c r="AG31" s="66">
        <f t="shared" ref="AG31" si="178">IFERROR(ROUND(AVERAGEIFS($O$2:$O$54,$T$2:$T$54,"="&amp;AF$29,$W$2:$W$54,"="&amp;$AA31),2),"NV")</f>
        <v>81.27</v>
      </c>
      <c r="AH31" s="67">
        <f t="shared" ref="AH31:AH39" si="179">SUMIFS($O$2:$O$54,$T$2:$T$54,"="&amp;AH$29,$W$2:$W$54,"="&amp;$AA31)</f>
        <v>0</v>
      </c>
      <c r="AI31" s="64" t="str">
        <f t="shared" ref="AI31" si="180">IFERROR(ROUND(AVERAGEIFS($O$2:$O$54,$T$2:$T$54,"="&amp;AH$29,$W$2:$W$54,"="&amp;$AA31),2),"NV")</f>
        <v>NV</v>
      </c>
      <c r="AJ31" s="68">
        <f t="shared" ref="AJ31:AJ39" si="181">SUMIFS($O$2:$O$54,$T$2:$T$54,"="&amp;AJ$29,$W$2:$W$54,"="&amp;$AA31)</f>
        <v>87.02</v>
      </c>
      <c r="AK31" s="50">
        <f t="shared" ref="AK31:AK39" si="182">IFERROR(ROUND(AVERAGEIFS($O$2:$O$54,$T$2:$T$54,"="&amp;AJ$29,$W$2:$W$54,"="&amp;$AA31),2),"NV")</f>
        <v>87.02</v>
      </c>
      <c r="AM31" s="175"/>
      <c r="AN31" s="169"/>
      <c r="AO31" s="76" t="s">
        <v>124</v>
      </c>
      <c r="AP31" s="91">
        <f t="shared" ref="AP31" si="183">SUMIFS($O$2:$O$54,$B$2:$B$54,"="&amp;$AN30,$T$2:$T$54,"="&amp;$AM$27,$W$2:$W$54,"="&amp;AP$2)</f>
        <v>0</v>
      </c>
      <c r="AQ31" s="77">
        <f t="shared" ref="AQ31" si="184">SUMIFS($O$2:$O$54,$B$2:$B$54,"="&amp;$AN30,$T$2:$T$54,"="&amp;$AM$27,$W$2:$W$54,"="&amp;AQ$2)</f>
        <v>0</v>
      </c>
      <c r="AR31" s="77">
        <f t="shared" ref="AR31" si="185">SUMIFS($O$2:$O$54,$B$2:$B$54,"="&amp;$AN30,$T$2:$T$54,"="&amp;$AM$27,$W$2:$W$54,"="&amp;AR$2)</f>
        <v>72.14</v>
      </c>
      <c r="AS31" s="77">
        <f t="shared" ref="AS31" si="186">SUMIFS($O$2:$O$54,$B$2:$B$54,"="&amp;$AN30,$T$2:$T$54,"="&amp;$AM$27,$W$2:$W$54,"="&amp;AS$2)</f>
        <v>63.95</v>
      </c>
      <c r="AT31" s="77">
        <f t="shared" ref="AT31" si="187">SUMIFS($O$2:$O$54,$B$2:$B$54,"="&amp;$AN30,$T$2:$T$54,"="&amp;$AM$27,$W$2:$W$54,"="&amp;AT$2)</f>
        <v>59.99</v>
      </c>
      <c r="AU31" s="77">
        <f t="shared" ref="AU31" si="188">SUMIFS($O$2:$O$54,$B$2:$B$54,"="&amp;$AN30,$T$2:$T$54,"="&amp;$AM$27,$W$2:$W$54,"="&amp;AU$2)</f>
        <v>45.71</v>
      </c>
      <c r="AV31" s="77">
        <f t="shared" ref="AV31" si="189">SUMIFS($O$2:$O$54,$B$2:$B$54,"="&amp;$AN30,$T$2:$T$54,"="&amp;$AM$27,$W$2:$W$54,"="&amp;AV$2)</f>
        <v>0</v>
      </c>
      <c r="AW31" s="77">
        <f t="shared" ref="AW31" si="190">SUMIFS($O$2:$O$54,$B$2:$B$54,"="&amp;$AN30,$T$2:$T$54,"="&amp;$AM$27,$W$2:$W$54,"="&amp;AW$2)</f>
        <v>0</v>
      </c>
      <c r="AX31" s="76">
        <f t="shared" ref="AX31" si="191">SUMIFS($O$2:$O$54,$B$2:$B$54,"="&amp;$AN30,$T$2:$T$54,"="&amp;$AM$27,$W$2:$W$54,"="&amp;AX$2)</f>
        <v>26.57</v>
      </c>
    </row>
    <row r="32" spans="1:70" ht="20.100000000000001" customHeight="1" x14ac:dyDescent="0.3">
      <c r="A32" s="150">
        <v>31</v>
      </c>
      <c r="B32" s="153">
        <v>4</v>
      </c>
      <c r="C32" s="155">
        <v>201610256</v>
      </c>
      <c r="D32" s="144" t="str">
        <f t="shared" si="0"/>
        <v>보안학과</v>
      </c>
      <c r="E32" s="153" t="s">
        <v>41</v>
      </c>
      <c r="F32" s="153">
        <v>57</v>
      </c>
      <c r="G32" s="146">
        <f t="shared" si="1"/>
        <v>28.5</v>
      </c>
      <c r="H32" s="153">
        <v>47</v>
      </c>
      <c r="I32" s="146">
        <f t="shared" si="2"/>
        <v>42.73</v>
      </c>
      <c r="J32" s="153">
        <v>90</v>
      </c>
      <c r="K32" s="153">
        <v>58</v>
      </c>
      <c r="L32" s="146">
        <f t="shared" si="3"/>
        <v>52.73</v>
      </c>
      <c r="M32" s="153">
        <v>21</v>
      </c>
      <c r="N32" s="154">
        <v>100</v>
      </c>
      <c r="O32" s="8">
        <f t="shared" si="4"/>
        <v>44.88</v>
      </c>
      <c r="P32" s="148">
        <f t="shared" si="5"/>
        <v>43</v>
      </c>
      <c r="Q32" s="8">
        <f t="shared" si="6"/>
        <v>43</v>
      </c>
      <c r="R32" s="9" t="s">
        <v>71</v>
      </c>
      <c r="S32" s="8" t="str">
        <f t="shared" si="7"/>
        <v>2016</v>
      </c>
      <c r="T32" s="149" t="str">
        <f t="shared" si="8"/>
        <v>102</v>
      </c>
      <c r="U32" s="8" t="b">
        <f t="shared" si="9"/>
        <v>0</v>
      </c>
      <c r="V32" s="8" t="str">
        <f t="shared" si="10"/>
        <v>D</v>
      </c>
      <c r="W32" s="8" t="str">
        <f t="shared" si="11"/>
        <v>D+</v>
      </c>
      <c r="AA32" s="47" t="s">
        <v>99</v>
      </c>
      <c r="AB32" s="44">
        <f t="shared" ref="AB32:AB39" si="192">SUMIFS($O$2:$O$54,$T$2:$T$54,"="&amp;AB$29,$W$2:$W$54,"="&amp;$AA32)</f>
        <v>312.51</v>
      </c>
      <c r="AC32" s="58">
        <f t="shared" ref="AC32:AC39" si="193">IFERROR(ROUND(AVERAGEIFS($O$2:$O$54,$T$2:$T$54,"="&amp;AB$29,$W$2:$W$54,"="&amp;$AA32),2),"NV")</f>
        <v>78.13</v>
      </c>
      <c r="AD32" s="63">
        <f t="shared" si="175"/>
        <v>149.42000000000002</v>
      </c>
      <c r="AE32" s="65">
        <f t="shared" ref="AE32" si="194">IFERROR(ROUND(AVERAGEIFS($O$2:$O$54,$T$2:$T$54,"="&amp;AD$29,$W$2:$W$54,"="&amp;$AA32),2),"NV")</f>
        <v>74.709999999999994</v>
      </c>
      <c r="AF32" s="60">
        <f t="shared" si="177"/>
        <v>149.1</v>
      </c>
      <c r="AG32" s="58">
        <f t="shared" ref="AG32" si="195">IFERROR(ROUND(AVERAGEIFS($O$2:$O$54,$T$2:$T$54,"="&amp;AF$29,$W$2:$W$54,"="&amp;$AA32),2),"NV")</f>
        <v>74.55</v>
      </c>
      <c r="AH32" s="63">
        <f t="shared" si="179"/>
        <v>0</v>
      </c>
      <c r="AI32" s="65" t="str">
        <f t="shared" ref="AI32" si="196">IFERROR(ROUND(AVERAGEIFS($O$2:$O$54,$T$2:$T$54,"="&amp;AH$29,$W$2:$W$54,"="&amp;$AA32),2),"NV")</f>
        <v>NV</v>
      </c>
      <c r="AJ32" s="60">
        <f t="shared" si="181"/>
        <v>226.94</v>
      </c>
      <c r="AK32" s="55">
        <f t="shared" si="182"/>
        <v>75.650000000000006</v>
      </c>
      <c r="AM32" s="175"/>
      <c r="AN32" s="171"/>
      <c r="AO32" s="78" t="s">
        <v>125</v>
      </c>
      <c r="AP32" s="92" t="str">
        <f t="shared" ref="AP32:AX32" si="197">IFERROR(ROUND(AVERAGEIFS($O$2:$O$54,$B$2:$B$54,"="&amp;$AN30,$T$2:$T$54,"="&amp;$AM$27,$W$2:$W$54,"="&amp;AP$2),2),"-")</f>
        <v>-</v>
      </c>
      <c r="AQ32" s="79" t="str">
        <f t="shared" si="197"/>
        <v>-</v>
      </c>
      <c r="AR32" s="79">
        <f t="shared" si="197"/>
        <v>72.14</v>
      </c>
      <c r="AS32" s="79">
        <f t="shared" si="197"/>
        <v>63.95</v>
      </c>
      <c r="AT32" s="79">
        <f t="shared" si="197"/>
        <v>59.99</v>
      </c>
      <c r="AU32" s="79">
        <f t="shared" si="197"/>
        <v>45.71</v>
      </c>
      <c r="AV32" s="79" t="str">
        <f t="shared" si="197"/>
        <v>-</v>
      </c>
      <c r="AW32" s="79" t="str">
        <f t="shared" si="197"/>
        <v>-</v>
      </c>
      <c r="AX32" s="78">
        <f t="shared" si="197"/>
        <v>26.57</v>
      </c>
    </row>
    <row r="33" spans="1:50" ht="20.100000000000001" customHeight="1" x14ac:dyDescent="0.3">
      <c r="A33" s="150">
        <v>32</v>
      </c>
      <c r="B33" s="153">
        <v>4</v>
      </c>
      <c r="C33" s="155">
        <v>201610162</v>
      </c>
      <c r="D33" s="144" t="str">
        <f t="shared" si="0"/>
        <v>컴퓨터학과</v>
      </c>
      <c r="E33" s="153" t="s">
        <v>42</v>
      </c>
      <c r="F33" s="153">
        <v>111</v>
      </c>
      <c r="G33" s="146">
        <f t="shared" si="1"/>
        <v>55.5</v>
      </c>
      <c r="H33" s="153">
        <v>52</v>
      </c>
      <c r="I33" s="146">
        <f t="shared" si="2"/>
        <v>47.27</v>
      </c>
      <c r="J33" s="153">
        <v>96.67</v>
      </c>
      <c r="K33" s="153">
        <v>23</v>
      </c>
      <c r="L33" s="146">
        <f t="shared" si="3"/>
        <v>20.91</v>
      </c>
      <c r="M33" s="153">
        <v>59</v>
      </c>
      <c r="N33" s="154">
        <v>70</v>
      </c>
      <c r="O33" s="8">
        <f t="shared" si="4"/>
        <v>54.35</v>
      </c>
      <c r="P33" s="148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49" t="str">
        <f t="shared" si="8"/>
        <v>101</v>
      </c>
      <c r="U33" s="8" t="b">
        <f t="shared" si="9"/>
        <v>1</v>
      </c>
      <c r="V33" s="8" t="str">
        <f t="shared" si="10"/>
        <v>C</v>
      </c>
      <c r="W33" s="8" t="str">
        <f t="shared" si="11"/>
        <v>C0</v>
      </c>
      <c r="AA33" s="47" t="s">
        <v>100</v>
      </c>
      <c r="AB33" s="44">
        <f t="shared" si="192"/>
        <v>141.30000000000001</v>
      </c>
      <c r="AC33" s="58">
        <f t="shared" si="193"/>
        <v>70.650000000000006</v>
      </c>
      <c r="AD33" s="63">
        <f t="shared" si="175"/>
        <v>211.15999999999997</v>
      </c>
      <c r="AE33" s="65">
        <f t="shared" ref="AE33" si="198">IFERROR(ROUND(AVERAGEIFS($O$2:$O$54,$T$2:$T$54,"="&amp;AD$29,$W$2:$W$54,"="&amp;$AA33),2),"NV")</f>
        <v>70.39</v>
      </c>
      <c r="AF33" s="60">
        <f t="shared" si="177"/>
        <v>72.14</v>
      </c>
      <c r="AG33" s="58">
        <f t="shared" ref="AG33" si="199">IFERROR(ROUND(AVERAGEIFS($O$2:$O$54,$T$2:$T$54,"="&amp;AF$29,$W$2:$W$54,"="&amp;$AA33),2),"NV")</f>
        <v>72.14</v>
      </c>
      <c r="AH33" s="63">
        <f t="shared" si="179"/>
        <v>82.26</v>
      </c>
      <c r="AI33" s="65">
        <f t="shared" ref="AI33" si="200">IFERROR(ROUND(AVERAGEIFS($O$2:$O$54,$T$2:$T$54,"="&amp;AH$29,$W$2:$W$54,"="&amp;$AA33),2),"NV")</f>
        <v>82.26</v>
      </c>
      <c r="AJ33" s="60">
        <f t="shared" si="181"/>
        <v>139.26</v>
      </c>
      <c r="AK33" s="55">
        <f t="shared" si="182"/>
        <v>69.63</v>
      </c>
      <c r="AM33" s="175"/>
      <c r="AN33" s="168">
        <v>3</v>
      </c>
      <c r="AO33" s="82" t="s">
        <v>123</v>
      </c>
      <c r="AP33" s="94">
        <f t="shared" ref="AP33" si="201">COUNTIFS($B$2:$B$54,"="&amp;$AN33,$T$2:$T$54,"="&amp;$AM$27,$W$2:$W$54,"="&amp;AP$2)</f>
        <v>1</v>
      </c>
      <c r="AQ33" s="83">
        <f t="shared" si="174"/>
        <v>1</v>
      </c>
      <c r="AR33" s="83">
        <f t="shared" si="174"/>
        <v>0</v>
      </c>
      <c r="AS33" s="83">
        <f t="shared" si="174"/>
        <v>0</v>
      </c>
      <c r="AT33" s="83">
        <f t="shared" si="174"/>
        <v>0</v>
      </c>
      <c r="AU33" s="83">
        <f t="shared" si="174"/>
        <v>0</v>
      </c>
      <c r="AV33" s="83">
        <f t="shared" si="174"/>
        <v>0</v>
      </c>
      <c r="AW33" s="83">
        <f t="shared" si="174"/>
        <v>0</v>
      </c>
      <c r="AX33" s="82">
        <f t="shared" si="174"/>
        <v>0</v>
      </c>
    </row>
    <row r="34" spans="1:50" ht="20.100000000000001" customHeight="1" x14ac:dyDescent="0.3">
      <c r="A34" s="150">
        <v>33</v>
      </c>
      <c r="B34" s="153">
        <v>4</v>
      </c>
      <c r="C34" s="155">
        <v>201610102</v>
      </c>
      <c r="D34" s="144" t="str">
        <f t="shared" ref="D34:D54" si="202">VLOOKUP(VALUE(T34),$AA$4:$AB$8,2,FALSE)&amp;"학과"</f>
        <v>컴퓨터학과</v>
      </c>
      <c r="E34" s="153" t="s">
        <v>43</v>
      </c>
      <c r="F34" s="153">
        <v>46</v>
      </c>
      <c r="G34" s="146">
        <f t="shared" ref="G34:G54" si="203">ROUND((F34*100)/200,2)</f>
        <v>23</v>
      </c>
      <c r="H34" s="153">
        <v>58</v>
      </c>
      <c r="I34" s="146">
        <f t="shared" ref="I34:I54" si="204">ROUND((H34*100)/110,2)</f>
        <v>52.73</v>
      </c>
      <c r="J34" s="153">
        <v>86.67</v>
      </c>
      <c r="K34" s="153">
        <v>10</v>
      </c>
      <c r="L34" s="146">
        <f t="shared" ref="L34:L54" si="205">ROUND((K34*100)/110,2)</f>
        <v>9.09</v>
      </c>
      <c r="M34" s="153">
        <v>10</v>
      </c>
      <c r="N34" s="154">
        <v>60</v>
      </c>
      <c r="O34" s="8">
        <f t="shared" ref="O34:O54" si="206">ROUND(G34*0.3+I34*0.35+J34*0.1+L34*0.1+M34*0.1+N34*0.05,2)</f>
        <v>38.93</v>
      </c>
      <c r="P34" s="148">
        <f t="shared" ref="P34:P54" si="207">_xlfn.RANK.EQ(O34,$O$2:$O$54,0)</f>
        <v>47</v>
      </c>
      <c r="Q34" s="8">
        <f t="shared" ref="Q34:Q54" si="208">_xlfn.RANK.AVG(O34,$O$2:$O$54,0)</f>
        <v>47</v>
      </c>
      <c r="R34" s="9"/>
      <c r="S34" s="8" t="str">
        <f t="shared" ref="S34:S54" si="209">LEFT(C34,4)</f>
        <v>2016</v>
      </c>
      <c r="T34" s="149" t="str">
        <f t="shared" ref="T34:T54" si="210">MID(C34,5,3)</f>
        <v>101</v>
      </c>
      <c r="U34" s="8" t="b">
        <f t="shared" ref="U34:U54" si="211">OR(R34="", S34&lt;="2015")</f>
        <v>1</v>
      </c>
      <c r="V34" s="8" t="str">
        <f t="shared" ref="V34:V54" si="212">IF(P34&lt;=$AB$11*0.3, "A", IF(P34&lt;=$AB$11*0.6, "B", IF(P34&lt;=$AB$11*0.8, "C", IF(P34&lt;=$AB$11*0.9, "D","F"))))</f>
        <v>D</v>
      </c>
      <c r="W34" s="8" t="str">
        <f t="shared" ref="W34:W54" si="213">IF(AND(P34&lt;=$AB$11*0.3, O34&gt;=$AG$3, R34=""), "A+",IF(AND(P34&lt;=$AB$11*0.3, OR(O34&lt;$AG$3, S34&lt;="2015")), "A0", IF(AND(P34&lt;=$AB$11*0.6, O34&gt;=$AG$4), "B+", IF(AND(P34&lt;=$AB$11*0.6, O34&lt;$AG$4), "B0",IF(AND(P34&lt;=$AB$11*0.8, O34&gt;=$AG$5), "C+", IF(AND(P34&lt;=$AB$11*0.8, O34&lt;$AG$5), "C0", IF(AND(P34&lt;=$AB$11*0.9, O34&gt;=$AG$6), "D+", IF(AND(P34&lt;=$AB$11*0.9, O34&lt;$AG$6), "D0","F"))))))))</f>
        <v>D0</v>
      </c>
      <c r="AA34" s="47" t="s">
        <v>101</v>
      </c>
      <c r="AB34" s="44">
        <f t="shared" si="192"/>
        <v>0</v>
      </c>
      <c r="AC34" s="58" t="str">
        <f t="shared" si="193"/>
        <v>NV</v>
      </c>
      <c r="AD34" s="63">
        <f t="shared" si="175"/>
        <v>133.43</v>
      </c>
      <c r="AE34" s="65">
        <f t="shared" ref="AE34" si="214">IFERROR(ROUND(AVERAGEIFS($O$2:$O$54,$T$2:$T$54,"="&amp;AD$29,$W$2:$W$54,"="&amp;$AA34),2),"NV")</f>
        <v>66.72</v>
      </c>
      <c r="AF34" s="60">
        <f t="shared" si="177"/>
        <v>126.81</v>
      </c>
      <c r="AG34" s="58">
        <f t="shared" ref="AG34" si="215">IFERROR(ROUND(AVERAGEIFS($O$2:$O$54,$T$2:$T$54,"="&amp;AF$29,$W$2:$W$54,"="&amp;$AA34),2),"NV")</f>
        <v>63.41</v>
      </c>
      <c r="AH34" s="63">
        <f t="shared" si="179"/>
        <v>132.76</v>
      </c>
      <c r="AI34" s="65">
        <f t="shared" ref="AI34" si="216">IFERROR(ROUND(AVERAGEIFS($O$2:$O$54,$T$2:$T$54,"="&amp;AH$29,$W$2:$W$54,"="&amp;$AA34),2),"NV")</f>
        <v>66.38</v>
      </c>
      <c r="AJ34" s="60">
        <f t="shared" si="181"/>
        <v>135.59</v>
      </c>
      <c r="AK34" s="55">
        <f t="shared" si="182"/>
        <v>67.8</v>
      </c>
      <c r="AM34" s="175"/>
      <c r="AN34" s="169"/>
      <c r="AO34" s="76" t="s">
        <v>124</v>
      </c>
      <c r="AP34" s="91">
        <f t="shared" ref="AP34" si="217">SUMIFS($O$2:$O$54,$B$2:$B$54,"="&amp;$AN33,$T$2:$T$54,"="&amp;$AM$27,$W$2:$W$54,"="&amp;AP$2)</f>
        <v>81.27</v>
      </c>
      <c r="AQ34" s="77">
        <f t="shared" ref="AQ34" si="218">SUMIFS($O$2:$O$54,$B$2:$B$54,"="&amp;$AN33,$T$2:$T$54,"="&amp;$AM$27,$W$2:$W$54,"="&amp;AQ$2)</f>
        <v>73.77</v>
      </c>
      <c r="AR34" s="77">
        <f t="shared" ref="AR34" si="219">SUMIFS($O$2:$O$54,$B$2:$B$54,"="&amp;$AN33,$T$2:$T$54,"="&amp;$AM$27,$W$2:$W$54,"="&amp;AR$2)</f>
        <v>0</v>
      </c>
      <c r="AS34" s="77">
        <f t="shared" ref="AS34" si="220">SUMIFS($O$2:$O$54,$B$2:$B$54,"="&amp;$AN33,$T$2:$T$54,"="&amp;$AM$27,$W$2:$W$54,"="&amp;AS$2)</f>
        <v>0</v>
      </c>
      <c r="AT34" s="77">
        <f t="shared" ref="AT34" si="221">SUMIFS($O$2:$O$54,$B$2:$B$54,"="&amp;$AN33,$T$2:$T$54,"="&amp;$AM$27,$W$2:$W$54,"="&amp;AT$2)</f>
        <v>0</v>
      </c>
      <c r="AU34" s="77">
        <f t="shared" ref="AU34" si="222">SUMIFS($O$2:$O$54,$B$2:$B$54,"="&amp;$AN33,$T$2:$T$54,"="&amp;$AM$27,$W$2:$W$54,"="&amp;AU$2)</f>
        <v>0</v>
      </c>
      <c r="AV34" s="77">
        <f t="shared" ref="AV34" si="223">SUMIFS($O$2:$O$54,$B$2:$B$54,"="&amp;$AN33,$T$2:$T$54,"="&amp;$AM$27,$W$2:$W$54,"="&amp;AV$2)</f>
        <v>0</v>
      </c>
      <c r="AW34" s="77">
        <f t="shared" ref="AW34" si="224">SUMIFS($O$2:$O$54,$B$2:$B$54,"="&amp;$AN33,$T$2:$T$54,"="&amp;$AM$27,$W$2:$W$54,"="&amp;AW$2)</f>
        <v>0</v>
      </c>
      <c r="AX34" s="76">
        <f t="shared" ref="AX34" si="225">SUMIFS($O$2:$O$54,$B$2:$B$54,"="&amp;$AN33,$T$2:$T$54,"="&amp;$AM$27,$W$2:$W$54,"="&amp;AX$2)</f>
        <v>0</v>
      </c>
    </row>
    <row r="35" spans="1:50" ht="20.100000000000001" customHeight="1" x14ac:dyDescent="0.3">
      <c r="A35" s="150">
        <v>34</v>
      </c>
      <c r="B35" s="153">
        <v>1</v>
      </c>
      <c r="C35" s="155">
        <v>201810418</v>
      </c>
      <c r="D35" s="144" t="str">
        <f t="shared" si="202"/>
        <v>게임학과</v>
      </c>
      <c r="E35" s="153" t="s">
        <v>44</v>
      </c>
      <c r="F35" s="153">
        <v>85</v>
      </c>
      <c r="G35" s="146">
        <f t="shared" si="203"/>
        <v>42.5</v>
      </c>
      <c r="H35" s="153">
        <v>58</v>
      </c>
      <c r="I35" s="146">
        <f t="shared" si="204"/>
        <v>52.73</v>
      </c>
      <c r="J35" s="153">
        <v>94.44</v>
      </c>
      <c r="K35" s="153">
        <v>40</v>
      </c>
      <c r="L35" s="146">
        <f t="shared" si="205"/>
        <v>36.36</v>
      </c>
      <c r="M35" s="153">
        <v>58</v>
      </c>
      <c r="N35" s="154">
        <v>60</v>
      </c>
      <c r="O35" s="8">
        <f t="shared" si="206"/>
        <v>53.09</v>
      </c>
      <c r="P35" s="148">
        <f t="shared" si="207"/>
        <v>39</v>
      </c>
      <c r="Q35" s="8">
        <f t="shared" si="208"/>
        <v>39</v>
      </c>
      <c r="R35" s="9"/>
      <c r="S35" s="8" t="str">
        <f t="shared" si="209"/>
        <v>2018</v>
      </c>
      <c r="T35" s="149" t="str">
        <f t="shared" si="210"/>
        <v>104</v>
      </c>
      <c r="U35" s="8" t="b">
        <f t="shared" si="211"/>
        <v>1</v>
      </c>
      <c r="V35" s="8" t="str">
        <f t="shared" si="212"/>
        <v>C</v>
      </c>
      <c r="W35" s="8" t="str">
        <f t="shared" si="213"/>
        <v>C0</v>
      </c>
      <c r="AA35" s="47" t="s">
        <v>102</v>
      </c>
      <c r="AB35" s="44">
        <f t="shared" si="192"/>
        <v>172.47</v>
      </c>
      <c r="AC35" s="58">
        <f t="shared" si="193"/>
        <v>57.49</v>
      </c>
      <c r="AD35" s="63">
        <f t="shared" si="175"/>
        <v>117.33</v>
      </c>
      <c r="AE35" s="65">
        <f t="shared" ref="AE35" si="226">IFERROR(ROUND(AVERAGEIFS($O$2:$O$54,$T$2:$T$54,"="&amp;AD$29,$W$2:$W$54,"="&amp;$AA35),2),"NV")</f>
        <v>58.67</v>
      </c>
      <c r="AF35" s="60">
        <f t="shared" si="177"/>
        <v>59.99</v>
      </c>
      <c r="AG35" s="58">
        <f t="shared" ref="AG35" si="227">IFERROR(ROUND(AVERAGEIFS($O$2:$O$54,$T$2:$T$54,"="&amp;AF$29,$W$2:$W$54,"="&amp;$AA35),2),"NV")</f>
        <v>59.99</v>
      </c>
      <c r="AH35" s="63">
        <f t="shared" si="179"/>
        <v>0</v>
      </c>
      <c r="AI35" s="65" t="str">
        <f t="shared" ref="AI35" si="228">IFERROR(ROUND(AVERAGEIFS($O$2:$O$54,$T$2:$T$54,"="&amp;AH$29,$W$2:$W$54,"="&amp;$AA35),2),"NV")</f>
        <v>NV</v>
      </c>
      <c r="AJ35" s="60">
        <f t="shared" si="181"/>
        <v>0</v>
      </c>
      <c r="AK35" s="55" t="str">
        <f t="shared" si="182"/>
        <v>NV</v>
      </c>
      <c r="AM35" s="175"/>
      <c r="AN35" s="171"/>
      <c r="AO35" s="78" t="s">
        <v>125</v>
      </c>
      <c r="AP35" s="92">
        <f t="shared" ref="AP35:AX35" si="229">IFERROR(ROUND(AVERAGEIFS($O$2:$O$54,$B$2:$B$54,"="&amp;$AN33,$T$2:$T$54,"="&amp;$AM$27,$W$2:$W$54,"="&amp;AP$2),2),"-")</f>
        <v>81.27</v>
      </c>
      <c r="AQ35" s="79">
        <f t="shared" si="229"/>
        <v>73.77</v>
      </c>
      <c r="AR35" s="79" t="str">
        <f t="shared" si="229"/>
        <v>-</v>
      </c>
      <c r="AS35" s="79" t="str">
        <f t="shared" si="229"/>
        <v>-</v>
      </c>
      <c r="AT35" s="79" t="str">
        <f t="shared" si="229"/>
        <v>-</v>
      </c>
      <c r="AU35" s="79" t="str">
        <f t="shared" si="229"/>
        <v>-</v>
      </c>
      <c r="AV35" s="79" t="str">
        <f t="shared" si="229"/>
        <v>-</v>
      </c>
      <c r="AW35" s="79" t="str">
        <f t="shared" si="229"/>
        <v>-</v>
      </c>
      <c r="AX35" s="78" t="str">
        <f t="shared" si="229"/>
        <v>-</v>
      </c>
    </row>
    <row r="36" spans="1:50" ht="20.100000000000001" customHeight="1" x14ac:dyDescent="0.3">
      <c r="A36" s="150">
        <v>35</v>
      </c>
      <c r="B36" s="153">
        <v>2</v>
      </c>
      <c r="C36" s="155">
        <v>201710223</v>
      </c>
      <c r="D36" s="144" t="str">
        <f t="shared" si="202"/>
        <v>보안학과</v>
      </c>
      <c r="E36" s="153" t="s">
        <v>45</v>
      </c>
      <c r="F36" s="153">
        <v>52</v>
      </c>
      <c r="G36" s="146">
        <f t="shared" si="203"/>
        <v>26</v>
      </c>
      <c r="H36" s="153">
        <v>56</v>
      </c>
      <c r="I36" s="146">
        <f t="shared" si="204"/>
        <v>50.91</v>
      </c>
      <c r="J36" s="153">
        <v>83.33</v>
      </c>
      <c r="K36" s="153">
        <v>31</v>
      </c>
      <c r="L36" s="146">
        <f t="shared" si="205"/>
        <v>28.18</v>
      </c>
      <c r="M36" s="153">
        <v>0</v>
      </c>
      <c r="N36" s="154">
        <v>60</v>
      </c>
      <c r="O36" s="8">
        <f t="shared" si="206"/>
        <v>39.770000000000003</v>
      </c>
      <c r="P36" s="148">
        <f t="shared" si="207"/>
        <v>46</v>
      </c>
      <c r="Q36" s="8">
        <f t="shared" si="208"/>
        <v>46</v>
      </c>
      <c r="R36" s="9" t="s">
        <v>71</v>
      </c>
      <c r="S36" s="8" t="str">
        <f t="shared" si="209"/>
        <v>2017</v>
      </c>
      <c r="T36" s="149" t="str">
        <f t="shared" si="210"/>
        <v>102</v>
      </c>
      <c r="U36" s="8" t="b">
        <f t="shared" si="211"/>
        <v>0</v>
      </c>
      <c r="V36" s="8" t="str">
        <f t="shared" si="212"/>
        <v>D</v>
      </c>
      <c r="W36" s="8" t="str">
        <f t="shared" si="213"/>
        <v>D0</v>
      </c>
      <c r="AA36" s="47" t="s">
        <v>103</v>
      </c>
      <c r="AB36" s="44">
        <f t="shared" si="192"/>
        <v>107.03999999999999</v>
      </c>
      <c r="AC36" s="58">
        <f t="shared" si="193"/>
        <v>53.52</v>
      </c>
      <c r="AD36" s="63">
        <f t="shared" si="175"/>
        <v>0</v>
      </c>
      <c r="AE36" s="65" t="str">
        <f t="shared" ref="AE36" si="230">IFERROR(ROUND(AVERAGEIFS($O$2:$O$54,$T$2:$T$54,"="&amp;AD$29,$W$2:$W$54,"="&amp;$AA36),2),"NV")</f>
        <v>NV</v>
      </c>
      <c r="AF36" s="60">
        <f t="shared" si="177"/>
        <v>45.71</v>
      </c>
      <c r="AG36" s="58">
        <f t="shared" ref="AG36" si="231">IFERROR(ROUND(AVERAGEIFS($O$2:$O$54,$T$2:$T$54,"="&amp;AF$29,$W$2:$W$54,"="&amp;$AA36),2),"NV")</f>
        <v>45.71</v>
      </c>
      <c r="AH36" s="63">
        <f t="shared" si="179"/>
        <v>101.25</v>
      </c>
      <c r="AI36" s="65">
        <f t="shared" ref="AI36" si="232">IFERROR(ROUND(AVERAGEIFS($O$2:$O$54,$T$2:$T$54,"="&amp;AH$29,$W$2:$W$54,"="&amp;$AA36),2),"NV")</f>
        <v>50.63</v>
      </c>
      <c r="AJ36" s="60">
        <f t="shared" si="181"/>
        <v>0</v>
      </c>
      <c r="AK36" s="55" t="str">
        <f t="shared" si="182"/>
        <v>NV</v>
      </c>
      <c r="AM36" s="175"/>
      <c r="AN36" s="168">
        <v>4</v>
      </c>
      <c r="AO36" s="82" t="s">
        <v>123</v>
      </c>
      <c r="AP36" s="95">
        <f t="shared" ref="AP36" si="233">COUNTIFS($B$2:$B$54,"="&amp;$AN36,$T$2:$T$54,"="&amp;$AM$27,$W$2:$W$54,"="&amp;AP$2)</f>
        <v>0</v>
      </c>
      <c r="AQ36" s="85">
        <f t="shared" si="174"/>
        <v>1</v>
      </c>
      <c r="AR36" s="85">
        <f t="shared" si="174"/>
        <v>0</v>
      </c>
      <c r="AS36" s="85">
        <f t="shared" si="174"/>
        <v>1</v>
      </c>
      <c r="AT36" s="85">
        <f t="shared" si="174"/>
        <v>0</v>
      </c>
      <c r="AU36" s="85">
        <f t="shared" si="174"/>
        <v>0</v>
      </c>
      <c r="AV36" s="85">
        <f t="shared" si="174"/>
        <v>0</v>
      </c>
      <c r="AW36" s="85">
        <f t="shared" si="174"/>
        <v>0</v>
      </c>
      <c r="AX36" s="84">
        <f t="shared" si="174"/>
        <v>0</v>
      </c>
    </row>
    <row r="37" spans="1:50" ht="20.100000000000001" customHeight="1" x14ac:dyDescent="0.3">
      <c r="A37" s="150">
        <v>36</v>
      </c>
      <c r="B37" s="153">
        <v>2</v>
      </c>
      <c r="C37" s="155">
        <v>201710339</v>
      </c>
      <c r="D37" s="144" t="str">
        <f t="shared" si="202"/>
        <v>전자학과</v>
      </c>
      <c r="E37" s="153" t="s">
        <v>46</v>
      </c>
      <c r="F37" s="153">
        <v>16</v>
      </c>
      <c r="G37" s="146">
        <f t="shared" si="203"/>
        <v>8</v>
      </c>
      <c r="H37" s="153">
        <v>20</v>
      </c>
      <c r="I37" s="146">
        <f t="shared" si="204"/>
        <v>18.18</v>
      </c>
      <c r="J37" s="153">
        <v>88.89</v>
      </c>
      <c r="K37" s="153">
        <v>20</v>
      </c>
      <c r="L37" s="146">
        <f t="shared" si="205"/>
        <v>18.18</v>
      </c>
      <c r="M37" s="153">
        <v>21</v>
      </c>
      <c r="N37" s="154">
        <v>100</v>
      </c>
      <c r="O37" s="8">
        <f t="shared" si="206"/>
        <v>26.57</v>
      </c>
      <c r="P37" s="148">
        <f t="shared" si="207"/>
        <v>53</v>
      </c>
      <c r="Q37" s="8">
        <f t="shared" si="208"/>
        <v>53</v>
      </c>
      <c r="R37" s="9"/>
      <c r="S37" s="8" t="str">
        <f t="shared" si="209"/>
        <v>2017</v>
      </c>
      <c r="T37" s="149" t="str">
        <f t="shared" si="210"/>
        <v>103</v>
      </c>
      <c r="U37" s="8" t="b">
        <f t="shared" si="211"/>
        <v>1</v>
      </c>
      <c r="V37" s="8" t="str">
        <f t="shared" si="212"/>
        <v>F</v>
      </c>
      <c r="W37" s="8" t="str">
        <f t="shared" si="213"/>
        <v>F</v>
      </c>
      <c r="AA37" s="47" t="s">
        <v>104</v>
      </c>
      <c r="AB37" s="44">
        <f t="shared" si="192"/>
        <v>0</v>
      </c>
      <c r="AC37" s="58" t="str">
        <f t="shared" si="193"/>
        <v>NV</v>
      </c>
      <c r="AD37" s="63">
        <f t="shared" si="175"/>
        <v>44.88</v>
      </c>
      <c r="AE37" s="65">
        <f t="shared" ref="AE37" si="234">IFERROR(ROUND(AVERAGEIFS($O$2:$O$54,$T$2:$T$54,"="&amp;AD$29,$W$2:$W$54,"="&amp;$AA37),2),"NV")</f>
        <v>44.88</v>
      </c>
      <c r="AF37" s="60">
        <f t="shared" si="177"/>
        <v>0</v>
      </c>
      <c r="AG37" s="58" t="str">
        <f t="shared" ref="AG37" si="235">IFERROR(ROUND(AVERAGEIFS($O$2:$O$54,$T$2:$T$54,"="&amp;AF$29,$W$2:$W$54,"="&amp;$AA37),2),"NV")</f>
        <v>NV</v>
      </c>
      <c r="AH37" s="63">
        <f t="shared" si="179"/>
        <v>43.09</v>
      </c>
      <c r="AI37" s="65">
        <f t="shared" ref="AI37" si="236">IFERROR(ROUND(AVERAGEIFS($O$2:$O$54,$T$2:$T$54,"="&amp;AH$29,$W$2:$W$54,"="&amp;$AA37),2),"NV")</f>
        <v>43.09</v>
      </c>
      <c r="AJ37" s="60">
        <f t="shared" si="181"/>
        <v>43.86</v>
      </c>
      <c r="AK37" s="55">
        <f t="shared" si="182"/>
        <v>43.86</v>
      </c>
      <c r="AM37" s="175"/>
      <c r="AN37" s="169"/>
      <c r="AO37" s="76" t="s">
        <v>124</v>
      </c>
      <c r="AP37" s="91">
        <f t="shared" ref="AP37" si="237">SUMIFS($O$2:$O$54,$B$2:$B$54,"="&amp;$AN36,$T$2:$T$54,"="&amp;$AM$27,$W$2:$W$54,"="&amp;AP$2)</f>
        <v>0</v>
      </c>
      <c r="AQ37" s="77">
        <f t="shared" ref="AQ37" si="238">SUMIFS($O$2:$O$54,$B$2:$B$54,"="&amp;$AN36,$T$2:$T$54,"="&amp;$AM$27,$W$2:$W$54,"="&amp;AQ$2)</f>
        <v>75.33</v>
      </c>
      <c r="AR37" s="77">
        <f t="shared" ref="AR37" si="239">SUMIFS($O$2:$O$54,$B$2:$B$54,"="&amp;$AN36,$T$2:$T$54,"="&amp;$AM$27,$W$2:$W$54,"="&amp;AR$2)</f>
        <v>0</v>
      </c>
      <c r="AS37" s="77">
        <f t="shared" ref="AS37" si="240">SUMIFS($O$2:$O$54,$B$2:$B$54,"="&amp;$AN36,$T$2:$T$54,"="&amp;$AM$27,$W$2:$W$54,"="&amp;AS$2)</f>
        <v>62.86</v>
      </c>
      <c r="AT37" s="77">
        <f t="shared" ref="AT37" si="241">SUMIFS($O$2:$O$54,$B$2:$B$54,"="&amp;$AN36,$T$2:$T$54,"="&amp;$AM$27,$W$2:$W$54,"="&amp;AT$2)</f>
        <v>0</v>
      </c>
      <c r="AU37" s="77">
        <f t="shared" ref="AU37" si="242">SUMIFS($O$2:$O$54,$B$2:$B$54,"="&amp;$AN36,$T$2:$T$54,"="&amp;$AM$27,$W$2:$W$54,"="&amp;AU$2)</f>
        <v>0</v>
      </c>
      <c r="AV37" s="77">
        <f t="shared" ref="AV37" si="243">SUMIFS($O$2:$O$54,$B$2:$B$54,"="&amp;$AN36,$T$2:$T$54,"="&amp;$AM$27,$W$2:$W$54,"="&amp;AV$2)</f>
        <v>0</v>
      </c>
      <c r="AW37" s="77">
        <f t="shared" ref="AW37" si="244">SUMIFS($O$2:$O$54,$B$2:$B$54,"="&amp;$AN36,$T$2:$T$54,"="&amp;$AM$27,$W$2:$W$54,"="&amp;AW$2)</f>
        <v>0</v>
      </c>
      <c r="AX37" s="76">
        <f t="shared" ref="AX37" si="245">SUMIFS($O$2:$O$54,$B$2:$B$54,"="&amp;$AN36,$T$2:$T$54,"="&amp;$AM$27,$W$2:$W$54,"="&amp;AX$2)</f>
        <v>0</v>
      </c>
    </row>
    <row r="38" spans="1:50" ht="20.100000000000001" customHeight="1" thickBot="1" x14ac:dyDescent="0.35">
      <c r="A38" s="150">
        <v>37</v>
      </c>
      <c r="B38" s="153">
        <v>2</v>
      </c>
      <c r="C38" s="155">
        <v>201810223</v>
      </c>
      <c r="D38" s="144" t="str">
        <f t="shared" si="202"/>
        <v>보안학과</v>
      </c>
      <c r="E38" s="153" t="s">
        <v>47</v>
      </c>
      <c r="F38" s="153">
        <v>143</v>
      </c>
      <c r="G38" s="146">
        <f t="shared" si="203"/>
        <v>71.5</v>
      </c>
      <c r="H38" s="153">
        <v>82</v>
      </c>
      <c r="I38" s="146">
        <f t="shared" si="204"/>
        <v>74.55</v>
      </c>
      <c r="J38" s="153">
        <v>100</v>
      </c>
      <c r="K38" s="153">
        <v>48</v>
      </c>
      <c r="L38" s="146">
        <f t="shared" si="205"/>
        <v>43.64</v>
      </c>
      <c r="M38" s="153">
        <v>65</v>
      </c>
      <c r="N38" s="154">
        <v>100</v>
      </c>
      <c r="O38" s="8">
        <f t="shared" si="206"/>
        <v>73.41</v>
      </c>
      <c r="P38" s="148">
        <f t="shared" si="207"/>
        <v>14</v>
      </c>
      <c r="Q38" s="8">
        <f t="shared" si="208"/>
        <v>14</v>
      </c>
      <c r="R38" s="9"/>
      <c r="S38" s="8" t="str">
        <f t="shared" si="209"/>
        <v>2018</v>
      </c>
      <c r="T38" s="149" t="str">
        <f t="shared" si="210"/>
        <v>102</v>
      </c>
      <c r="U38" s="8" t="b">
        <f t="shared" si="211"/>
        <v>1</v>
      </c>
      <c r="V38" s="8" t="str">
        <f t="shared" si="212"/>
        <v>A</v>
      </c>
      <c r="W38" s="8" t="str">
        <f t="shared" si="213"/>
        <v>A0</v>
      </c>
      <c r="AA38" s="47" t="s">
        <v>105</v>
      </c>
      <c r="AB38" s="44">
        <f t="shared" si="192"/>
        <v>38.93</v>
      </c>
      <c r="AC38" s="58">
        <f t="shared" si="193"/>
        <v>38.93</v>
      </c>
      <c r="AD38" s="63">
        <f t="shared" si="175"/>
        <v>39.770000000000003</v>
      </c>
      <c r="AE38" s="65">
        <f t="shared" ref="AE38" si="246">IFERROR(ROUND(AVERAGEIFS($O$2:$O$54,$T$2:$T$54,"="&amp;AD$29,$W$2:$W$54,"="&amp;$AA38),2),"NV")</f>
        <v>39.770000000000003</v>
      </c>
      <c r="AF38" s="60">
        <f t="shared" si="177"/>
        <v>0</v>
      </c>
      <c r="AG38" s="58" t="str">
        <f t="shared" ref="AG38" si="247">IFERROR(ROUND(AVERAGEIFS($O$2:$O$54,$T$2:$T$54,"="&amp;AF$29,$W$2:$W$54,"="&amp;$AA38),2),"NV")</f>
        <v>NV</v>
      </c>
      <c r="AH38" s="63">
        <f t="shared" si="179"/>
        <v>0</v>
      </c>
      <c r="AI38" s="65" t="str">
        <f t="shared" ref="AI38" si="248">IFERROR(ROUND(AVERAGEIFS($O$2:$O$54,$T$2:$T$54,"="&amp;AH$29,$W$2:$W$54,"="&amp;$AA38),2),"NV")</f>
        <v>NV</v>
      </c>
      <c r="AJ38" s="60">
        <f t="shared" si="181"/>
        <v>0</v>
      </c>
      <c r="AK38" s="55" t="str">
        <f t="shared" si="182"/>
        <v>NV</v>
      </c>
      <c r="AM38" s="175"/>
      <c r="AN38" s="169"/>
      <c r="AO38" s="80" t="s">
        <v>125</v>
      </c>
      <c r="AP38" s="97" t="str">
        <f t="shared" ref="AP38:AX38" si="249">IFERROR(ROUND(AVERAGEIFS($O$2:$O$54,$B$2:$B$54,"="&amp;$AN36,$T$2:$T$54,"="&amp;$AM$27,$W$2:$W$54,"="&amp;AP$2),2),"-")</f>
        <v>-</v>
      </c>
      <c r="AQ38" s="89">
        <f t="shared" si="249"/>
        <v>75.33</v>
      </c>
      <c r="AR38" s="89" t="str">
        <f t="shared" si="249"/>
        <v>-</v>
      </c>
      <c r="AS38" s="89">
        <f t="shared" si="249"/>
        <v>62.86</v>
      </c>
      <c r="AT38" s="89" t="str">
        <f t="shared" si="249"/>
        <v>-</v>
      </c>
      <c r="AU38" s="89" t="str">
        <f t="shared" si="249"/>
        <v>-</v>
      </c>
      <c r="AV38" s="89" t="str">
        <f t="shared" si="249"/>
        <v>-</v>
      </c>
      <c r="AW38" s="89" t="str">
        <f t="shared" si="249"/>
        <v>-</v>
      </c>
      <c r="AX38" s="88" t="str">
        <f t="shared" si="249"/>
        <v>-</v>
      </c>
    </row>
    <row r="39" spans="1:50" ht="20.100000000000001" customHeight="1" thickTop="1" thickBot="1" x14ac:dyDescent="0.35">
      <c r="A39" s="150">
        <v>38</v>
      </c>
      <c r="B39" s="153">
        <v>3</v>
      </c>
      <c r="C39" s="155">
        <v>201510196</v>
      </c>
      <c r="D39" s="144" t="str">
        <f t="shared" si="202"/>
        <v>컴퓨터학과</v>
      </c>
      <c r="E39" s="153" t="s">
        <v>48</v>
      </c>
      <c r="F39" s="153">
        <v>160</v>
      </c>
      <c r="G39" s="146">
        <f t="shared" si="203"/>
        <v>80</v>
      </c>
      <c r="H39" s="153">
        <v>79</v>
      </c>
      <c r="I39" s="146">
        <f t="shared" si="204"/>
        <v>71.819999999999993</v>
      </c>
      <c r="J39" s="153">
        <v>91.11</v>
      </c>
      <c r="K39" s="153">
        <v>67</v>
      </c>
      <c r="L39" s="146">
        <f t="shared" si="205"/>
        <v>60.91</v>
      </c>
      <c r="M39" s="153">
        <v>95</v>
      </c>
      <c r="N39" s="154">
        <v>100</v>
      </c>
      <c r="O39" s="8">
        <f t="shared" si="206"/>
        <v>78.84</v>
      </c>
      <c r="P39" s="148">
        <f t="shared" si="207"/>
        <v>5</v>
      </c>
      <c r="Q39" s="8">
        <f t="shared" si="208"/>
        <v>5</v>
      </c>
      <c r="R39" s="9" t="s">
        <v>71</v>
      </c>
      <c r="S39" s="8" t="str">
        <f t="shared" si="209"/>
        <v>2015</v>
      </c>
      <c r="T39" s="149" t="str">
        <f t="shared" si="210"/>
        <v>101</v>
      </c>
      <c r="U39" s="8" t="b">
        <f t="shared" si="211"/>
        <v>1</v>
      </c>
      <c r="V39" s="8" t="str">
        <f t="shared" si="212"/>
        <v>A</v>
      </c>
      <c r="W39" s="8" t="str">
        <f t="shared" si="213"/>
        <v>A0</v>
      </c>
      <c r="AA39" s="48" t="s">
        <v>97</v>
      </c>
      <c r="AB39" s="45">
        <f t="shared" si="192"/>
        <v>96.93</v>
      </c>
      <c r="AC39" s="57">
        <f t="shared" si="193"/>
        <v>32.31</v>
      </c>
      <c r="AD39" s="61">
        <f t="shared" si="175"/>
        <v>0</v>
      </c>
      <c r="AE39" s="62" t="str">
        <f t="shared" ref="AE39" si="250">IFERROR(ROUND(AVERAGEIFS($O$2:$O$54,$T$2:$T$54,"="&amp;AD$29,$W$2:$W$54,"="&amp;$AA39),2),"NV")</f>
        <v>NV</v>
      </c>
      <c r="AF39" s="59">
        <f t="shared" si="177"/>
        <v>26.57</v>
      </c>
      <c r="AG39" s="57">
        <f t="shared" ref="AG39" si="251">IFERROR(ROUND(AVERAGEIFS($O$2:$O$54,$T$2:$T$54,"="&amp;AF$29,$W$2:$W$54,"="&amp;$AA39),2),"NV")</f>
        <v>26.57</v>
      </c>
      <c r="AH39" s="61">
        <f t="shared" si="179"/>
        <v>30.02</v>
      </c>
      <c r="AI39" s="62">
        <f t="shared" ref="AI39" si="252">IFERROR(ROUND(AVERAGEIFS($O$2:$O$54,$T$2:$T$54,"="&amp;AH$29,$W$2:$W$54,"="&amp;$AA39),2),"NV")</f>
        <v>30.02</v>
      </c>
      <c r="AJ39" s="59">
        <f t="shared" si="181"/>
        <v>28.25</v>
      </c>
      <c r="AK39" s="56">
        <f t="shared" si="182"/>
        <v>28.25</v>
      </c>
      <c r="AM39" s="177">
        <v>104</v>
      </c>
      <c r="AN39" s="173">
        <v>1</v>
      </c>
      <c r="AO39" s="86" t="s">
        <v>123</v>
      </c>
      <c r="AP39" s="96">
        <f>COUNTIFS($B$2:$B$54,"="&amp;$AN39,$T$2:$T$54,"="&amp;$AM$39,$W$2:$W$54,"="&amp;AP$2)</f>
        <v>0</v>
      </c>
      <c r="AQ39" s="87">
        <f t="shared" ref="AQ39:AX39" si="253">COUNTIFS($B$2:$B$54,"="&amp;$AN39,$T$2:$T$54,"="&amp;$AM$39,$W$2:$W$54,"="&amp;AQ$2)</f>
        <v>0</v>
      </c>
      <c r="AR39" s="87">
        <f t="shared" si="253"/>
        <v>0</v>
      </c>
      <c r="AS39" s="87">
        <f t="shared" si="253"/>
        <v>0</v>
      </c>
      <c r="AT39" s="87">
        <f t="shared" si="253"/>
        <v>0</v>
      </c>
      <c r="AU39" s="87">
        <f t="shared" si="253"/>
        <v>1</v>
      </c>
      <c r="AV39" s="87">
        <f t="shared" si="253"/>
        <v>0</v>
      </c>
      <c r="AW39" s="87">
        <f t="shared" si="253"/>
        <v>0</v>
      </c>
      <c r="AX39" s="86">
        <f t="shared" si="253"/>
        <v>0</v>
      </c>
    </row>
    <row r="40" spans="1:50" ht="20.100000000000001" customHeight="1" thickTop="1" x14ac:dyDescent="0.3">
      <c r="A40" s="150">
        <v>39</v>
      </c>
      <c r="B40" s="153">
        <v>2</v>
      </c>
      <c r="C40" s="155">
        <v>201610106</v>
      </c>
      <c r="D40" s="144" t="str">
        <f t="shared" si="202"/>
        <v>컴퓨터학과</v>
      </c>
      <c r="E40" s="153" t="s">
        <v>49</v>
      </c>
      <c r="F40" s="153">
        <v>128</v>
      </c>
      <c r="G40" s="146">
        <f t="shared" si="203"/>
        <v>64</v>
      </c>
      <c r="H40" s="153">
        <v>85</v>
      </c>
      <c r="I40" s="146">
        <f t="shared" si="204"/>
        <v>77.27</v>
      </c>
      <c r="J40" s="153">
        <v>100</v>
      </c>
      <c r="K40" s="153">
        <v>60</v>
      </c>
      <c r="L40" s="146">
        <f t="shared" si="205"/>
        <v>54.55</v>
      </c>
      <c r="M40" s="153">
        <v>56</v>
      </c>
      <c r="N40" s="154">
        <v>100</v>
      </c>
      <c r="O40" s="8">
        <f t="shared" si="206"/>
        <v>72.3</v>
      </c>
      <c r="P40" s="148">
        <f t="shared" si="207"/>
        <v>17</v>
      </c>
      <c r="Q40" s="8">
        <f t="shared" si="208"/>
        <v>17</v>
      </c>
      <c r="R40" s="9"/>
      <c r="S40" s="8" t="str">
        <f t="shared" si="209"/>
        <v>2016</v>
      </c>
      <c r="T40" s="149" t="str">
        <f t="shared" si="210"/>
        <v>101</v>
      </c>
      <c r="U40" s="8" t="b">
        <f t="shared" si="211"/>
        <v>1</v>
      </c>
      <c r="V40" s="8" t="str">
        <f t="shared" si="212"/>
        <v>B</v>
      </c>
      <c r="W40" s="8" t="str">
        <f t="shared" si="213"/>
        <v>B+</v>
      </c>
      <c r="AM40" s="175"/>
      <c r="AN40" s="169"/>
      <c r="AO40" s="76" t="s">
        <v>124</v>
      </c>
      <c r="AP40" s="91">
        <f>SUMIFS($O$2:$O$54,$B$2:$B$54,"="&amp;$AN39,$T$2:$T$54,"="&amp;$AM$39,$W$2:$W$54,"="&amp;AP$2)</f>
        <v>0</v>
      </c>
      <c r="AQ40" s="77">
        <f t="shared" ref="AQ40:AX40" si="254">SUMIFS($O$2:$O$54,$B$2:$B$54,"="&amp;$AN39,$T$2:$T$54,"="&amp;$AM$39,$W$2:$W$54,"="&amp;AQ$2)</f>
        <v>0</v>
      </c>
      <c r="AR40" s="77">
        <f t="shared" si="254"/>
        <v>0</v>
      </c>
      <c r="AS40" s="77">
        <f t="shared" si="254"/>
        <v>0</v>
      </c>
      <c r="AT40" s="77">
        <f t="shared" si="254"/>
        <v>0</v>
      </c>
      <c r="AU40" s="77">
        <f t="shared" si="254"/>
        <v>53.09</v>
      </c>
      <c r="AV40" s="77">
        <f t="shared" si="254"/>
        <v>0</v>
      </c>
      <c r="AW40" s="77">
        <f t="shared" si="254"/>
        <v>0</v>
      </c>
      <c r="AX40" s="76">
        <f t="shared" si="254"/>
        <v>0</v>
      </c>
    </row>
    <row r="41" spans="1:50" ht="20.100000000000001" customHeight="1" x14ac:dyDescent="0.3">
      <c r="A41" s="150">
        <v>40</v>
      </c>
      <c r="B41" s="153">
        <v>2</v>
      </c>
      <c r="C41" s="155">
        <v>201710110</v>
      </c>
      <c r="D41" s="144" t="str">
        <f t="shared" si="202"/>
        <v>컴퓨터학과</v>
      </c>
      <c r="E41" s="153" t="s">
        <v>50</v>
      </c>
      <c r="F41" s="153">
        <v>167</v>
      </c>
      <c r="G41" s="146">
        <f t="shared" si="203"/>
        <v>83.5</v>
      </c>
      <c r="H41" s="153">
        <v>99</v>
      </c>
      <c r="I41" s="146">
        <f t="shared" si="204"/>
        <v>90</v>
      </c>
      <c r="J41" s="153">
        <v>100</v>
      </c>
      <c r="K41" s="153">
        <v>102</v>
      </c>
      <c r="L41" s="146">
        <f t="shared" si="205"/>
        <v>92.73</v>
      </c>
      <c r="M41" s="153">
        <v>90</v>
      </c>
      <c r="N41" s="154">
        <v>100</v>
      </c>
      <c r="O41" s="8">
        <f t="shared" si="206"/>
        <v>89.82</v>
      </c>
      <c r="P41" s="148">
        <f t="shared" si="207"/>
        <v>1</v>
      </c>
      <c r="Q41" s="8">
        <f t="shared" si="208"/>
        <v>1</v>
      </c>
      <c r="R41" s="9"/>
      <c r="S41" s="8" t="str">
        <f t="shared" si="209"/>
        <v>2017</v>
      </c>
      <c r="T41" s="149" t="str">
        <f t="shared" si="210"/>
        <v>101</v>
      </c>
      <c r="U41" s="8" t="b">
        <f t="shared" si="211"/>
        <v>1</v>
      </c>
      <c r="V41" s="8" t="str">
        <f t="shared" si="212"/>
        <v>A</v>
      </c>
      <c r="W41" s="8" t="str">
        <f t="shared" si="213"/>
        <v>A+</v>
      </c>
      <c r="AM41" s="175"/>
      <c r="AN41" s="171"/>
      <c r="AO41" s="78" t="s">
        <v>125</v>
      </c>
      <c r="AP41" s="93" t="str">
        <f>IFERROR(ROUND(AVERAGEIFS($O$2:$O$54,$B$2:$B$54,"="&amp;$AN39,$T$2:$T$54,"="&amp;$AM$39,$W$2:$W$54,"="&amp;AP$2),2),"-")</f>
        <v>-</v>
      </c>
      <c r="AQ41" s="81" t="str">
        <f t="shared" ref="AQ41:AX41" si="255">IFERROR(ROUND(AVERAGEIFS($O$2:$O$54,$B$2:$B$54,"="&amp;$AN39,$T$2:$T$54,"="&amp;$AM$39,$W$2:$W$54,"="&amp;AQ$2),2),"-")</f>
        <v>-</v>
      </c>
      <c r="AR41" s="81" t="str">
        <f t="shared" si="255"/>
        <v>-</v>
      </c>
      <c r="AS41" s="81" t="str">
        <f t="shared" si="255"/>
        <v>-</v>
      </c>
      <c r="AT41" s="81" t="str">
        <f t="shared" si="255"/>
        <v>-</v>
      </c>
      <c r="AU41" s="81">
        <f t="shared" si="255"/>
        <v>53.09</v>
      </c>
      <c r="AV41" s="81" t="str">
        <f t="shared" si="255"/>
        <v>-</v>
      </c>
      <c r="AW41" s="81" t="str">
        <f t="shared" si="255"/>
        <v>-</v>
      </c>
      <c r="AX41" s="80" t="str">
        <f t="shared" si="255"/>
        <v>-</v>
      </c>
    </row>
    <row r="42" spans="1:50" ht="20.100000000000001" customHeight="1" x14ac:dyDescent="0.3">
      <c r="A42" s="150">
        <v>41</v>
      </c>
      <c r="B42" s="153">
        <v>4</v>
      </c>
      <c r="C42" s="155">
        <v>201510311</v>
      </c>
      <c r="D42" s="144" t="str">
        <f t="shared" si="202"/>
        <v>전자학과</v>
      </c>
      <c r="E42" s="153" t="s">
        <v>51</v>
      </c>
      <c r="F42" s="153">
        <v>127</v>
      </c>
      <c r="G42" s="146">
        <f t="shared" si="203"/>
        <v>63.5</v>
      </c>
      <c r="H42" s="153">
        <v>80</v>
      </c>
      <c r="I42" s="146">
        <f t="shared" si="204"/>
        <v>72.73</v>
      </c>
      <c r="J42" s="153">
        <v>100</v>
      </c>
      <c r="K42" s="153">
        <v>74</v>
      </c>
      <c r="L42" s="146">
        <f t="shared" si="205"/>
        <v>67.27</v>
      </c>
      <c r="M42" s="153">
        <v>91</v>
      </c>
      <c r="N42" s="154">
        <v>100</v>
      </c>
      <c r="O42" s="8">
        <f t="shared" si="206"/>
        <v>75.33</v>
      </c>
      <c r="P42" s="148">
        <f t="shared" si="207"/>
        <v>12</v>
      </c>
      <c r="Q42" s="8">
        <f t="shared" si="208"/>
        <v>12</v>
      </c>
      <c r="R42" s="9" t="s">
        <v>71</v>
      </c>
      <c r="S42" s="8" t="str">
        <f t="shared" si="209"/>
        <v>2015</v>
      </c>
      <c r="T42" s="149" t="str">
        <f t="shared" si="210"/>
        <v>103</v>
      </c>
      <c r="U42" s="8" t="b">
        <f t="shared" si="211"/>
        <v>1</v>
      </c>
      <c r="V42" s="8" t="str">
        <f t="shared" si="212"/>
        <v>A</v>
      </c>
      <c r="W42" s="8" t="str">
        <f t="shared" si="213"/>
        <v>A0</v>
      </c>
      <c r="AM42" s="175"/>
      <c r="AN42" s="168">
        <v>2</v>
      </c>
      <c r="AO42" s="82" t="s">
        <v>123</v>
      </c>
      <c r="AP42" s="94">
        <f t="shared" ref="AP42:AX48" si="256">COUNTIFS($B$2:$B$54,"="&amp;$AN42,$T$2:$T$54,"="&amp;$AM$39,$W$2:$W$54,"="&amp;AP$2)</f>
        <v>0</v>
      </c>
      <c r="AQ42" s="83">
        <f t="shared" si="256"/>
        <v>0</v>
      </c>
      <c r="AR42" s="83">
        <f t="shared" si="256"/>
        <v>0</v>
      </c>
      <c r="AS42" s="83">
        <f t="shared" si="256"/>
        <v>1</v>
      </c>
      <c r="AT42" s="83">
        <f t="shared" si="256"/>
        <v>0</v>
      </c>
      <c r="AU42" s="83">
        <f t="shared" si="256"/>
        <v>0</v>
      </c>
      <c r="AV42" s="83">
        <f t="shared" si="256"/>
        <v>1</v>
      </c>
      <c r="AW42" s="83">
        <f t="shared" si="256"/>
        <v>0</v>
      </c>
      <c r="AX42" s="82">
        <f t="shared" si="256"/>
        <v>1</v>
      </c>
    </row>
    <row r="43" spans="1:50" ht="20.100000000000001" customHeight="1" x14ac:dyDescent="0.3">
      <c r="A43" s="150">
        <v>42</v>
      </c>
      <c r="B43" s="153">
        <v>4</v>
      </c>
      <c r="C43" s="155">
        <v>201510319</v>
      </c>
      <c r="D43" s="144" t="str">
        <f t="shared" si="202"/>
        <v>전자학과</v>
      </c>
      <c r="E43" s="153" t="s">
        <v>52</v>
      </c>
      <c r="F43" s="153">
        <v>86</v>
      </c>
      <c r="G43" s="146">
        <f t="shared" si="203"/>
        <v>43</v>
      </c>
      <c r="H43" s="153">
        <v>76</v>
      </c>
      <c r="I43" s="146">
        <f t="shared" si="204"/>
        <v>69.09</v>
      </c>
      <c r="J43" s="153">
        <v>98.89</v>
      </c>
      <c r="K43" s="153">
        <v>56</v>
      </c>
      <c r="L43" s="146">
        <f t="shared" si="205"/>
        <v>50.91</v>
      </c>
      <c r="M43" s="153">
        <v>58</v>
      </c>
      <c r="N43" s="154">
        <v>100</v>
      </c>
      <c r="O43" s="8">
        <f t="shared" si="206"/>
        <v>62.86</v>
      </c>
      <c r="P43" s="148">
        <f t="shared" si="207"/>
        <v>31</v>
      </c>
      <c r="Q43" s="8">
        <f t="shared" si="208"/>
        <v>31</v>
      </c>
      <c r="R43" s="9" t="s">
        <v>71</v>
      </c>
      <c r="S43" s="8" t="str">
        <f t="shared" si="209"/>
        <v>2015</v>
      </c>
      <c r="T43" s="149" t="str">
        <f t="shared" si="210"/>
        <v>103</v>
      </c>
      <c r="U43" s="8" t="b">
        <f t="shared" si="211"/>
        <v>1</v>
      </c>
      <c r="V43" s="8" t="str">
        <f t="shared" si="212"/>
        <v>B</v>
      </c>
      <c r="W43" s="8" t="str">
        <f t="shared" si="213"/>
        <v>B0</v>
      </c>
      <c r="AM43" s="175"/>
      <c r="AN43" s="169"/>
      <c r="AO43" s="76" t="s">
        <v>124</v>
      </c>
      <c r="AP43" s="91">
        <f t="shared" ref="AP43" si="257">SUMIFS($O$2:$O$54,$B$2:$B$54,"="&amp;$AN42,$T$2:$T$54,"="&amp;$AM$39,$W$2:$W$54,"="&amp;AP$2)</f>
        <v>0</v>
      </c>
      <c r="AQ43" s="77">
        <f t="shared" ref="AQ43" si="258">SUMIFS($O$2:$O$54,$B$2:$B$54,"="&amp;$AN42,$T$2:$T$54,"="&amp;$AM$39,$W$2:$W$54,"="&amp;AQ$2)</f>
        <v>0</v>
      </c>
      <c r="AR43" s="77">
        <f t="shared" ref="AR43" si="259">SUMIFS($O$2:$O$54,$B$2:$B$54,"="&amp;$AN42,$T$2:$T$54,"="&amp;$AM$39,$W$2:$W$54,"="&amp;AR$2)</f>
        <v>0</v>
      </c>
      <c r="AS43" s="77">
        <f t="shared" ref="AS43" si="260">SUMIFS($O$2:$O$54,$B$2:$B$54,"="&amp;$AN42,$T$2:$T$54,"="&amp;$AM$39,$W$2:$W$54,"="&amp;AS$2)</f>
        <v>68.099999999999994</v>
      </c>
      <c r="AT43" s="77">
        <f t="shared" ref="AT43" si="261">SUMIFS($O$2:$O$54,$B$2:$B$54,"="&amp;$AN42,$T$2:$T$54,"="&amp;$AM$39,$W$2:$W$54,"="&amp;AT$2)</f>
        <v>0</v>
      </c>
      <c r="AU43" s="77">
        <f t="shared" ref="AU43" si="262">SUMIFS($O$2:$O$54,$B$2:$B$54,"="&amp;$AN42,$T$2:$T$54,"="&amp;$AM$39,$W$2:$W$54,"="&amp;AU$2)</f>
        <v>0</v>
      </c>
      <c r="AV43" s="77">
        <f t="shared" ref="AV43" si="263">SUMIFS($O$2:$O$54,$B$2:$B$54,"="&amp;$AN42,$T$2:$T$54,"="&amp;$AM$39,$W$2:$W$54,"="&amp;AV$2)</f>
        <v>43.09</v>
      </c>
      <c r="AW43" s="77">
        <f t="shared" ref="AW43" si="264">SUMIFS($O$2:$O$54,$B$2:$B$54,"="&amp;$AN42,$T$2:$T$54,"="&amp;$AM$39,$W$2:$W$54,"="&amp;AW$2)</f>
        <v>0</v>
      </c>
      <c r="AX43" s="76">
        <f t="shared" ref="AX43" si="265">SUMIFS($O$2:$O$54,$B$2:$B$54,"="&amp;$AN42,$T$2:$T$54,"="&amp;$AM$39,$W$2:$W$54,"="&amp;AX$2)</f>
        <v>30.02</v>
      </c>
    </row>
    <row r="44" spans="1:50" ht="20.100000000000001" customHeight="1" x14ac:dyDescent="0.3">
      <c r="A44" s="150">
        <v>43</v>
      </c>
      <c r="B44" s="153">
        <v>3</v>
      </c>
      <c r="C44" s="155">
        <v>201510342</v>
      </c>
      <c r="D44" s="144" t="str">
        <f t="shared" si="202"/>
        <v>전자학과</v>
      </c>
      <c r="E44" s="153" t="s">
        <v>53</v>
      </c>
      <c r="F44" s="153">
        <v>160</v>
      </c>
      <c r="G44" s="146">
        <f t="shared" si="203"/>
        <v>80</v>
      </c>
      <c r="H44" s="153">
        <v>82</v>
      </c>
      <c r="I44" s="146">
        <f t="shared" si="204"/>
        <v>74.55</v>
      </c>
      <c r="J44" s="153">
        <v>100</v>
      </c>
      <c r="K44" s="153">
        <v>79</v>
      </c>
      <c r="L44" s="146">
        <f t="shared" si="205"/>
        <v>71.819999999999993</v>
      </c>
      <c r="M44" s="153">
        <v>90</v>
      </c>
      <c r="N44" s="154">
        <v>100</v>
      </c>
      <c r="O44" s="8">
        <f t="shared" si="206"/>
        <v>81.27</v>
      </c>
      <c r="P44" s="148">
        <f t="shared" si="207"/>
        <v>4</v>
      </c>
      <c r="Q44" s="8">
        <f t="shared" si="208"/>
        <v>4</v>
      </c>
      <c r="R44" s="9"/>
      <c r="S44" s="8" t="str">
        <f t="shared" si="209"/>
        <v>2015</v>
      </c>
      <c r="T44" s="149" t="str">
        <f t="shared" si="210"/>
        <v>103</v>
      </c>
      <c r="U44" s="8" t="b">
        <f t="shared" si="211"/>
        <v>1</v>
      </c>
      <c r="V44" s="8" t="str">
        <f t="shared" si="212"/>
        <v>A</v>
      </c>
      <c r="W44" s="8" t="str">
        <f t="shared" si="213"/>
        <v>A+</v>
      </c>
      <c r="AM44" s="175"/>
      <c r="AN44" s="171"/>
      <c r="AO44" s="78" t="s">
        <v>125</v>
      </c>
      <c r="AP44" s="92" t="str">
        <f t="shared" ref="AP44:AX44" si="266">IFERROR(ROUND(AVERAGEIFS($O$2:$O$54,$B$2:$B$54,"="&amp;$AN42,$T$2:$T$54,"="&amp;$AM$39,$W$2:$W$54,"="&amp;AP$2),2),"-")</f>
        <v>-</v>
      </c>
      <c r="AQ44" s="79" t="str">
        <f t="shared" si="266"/>
        <v>-</v>
      </c>
      <c r="AR44" s="79" t="str">
        <f t="shared" si="266"/>
        <v>-</v>
      </c>
      <c r="AS44" s="79">
        <f t="shared" si="266"/>
        <v>68.099999999999994</v>
      </c>
      <c r="AT44" s="79" t="str">
        <f t="shared" si="266"/>
        <v>-</v>
      </c>
      <c r="AU44" s="79" t="str">
        <f t="shared" si="266"/>
        <v>-</v>
      </c>
      <c r="AV44" s="79">
        <f t="shared" si="266"/>
        <v>43.09</v>
      </c>
      <c r="AW44" s="79" t="str">
        <f t="shared" si="266"/>
        <v>-</v>
      </c>
      <c r="AX44" s="78">
        <f t="shared" si="266"/>
        <v>30.02</v>
      </c>
    </row>
    <row r="45" spans="1:50" ht="20.100000000000001" customHeight="1" x14ac:dyDescent="0.3">
      <c r="A45" s="150">
        <v>44</v>
      </c>
      <c r="B45" s="153">
        <v>2</v>
      </c>
      <c r="C45" s="155">
        <v>201710460</v>
      </c>
      <c r="D45" s="144" t="str">
        <f t="shared" si="202"/>
        <v>게임학과</v>
      </c>
      <c r="E45" s="153" t="s">
        <v>54</v>
      </c>
      <c r="F45" s="153">
        <v>129</v>
      </c>
      <c r="G45" s="146">
        <f t="shared" si="203"/>
        <v>64.5</v>
      </c>
      <c r="H45" s="153">
        <v>70</v>
      </c>
      <c r="I45" s="146">
        <f t="shared" si="204"/>
        <v>63.64</v>
      </c>
      <c r="J45" s="153">
        <v>97.78</v>
      </c>
      <c r="K45" s="153">
        <v>66</v>
      </c>
      <c r="L45" s="146">
        <f t="shared" si="205"/>
        <v>60</v>
      </c>
      <c r="M45" s="153">
        <v>57</v>
      </c>
      <c r="N45" s="154">
        <v>100</v>
      </c>
      <c r="O45" s="8">
        <f t="shared" si="206"/>
        <v>68.099999999999994</v>
      </c>
      <c r="P45" s="148">
        <f t="shared" si="207"/>
        <v>25</v>
      </c>
      <c r="Q45" s="8">
        <f t="shared" si="208"/>
        <v>25</v>
      </c>
      <c r="R45" s="9"/>
      <c r="S45" s="8" t="str">
        <f t="shared" si="209"/>
        <v>2017</v>
      </c>
      <c r="T45" s="149" t="str">
        <f t="shared" si="210"/>
        <v>104</v>
      </c>
      <c r="U45" s="8" t="b">
        <f t="shared" si="211"/>
        <v>1</v>
      </c>
      <c r="V45" s="8" t="str">
        <f t="shared" si="212"/>
        <v>B</v>
      </c>
      <c r="W45" s="8" t="str">
        <f t="shared" si="213"/>
        <v>B0</v>
      </c>
      <c r="AM45" s="175"/>
      <c r="AN45" s="168">
        <v>3</v>
      </c>
      <c r="AO45" s="82" t="s">
        <v>123</v>
      </c>
      <c r="AP45" s="94">
        <f t="shared" ref="AP45" si="267">COUNTIFS($B$2:$B$54,"="&amp;$AN45,$T$2:$T$54,"="&amp;$AM$39,$W$2:$W$54,"="&amp;AP$2)</f>
        <v>0</v>
      </c>
      <c r="AQ45" s="83">
        <f t="shared" si="256"/>
        <v>0</v>
      </c>
      <c r="AR45" s="83">
        <f t="shared" si="256"/>
        <v>1</v>
      </c>
      <c r="AS45" s="83">
        <f t="shared" si="256"/>
        <v>0</v>
      </c>
      <c r="AT45" s="83">
        <f t="shared" si="256"/>
        <v>0</v>
      </c>
      <c r="AU45" s="83">
        <f t="shared" si="256"/>
        <v>0</v>
      </c>
      <c r="AV45" s="83">
        <f t="shared" si="256"/>
        <v>0</v>
      </c>
      <c r="AW45" s="83">
        <f t="shared" si="256"/>
        <v>0</v>
      </c>
      <c r="AX45" s="82">
        <f t="shared" si="256"/>
        <v>0</v>
      </c>
    </row>
    <row r="46" spans="1:50" ht="20.100000000000001" customHeight="1" x14ac:dyDescent="0.3">
      <c r="A46" s="150">
        <v>45</v>
      </c>
      <c r="B46" s="153">
        <v>3</v>
      </c>
      <c r="C46" s="155">
        <v>201710471</v>
      </c>
      <c r="D46" s="144" t="str">
        <f t="shared" si="202"/>
        <v>게임학과</v>
      </c>
      <c r="E46" s="153" t="s">
        <v>55</v>
      </c>
      <c r="F46" s="153">
        <v>155</v>
      </c>
      <c r="G46" s="146">
        <f t="shared" si="203"/>
        <v>77.5</v>
      </c>
      <c r="H46" s="153">
        <v>91</v>
      </c>
      <c r="I46" s="146">
        <f t="shared" si="204"/>
        <v>82.73</v>
      </c>
      <c r="J46" s="153">
        <v>100</v>
      </c>
      <c r="K46" s="153">
        <v>82</v>
      </c>
      <c r="L46" s="146">
        <f t="shared" si="205"/>
        <v>74.55</v>
      </c>
      <c r="M46" s="153">
        <v>76</v>
      </c>
      <c r="N46" s="154">
        <v>100</v>
      </c>
      <c r="O46" s="8">
        <f t="shared" si="206"/>
        <v>82.26</v>
      </c>
      <c r="P46" s="148">
        <f t="shared" si="207"/>
        <v>3</v>
      </c>
      <c r="Q46" s="8">
        <f t="shared" si="208"/>
        <v>3</v>
      </c>
      <c r="R46" s="9" t="s">
        <v>71</v>
      </c>
      <c r="S46" s="8" t="str">
        <f t="shared" si="209"/>
        <v>2017</v>
      </c>
      <c r="T46" s="149" t="str">
        <f t="shared" si="210"/>
        <v>104</v>
      </c>
      <c r="U46" s="8" t="b">
        <f t="shared" si="211"/>
        <v>0</v>
      </c>
      <c r="V46" s="8" t="str">
        <f t="shared" si="212"/>
        <v>A</v>
      </c>
      <c r="W46" s="8" t="str">
        <f t="shared" si="213"/>
        <v>B+</v>
      </c>
      <c r="AM46" s="175"/>
      <c r="AN46" s="169"/>
      <c r="AO46" s="76" t="s">
        <v>124</v>
      </c>
      <c r="AP46" s="91">
        <f t="shared" ref="AP46" si="268">SUMIFS($O$2:$O$54,$B$2:$B$54,"="&amp;$AN45,$T$2:$T$54,"="&amp;$AM$39,$W$2:$W$54,"="&amp;AP$2)</f>
        <v>0</v>
      </c>
      <c r="AQ46" s="77">
        <f t="shared" ref="AQ46" si="269">SUMIFS($O$2:$O$54,$B$2:$B$54,"="&amp;$AN45,$T$2:$T$54,"="&amp;$AM$39,$W$2:$W$54,"="&amp;AQ$2)</f>
        <v>0</v>
      </c>
      <c r="AR46" s="77">
        <f t="shared" ref="AR46" si="270">SUMIFS($O$2:$O$54,$B$2:$B$54,"="&amp;$AN45,$T$2:$T$54,"="&amp;$AM$39,$W$2:$W$54,"="&amp;AR$2)</f>
        <v>82.26</v>
      </c>
      <c r="AS46" s="77">
        <f t="shared" ref="AS46" si="271">SUMIFS($O$2:$O$54,$B$2:$B$54,"="&amp;$AN45,$T$2:$T$54,"="&amp;$AM$39,$W$2:$W$54,"="&amp;AS$2)</f>
        <v>0</v>
      </c>
      <c r="AT46" s="77">
        <f t="shared" ref="AT46" si="272">SUMIFS($O$2:$O$54,$B$2:$B$54,"="&amp;$AN45,$T$2:$T$54,"="&amp;$AM$39,$W$2:$W$54,"="&amp;AT$2)</f>
        <v>0</v>
      </c>
      <c r="AU46" s="77">
        <f t="shared" ref="AU46" si="273">SUMIFS($O$2:$O$54,$B$2:$B$54,"="&amp;$AN45,$T$2:$T$54,"="&amp;$AM$39,$W$2:$W$54,"="&amp;AU$2)</f>
        <v>0</v>
      </c>
      <c r="AV46" s="77">
        <f t="shared" ref="AV46" si="274">SUMIFS($O$2:$O$54,$B$2:$B$54,"="&amp;$AN45,$T$2:$T$54,"="&amp;$AM$39,$W$2:$W$54,"="&amp;AV$2)</f>
        <v>0</v>
      </c>
      <c r="AW46" s="77">
        <f t="shared" ref="AW46" si="275">SUMIFS($O$2:$O$54,$B$2:$B$54,"="&amp;$AN45,$T$2:$T$54,"="&amp;$AM$39,$W$2:$W$54,"="&amp;AW$2)</f>
        <v>0</v>
      </c>
      <c r="AX46" s="76">
        <f t="shared" ref="AX46" si="276">SUMIFS($O$2:$O$54,$B$2:$B$54,"="&amp;$AN45,$T$2:$T$54,"="&amp;$AM$39,$W$2:$W$54,"="&amp;AX$2)</f>
        <v>0</v>
      </c>
    </row>
    <row r="47" spans="1:50" ht="20.100000000000001" customHeight="1" x14ac:dyDescent="0.3">
      <c r="A47" s="150">
        <v>46</v>
      </c>
      <c r="B47" s="153">
        <v>2</v>
      </c>
      <c r="C47" s="155">
        <v>201710226</v>
      </c>
      <c r="D47" s="144" t="str">
        <f t="shared" si="202"/>
        <v>보안학과</v>
      </c>
      <c r="E47" s="153" t="s">
        <v>56</v>
      </c>
      <c r="F47" s="153">
        <v>105</v>
      </c>
      <c r="G47" s="146">
        <f t="shared" si="203"/>
        <v>52.5</v>
      </c>
      <c r="H47" s="153">
        <v>57</v>
      </c>
      <c r="I47" s="146">
        <f t="shared" si="204"/>
        <v>51.82</v>
      </c>
      <c r="J47" s="153">
        <v>97.78</v>
      </c>
      <c r="K47" s="153">
        <v>33</v>
      </c>
      <c r="L47" s="146">
        <f t="shared" si="205"/>
        <v>30</v>
      </c>
      <c r="M47" s="153">
        <v>53</v>
      </c>
      <c r="N47" s="154">
        <v>100</v>
      </c>
      <c r="O47" s="8">
        <f t="shared" si="206"/>
        <v>56.97</v>
      </c>
      <c r="P47" s="148">
        <f t="shared" si="207"/>
        <v>35</v>
      </c>
      <c r="Q47" s="8">
        <f t="shared" si="208"/>
        <v>35</v>
      </c>
      <c r="R47" s="9"/>
      <c r="S47" s="8" t="str">
        <f t="shared" si="209"/>
        <v>2017</v>
      </c>
      <c r="T47" s="149" t="str">
        <f t="shared" si="210"/>
        <v>102</v>
      </c>
      <c r="U47" s="8" t="b">
        <f t="shared" si="211"/>
        <v>1</v>
      </c>
      <c r="V47" s="8" t="str">
        <f t="shared" si="212"/>
        <v>C</v>
      </c>
      <c r="W47" s="8" t="str">
        <f t="shared" si="213"/>
        <v>C+</v>
      </c>
      <c r="AM47" s="175"/>
      <c r="AN47" s="171"/>
      <c r="AO47" s="78" t="s">
        <v>125</v>
      </c>
      <c r="AP47" s="92" t="str">
        <f t="shared" ref="AP47:AX47" si="277">IFERROR(ROUND(AVERAGEIFS($O$2:$O$54,$B$2:$B$54,"="&amp;$AN45,$T$2:$T$54,"="&amp;$AM$39,$W$2:$W$54,"="&amp;AP$2),2),"-")</f>
        <v>-</v>
      </c>
      <c r="AQ47" s="79" t="str">
        <f t="shared" si="277"/>
        <v>-</v>
      </c>
      <c r="AR47" s="79">
        <f t="shared" si="277"/>
        <v>82.26</v>
      </c>
      <c r="AS47" s="79" t="str">
        <f t="shared" si="277"/>
        <v>-</v>
      </c>
      <c r="AT47" s="79" t="str">
        <f t="shared" si="277"/>
        <v>-</v>
      </c>
      <c r="AU47" s="79" t="str">
        <f t="shared" si="277"/>
        <v>-</v>
      </c>
      <c r="AV47" s="79" t="str">
        <f t="shared" si="277"/>
        <v>-</v>
      </c>
      <c r="AW47" s="79" t="str">
        <f t="shared" si="277"/>
        <v>-</v>
      </c>
      <c r="AX47" s="78" t="str">
        <f t="shared" si="277"/>
        <v>-</v>
      </c>
    </row>
    <row r="48" spans="1:50" ht="20.100000000000001" customHeight="1" x14ac:dyDescent="0.3">
      <c r="A48" s="150">
        <v>47</v>
      </c>
      <c r="B48" s="153">
        <v>2</v>
      </c>
      <c r="C48" s="155">
        <v>201810529</v>
      </c>
      <c r="D48" s="144" t="str">
        <f t="shared" si="202"/>
        <v>통신학과</v>
      </c>
      <c r="E48" s="153" t="s">
        <v>57</v>
      </c>
      <c r="F48" s="153">
        <v>141</v>
      </c>
      <c r="G48" s="146">
        <f t="shared" si="203"/>
        <v>70.5</v>
      </c>
      <c r="H48" s="153">
        <v>67</v>
      </c>
      <c r="I48" s="146">
        <f t="shared" si="204"/>
        <v>60.91</v>
      </c>
      <c r="J48" s="153">
        <v>97.78</v>
      </c>
      <c r="K48" s="153">
        <v>78</v>
      </c>
      <c r="L48" s="146">
        <f t="shared" si="205"/>
        <v>70.91</v>
      </c>
      <c r="M48" s="153">
        <v>54</v>
      </c>
      <c r="N48" s="154">
        <v>80</v>
      </c>
      <c r="O48" s="8">
        <f t="shared" si="206"/>
        <v>68.739999999999995</v>
      </c>
      <c r="P48" s="148">
        <f t="shared" si="207"/>
        <v>23</v>
      </c>
      <c r="Q48" s="8">
        <f t="shared" si="208"/>
        <v>23</v>
      </c>
      <c r="R48" s="9"/>
      <c r="S48" s="8" t="str">
        <f t="shared" si="209"/>
        <v>2018</v>
      </c>
      <c r="T48" s="149" t="str">
        <f t="shared" si="210"/>
        <v>105</v>
      </c>
      <c r="U48" s="8" t="b">
        <f t="shared" si="211"/>
        <v>1</v>
      </c>
      <c r="V48" s="8" t="str">
        <f t="shared" si="212"/>
        <v>B</v>
      </c>
      <c r="W48" s="8" t="str">
        <f t="shared" si="213"/>
        <v>B+</v>
      </c>
      <c r="AM48" s="175"/>
      <c r="AN48" s="168">
        <v>4</v>
      </c>
      <c r="AO48" s="82" t="s">
        <v>123</v>
      </c>
      <c r="AP48" s="95">
        <f t="shared" ref="AP48" si="278">COUNTIFS($B$2:$B$54,"="&amp;$AN48,$T$2:$T$54,"="&amp;$AM$39,$W$2:$W$54,"="&amp;AP$2)</f>
        <v>0</v>
      </c>
      <c r="AQ48" s="85">
        <f t="shared" si="256"/>
        <v>0</v>
      </c>
      <c r="AR48" s="85">
        <f t="shared" si="256"/>
        <v>0</v>
      </c>
      <c r="AS48" s="85">
        <f t="shared" si="256"/>
        <v>1</v>
      </c>
      <c r="AT48" s="85">
        <f t="shared" si="256"/>
        <v>0</v>
      </c>
      <c r="AU48" s="85">
        <f t="shared" si="256"/>
        <v>1</v>
      </c>
      <c r="AV48" s="85">
        <f t="shared" si="256"/>
        <v>0</v>
      </c>
      <c r="AW48" s="85">
        <f t="shared" si="256"/>
        <v>0</v>
      </c>
      <c r="AX48" s="84">
        <f t="shared" si="256"/>
        <v>0</v>
      </c>
    </row>
    <row r="49" spans="1:50" ht="20.100000000000001" customHeight="1" x14ac:dyDescent="0.3">
      <c r="A49" s="150">
        <v>48</v>
      </c>
      <c r="B49" s="153">
        <v>1</v>
      </c>
      <c r="C49" s="155">
        <v>201810535</v>
      </c>
      <c r="D49" s="144" t="str">
        <f t="shared" si="202"/>
        <v>통신학과</v>
      </c>
      <c r="E49" s="153" t="s">
        <v>58</v>
      </c>
      <c r="F49" s="153">
        <v>114</v>
      </c>
      <c r="G49" s="146">
        <f t="shared" si="203"/>
        <v>57</v>
      </c>
      <c r="H49" s="153">
        <v>92</v>
      </c>
      <c r="I49" s="146">
        <f t="shared" si="204"/>
        <v>83.64</v>
      </c>
      <c r="J49" s="153">
        <v>95.56</v>
      </c>
      <c r="K49" s="153">
        <v>48</v>
      </c>
      <c r="L49" s="146">
        <f t="shared" si="205"/>
        <v>43.64</v>
      </c>
      <c r="M49" s="153">
        <v>74</v>
      </c>
      <c r="N49" s="154">
        <v>100</v>
      </c>
      <c r="O49" s="8">
        <f t="shared" si="206"/>
        <v>72.69</v>
      </c>
      <c r="P49" s="148">
        <f t="shared" si="207"/>
        <v>15</v>
      </c>
      <c r="Q49" s="8">
        <f t="shared" si="208"/>
        <v>15</v>
      </c>
      <c r="R49" s="9"/>
      <c r="S49" s="8" t="str">
        <f t="shared" si="209"/>
        <v>2018</v>
      </c>
      <c r="T49" s="149" t="str">
        <f t="shared" si="210"/>
        <v>105</v>
      </c>
      <c r="U49" s="8" t="b">
        <f t="shared" si="211"/>
        <v>1</v>
      </c>
      <c r="V49" s="8" t="str">
        <f t="shared" si="212"/>
        <v>A</v>
      </c>
      <c r="W49" s="8" t="str">
        <f t="shared" si="213"/>
        <v>A0</v>
      </c>
      <c r="AM49" s="175"/>
      <c r="AN49" s="169"/>
      <c r="AO49" s="76" t="s">
        <v>124</v>
      </c>
      <c r="AP49" s="91">
        <f t="shared" ref="AP49" si="279">SUMIFS($O$2:$O$54,$B$2:$B$54,"="&amp;$AN48,$T$2:$T$54,"="&amp;$AM$39,$W$2:$W$54,"="&amp;AP$2)</f>
        <v>0</v>
      </c>
      <c r="AQ49" s="77">
        <f t="shared" ref="AQ49" si="280">SUMIFS($O$2:$O$54,$B$2:$B$54,"="&amp;$AN48,$T$2:$T$54,"="&amp;$AM$39,$W$2:$W$54,"="&amp;AQ$2)</f>
        <v>0</v>
      </c>
      <c r="AR49" s="77">
        <f t="shared" ref="AR49" si="281">SUMIFS($O$2:$O$54,$B$2:$B$54,"="&amp;$AN48,$T$2:$T$54,"="&amp;$AM$39,$W$2:$W$54,"="&amp;AR$2)</f>
        <v>0</v>
      </c>
      <c r="AS49" s="77">
        <f t="shared" ref="AS49" si="282">SUMIFS($O$2:$O$54,$B$2:$B$54,"="&amp;$AN48,$T$2:$T$54,"="&amp;$AM$39,$W$2:$W$54,"="&amp;AS$2)</f>
        <v>64.66</v>
      </c>
      <c r="AT49" s="77">
        <f t="shared" ref="AT49" si="283">SUMIFS($O$2:$O$54,$B$2:$B$54,"="&amp;$AN48,$T$2:$T$54,"="&amp;$AM$39,$W$2:$W$54,"="&amp;AT$2)</f>
        <v>0</v>
      </c>
      <c r="AU49" s="77">
        <f t="shared" ref="AU49" si="284">SUMIFS($O$2:$O$54,$B$2:$B$54,"="&amp;$AN48,$T$2:$T$54,"="&amp;$AM$39,$W$2:$W$54,"="&amp;AU$2)</f>
        <v>48.16</v>
      </c>
      <c r="AV49" s="77">
        <f t="shared" ref="AV49" si="285">SUMIFS($O$2:$O$54,$B$2:$B$54,"="&amp;$AN48,$T$2:$T$54,"="&amp;$AM$39,$W$2:$W$54,"="&amp;AV$2)</f>
        <v>0</v>
      </c>
      <c r="AW49" s="77">
        <f t="shared" ref="AW49" si="286">SUMIFS($O$2:$O$54,$B$2:$B$54,"="&amp;$AN48,$T$2:$T$54,"="&amp;$AM$39,$W$2:$W$54,"="&amp;AW$2)</f>
        <v>0</v>
      </c>
      <c r="AX49" s="76">
        <f t="shared" ref="AX49" si="287">SUMIFS($O$2:$O$54,$B$2:$B$54,"="&amp;$AN48,$T$2:$T$54,"="&amp;$AM$39,$W$2:$W$54,"="&amp;AX$2)</f>
        <v>0</v>
      </c>
    </row>
    <row r="50" spans="1:50" ht="20.100000000000001" customHeight="1" thickBot="1" x14ac:dyDescent="0.35">
      <c r="A50" s="150">
        <v>49</v>
      </c>
      <c r="B50" s="153">
        <v>3</v>
      </c>
      <c r="C50" s="155">
        <v>201510546</v>
      </c>
      <c r="D50" s="144" t="str">
        <f t="shared" si="202"/>
        <v>통신학과</v>
      </c>
      <c r="E50" s="153" t="s">
        <v>59</v>
      </c>
      <c r="F50" s="153">
        <v>148</v>
      </c>
      <c r="G50" s="146">
        <f t="shared" si="203"/>
        <v>74</v>
      </c>
      <c r="H50" s="153">
        <v>66</v>
      </c>
      <c r="I50" s="146">
        <f t="shared" si="204"/>
        <v>60</v>
      </c>
      <c r="J50" s="153">
        <v>96.67</v>
      </c>
      <c r="K50" s="153">
        <v>57</v>
      </c>
      <c r="L50" s="146">
        <f t="shared" si="205"/>
        <v>51.82</v>
      </c>
      <c r="M50" s="153">
        <v>51</v>
      </c>
      <c r="N50" s="154">
        <v>100</v>
      </c>
      <c r="O50" s="8">
        <f t="shared" si="206"/>
        <v>68.150000000000006</v>
      </c>
      <c r="P50" s="148">
        <f t="shared" si="207"/>
        <v>24</v>
      </c>
      <c r="Q50" s="8">
        <f t="shared" si="208"/>
        <v>24</v>
      </c>
      <c r="R50" s="9" t="s">
        <v>71</v>
      </c>
      <c r="S50" s="8" t="str">
        <f t="shared" si="209"/>
        <v>2015</v>
      </c>
      <c r="T50" s="149" t="str">
        <f t="shared" si="210"/>
        <v>105</v>
      </c>
      <c r="U50" s="8" t="b">
        <f t="shared" si="211"/>
        <v>1</v>
      </c>
      <c r="V50" s="8" t="str">
        <f t="shared" si="212"/>
        <v>B</v>
      </c>
      <c r="W50" s="8" t="str">
        <f t="shared" si="213"/>
        <v>B0</v>
      </c>
      <c r="AM50" s="178"/>
      <c r="AN50" s="170"/>
      <c r="AO50" s="88" t="s">
        <v>125</v>
      </c>
      <c r="AP50" s="97" t="str">
        <f t="shared" ref="AP50:AX50" si="288">IFERROR(ROUND(AVERAGEIFS($O$2:$O$54,$B$2:$B$54,"="&amp;$AN48,$T$2:$T$54,"="&amp;$AM$39,$W$2:$W$54,"="&amp;AP$2),2),"-")</f>
        <v>-</v>
      </c>
      <c r="AQ50" s="89" t="str">
        <f t="shared" si="288"/>
        <v>-</v>
      </c>
      <c r="AR50" s="89" t="str">
        <f t="shared" si="288"/>
        <v>-</v>
      </c>
      <c r="AS50" s="89">
        <f t="shared" si="288"/>
        <v>64.66</v>
      </c>
      <c r="AT50" s="89" t="str">
        <f t="shared" si="288"/>
        <v>-</v>
      </c>
      <c r="AU50" s="89">
        <f t="shared" si="288"/>
        <v>48.16</v>
      </c>
      <c r="AV50" s="89" t="str">
        <f t="shared" si="288"/>
        <v>-</v>
      </c>
      <c r="AW50" s="89" t="str">
        <f t="shared" si="288"/>
        <v>-</v>
      </c>
      <c r="AX50" s="88" t="str">
        <f t="shared" si="288"/>
        <v>-</v>
      </c>
    </row>
    <row r="51" spans="1:50" ht="20.100000000000001" customHeight="1" thickTop="1" x14ac:dyDescent="0.3">
      <c r="A51" s="150">
        <v>50</v>
      </c>
      <c r="B51" s="153">
        <v>2</v>
      </c>
      <c r="C51" s="155">
        <v>201610266</v>
      </c>
      <c r="D51" s="144" t="str">
        <f t="shared" si="202"/>
        <v>보안학과</v>
      </c>
      <c r="E51" s="153" t="s">
        <v>60</v>
      </c>
      <c r="F51" s="153">
        <v>97</v>
      </c>
      <c r="G51" s="146">
        <f t="shared" si="203"/>
        <v>48.5</v>
      </c>
      <c r="H51" s="153">
        <v>101</v>
      </c>
      <c r="I51" s="146">
        <f t="shared" si="204"/>
        <v>91.82</v>
      </c>
      <c r="J51" s="153">
        <v>98.89</v>
      </c>
      <c r="K51" s="153">
        <v>73</v>
      </c>
      <c r="L51" s="146">
        <f t="shared" si="205"/>
        <v>66.36</v>
      </c>
      <c r="M51" s="153">
        <v>88</v>
      </c>
      <c r="N51" s="154">
        <v>80</v>
      </c>
      <c r="O51" s="8">
        <f t="shared" si="206"/>
        <v>76.010000000000005</v>
      </c>
      <c r="P51" s="148">
        <f t="shared" si="207"/>
        <v>11</v>
      </c>
      <c r="Q51" s="8">
        <f t="shared" si="208"/>
        <v>11</v>
      </c>
      <c r="R51" s="9"/>
      <c r="S51" s="8" t="str">
        <f t="shared" si="209"/>
        <v>2016</v>
      </c>
      <c r="T51" s="149" t="str">
        <f t="shared" si="210"/>
        <v>102</v>
      </c>
      <c r="U51" s="8" t="b">
        <f t="shared" si="211"/>
        <v>1</v>
      </c>
      <c r="V51" s="8" t="str">
        <f t="shared" si="212"/>
        <v>A</v>
      </c>
      <c r="W51" s="8" t="str">
        <f t="shared" si="213"/>
        <v>A0</v>
      </c>
      <c r="AM51" s="175">
        <v>105</v>
      </c>
      <c r="AN51" s="169">
        <v>1</v>
      </c>
      <c r="AO51" s="84" t="s">
        <v>123</v>
      </c>
      <c r="AP51" s="96">
        <f>COUNTIFS($B$2:$B$54,"="&amp;$AN51,$T$2:$T$54,"="&amp;$AM$51,$W$2:$W$54,"="&amp;AP$2)</f>
        <v>0</v>
      </c>
      <c r="AQ51" s="87">
        <f t="shared" ref="AQ51:AX51" si="289">COUNTIFS($B$2:$B$54,"="&amp;$AN51,$T$2:$T$54,"="&amp;$AM$51,$W$2:$W$54,"="&amp;AQ$2)</f>
        <v>1</v>
      </c>
      <c r="AR51" s="87">
        <f t="shared" si="289"/>
        <v>0</v>
      </c>
      <c r="AS51" s="87">
        <f t="shared" si="289"/>
        <v>0</v>
      </c>
      <c r="AT51" s="87">
        <f t="shared" si="289"/>
        <v>0</v>
      </c>
      <c r="AU51" s="87">
        <f t="shared" si="289"/>
        <v>0</v>
      </c>
      <c r="AV51" s="87">
        <f t="shared" si="289"/>
        <v>0</v>
      </c>
      <c r="AW51" s="87">
        <f t="shared" si="289"/>
        <v>0</v>
      </c>
      <c r="AX51" s="86">
        <f t="shared" si="289"/>
        <v>1</v>
      </c>
    </row>
    <row r="52" spans="1:50" ht="20.100000000000001" customHeight="1" x14ac:dyDescent="0.3">
      <c r="A52" s="150">
        <v>51</v>
      </c>
      <c r="B52" s="153">
        <v>4</v>
      </c>
      <c r="C52" s="155">
        <v>201610275</v>
      </c>
      <c r="D52" s="144" t="str">
        <f t="shared" si="202"/>
        <v>보안학과</v>
      </c>
      <c r="E52" s="153" t="s">
        <v>61</v>
      </c>
      <c r="F52" s="153">
        <v>154</v>
      </c>
      <c r="G52" s="146">
        <f t="shared" si="203"/>
        <v>77</v>
      </c>
      <c r="H52" s="153">
        <v>66</v>
      </c>
      <c r="I52" s="146">
        <f t="shared" si="204"/>
        <v>60</v>
      </c>
      <c r="J52" s="153">
        <v>100</v>
      </c>
      <c r="K52" s="153">
        <v>68</v>
      </c>
      <c r="L52" s="146">
        <f t="shared" si="205"/>
        <v>61.82</v>
      </c>
      <c r="M52" s="153">
        <v>36</v>
      </c>
      <c r="N52" s="154">
        <v>100</v>
      </c>
      <c r="O52" s="8">
        <f t="shared" si="206"/>
        <v>68.88</v>
      </c>
      <c r="P52" s="148">
        <f t="shared" si="207"/>
        <v>22</v>
      </c>
      <c r="Q52" s="8">
        <f t="shared" si="208"/>
        <v>22</v>
      </c>
      <c r="R52" s="9"/>
      <c r="S52" s="8" t="str">
        <f t="shared" si="209"/>
        <v>2016</v>
      </c>
      <c r="T52" s="149" t="str">
        <f t="shared" si="210"/>
        <v>102</v>
      </c>
      <c r="U52" s="8" t="b">
        <f t="shared" si="211"/>
        <v>1</v>
      </c>
      <c r="V52" s="8" t="str">
        <f t="shared" si="212"/>
        <v>B</v>
      </c>
      <c r="W52" s="8" t="str">
        <f t="shared" si="213"/>
        <v>B+</v>
      </c>
      <c r="AM52" s="175"/>
      <c r="AN52" s="169"/>
      <c r="AO52" s="76" t="s">
        <v>124</v>
      </c>
      <c r="AP52" s="91">
        <f>SUMIFS($O$2:$O$54,$B$2:$B$54,"="&amp;$AN51,$T$2:$T$54,"="&amp;$AM$51,$W$2:$W$54,"="&amp;AP$2)</f>
        <v>0</v>
      </c>
      <c r="AQ52" s="77">
        <f t="shared" ref="AQ52:AX52" si="290">SUMIFS($O$2:$O$54,$B$2:$B$54,"="&amp;$AN51,$T$2:$T$54,"="&amp;$AM$51,$W$2:$W$54,"="&amp;AQ$2)</f>
        <v>72.69</v>
      </c>
      <c r="AR52" s="77">
        <f t="shared" si="290"/>
        <v>0</v>
      </c>
      <c r="AS52" s="77">
        <f t="shared" si="290"/>
        <v>0</v>
      </c>
      <c r="AT52" s="77">
        <f t="shared" si="290"/>
        <v>0</v>
      </c>
      <c r="AU52" s="77">
        <f t="shared" si="290"/>
        <v>0</v>
      </c>
      <c r="AV52" s="77">
        <f t="shared" si="290"/>
        <v>0</v>
      </c>
      <c r="AW52" s="77">
        <f t="shared" si="290"/>
        <v>0</v>
      </c>
      <c r="AX52" s="76">
        <f t="shared" si="290"/>
        <v>28.25</v>
      </c>
    </row>
    <row r="53" spans="1:50" ht="20.100000000000001" customHeight="1" x14ac:dyDescent="0.3">
      <c r="A53" s="150">
        <v>52</v>
      </c>
      <c r="B53" s="153">
        <v>4</v>
      </c>
      <c r="C53" s="155">
        <v>201610177</v>
      </c>
      <c r="D53" s="144" t="str">
        <f t="shared" si="202"/>
        <v>컴퓨터학과</v>
      </c>
      <c r="E53" s="153" t="s">
        <v>62</v>
      </c>
      <c r="F53" s="153">
        <v>58</v>
      </c>
      <c r="G53" s="146">
        <f t="shared" si="203"/>
        <v>29</v>
      </c>
      <c r="H53" s="153">
        <v>62</v>
      </c>
      <c r="I53" s="146">
        <f t="shared" si="204"/>
        <v>56.36</v>
      </c>
      <c r="J53" s="153">
        <v>100</v>
      </c>
      <c r="K53" s="153">
        <v>48</v>
      </c>
      <c r="L53" s="146">
        <f t="shared" si="205"/>
        <v>43.64</v>
      </c>
      <c r="M53" s="153">
        <v>49</v>
      </c>
      <c r="N53" s="154">
        <v>100</v>
      </c>
      <c r="O53" s="8">
        <f t="shared" si="206"/>
        <v>52.69</v>
      </c>
      <c r="P53" s="148">
        <f t="shared" si="207"/>
        <v>40</v>
      </c>
      <c r="Q53" s="8">
        <f t="shared" si="208"/>
        <v>40</v>
      </c>
      <c r="R53" s="9"/>
      <c r="S53" s="8" t="str">
        <f t="shared" si="209"/>
        <v>2016</v>
      </c>
      <c r="T53" s="149" t="str">
        <f t="shared" si="210"/>
        <v>101</v>
      </c>
      <c r="U53" s="8" t="b">
        <f t="shared" si="211"/>
        <v>1</v>
      </c>
      <c r="V53" s="8" t="str">
        <f t="shared" si="212"/>
        <v>C</v>
      </c>
      <c r="W53" s="8" t="str">
        <f t="shared" si="213"/>
        <v>C0</v>
      </c>
      <c r="AM53" s="175"/>
      <c r="AN53" s="171"/>
      <c r="AO53" s="78" t="s">
        <v>125</v>
      </c>
      <c r="AP53" s="93" t="str">
        <f>IFERROR(ROUND(AVERAGEIFS($O$2:$O$54,$B$2:$B$54,"="&amp;$AN51,$T$2:$T$54,"="&amp;$AM$51,$W$2:$W$54,"="&amp;AP$2),2),"-")</f>
        <v>-</v>
      </c>
      <c r="AQ53" s="81">
        <f t="shared" ref="AQ53:AX53" si="291">IFERROR(ROUND(AVERAGEIFS($O$2:$O$54,$B$2:$B$54,"="&amp;$AN51,$T$2:$T$54,"="&amp;$AM$51,$W$2:$W$54,"="&amp;AQ$2),2),"-")</f>
        <v>72.69</v>
      </c>
      <c r="AR53" s="81" t="str">
        <f t="shared" si="291"/>
        <v>-</v>
      </c>
      <c r="AS53" s="81" t="str">
        <f t="shared" si="291"/>
        <v>-</v>
      </c>
      <c r="AT53" s="81" t="str">
        <f t="shared" si="291"/>
        <v>-</v>
      </c>
      <c r="AU53" s="81" t="str">
        <f t="shared" si="291"/>
        <v>-</v>
      </c>
      <c r="AV53" s="81" t="str">
        <f t="shared" si="291"/>
        <v>-</v>
      </c>
      <c r="AW53" s="81" t="str">
        <f t="shared" si="291"/>
        <v>-</v>
      </c>
      <c r="AX53" s="80">
        <f t="shared" si="291"/>
        <v>28.25</v>
      </c>
    </row>
    <row r="54" spans="1:50" ht="20.100000000000001" customHeight="1" thickBot="1" x14ac:dyDescent="0.35">
      <c r="A54" s="158">
        <v>53</v>
      </c>
      <c r="B54" s="159">
        <v>2</v>
      </c>
      <c r="C54" s="160">
        <v>201810585</v>
      </c>
      <c r="D54" s="161" t="str">
        <f t="shared" si="202"/>
        <v>통신학과</v>
      </c>
      <c r="E54" s="159" t="s">
        <v>63</v>
      </c>
      <c r="F54" s="159">
        <v>75</v>
      </c>
      <c r="G54" s="159">
        <f t="shared" si="203"/>
        <v>37.5</v>
      </c>
      <c r="H54" s="159">
        <v>42</v>
      </c>
      <c r="I54" s="159">
        <f t="shared" si="204"/>
        <v>38.18</v>
      </c>
      <c r="J54" s="159">
        <v>97.78</v>
      </c>
      <c r="K54" s="159">
        <v>37</v>
      </c>
      <c r="L54" s="159">
        <f t="shared" si="205"/>
        <v>33.64</v>
      </c>
      <c r="M54" s="159">
        <v>11</v>
      </c>
      <c r="N54" s="162">
        <v>100</v>
      </c>
      <c r="O54" s="163">
        <f t="shared" si="206"/>
        <v>43.86</v>
      </c>
      <c r="P54" s="163">
        <f t="shared" si="207"/>
        <v>44</v>
      </c>
      <c r="Q54" s="163">
        <f t="shared" si="208"/>
        <v>44</v>
      </c>
      <c r="R54" s="163"/>
      <c r="S54" s="163" t="str">
        <f t="shared" si="209"/>
        <v>2018</v>
      </c>
      <c r="T54" s="164" t="str">
        <f t="shared" si="210"/>
        <v>105</v>
      </c>
      <c r="U54" s="163" t="b">
        <f t="shared" si="211"/>
        <v>1</v>
      </c>
      <c r="V54" s="163" t="str">
        <f t="shared" si="212"/>
        <v>D</v>
      </c>
      <c r="W54" s="163" t="str">
        <f t="shared" si="213"/>
        <v>D+</v>
      </c>
      <c r="AM54" s="175"/>
      <c r="AN54" s="157">
        <v>2</v>
      </c>
      <c r="AO54" s="82" t="s">
        <v>123</v>
      </c>
      <c r="AP54" s="94">
        <f t="shared" ref="AP54:AX55" si="292">COUNTIFS($B$2:$B$54,"="&amp;$AN54,$T$2:$T$54,"="&amp;$AM$51,$W$2:$W$54,"="&amp;AP$2)</f>
        <v>1</v>
      </c>
      <c r="AQ54" s="83">
        <f t="shared" si="292"/>
        <v>2</v>
      </c>
      <c r="AR54" s="83">
        <f t="shared" si="292"/>
        <v>2</v>
      </c>
      <c r="AS54" s="83">
        <f t="shared" si="292"/>
        <v>0</v>
      </c>
      <c r="AT54" s="83">
        <f t="shared" si="292"/>
        <v>0</v>
      </c>
      <c r="AU54" s="83">
        <f t="shared" si="292"/>
        <v>0</v>
      </c>
      <c r="AV54" s="83">
        <f t="shared" si="292"/>
        <v>1</v>
      </c>
      <c r="AW54" s="83">
        <f t="shared" si="292"/>
        <v>0</v>
      </c>
      <c r="AX54" s="82">
        <f t="shared" si="292"/>
        <v>0</v>
      </c>
    </row>
    <row r="55" spans="1:50" ht="20.100000000000001" customHeight="1" x14ac:dyDescent="0.3">
      <c r="AM55" s="175"/>
      <c r="AN55" s="168">
        <v>4</v>
      </c>
      <c r="AO55" s="82" t="s">
        <v>123</v>
      </c>
      <c r="AP55" s="95">
        <f t="shared" ref="AP55" si="293">COUNTIFS($B$2:$B$54,"="&amp;$AN55,$T$2:$T$54,"="&amp;$AM$51,$W$2:$W$54,"="&amp;AP$2)</f>
        <v>0</v>
      </c>
      <c r="AQ55" s="85">
        <f t="shared" si="292"/>
        <v>0</v>
      </c>
      <c r="AR55" s="85">
        <f t="shared" si="292"/>
        <v>0</v>
      </c>
      <c r="AS55" s="85">
        <f t="shared" si="292"/>
        <v>0</v>
      </c>
      <c r="AT55" s="85">
        <f t="shared" si="292"/>
        <v>0</v>
      </c>
      <c r="AU55" s="85">
        <f t="shared" si="292"/>
        <v>0</v>
      </c>
      <c r="AV55" s="85">
        <f t="shared" si="292"/>
        <v>0</v>
      </c>
      <c r="AW55" s="85">
        <f t="shared" si="292"/>
        <v>0</v>
      </c>
      <c r="AX55" s="84">
        <f t="shared" si="292"/>
        <v>0</v>
      </c>
    </row>
    <row r="56" spans="1:50" ht="20.100000000000001" customHeight="1" x14ac:dyDescent="0.3">
      <c r="AM56" s="175"/>
      <c r="AN56" s="169"/>
      <c r="AO56" s="76" t="s">
        <v>124</v>
      </c>
      <c r="AP56" s="91">
        <f t="shared" ref="AP56" si="294">SUMIFS($O$2:$O$54,$B$2:$B$54,"="&amp;$AN55,$T$2:$T$54,"="&amp;$AM$51,$W$2:$W$54,"="&amp;AP$2)</f>
        <v>0</v>
      </c>
      <c r="AQ56" s="77">
        <f t="shared" ref="AQ56" si="295">SUMIFS($O$2:$O$54,$B$2:$B$54,"="&amp;$AN55,$T$2:$T$54,"="&amp;$AM$51,$W$2:$W$54,"="&amp;AQ$2)</f>
        <v>0</v>
      </c>
      <c r="AR56" s="77">
        <f t="shared" ref="AR56" si="296">SUMIFS($O$2:$O$54,$B$2:$B$54,"="&amp;$AN55,$T$2:$T$54,"="&amp;$AM$51,$W$2:$W$54,"="&amp;AR$2)</f>
        <v>0</v>
      </c>
      <c r="AS56" s="77">
        <f t="shared" ref="AS56" si="297">SUMIFS($O$2:$O$54,$B$2:$B$54,"="&amp;$AN55,$T$2:$T$54,"="&amp;$AM$51,$W$2:$W$54,"="&amp;AS$2)</f>
        <v>0</v>
      </c>
      <c r="AT56" s="77">
        <f t="shared" ref="AT56" si="298">SUMIFS($O$2:$O$54,$B$2:$B$54,"="&amp;$AN55,$T$2:$T$54,"="&amp;$AM$51,$W$2:$W$54,"="&amp;AT$2)</f>
        <v>0</v>
      </c>
      <c r="AU56" s="77">
        <f t="shared" ref="AU56" si="299">SUMIFS($O$2:$O$54,$B$2:$B$54,"="&amp;$AN55,$T$2:$T$54,"="&amp;$AM$51,$W$2:$W$54,"="&amp;AU$2)</f>
        <v>0</v>
      </c>
      <c r="AV56" s="77">
        <f t="shared" ref="AV56" si="300">SUMIFS($O$2:$O$54,$B$2:$B$54,"="&amp;$AN55,$T$2:$T$54,"="&amp;$AM$51,$W$2:$W$54,"="&amp;AV$2)</f>
        <v>0</v>
      </c>
      <c r="AW56" s="77">
        <f t="shared" ref="AW56" si="301">SUMIFS($O$2:$O$54,$B$2:$B$54,"="&amp;$AN55,$T$2:$T$54,"="&amp;$AM$51,$W$2:$W$54,"="&amp;AW$2)</f>
        <v>0</v>
      </c>
      <c r="AX56" s="76">
        <f t="shared" ref="AX56" si="302">SUMIFS($O$2:$O$54,$B$2:$B$54,"="&amp;$AN55,$T$2:$T$54,"="&amp;$AM$51,$W$2:$W$54,"="&amp;AX$2)</f>
        <v>0</v>
      </c>
    </row>
    <row r="57" spans="1:50" ht="20.100000000000001" customHeight="1" thickBot="1" x14ac:dyDescent="0.35">
      <c r="AM57" s="176"/>
      <c r="AN57" s="172"/>
      <c r="AO57" s="100" t="s">
        <v>125</v>
      </c>
      <c r="AP57" s="98" t="str">
        <f t="shared" ref="AP57:AX57" si="303">IFERROR(ROUND(AVERAGEIFS($O$2:$O$54,$B$2:$B$54,"="&amp;$AN55,$T$2:$T$54,"="&amp;$AM$51,$W$2:$W$54,"="&amp;AP$2),2),"-")</f>
        <v>-</v>
      </c>
      <c r="AQ57" s="99" t="str">
        <f t="shared" si="303"/>
        <v>-</v>
      </c>
      <c r="AR57" s="99" t="str">
        <f t="shared" si="303"/>
        <v>-</v>
      </c>
      <c r="AS57" s="99" t="str">
        <f t="shared" si="303"/>
        <v>-</v>
      </c>
      <c r="AT57" s="99" t="str">
        <f t="shared" si="303"/>
        <v>-</v>
      </c>
      <c r="AU57" s="99" t="str">
        <f t="shared" si="303"/>
        <v>-</v>
      </c>
      <c r="AV57" s="99" t="str">
        <f t="shared" si="303"/>
        <v>-</v>
      </c>
      <c r="AW57" s="99" t="str">
        <f t="shared" si="303"/>
        <v>-</v>
      </c>
      <c r="AX57" s="100" t="str">
        <f t="shared" si="303"/>
        <v>-</v>
      </c>
    </row>
    <row r="58" spans="1:50" ht="20.100000000000001" customHeight="1" thickTop="1" x14ac:dyDescent="0.3"/>
    <row r="59" spans="1:50" ht="20.100000000000001" customHeight="1" x14ac:dyDescent="0.3"/>
    <row r="60" spans="1:50" ht="20.100000000000001" customHeight="1" x14ac:dyDescent="0.3"/>
  </sheetData>
  <mergeCells count="48">
    <mergeCell ref="BK2:BL2"/>
    <mergeCell ref="BM2:BN2"/>
    <mergeCell ref="BO2:BP2"/>
    <mergeCell ref="BQ2:BR2"/>
    <mergeCell ref="BI4:BI7"/>
    <mergeCell ref="BI8:BI11"/>
    <mergeCell ref="BI12:BI15"/>
    <mergeCell ref="BI16:BI19"/>
    <mergeCell ref="BI20:BI23"/>
    <mergeCell ref="BD3:BD6"/>
    <mergeCell ref="BD7:BD10"/>
    <mergeCell ref="BD11:BD14"/>
    <mergeCell ref="BD15:BD18"/>
    <mergeCell ref="BD19:BD22"/>
    <mergeCell ref="AD29:AE29"/>
    <mergeCell ref="AF29:AG29"/>
    <mergeCell ref="AH29:AI29"/>
    <mergeCell ref="AJ29:AK29"/>
    <mergeCell ref="AA2:AB2"/>
    <mergeCell ref="AA13:AB13"/>
    <mergeCell ref="AA10:AA11"/>
    <mergeCell ref="AA14:AB14"/>
    <mergeCell ref="AA17:AA18"/>
    <mergeCell ref="AA29:AA30"/>
    <mergeCell ref="AB29:AC29"/>
    <mergeCell ref="AM51:AM57"/>
    <mergeCell ref="AM39:AM50"/>
    <mergeCell ref="AM27:AM38"/>
    <mergeCell ref="AM15:AM26"/>
    <mergeCell ref="AM3:AM14"/>
    <mergeCell ref="AN3:AN5"/>
    <mergeCell ref="AN6:AN8"/>
    <mergeCell ref="AN9:AN11"/>
    <mergeCell ref="AN12:AN14"/>
    <mergeCell ref="AN15:AN17"/>
    <mergeCell ref="AN18:AN20"/>
    <mergeCell ref="AN21:AN23"/>
    <mergeCell ref="AN24:AN26"/>
    <mergeCell ref="AN27:AN29"/>
    <mergeCell ref="AN30:AN32"/>
    <mergeCell ref="AN48:AN50"/>
    <mergeCell ref="AN51:AN53"/>
    <mergeCell ref="AN55:AN57"/>
    <mergeCell ref="AN33:AN35"/>
    <mergeCell ref="AN36:AN38"/>
    <mergeCell ref="AN39:AN41"/>
    <mergeCell ref="AN45:AN47"/>
    <mergeCell ref="AN42:AN44"/>
  </mergeCells>
  <phoneticPr fontId="18" type="noConversion"/>
  <conditionalFormatting sqref="S2:S54">
    <cfRule type="containsText" dxfId="0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  <ignoredErrors>
    <ignoredError sqref="AC31:AC39 AE31:AE39 AG31:AG39 AI31:AI39 BL4:BL23 BN4:BN23 BP4:BP23 BM4:BM23 BO4:BO23 BQ4:BQ2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6.5" x14ac:dyDescent="0.3"/>
  <sheetData>
    <row r="1" spans="1:9" x14ac:dyDescent="0.3">
      <c r="A1" s="10" t="s">
        <v>5</v>
      </c>
      <c r="B1" s="11" t="s">
        <v>74</v>
      </c>
      <c r="D1" s="10" t="s">
        <v>5</v>
      </c>
      <c r="E1" s="11">
        <v>101</v>
      </c>
      <c r="F1" s="11">
        <v>102</v>
      </c>
      <c r="G1" s="11">
        <v>103</v>
      </c>
      <c r="H1" s="11">
        <v>104</v>
      </c>
      <c r="I1" s="11">
        <v>105</v>
      </c>
    </row>
    <row r="2" spans="1:9" x14ac:dyDescent="0.3">
      <c r="A2" s="11">
        <v>101</v>
      </c>
      <c r="B2" s="11" t="s">
        <v>75</v>
      </c>
      <c r="D2" s="11" t="s">
        <v>74</v>
      </c>
      <c r="E2" s="11" t="s">
        <v>75</v>
      </c>
      <c r="F2" s="11" t="s">
        <v>76</v>
      </c>
      <c r="G2" s="11" t="s">
        <v>77</v>
      </c>
      <c r="H2" s="11" t="s">
        <v>78</v>
      </c>
      <c r="I2" s="11" t="s">
        <v>79</v>
      </c>
    </row>
    <row r="3" spans="1:9" x14ac:dyDescent="0.3">
      <c r="A3" s="11">
        <v>102</v>
      </c>
      <c r="B3" s="11" t="s">
        <v>76</v>
      </c>
    </row>
    <row r="4" spans="1:9" x14ac:dyDescent="0.3">
      <c r="A4" s="11">
        <v>103</v>
      </c>
      <c r="B4" s="11" t="s">
        <v>77</v>
      </c>
    </row>
    <row r="5" spans="1:9" x14ac:dyDescent="0.3">
      <c r="A5" s="11">
        <v>104</v>
      </c>
      <c r="B5" s="11" t="s">
        <v>78</v>
      </c>
    </row>
    <row r="6" spans="1:9" x14ac:dyDescent="0.3">
      <c r="A6" s="11">
        <v>105</v>
      </c>
      <c r="B6" s="11" t="s">
        <v>79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12AC-2EFC-4BD5-800C-40AECAE3D91F}">
  <dimension ref="A1:B10"/>
  <sheetViews>
    <sheetView workbookViewId="0">
      <selection activeCell="B2" sqref="B2"/>
    </sheetView>
  </sheetViews>
  <sheetFormatPr defaultRowHeight="16.5" x14ac:dyDescent="0.3"/>
  <sheetData>
    <row r="1" spans="1:2" x14ac:dyDescent="0.3">
      <c r="A1" s="156" t="s">
        <v>130</v>
      </c>
      <c r="B1" s="156" t="s">
        <v>131</v>
      </c>
    </row>
    <row r="2" spans="1:2" x14ac:dyDescent="0.3">
      <c r="A2" s="156">
        <v>6</v>
      </c>
      <c r="B2" s="156" t="s">
        <v>132</v>
      </c>
    </row>
    <row r="3" spans="1:2" x14ac:dyDescent="0.3">
      <c r="A3" s="156">
        <v>8</v>
      </c>
      <c r="B3" s="156" t="s">
        <v>133</v>
      </c>
    </row>
    <row r="4" spans="1:2" x14ac:dyDescent="0.3">
      <c r="A4" s="156">
        <v>1</v>
      </c>
      <c r="B4" s="156" t="s">
        <v>134</v>
      </c>
    </row>
    <row r="5" spans="1:2" x14ac:dyDescent="0.3">
      <c r="A5" s="156">
        <v>2</v>
      </c>
      <c r="B5" s="156" t="s">
        <v>135</v>
      </c>
    </row>
    <row r="6" spans="1:2" x14ac:dyDescent="0.3">
      <c r="A6" s="156">
        <v>7</v>
      </c>
      <c r="B6" s="156" t="s">
        <v>136</v>
      </c>
    </row>
    <row r="7" spans="1:2" x14ac:dyDescent="0.3">
      <c r="A7" s="156">
        <v>3</v>
      </c>
      <c r="B7" s="156" t="s">
        <v>137</v>
      </c>
    </row>
    <row r="8" spans="1:2" x14ac:dyDescent="0.3">
      <c r="A8" s="156">
        <v>9</v>
      </c>
      <c r="B8" s="156" t="s">
        <v>138</v>
      </c>
    </row>
    <row r="9" spans="1:2" x14ac:dyDescent="0.3">
      <c r="A9" s="156">
        <v>4</v>
      </c>
      <c r="B9" s="156" t="s">
        <v>139</v>
      </c>
    </row>
    <row r="10" spans="1:2" x14ac:dyDescent="0.3">
      <c r="A10" s="156">
        <v>5</v>
      </c>
      <c r="B10" s="156" t="s">
        <v>140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분반1</vt:lpstr>
      <vt:lpstr>학과코드</vt:lpstr>
      <vt:lpstr>정렬예제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Administrator</cp:lastModifiedBy>
  <cp:lastPrinted>2013-06-30T08:50:02Z</cp:lastPrinted>
  <dcterms:created xsi:type="dcterms:W3CDTF">2013-06-29T13:49:36Z</dcterms:created>
  <dcterms:modified xsi:type="dcterms:W3CDTF">2019-11-28T06:11:21Z</dcterms:modified>
</cp:coreProperties>
</file>