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제3부 엑셀을 이용한 데이터분석\Chap14_피벗테이블\Chap14_피벗테이블_따라하기_실습파일\"/>
    </mc:Choice>
  </mc:AlternateContent>
  <xr:revisionPtr revIDLastSave="0" documentId="13_ncr:1_{1581D19E-15F1-41EF-B97A-3033D707A0FE}" xr6:coauthVersionLast="45" xr6:coauthVersionMax="45" xr10:uidLastSave="{00000000-0000-0000-0000-000000000000}"/>
  <bookViews>
    <workbookView xWindow="-120" yWindow="-120" windowWidth="29040" windowHeight="15840" xr2:uid="{DA12F402-FA11-4C59-8397-CF18A62D8B93}"/>
  </bookViews>
  <sheets>
    <sheet name="회원정보" sheetId="1" r:id="rId1"/>
    <sheet name="할인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2" i="1"/>
  <c r="AO5" i="1" l="1"/>
  <c r="AO4" i="1"/>
  <c r="AP5" i="1"/>
  <c r="AP4" i="1"/>
  <c r="X10" i="1"/>
  <c r="Z11" i="1"/>
  <c r="Z10" i="1"/>
  <c r="X11" i="1"/>
  <c r="Z9" i="1"/>
  <c r="Z12" i="1"/>
  <c r="X12" i="1"/>
  <c r="X9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U29" i="1" s="1"/>
  <c r="O30" i="1"/>
  <c r="U30" i="1" s="1"/>
  <c r="O31" i="1"/>
  <c r="U31" i="1" s="1"/>
  <c r="O32" i="1"/>
  <c r="U32" i="1" s="1"/>
  <c r="O33" i="1"/>
  <c r="U33" i="1" s="1"/>
  <c r="O34" i="1"/>
  <c r="U34" i="1" s="1"/>
  <c r="O35" i="1"/>
  <c r="U35" i="1" s="1"/>
  <c r="O36" i="1"/>
  <c r="U36" i="1" s="1"/>
  <c r="N2" i="2" l="1"/>
  <c r="U27" i="1"/>
  <c r="U15" i="1"/>
  <c r="U3" i="1"/>
  <c r="U26" i="1"/>
  <c r="U18" i="1"/>
  <c r="U6" i="1"/>
  <c r="U23" i="1"/>
  <c r="U11" i="1"/>
  <c r="U22" i="1"/>
  <c r="U14" i="1"/>
  <c r="U10" i="1"/>
  <c r="U25" i="1"/>
  <c r="U21" i="1"/>
  <c r="U17" i="1"/>
  <c r="U13" i="1"/>
  <c r="U9" i="1"/>
  <c r="U5" i="1"/>
  <c r="U19" i="1"/>
  <c r="U7" i="1"/>
  <c r="U28" i="1"/>
  <c r="U24" i="1"/>
  <c r="U20" i="1"/>
  <c r="U16" i="1"/>
  <c r="U12" i="1"/>
  <c r="U8" i="1"/>
  <c r="U4" i="1"/>
  <c r="U2" i="1"/>
  <c r="E3" i="1"/>
  <c r="S3" i="1" s="1"/>
  <c r="E4" i="1"/>
  <c r="S4" i="1" s="1"/>
  <c r="E5" i="1"/>
  <c r="S5" i="1" s="1"/>
  <c r="E6" i="1"/>
  <c r="S6" i="1" s="1"/>
  <c r="E7" i="1"/>
  <c r="S7" i="1" s="1"/>
  <c r="E8" i="1"/>
  <c r="S8" i="1" s="1"/>
  <c r="E9" i="1"/>
  <c r="S9" i="1" s="1"/>
  <c r="E10" i="1"/>
  <c r="S10" i="1" s="1"/>
  <c r="E11" i="1"/>
  <c r="S11" i="1" s="1"/>
  <c r="E12" i="1"/>
  <c r="S12" i="1" s="1"/>
  <c r="E13" i="1"/>
  <c r="S13" i="1" s="1"/>
  <c r="E14" i="1"/>
  <c r="S14" i="1" s="1"/>
  <c r="E15" i="1"/>
  <c r="S15" i="1" s="1"/>
  <c r="E16" i="1"/>
  <c r="S16" i="1" s="1"/>
  <c r="E17" i="1"/>
  <c r="S17" i="1" s="1"/>
  <c r="E18" i="1"/>
  <c r="S18" i="1" s="1"/>
  <c r="E19" i="1"/>
  <c r="S19" i="1" s="1"/>
  <c r="E20" i="1"/>
  <c r="S20" i="1" s="1"/>
  <c r="E21" i="1"/>
  <c r="S21" i="1" s="1"/>
  <c r="E22" i="1"/>
  <c r="S22" i="1" s="1"/>
  <c r="E23" i="1"/>
  <c r="S23" i="1" s="1"/>
  <c r="E24" i="1"/>
  <c r="S24" i="1" s="1"/>
  <c r="E25" i="1"/>
  <c r="S25" i="1" s="1"/>
  <c r="E26" i="1"/>
  <c r="S26" i="1" s="1"/>
  <c r="E27" i="1"/>
  <c r="S27" i="1" s="1"/>
  <c r="E28" i="1"/>
  <c r="S28" i="1" s="1"/>
  <c r="E29" i="1"/>
  <c r="S29" i="1" s="1"/>
  <c r="E30" i="1"/>
  <c r="S30" i="1" s="1"/>
  <c r="E31" i="1"/>
  <c r="S31" i="1" s="1"/>
  <c r="E32" i="1"/>
  <c r="S32" i="1" s="1"/>
  <c r="E33" i="1"/>
  <c r="S33" i="1" s="1"/>
  <c r="E34" i="1"/>
  <c r="S34" i="1" s="1"/>
  <c r="E35" i="1"/>
  <c r="S35" i="1" s="1"/>
  <c r="E36" i="1"/>
  <c r="S36" i="1" s="1"/>
  <c r="E2" i="1"/>
  <c r="S2" i="1" s="1"/>
  <c r="AG20" i="1" l="1"/>
  <c r="AI11" i="1"/>
  <c r="AK8" i="1"/>
  <c r="AH26" i="1"/>
  <c r="AF23" i="1"/>
  <c r="AK5" i="1"/>
  <c r="AU9" i="1"/>
  <c r="AT9" i="1"/>
  <c r="AU10" i="1"/>
  <c r="AT10" i="1"/>
  <c r="AU8" i="1"/>
  <c r="AT8" i="1"/>
  <c r="AT7" i="1"/>
  <c r="AU7" i="1"/>
  <c r="AT4" i="1"/>
  <c r="AU4" i="1"/>
  <c r="AT6" i="1"/>
  <c r="AU6" i="1"/>
  <c r="AT5" i="1"/>
  <c r="AU5" i="1"/>
  <c r="AL11" i="1"/>
  <c r="AF17" i="1"/>
  <c r="AG11" i="1"/>
  <c r="AK11" i="1"/>
  <c r="AL5" i="1"/>
  <c r="AG16" i="1"/>
  <c r="AI15" i="1"/>
  <c r="AJ15" i="1"/>
  <c r="AH15" i="1"/>
  <c r="AK16" i="1"/>
  <c r="AL16" i="1"/>
  <c r="AL15" i="1"/>
  <c r="AG15" i="1"/>
  <c r="AL17" i="1"/>
  <c r="AF15" i="1"/>
  <c r="AF16" i="1"/>
  <c r="AH16" i="1"/>
  <c r="AJ16" i="1"/>
  <c r="AK15" i="1"/>
  <c r="AI16" i="1"/>
  <c r="AL13" i="1"/>
  <c r="AI12" i="1"/>
  <c r="AF13" i="1"/>
  <c r="AK14" i="1"/>
  <c r="AH13" i="1"/>
  <c r="AF12" i="1"/>
  <c r="AF14" i="1"/>
  <c r="AH12" i="1"/>
  <c r="AG12" i="1"/>
  <c r="AI13" i="1"/>
  <c r="AL12" i="1"/>
  <c r="AJ12" i="1"/>
  <c r="AG14" i="1"/>
  <c r="AG13" i="1"/>
  <c r="AK13" i="1"/>
  <c r="AJ13" i="1"/>
  <c r="AK12" i="1"/>
  <c r="AK17" i="1"/>
  <c r="AG25" i="1"/>
  <c r="AJ26" i="1"/>
  <c r="AL25" i="1"/>
  <c r="AH24" i="1"/>
  <c r="AH25" i="1"/>
  <c r="AG24" i="1"/>
  <c r="AF24" i="1"/>
  <c r="AJ25" i="1"/>
  <c r="AK25" i="1"/>
  <c r="AJ24" i="1"/>
  <c r="AI24" i="1"/>
  <c r="AI26" i="1"/>
  <c r="AF26" i="1"/>
  <c r="AK24" i="1"/>
  <c r="AI25" i="1"/>
  <c r="AL24" i="1"/>
  <c r="AF25" i="1"/>
  <c r="AK26" i="1"/>
  <c r="AH22" i="1"/>
  <c r="AJ22" i="1"/>
  <c r="AG23" i="1"/>
  <c r="AL21" i="1"/>
  <c r="AJ21" i="1"/>
  <c r="AJ23" i="1"/>
  <c r="AH21" i="1"/>
  <c r="AI21" i="1"/>
  <c r="AL23" i="1"/>
  <c r="AG22" i="1"/>
  <c r="AG21" i="1"/>
  <c r="AL22" i="1"/>
  <c r="AI23" i="1"/>
  <c r="AH23" i="1"/>
  <c r="AF21" i="1"/>
  <c r="AF22" i="1"/>
  <c r="AK22" i="1"/>
  <c r="AK21" i="1"/>
  <c r="AI22" i="1"/>
  <c r="AI4" i="1"/>
  <c r="AH4" i="1"/>
  <c r="AJ3" i="1"/>
  <c r="AG5" i="1"/>
  <c r="AI3" i="1"/>
  <c r="AF3" i="1"/>
  <c r="AH5" i="1"/>
  <c r="AJ5" i="1"/>
  <c r="AH3" i="1"/>
  <c r="AL4" i="1"/>
  <c r="AF4" i="1"/>
  <c r="AJ4" i="1"/>
  <c r="AK4" i="1"/>
  <c r="AG4" i="1"/>
  <c r="AK3" i="1"/>
  <c r="AL3" i="1"/>
  <c r="AG3" i="1"/>
  <c r="AI5" i="1"/>
  <c r="AG17" i="1"/>
  <c r="AH9" i="1"/>
  <c r="AJ9" i="1"/>
  <c r="AH10" i="1"/>
  <c r="AK9" i="1"/>
  <c r="AI9" i="1"/>
  <c r="AL9" i="1"/>
  <c r="AG9" i="1"/>
  <c r="AF11" i="1"/>
  <c r="AK10" i="1"/>
  <c r="AF10" i="1"/>
  <c r="AJ10" i="1"/>
  <c r="AF9" i="1"/>
  <c r="AG10" i="1"/>
  <c r="AL10" i="1"/>
  <c r="AI10" i="1"/>
  <c r="AG18" i="1"/>
  <c r="AI18" i="1"/>
  <c r="AF20" i="1"/>
  <c r="AL19" i="1"/>
  <c r="AK19" i="1"/>
  <c r="AJ18" i="1"/>
  <c r="AJ19" i="1"/>
  <c r="AF18" i="1"/>
  <c r="AH19" i="1"/>
  <c r="AK18" i="1"/>
  <c r="AF19" i="1"/>
  <c r="AI20" i="1"/>
  <c r="AG19" i="1"/>
  <c r="AJ20" i="1"/>
  <c r="AL18" i="1"/>
  <c r="AH18" i="1"/>
  <c r="AI19" i="1"/>
  <c r="AJ8" i="1"/>
  <c r="AH6" i="1"/>
  <c r="AJ6" i="1"/>
  <c r="AK6" i="1"/>
  <c r="AI6" i="1"/>
  <c r="AI7" i="1"/>
  <c r="AH7" i="1"/>
  <c r="AJ7" i="1"/>
  <c r="AG7" i="1"/>
  <c r="AK7" i="1"/>
  <c r="AG8" i="1"/>
  <c r="AH8" i="1"/>
  <c r="AL7" i="1"/>
  <c r="AL6" i="1"/>
  <c r="AG6" i="1"/>
  <c r="AI8" i="1"/>
  <c r="AF6" i="1"/>
  <c r="AF7" i="1"/>
  <c r="AH17" i="1"/>
  <c r="AL14" i="1"/>
  <c r="AL20" i="1"/>
  <c r="AK20" i="1"/>
  <c r="AI17" i="1"/>
  <c r="AU3" i="1"/>
  <c r="AT3" i="1"/>
  <c r="AH20" i="1"/>
  <c r="AP12" i="1"/>
  <c r="AO12" i="1"/>
  <c r="AO13" i="1"/>
  <c r="AP13" i="1"/>
  <c r="AO10" i="1"/>
  <c r="AP10" i="1"/>
  <c r="AO9" i="1"/>
  <c r="AP9" i="1"/>
  <c r="AO14" i="1"/>
  <c r="AP14" i="1"/>
  <c r="AO11" i="1"/>
  <c r="AP11" i="1"/>
  <c r="AP8" i="1"/>
  <c r="AO8" i="1"/>
  <c r="AL26" i="1"/>
  <c r="AL8" i="1"/>
  <c r="AG26" i="1"/>
  <c r="AI14" i="1"/>
  <c r="AJ17" i="1"/>
  <c r="AJ11" i="1"/>
  <c r="AK23" i="1"/>
  <c r="AH11" i="1"/>
  <c r="AJ14" i="1"/>
  <c r="AH14" i="1"/>
  <c r="AF8" i="1"/>
  <c r="AA9" i="1"/>
  <c r="Y12" i="1"/>
  <c r="AA11" i="1"/>
  <c r="AF5" i="1"/>
  <c r="Y11" i="1"/>
  <c r="AA10" i="1"/>
  <c r="AA12" i="1"/>
  <c r="Y9" i="1"/>
  <c r="Y10" i="1"/>
  <c r="F31" i="1"/>
  <c r="K31" i="1"/>
  <c r="I31" i="1"/>
  <c r="F19" i="1"/>
  <c r="K19" i="1"/>
  <c r="I19" i="1"/>
  <c r="F7" i="1"/>
  <c r="K7" i="1"/>
  <c r="I7" i="1"/>
  <c r="F34" i="1"/>
  <c r="I34" i="1"/>
  <c r="K34" i="1"/>
  <c r="F30" i="1"/>
  <c r="I30" i="1"/>
  <c r="K30" i="1"/>
  <c r="F26" i="1"/>
  <c r="K26" i="1"/>
  <c r="I26" i="1"/>
  <c r="F22" i="1"/>
  <c r="K22" i="1"/>
  <c r="I22" i="1"/>
  <c r="F18" i="1"/>
  <c r="I18" i="1"/>
  <c r="K18" i="1"/>
  <c r="F14" i="1"/>
  <c r="K14" i="1"/>
  <c r="I14" i="1"/>
  <c r="F10" i="1"/>
  <c r="K10" i="1"/>
  <c r="I10" i="1"/>
  <c r="F6" i="1"/>
  <c r="K6" i="1"/>
  <c r="I6" i="1"/>
  <c r="F35" i="1"/>
  <c r="K35" i="1"/>
  <c r="I35" i="1"/>
  <c r="F23" i="1"/>
  <c r="K23" i="1"/>
  <c r="I23" i="1"/>
  <c r="F11" i="1"/>
  <c r="K11" i="1"/>
  <c r="I11" i="1"/>
  <c r="F2" i="1"/>
  <c r="I2" i="1"/>
  <c r="K2" i="1"/>
  <c r="H33" i="1"/>
  <c r="K33" i="1"/>
  <c r="I33" i="1"/>
  <c r="H29" i="1"/>
  <c r="K29" i="1"/>
  <c r="I29" i="1"/>
  <c r="H25" i="1"/>
  <c r="K25" i="1"/>
  <c r="I25" i="1"/>
  <c r="H21" i="1"/>
  <c r="K21" i="1"/>
  <c r="I21" i="1"/>
  <c r="H17" i="1"/>
  <c r="K17" i="1"/>
  <c r="I17" i="1"/>
  <c r="H13" i="1"/>
  <c r="K13" i="1"/>
  <c r="I13" i="1"/>
  <c r="H9" i="1"/>
  <c r="K9" i="1"/>
  <c r="I9" i="1"/>
  <c r="H5" i="1"/>
  <c r="I5" i="1"/>
  <c r="K5" i="1"/>
  <c r="F27" i="1"/>
  <c r="K27" i="1"/>
  <c r="I27" i="1"/>
  <c r="F15" i="1"/>
  <c r="K15" i="1"/>
  <c r="I15" i="1"/>
  <c r="G36" i="1"/>
  <c r="I36" i="1"/>
  <c r="K36" i="1"/>
  <c r="G32" i="1"/>
  <c r="K32" i="1"/>
  <c r="I32" i="1"/>
  <c r="G28" i="1"/>
  <c r="K28" i="1"/>
  <c r="I28" i="1"/>
  <c r="G24" i="1"/>
  <c r="K24" i="1"/>
  <c r="I24" i="1"/>
  <c r="G20" i="1"/>
  <c r="K20" i="1"/>
  <c r="I20" i="1"/>
  <c r="G16" i="1"/>
  <c r="K16" i="1"/>
  <c r="I16" i="1"/>
  <c r="G12" i="1"/>
  <c r="K12" i="1"/>
  <c r="I12" i="1"/>
  <c r="G8" i="1"/>
  <c r="K8" i="1"/>
  <c r="I8" i="1"/>
  <c r="G4" i="1"/>
  <c r="I4" i="1"/>
  <c r="K4" i="1"/>
  <c r="F3" i="1"/>
  <c r="I3" i="1"/>
  <c r="K3" i="1"/>
  <c r="G2" i="1"/>
  <c r="F36" i="1"/>
  <c r="H34" i="1"/>
  <c r="G33" i="1"/>
  <c r="F32" i="1"/>
  <c r="H30" i="1"/>
  <c r="G29" i="1"/>
  <c r="F28" i="1"/>
  <c r="H26" i="1"/>
  <c r="G25" i="1"/>
  <c r="F24" i="1"/>
  <c r="H22" i="1"/>
  <c r="G21" i="1"/>
  <c r="F20" i="1"/>
  <c r="H18" i="1"/>
  <c r="G17" i="1"/>
  <c r="F16" i="1"/>
  <c r="H14" i="1"/>
  <c r="G13" i="1"/>
  <c r="F12" i="1"/>
  <c r="H10" i="1"/>
  <c r="G9" i="1"/>
  <c r="F8" i="1"/>
  <c r="H6" i="1"/>
  <c r="G5" i="1"/>
  <c r="F4" i="1"/>
  <c r="H2" i="1"/>
  <c r="H35" i="1"/>
  <c r="G34" i="1"/>
  <c r="F33" i="1"/>
  <c r="H31" i="1"/>
  <c r="G30" i="1"/>
  <c r="F29" i="1"/>
  <c r="H27" i="1"/>
  <c r="G26" i="1"/>
  <c r="F25" i="1"/>
  <c r="H23" i="1"/>
  <c r="G22" i="1"/>
  <c r="F21" i="1"/>
  <c r="H19" i="1"/>
  <c r="G18" i="1"/>
  <c r="F17" i="1"/>
  <c r="H15" i="1"/>
  <c r="G14" i="1"/>
  <c r="F13" i="1"/>
  <c r="H11" i="1"/>
  <c r="G10" i="1"/>
  <c r="F9" i="1"/>
  <c r="H7" i="1"/>
  <c r="G6" i="1"/>
  <c r="F5" i="1"/>
  <c r="H3" i="1"/>
  <c r="H36" i="1"/>
  <c r="G35" i="1"/>
  <c r="H32" i="1"/>
  <c r="G31" i="1"/>
  <c r="H28" i="1"/>
  <c r="G27" i="1"/>
  <c r="H24" i="1"/>
  <c r="G23" i="1"/>
  <c r="H20" i="1"/>
  <c r="G19" i="1"/>
  <c r="H16" i="1"/>
  <c r="G15" i="1"/>
  <c r="H12" i="1"/>
  <c r="G11" i="1"/>
  <c r="H8" i="1"/>
  <c r="G7" i="1"/>
  <c r="H4" i="1"/>
  <c r="G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" i="1"/>
  <c r="AT27" i="1" l="1"/>
  <c r="AX27" i="1"/>
  <c r="AU27" i="1"/>
  <c r="AY27" i="1"/>
  <c r="AV27" i="1"/>
  <c r="AW27" i="1"/>
  <c r="AX26" i="1"/>
  <c r="AY26" i="1"/>
  <c r="AV26" i="1"/>
  <c r="AW26" i="1"/>
  <c r="AT26" i="1"/>
  <c r="AU26" i="1"/>
  <c r="AT25" i="1"/>
  <c r="AX25" i="1"/>
  <c r="AU25" i="1"/>
  <c r="AY25" i="1"/>
  <c r="AV25" i="1"/>
  <c r="AW25" i="1"/>
  <c r="AY24" i="1"/>
  <c r="AX24" i="1"/>
  <c r="AW24" i="1"/>
  <c r="AV24" i="1"/>
  <c r="AU24" i="1"/>
  <c r="AT24" i="1"/>
  <c r="AT23" i="1"/>
  <c r="AX23" i="1"/>
  <c r="AU23" i="1"/>
  <c r="AY23" i="1"/>
  <c r="AV23" i="1"/>
  <c r="AW23" i="1"/>
  <c r="AX22" i="1"/>
  <c r="AY22" i="1"/>
  <c r="AV22" i="1"/>
  <c r="AW22" i="1"/>
  <c r="AT22" i="1"/>
  <c r="AU22" i="1"/>
  <c r="AT21" i="1"/>
  <c r="AX21" i="1"/>
  <c r="AU21" i="1"/>
  <c r="AY21" i="1"/>
  <c r="AV21" i="1"/>
  <c r="AW21" i="1"/>
  <c r="AY20" i="1"/>
  <c r="AX20" i="1"/>
  <c r="AW20" i="1"/>
  <c r="AV20" i="1"/>
  <c r="AU20" i="1"/>
  <c r="AT20" i="1"/>
  <c r="AT19" i="1"/>
  <c r="AX19" i="1"/>
  <c r="AU19" i="1"/>
  <c r="AY19" i="1"/>
  <c r="AV19" i="1"/>
  <c r="AW19" i="1"/>
  <c r="AY18" i="1"/>
  <c r="AX18" i="1"/>
  <c r="AW18" i="1"/>
  <c r="AV18" i="1"/>
  <c r="AU18" i="1"/>
  <c r="AT18" i="1"/>
  <c r="AT17" i="1"/>
  <c r="AX17" i="1"/>
  <c r="AU17" i="1"/>
  <c r="AY17" i="1"/>
  <c r="AV17" i="1"/>
  <c r="AW17" i="1"/>
  <c r="AX16" i="1"/>
  <c r="AY16" i="1"/>
  <c r="AW16" i="1"/>
  <c r="AV16" i="1"/>
  <c r="AU16" i="1"/>
  <c r="AT16" i="1"/>
  <c r="AY14" i="1"/>
  <c r="AT15" i="1"/>
  <c r="AX15" i="1"/>
  <c r="AU15" i="1"/>
  <c r="AY15" i="1"/>
  <c r="AV15" i="1"/>
  <c r="AW15" i="1"/>
  <c r="AW14" i="1"/>
  <c r="AX14" i="1"/>
  <c r="AV14" i="1"/>
  <c r="AU14" i="1"/>
  <c r="AT14" i="1"/>
  <c r="Z16" i="1"/>
  <c r="X16" i="1"/>
  <c r="W16" i="1"/>
  <c r="Y5" i="1"/>
  <c r="Y4" i="1"/>
  <c r="X5" i="1"/>
  <c r="X4" i="1"/>
  <c r="Y3" i="1"/>
  <c r="X3" i="1"/>
</calcChain>
</file>

<file path=xl/sharedStrings.xml><?xml version="1.0" encoding="utf-8"?>
<sst xmlns="http://schemas.openxmlformats.org/spreadsheetml/2006/main" count="280" uniqueCount="207">
  <si>
    <t>회원번호</t>
    <phoneticPr fontId="1" type="noConversion"/>
  </si>
  <si>
    <t>이름</t>
    <phoneticPr fontId="1" type="noConversion"/>
  </si>
  <si>
    <t>주민번호</t>
    <phoneticPr fontId="1" type="noConversion"/>
  </si>
  <si>
    <t>이메일</t>
    <phoneticPr fontId="1" type="noConversion"/>
  </si>
  <si>
    <t>가입년월일</t>
    <phoneticPr fontId="1" type="noConversion"/>
  </si>
  <si>
    <t>누적포인트</t>
    <phoneticPr fontId="1" type="noConversion"/>
  </si>
  <si>
    <t>이종만</t>
  </si>
  <si>
    <t>김상호</t>
  </si>
  <si>
    <t>이태호</t>
  </si>
  <si>
    <t>조소윤</t>
  </si>
  <si>
    <t>정경수</t>
  </si>
  <si>
    <t>윤형진</t>
  </si>
  <si>
    <t>박민우</t>
  </si>
  <si>
    <t>권소연</t>
  </si>
  <si>
    <t>김지운</t>
    <phoneticPr fontId="1" type="noConversion"/>
  </si>
  <si>
    <t>감성욱</t>
    <phoneticPr fontId="1" type="noConversion"/>
  </si>
  <si>
    <t>김진영</t>
    <phoneticPr fontId="1" type="noConversion"/>
  </si>
  <si>
    <t>김재원</t>
    <phoneticPr fontId="1" type="noConversion"/>
  </si>
  <si>
    <t>문선영</t>
    <phoneticPr fontId="1" type="noConversion"/>
  </si>
  <si>
    <t>박현호</t>
    <phoneticPr fontId="1" type="noConversion"/>
  </si>
  <si>
    <t>손서인</t>
    <phoneticPr fontId="1" type="noConversion"/>
  </si>
  <si>
    <t>이유경</t>
    <phoneticPr fontId="1" type="noConversion"/>
  </si>
  <si>
    <t>이택진</t>
    <phoneticPr fontId="1" type="noConversion"/>
  </si>
  <si>
    <t>장진욱</t>
    <phoneticPr fontId="1" type="noConversion"/>
  </si>
  <si>
    <t>한경현</t>
    <phoneticPr fontId="1" type="noConversion"/>
  </si>
  <si>
    <t>김선채</t>
    <phoneticPr fontId="1" type="noConversion"/>
  </si>
  <si>
    <t>김태진</t>
    <phoneticPr fontId="1" type="noConversion"/>
  </si>
  <si>
    <t>여상아</t>
    <phoneticPr fontId="1" type="noConversion"/>
  </si>
  <si>
    <t>이동윤</t>
    <phoneticPr fontId="1" type="noConversion"/>
  </si>
  <si>
    <t>박장진</t>
    <phoneticPr fontId="1" type="noConversion"/>
  </si>
  <si>
    <t>임소원</t>
    <phoneticPr fontId="1" type="noConversion"/>
  </si>
  <si>
    <t>서소연</t>
    <phoneticPr fontId="1" type="noConversion"/>
  </si>
  <si>
    <t>김재업</t>
    <phoneticPr fontId="1" type="noConversion"/>
  </si>
  <si>
    <t>박승민</t>
    <phoneticPr fontId="1" type="noConversion"/>
  </si>
  <si>
    <t>이예슬</t>
    <phoneticPr fontId="1" type="noConversion"/>
  </si>
  <si>
    <t>안지영</t>
    <phoneticPr fontId="1" type="noConversion"/>
  </si>
  <si>
    <t>손현의</t>
    <phoneticPr fontId="1" type="noConversion"/>
  </si>
  <si>
    <t>옥태진</t>
    <phoneticPr fontId="1" type="noConversion"/>
  </si>
  <si>
    <t>이무영</t>
    <phoneticPr fontId="1" type="noConversion"/>
  </si>
  <si>
    <t>정수덕</t>
    <phoneticPr fontId="1" type="noConversion"/>
  </si>
  <si>
    <t>김서아</t>
    <phoneticPr fontId="1" type="noConversion"/>
  </si>
  <si>
    <t>kjwoon79@gmail.com</t>
    <phoneticPr fontId="1" type="noConversion"/>
  </si>
  <si>
    <t>rkatjddnr@naver.com</t>
    <phoneticPr fontId="1" type="noConversion"/>
  </si>
  <si>
    <t>jjyylove@naver.com</t>
    <phoneticPr fontId="1" type="noConversion"/>
  </si>
  <si>
    <t>kjw8855@hotmail.com</t>
    <phoneticPr fontId="1" type="noConversion"/>
  </si>
  <si>
    <t>ppororo2157@hanmail.net</t>
    <phoneticPr fontId="1" type="noConversion"/>
  </si>
  <si>
    <t>hhphhp@naver.com</t>
    <phoneticPr fontId="1" type="noConversion"/>
  </si>
  <si>
    <t>luvsi123@hotmail.com</t>
    <phoneticPr fontId="1" type="noConversion"/>
  </si>
  <si>
    <t>angelyu@hotmail.com</t>
    <phoneticPr fontId="1" type="noConversion"/>
  </si>
  <si>
    <t>teakjjingg@gmail.com</t>
    <phoneticPr fontId="1" type="noConversion"/>
  </si>
  <si>
    <t>jangjangjw@daum.net</t>
    <phoneticPr fontId="1" type="noConversion"/>
  </si>
  <si>
    <t>doldolhkh555@hanmail.net</t>
    <phoneticPr fontId="1" type="noConversion"/>
  </si>
  <si>
    <t>scforever88@naver.com</t>
    <phoneticPr fontId="1" type="noConversion"/>
  </si>
  <si>
    <t>wtgwd102@gamil.com</t>
    <phoneticPr fontId="1" type="noConversion"/>
  </si>
  <si>
    <t>sangayoe@naver.com</t>
    <phoneticPr fontId="1" type="noConversion"/>
  </si>
  <si>
    <t>ddongyoon@hotmail.com</t>
    <phoneticPr fontId="1" type="noConversion"/>
  </si>
  <si>
    <t>jjjjpark@daum.net</t>
    <phoneticPr fontId="1" type="noConversion"/>
  </si>
  <si>
    <t>hopelim75@naver.com</t>
    <phoneticPr fontId="1" type="noConversion"/>
  </si>
  <si>
    <t>seosyjsh12@gmail.com</t>
    <phoneticPr fontId="1" type="noConversion"/>
  </si>
  <si>
    <t>reuploadkim2@gmail.com</t>
    <phoneticPr fontId="1" type="noConversion"/>
  </si>
  <si>
    <t>jjongmani@hotmail.com</t>
    <phoneticPr fontId="1" type="noConversion"/>
  </si>
  <si>
    <t>victorymink@hanmail.net</t>
    <phoneticPr fontId="1" type="noConversion"/>
  </si>
  <si>
    <t>eachother@hotmail.com</t>
    <phoneticPr fontId="1" type="noConversion"/>
  </si>
  <si>
    <t>yeslee84@naver.com</t>
    <phoneticPr fontId="1" type="noConversion"/>
  </si>
  <si>
    <t>jiyoungida@hotmail.com</t>
    <phoneticPr fontId="1" type="noConversion"/>
  </si>
  <si>
    <t>okteajinok@naver.com</t>
    <phoneticPr fontId="1" type="noConversion"/>
  </si>
  <si>
    <t>notingzeor0@daum.net</t>
    <phoneticPr fontId="1" type="noConversion"/>
  </si>
  <si>
    <t>thlee1985@gmail.com</t>
    <phoneticPr fontId="1" type="noConversion"/>
  </si>
  <si>
    <t>soyoon1212@hanmail.net</t>
    <phoneticPr fontId="1" type="noConversion"/>
  </si>
  <si>
    <t>soosoodduk@daum.net</t>
    <phoneticPr fontId="1" type="noConversion"/>
  </si>
  <si>
    <t>ksjung74@hotmail.net</t>
    <phoneticPr fontId="1" type="noConversion"/>
  </si>
  <si>
    <t>tellhjtrue@naver.com</t>
    <phoneticPr fontId="1" type="noConversion"/>
  </si>
  <si>
    <t>minuminu@hotmail.com</t>
    <phoneticPr fontId="1" type="noConversion"/>
  </si>
  <si>
    <t>lovelyhuson@daum.net</t>
    <phoneticPr fontId="1" type="noConversion"/>
  </si>
  <si>
    <t>ssossok914@gamil.com</t>
    <phoneticPr fontId="1" type="noConversion"/>
  </si>
  <si>
    <t>seaaaaaaa@hotmail.com</t>
    <phoneticPr fontId="1" type="noConversion"/>
  </si>
  <si>
    <t>790809-1</t>
    <phoneticPr fontId="1" type="noConversion"/>
  </si>
  <si>
    <t>751109-1</t>
    <phoneticPr fontId="1" type="noConversion"/>
  </si>
  <si>
    <t>820327-2</t>
    <phoneticPr fontId="1" type="noConversion"/>
  </si>
  <si>
    <t>880305-1</t>
    <phoneticPr fontId="1" type="noConversion"/>
  </si>
  <si>
    <t>750102-2</t>
    <phoneticPr fontId="1" type="noConversion"/>
  </si>
  <si>
    <t>900615-1</t>
    <phoneticPr fontId="1" type="noConversion"/>
  </si>
  <si>
    <t>860319-2</t>
    <phoneticPr fontId="1" type="noConversion"/>
  </si>
  <si>
    <t>740914-2</t>
    <phoneticPr fontId="1" type="noConversion"/>
  </si>
  <si>
    <t>800729-1</t>
    <phoneticPr fontId="1" type="noConversion"/>
  </si>
  <si>
    <t>701212-1</t>
    <phoneticPr fontId="1" type="noConversion"/>
  </si>
  <si>
    <t>760412-2</t>
    <phoneticPr fontId="1" type="noConversion"/>
  </si>
  <si>
    <t>880202-2</t>
    <phoneticPr fontId="1" type="noConversion"/>
  </si>
  <si>
    <t>730628-1</t>
    <phoneticPr fontId="1" type="noConversion"/>
  </si>
  <si>
    <t>810530-2</t>
    <phoneticPr fontId="1" type="noConversion"/>
  </si>
  <si>
    <t>840911-1</t>
    <phoneticPr fontId="1" type="noConversion"/>
  </si>
  <si>
    <t>770903-2</t>
    <phoneticPr fontId="1" type="noConversion"/>
  </si>
  <si>
    <t>751111-2</t>
    <phoneticPr fontId="1" type="noConversion"/>
  </si>
  <si>
    <t>821003-2</t>
    <phoneticPr fontId="1" type="noConversion"/>
  </si>
  <si>
    <t>880105-1</t>
    <phoneticPr fontId="1" type="noConversion"/>
  </si>
  <si>
    <t>720227-1</t>
    <phoneticPr fontId="1" type="noConversion"/>
  </si>
  <si>
    <t>830925-1</t>
    <phoneticPr fontId="1" type="noConversion"/>
  </si>
  <si>
    <t>750815-1</t>
    <phoneticPr fontId="1" type="noConversion"/>
  </si>
  <si>
    <t>840628-2</t>
    <phoneticPr fontId="1" type="noConversion"/>
  </si>
  <si>
    <t>870203-2</t>
    <phoneticPr fontId="1" type="noConversion"/>
  </si>
  <si>
    <t>790416-1</t>
    <phoneticPr fontId="1" type="noConversion"/>
  </si>
  <si>
    <t>831205-1</t>
    <phoneticPr fontId="1" type="noConversion"/>
  </si>
  <si>
    <t>850927-1</t>
    <phoneticPr fontId="1" type="noConversion"/>
  </si>
  <si>
    <t>710621-2</t>
    <phoneticPr fontId="1" type="noConversion"/>
  </si>
  <si>
    <t>810308-1</t>
    <phoneticPr fontId="1" type="noConversion"/>
  </si>
  <si>
    <t>870722-1</t>
    <phoneticPr fontId="1" type="noConversion"/>
  </si>
  <si>
    <t>801112-1</t>
    <phoneticPr fontId="1" type="noConversion"/>
  </si>
  <si>
    <t>740201-1</t>
    <phoneticPr fontId="1" type="noConversion"/>
  </si>
  <si>
    <t>860513-2</t>
    <phoneticPr fontId="1" type="noConversion"/>
  </si>
  <si>
    <t>791019-2</t>
    <phoneticPr fontId="1" type="noConversion"/>
  </si>
  <si>
    <t>821224-2</t>
    <phoneticPr fontId="1" type="noConversion"/>
  </si>
  <si>
    <t>핸드폰번호</t>
    <phoneticPr fontId="1" type="noConversion"/>
  </si>
  <si>
    <t>010-9137-4628</t>
    <phoneticPr fontId="1" type="noConversion"/>
  </si>
  <si>
    <t>010-5915-7535</t>
    <phoneticPr fontId="1" type="noConversion"/>
  </si>
  <si>
    <t>010-2486-1793</t>
    <phoneticPr fontId="1" type="noConversion"/>
  </si>
  <si>
    <t>010-3214-7896</t>
    <phoneticPr fontId="1" type="noConversion"/>
  </si>
  <si>
    <t>010-3698-7412</t>
    <phoneticPr fontId="1" type="noConversion"/>
  </si>
  <si>
    <t>010-6987-4123</t>
    <phoneticPr fontId="1" type="noConversion"/>
  </si>
  <si>
    <t>010-5879-5213</t>
    <phoneticPr fontId="1" type="noConversion"/>
  </si>
  <si>
    <t>010-7415-9635</t>
    <phoneticPr fontId="1" type="noConversion"/>
  </si>
  <si>
    <t>010-7946-4613</t>
    <phoneticPr fontId="1" type="noConversion"/>
  </si>
  <si>
    <t>010-4685-3152</t>
    <phoneticPr fontId="1" type="noConversion"/>
  </si>
  <si>
    <t>010-7182-8293</t>
    <phoneticPr fontId="1" type="noConversion"/>
  </si>
  <si>
    <t>010-9511-1599</t>
    <phoneticPr fontId="1" type="noConversion"/>
  </si>
  <si>
    <t>010-7785-9985</t>
    <phoneticPr fontId="1" type="noConversion"/>
  </si>
  <si>
    <t>010-5632-7458</t>
    <phoneticPr fontId="1" type="noConversion"/>
  </si>
  <si>
    <t>010-4125-9856</t>
    <phoneticPr fontId="1" type="noConversion"/>
  </si>
  <si>
    <t>010-3256-6589</t>
    <phoneticPr fontId="1" type="noConversion"/>
  </si>
  <si>
    <t>010-5478-2541</t>
    <phoneticPr fontId="1" type="noConversion"/>
  </si>
  <si>
    <t>010-3169-7941</t>
    <phoneticPr fontId="1" type="noConversion"/>
  </si>
  <si>
    <t>010-7852-3258</t>
    <phoneticPr fontId="1" type="noConversion"/>
  </si>
  <si>
    <t>010-9854-6521</t>
    <phoneticPr fontId="1" type="noConversion"/>
  </si>
  <si>
    <t>010-7856-4532</t>
    <phoneticPr fontId="1" type="noConversion"/>
  </si>
  <si>
    <t>010-9199-1347</t>
    <phoneticPr fontId="1" type="noConversion"/>
  </si>
  <si>
    <t>010-2688-4866</t>
    <phoneticPr fontId="1" type="noConversion"/>
  </si>
  <si>
    <t>010-3149-9762</t>
    <phoneticPr fontId="1" type="noConversion"/>
  </si>
  <si>
    <t>010-4569-1235</t>
    <phoneticPr fontId="1" type="noConversion"/>
  </si>
  <si>
    <t>010-5563-7619</t>
    <phoneticPr fontId="1" type="noConversion"/>
  </si>
  <si>
    <t>010-3491-7913</t>
    <phoneticPr fontId="1" type="noConversion"/>
  </si>
  <si>
    <t>010-8574-1296</t>
    <phoneticPr fontId="1" type="noConversion"/>
  </si>
  <si>
    <t>010-3687-1496</t>
    <phoneticPr fontId="1" type="noConversion"/>
  </si>
  <si>
    <t>010-2564-7659</t>
    <phoneticPr fontId="1" type="noConversion"/>
  </si>
  <si>
    <t>010-8912-4963</t>
    <phoneticPr fontId="1" type="noConversion"/>
  </si>
  <si>
    <t>010-5519-6743</t>
    <phoneticPr fontId="1" type="noConversion"/>
  </si>
  <si>
    <t>010-9851-1476</t>
    <phoneticPr fontId="1" type="noConversion"/>
  </si>
  <si>
    <t>010-5813-2579</t>
    <phoneticPr fontId="1" type="noConversion"/>
  </si>
  <si>
    <t>010-4673-8521</t>
    <phoneticPr fontId="1" type="noConversion"/>
  </si>
  <si>
    <t>생년월일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</si>
  <si>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</si>
  <si>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</si>
  <si>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</si>
  <si>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년</t>
    <phoneticPr fontId="1" type="noConversion"/>
  </si>
  <si>
    <t>개
월</t>
    <phoneticPr fontId="1" type="noConversion"/>
  </si>
  <si>
    <t>일</t>
    <phoneticPr fontId="1" type="noConversion"/>
  </si>
  <si>
    <t>나
이</t>
    <phoneticPr fontId="1" type="noConversion"/>
  </si>
  <si>
    <t>일수</t>
    <phoneticPr fontId="1" type="noConversion"/>
  </si>
  <si>
    <t>혜택
요일</t>
    <phoneticPr fontId="1" type="noConversion"/>
  </si>
  <si>
    <t>성
별</t>
    <phoneticPr fontId="1" type="noConversion"/>
  </si>
  <si>
    <t>누적 포인트</t>
  </si>
  <si>
    <t>등급</t>
  </si>
  <si>
    <t>등급명</t>
  </si>
  <si>
    <t>BRONZE</t>
  </si>
  <si>
    <t>SILVER</t>
  </si>
  <si>
    <t>GOLD</t>
  </si>
  <si>
    <t>PURE GOLD</t>
  </si>
  <si>
    <t>가
입
기
간
(년)</t>
    <phoneticPr fontId="1" type="noConversion"/>
  </si>
  <si>
    <t>회원등급</t>
    <phoneticPr fontId="1" type="noConversion"/>
  </si>
  <si>
    <t>할인율</t>
    <phoneticPr fontId="1" type="noConversion"/>
  </si>
  <si>
    <t>주민번호
표시</t>
    <phoneticPr fontId="1" type="noConversion"/>
  </si>
  <si>
    <t>남</t>
    <phoneticPr fontId="1" type="noConversion"/>
  </si>
  <si>
    <t>여</t>
    <phoneticPr fontId="1" type="noConversion"/>
  </si>
  <si>
    <t>PURE GOLD</t>
    <phoneticPr fontId="1" type="noConversion"/>
  </si>
  <si>
    <t>GOLD</t>
    <phoneticPr fontId="1" type="noConversion"/>
  </si>
  <si>
    <t>BRONZE</t>
    <phoneticPr fontId="1" type="noConversion"/>
  </si>
  <si>
    <t>합</t>
    <phoneticPr fontId="1" type="noConversion"/>
  </si>
  <si>
    <t>평균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</si>
  <si>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</si>
  <si>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</si>
  <si>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</si>
  <si>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</si>
  <si>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</si>
  <si>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</si>
  <si>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</si>
  <si>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인원수</t>
    <phoneticPr fontId="1" type="noConversion"/>
  </si>
  <si>
    <t>SILVER</t>
    <phoneticPr fontId="1" type="noConversion"/>
  </si>
  <si>
    <t>누적포인트 총합</t>
    <phoneticPr fontId="1" type="noConversion"/>
  </si>
  <si>
    <t>할인율 평균</t>
    <phoneticPr fontId="1" type="noConversion"/>
  </si>
  <si>
    <t>누적포인트총합</t>
    <phoneticPr fontId="1" type="noConversion"/>
  </si>
  <si>
    <t>할인율평균</t>
    <phoneticPr fontId="1" type="noConversion"/>
  </si>
  <si>
    <t>30대 여성 GOLD 등급의</t>
    <phoneticPr fontId="1" type="noConversion"/>
  </si>
  <si>
    <t>남</t>
    <phoneticPr fontId="1" type="noConversion"/>
  </si>
  <si>
    <t>여</t>
    <phoneticPr fontId="1" type="noConversion"/>
  </si>
  <si>
    <t>최고
누적포인트</t>
    <phoneticPr fontId="1" type="noConversion"/>
  </si>
  <si>
    <t>최저
누적포인트</t>
    <phoneticPr fontId="1" type="noConversion"/>
  </si>
  <si>
    <t>최고할인율</t>
    <phoneticPr fontId="1" type="noConversion"/>
  </si>
  <si>
    <t>최저할인율</t>
    <phoneticPr fontId="1" type="noConversion"/>
  </si>
  <si>
    <t>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</si>
  <si>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</si>
  <si>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</si>
  <si>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</si>
  <si>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</si>
  <si>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</si>
  <si>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</si>
  <si>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PURE GOLD</t>
    <phoneticPr fontId="1" type="noConversion"/>
  </si>
  <si>
    <t>GOLD</t>
    <phoneticPr fontId="1" type="noConversion"/>
  </si>
  <si>
    <t>SILVER</t>
    <phoneticPr fontId="1" type="noConversion"/>
  </si>
  <si>
    <t>BRONZE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</si>
</sst>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);[Red]\(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  <scheme val="minor"/>
    </font>
    <font>
      <sz val="10"/>
      <color theme="7"/>
      <name val="맑은 고딕"/>
      <family val="2"/>
      <charset val="129"/>
      <scheme val="minor"/>
    </font>
    <font>
      <sz val="10"/>
      <color theme="8" tint="-0.249977111117893"/>
      <name val="맑은 고딕"/>
      <family val="2"/>
      <charset val="129"/>
      <scheme val="minor"/>
    </font>
    <font>
      <sz val="10"/>
      <color theme="6" tint="-0.249977111117893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</fills>
  <borders count="10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auto="1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/>
      <diagonal/>
    </border>
    <border>
      <left style="double">
        <color auto="1"/>
      </left>
      <right style="thick">
        <color indexed="64"/>
      </right>
      <top/>
      <bottom/>
      <diagonal/>
    </border>
    <border>
      <left style="double">
        <color auto="1"/>
      </left>
      <right style="thick">
        <color indexed="64"/>
      </right>
      <top/>
      <bottom style="thick">
        <color auto="1"/>
      </bottom>
      <diagonal/>
    </border>
    <border>
      <left style="double">
        <color auto="1"/>
      </left>
      <right style="thick">
        <color indexed="64"/>
      </right>
      <top style="thick">
        <color auto="1"/>
      </top>
      <bottom/>
      <diagonal/>
    </border>
    <border>
      <left style="double">
        <color auto="1"/>
      </left>
      <right style="thick">
        <color indexed="64"/>
      </right>
      <top/>
      <bottom style="double">
        <color auto="1"/>
      </bottom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thick">
        <color auto="1"/>
      </top>
      <bottom style="thin">
        <color indexed="64"/>
      </bottom>
      <diagonal/>
    </border>
    <border>
      <left/>
      <right style="double">
        <color indexed="64"/>
      </right>
      <top/>
      <bottom style="thick">
        <color auto="1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9" fontId="2" fillId="0" borderId="2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177" fontId="7" fillId="0" borderId="9" xfId="0" applyNumberFormat="1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 wrapText="1"/>
    </xf>
    <xf numFmtId="0" fontId="3" fillId="2" borderId="52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 wrapText="1"/>
    </xf>
    <xf numFmtId="0" fontId="3" fillId="2" borderId="55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 wrapText="1"/>
    </xf>
    <xf numFmtId="0" fontId="3" fillId="2" borderId="61" xfId="0" applyFont="1" applyFill="1" applyBorder="1" applyAlignment="1">
      <alignment horizontal="center" vertical="center"/>
    </xf>
    <xf numFmtId="0" fontId="3" fillId="2" borderId="60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6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>
      <alignment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2" borderId="68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72" xfId="0" applyFont="1" applyFill="1" applyBorder="1" applyAlignment="1">
      <alignment horizontal="center" vertical="center"/>
    </xf>
    <xf numFmtId="0" fontId="3" fillId="2" borderId="73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7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9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3" fillId="2" borderId="78" xfId="0" applyFont="1" applyFill="1" applyBorder="1" applyAlignment="1">
      <alignment horizontal="center" vertical="center"/>
    </xf>
    <xf numFmtId="0" fontId="3" fillId="2" borderId="79" xfId="0" applyFont="1" applyFill="1" applyBorder="1" applyAlignment="1">
      <alignment horizontal="center" vertical="center"/>
    </xf>
    <xf numFmtId="0" fontId="3" fillId="2" borderId="7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81" xfId="0" applyFont="1" applyFill="1" applyBorder="1" applyAlignment="1">
      <alignment horizontal="center" vertical="center"/>
    </xf>
    <xf numFmtId="0" fontId="3" fillId="2" borderId="82" xfId="0" applyFont="1" applyFill="1" applyBorder="1" applyAlignment="1">
      <alignment horizontal="center" vertical="center"/>
    </xf>
    <xf numFmtId="0" fontId="3" fillId="2" borderId="83" xfId="0" applyFont="1" applyFill="1" applyBorder="1" applyAlignment="1">
      <alignment horizontal="center" vertical="center"/>
    </xf>
    <xf numFmtId="0" fontId="3" fillId="2" borderId="84" xfId="0" applyFont="1" applyFill="1" applyBorder="1" applyAlignment="1">
      <alignment horizontal="center" vertical="center"/>
    </xf>
    <xf numFmtId="0" fontId="3" fillId="2" borderId="80" xfId="0" applyFont="1" applyFill="1" applyBorder="1" applyAlignment="1">
      <alignment horizontal="center" vertical="center"/>
    </xf>
    <xf numFmtId="0" fontId="3" fillId="2" borderId="85" xfId="0" applyFont="1" applyFill="1" applyBorder="1" applyAlignment="1">
      <alignment horizontal="center" vertical="center"/>
    </xf>
    <xf numFmtId="0" fontId="3" fillId="2" borderId="86" xfId="0" applyFont="1" applyFill="1" applyBorder="1" applyAlignment="1">
      <alignment horizontal="center" vertical="center"/>
    </xf>
    <xf numFmtId="0" fontId="3" fillId="2" borderId="87" xfId="0" applyFont="1" applyFill="1" applyBorder="1">
      <alignment vertical="center"/>
    </xf>
    <xf numFmtId="0" fontId="3" fillId="2" borderId="88" xfId="0" applyFont="1" applyFill="1" applyBorder="1">
      <alignment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89" xfId="0" applyFont="1" applyFill="1" applyBorder="1">
      <alignment vertical="center"/>
    </xf>
    <xf numFmtId="0" fontId="3" fillId="2" borderId="90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91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/>
    </xf>
    <xf numFmtId="0" fontId="3" fillId="2" borderId="100" xfId="0" applyFont="1" applyFill="1" applyBorder="1" applyAlignment="1">
      <alignment horizontal="center" vertical="center"/>
    </xf>
    <xf numFmtId="0" fontId="3" fillId="2" borderId="101" xfId="0" applyFont="1" applyFill="1" applyBorder="1" applyAlignment="1">
      <alignment horizontal="center" vertical="center"/>
    </xf>
    <xf numFmtId="0" fontId="3" fillId="2" borderId="10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03" xfId="0" applyFont="1" applyFill="1" applyBorder="1" applyAlignment="1">
      <alignment horizontal="center" vertical="center"/>
    </xf>
    <xf numFmtId="0" fontId="3" fillId="2" borderId="104" xfId="0" applyFont="1" applyFill="1" applyBorder="1" applyAlignment="1">
      <alignment horizontal="center" vertical="center"/>
    </xf>
    <xf numFmtId="0" fontId="3" fillId="2" borderId="105" xfId="0" applyFont="1" applyFill="1" applyBorder="1" applyAlignment="1">
      <alignment horizontal="center" vertical="center"/>
    </xf>
    <xf numFmtId="0" fontId="3" fillId="2" borderId="106" xfId="0" applyFont="1" applyFill="1" applyBorder="1" applyAlignment="1">
      <alignment horizontal="center" vertical="center"/>
    </xf>
    <xf numFmtId="0" fontId="3" fillId="2" borderId="107" xfId="0" applyFont="1" applyFill="1" applyBorder="1" applyAlignment="1">
      <alignment horizontal="center" vertical="center"/>
    </xf>
    <xf numFmtId="0" fontId="3" fillId="2" borderId="108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5" fillId="0" borderId="3" xfId="1" applyFont="1" applyFill="1" applyBorder="1">
      <alignment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>
      <alignment vertical="center"/>
    </xf>
    <xf numFmtId="0" fontId="3" fillId="0" borderId="2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5" fillId="0" borderId="2" xfId="1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>
      <alignment vertical="center"/>
    </xf>
    <xf numFmtId="0" fontId="3" fillId="0" borderId="21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3" fillId="2" borderId="47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94" xfId="0" applyFont="1" applyFill="1" applyBorder="1" applyAlignment="1">
      <alignment horizontal="center" vertical="center"/>
    </xf>
    <xf numFmtId="0" fontId="3" fillId="2" borderId="95" xfId="0" applyFont="1" applyFill="1" applyBorder="1" applyAlignment="1">
      <alignment horizontal="center" vertical="center"/>
    </xf>
    <xf numFmtId="0" fontId="3" fillId="2" borderId="96" xfId="0" applyFont="1" applyFill="1" applyBorder="1" applyAlignment="1">
      <alignment horizontal="center" vertical="center"/>
    </xf>
    <xf numFmtId="0" fontId="3" fillId="2" borderId="97" xfId="0" applyFont="1" applyFill="1" applyBorder="1" applyAlignment="1">
      <alignment horizontal="center" vertical="center"/>
    </xf>
    <xf numFmtId="0" fontId="3" fillId="2" borderId="9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76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7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49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6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CCC0DA"/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gelyu@hotmail.com" TargetMode="External"/><Relationship Id="rId13" Type="http://schemas.openxmlformats.org/officeDocument/2006/relationships/hyperlink" Target="mailto:wtgwd102@gamil.com" TargetMode="External"/><Relationship Id="rId18" Type="http://schemas.openxmlformats.org/officeDocument/2006/relationships/hyperlink" Target="mailto:seosyjsh12@gmail.com" TargetMode="External"/><Relationship Id="rId26" Type="http://schemas.openxmlformats.org/officeDocument/2006/relationships/hyperlink" Target="mailto:notingzeor0@daum.net" TargetMode="External"/><Relationship Id="rId3" Type="http://schemas.openxmlformats.org/officeDocument/2006/relationships/hyperlink" Target="mailto:jjyylove@naver.com" TargetMode="External"/><Relationship Id="rId21" Type="http://schemas.openxmlformats.org/officeDocument/2006/relationships/hyperlink" Target="mailto:victorymink@hanmail.net" TargetMode="External"/><Relationship Id="rId34" Type="http://schemas.openxmlformats.org/officeDocument/2006/relationships/hyperlink" Target="mailto:ssossok914@gamil.com" TargetMode="External"/><Relationship Id="rId7" Type="http://schemas.openxmlformats.org/officeDocument/2006/relationships/hyperlink" Target="mailto:luvsi123@hotmail.com" TargetMode="External"/><Relationship Id="rId12" Type="http://schemas.openxmlformats.org/officeDocument/2006/relationships/hyperlink" Target="mailto:scforever88@naver.com" TargetMode="External"/><Relationship Id="rId17" Type="http://schemas.openxmlformats.org/officeDocument/2006/relationships/hyperlink" Target="mailto:hopelim75@naver.com" TargetMode="External"/><Relationship Id="rId25" Type="http://schemas.openxmlformats.org/officeDocument/2006/relationships/hyperlink" Target="mailto:okteajinok@naver.com" TargetMode="External"/><Relationship Id="rId33" Type="http://schemas.openxmlformats.org/officeDocument/2006/relationships/hyperlink" Target="mailto:lovelyhuson@daum.net" TargetMode="External"/><Relationship Id="rId2" Type="http://schemas.openxmlformats.org/officeDocument/2006/relationships/hyperlink" Target="mailto:rkatjddnr@naver.com" TargetMode="External"/><Relationship Id="rId16" Type="http://schemas.openxmlformats.org/officeDocument/2006/relationships/hyperlink" Target="mailto:jjjjpark@daum.net" TargetMode="External"/><Relationship Id="rId20" Type="http://schemas.openxmlformats.org/officeDocument/2006/relationships/hyperlink" Target="mailto:jjongmani@hotmail.com" TargetMode="External"/><Relationship Id="rId29" Type="http://schemas.openxmlformats.org/officeDocument/2006/relationships/hyperlink" Target="mailto:soosoodduk@daum.net" TargetMode="External"/><Relationship Id="rId1" Type="http://schemas.openxmlformats.org/officeDocument/2006/relationships/hyperlink" Target="mailto:kjwoon79@gmail.com" TargetMode="External"/><Relationship Id="rId6" Type="http://schemas.openxmlformats.org/officeDocument/2006/relationships/hyperlink" Target="mailto:hhphhp@naver.com" TargetMode="External"/><Relationship Id="rId11" Type="http://schemas.openxmlformats.org/officeDocument/2006/relationships/hyperlink" Target="mailto:doldolhkh555@hanmail.net" TargetMode="External"/><Relationship Id="rId24" Type="http://schemas.openxmlformats.org/officeDocument/2006/relationships/hyperlink" Target="mailto:jiyoungida@hotmail.com" TargetMode="External"/><Relationship Id="rId32" Type="http://schemas.openxmlformats.org/officeDocument/2006/relationships/hyperlink" Target="mailto:minuminu@hotmail.com" TargetMode="External"/><Relationship Id="rId5" Type="http://schemas.openxmlformats.org/officeDocument/2006/relationships/hyperlink" Target="mailto:ppororo2157@hanmail.net" TargetMode="External"/><Relationship Id="rId15" Type="http://schemas.openxmlformats.org/officeDocument/2006/relationships/hyperlink" Target="mailto:ddongyoon@hotmail.com" TargetMode="External"/><Relationship Id="rId23" Type="http://schemas.openxmlformats.org/officeDocument/2006/relationships/hyperlink" Target="mailto:yeslee84@naver.com" TargetMode="External"/><Relationship Id="rId28" Type="http://schemas.openxmlformats.org/officeDocument/2006/relationships/hyperlink" Target="mailto:soyoon1212@hanmail.net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jangjangjw@daum.net" TargetMode="External"/><Relationship Id="rId19" Type="http://schemas.openxmlformats.org/officeDocument/2006/relationships/hyperlink" Target="mailto:reuploadkim2@gmail.com" TargetMode="External"/><Relationship Id="rId31" Type="http://schemas.openxmlformats.org/officeDocument/2006/relationships/hyperlink" Target="mailto:tellhjtrue@naver.com" TargetMode="External"/><Relationship Id="rId4" Type="http://schemas.openxmlformats.org/officeDocument/2006/relationships/hyperlink" Target="mailto:kjw8855@hotmail.com" TargetMode="External"/><Relationship Id="rId9" Type="http://schemas.openxmlformats.org/officeDocument/2006/relationships/hyperlink" Target="mailto:teakjjingg@gmail.com" TargetMode="External"/><Relationship Id="rId14" Type="http://schemas.openxmlformats.org/officeDocument/2006/relationships/hyperlink" Target="mailto:sangayoe@naver.com" TargetMode="External"/><Relationship Id="rId22" Type="http://schemas.openxmlformats.org/officeDocument/2006/relationships/hyperlink" Target="mailto:eachother@hotmail.com" TargetMode="External"/><Relationship Id="rId27" Type="http://schemas.openxmlformats.org/officeDocument/2006/relationships/hyperlink" Target="mailto:thlee1985@gmail.com" TargetMode="External"/><Relationship Id="rId30" Type="http://schemas.openxmlformats.org/officeDocument/2006/relationships/hyperlink" Target="mailto:ksjung74@hotmail.net" TargetMode="External"/><Relationship Id="rId35" Type="http://schemas.openxmlformats.org/officeDocument/2006/relationships/hyperlink" Target="mailto:seaaaaaa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94E69-373E-44E8-BA18-CDB87EAB69E4}">
  <sheetPr>
    <pageSetUpPr fitToPage="1"/>
  </sheetPr>
  <dimension ref="A1:AY37"/>
  <sheetViews>
    <sheetView tabSelected="1" zoomScaleNormal="100" workbookViewId="0">
      <pane ySplit="1" topLeftCell="A5" activePane="bottomLeft" state="frozen"/>
      <selection pane="bottomLeft"/>
    </sheetView>
  </sheetViews>
  <sheetFormatPr defaultRowHeight="17.100000000000001" customHeight="1" x14ac:dyDescent="0.3"/>
  <cols>
    <col min="1" max="1" width="15.625" style="2" customWidth="1"/>
    <col min="2" max="2" width="7.625" style="2" customWidth="1"/>
    <col min="3" max="3" width="8.75" style="2" customWidth="1"/>
    <col min="4" max="4" width="15.625" style="2" customWidth="1"/>
    <col min="5" max="5" width="10.625" style="2" customWidth="1"/>
    <col min="6" max="6" width="5.625" style="2" customWidth="1"/>
    <col min="7" max="9" width="3.625" style="2" customWidth="1"/>
    <col min="10" max="10" width="4.625" style="2" customWidth="1"/>
    <col min="11" max="11" width="6.625" style="2" customWidth="1"/>
    <col min="12" max="12" width="23.625" style="3" customWidth="1"/>
    <col min="13" max="13" width="13.625" style="5" customWidth="1"/>
    <col min="14" max="14" width="11.125" style="2" customWidth="1"/>
    <col min="15" max="17" width="3.625" style="2" customWidth="1"/>
    <col min="18" max="18" width="9" style="1" customWidth="1"/>
    <col min="19" max="19" width="4.625" style="2" customWidth="1"/>
    <col min="20" max="20" width="11.375" style="2" customWidth="1"/>
    <col min="21" max="21" width="8.625" style="1" customWidth="1"/>
    <col min="22" max="22" width="3.625" style="1" customWidth="1"/>
    <col min="23" max="23" width="10.625" style="1" hidden="1" customWidth="1"/>
    <col min="24" max="27" width="8.625" style="1" hidden="1" customWidth="1"/>
    <col min="28" max="28" width="3.625" style="1" hidden="1" customWidth="1"/>
    <col min="29" max="29" width="9.875" style="1" hidden="1" customWidth="1"/>
    <col min="30" max="30" width="3.625" style="1" hidden="1" customWidth="1"/>
    <col min="31" max="31" width="15.75" style="1" hidden="1" customWidth="1"/>
    <col min="32" max="39" width="9" style="1" hidden="1" customWidth="1"/>
    <col min="40" max="40" width="4.625" style="1" hidden="1" customWidth="1"/>
    <col min="41" max="42" width="9.625" style="1" hidden="1" customWidth="1"/>
    <col min="43" max="43" width="3.625" style="1" hidden="1" customWidth="1"/>
    <col min="44" max="44" width="4.625" style="1" hidden="1" customWidth="1"/>
    <col min="45" max="45" width="10.625" style="1" hidden="1" customWidth="1"/>
    <col min="46" max="47" width="8.625" style="1" hidden="1" customWidth="1"/>
    <col min="48" max="52" width="0" style="1" hidden="1" customWidth="1"/>
    <col min="53" max="16384" width="9" style="1"/>
  </cols>
  <sheetData>
    <row r="1" spans="1:51" ht="29.25" customHeight="1" thickTop="1" thickBot="1" x14ac:dyDescent="0.35">
      <c r="A1" s="107" t="s">
        <v>0</v>
      </c>
      <c r="B1" s="108" t="s">
        <v>1</v>
      </c>
      <c r="C1" s="108" t="s">
        <v>2</v>
      </c>
      <c r="D1" s="109" t="s">
        <v>168</v>
      </c>
      <c r="E1" s="108" t="s">
        <v>147</v>
      </c>
      <c r="F1" s="108" t="s">
        <v>148</v>
      </c>
      <c r="G1" s="108" t="s">
        <v>149</v>
      </c>
      <c r="H1" s="108" t="s">
        <v>150</v>
      </c>
      <c r="I1" s="109" t="s">
        <v>154</v>
      </c>
      <c r="J1" s="109" t="s">
        <v>157</v>
      </c>
      <c r="K1" s="109" t="s">
        <v>155</v>
      </c>
      <c r="L1" s="108" t="s">
        <v>3</v>
      </c>
      <c r="M1" s="108" t="s">
        <v>111</v>
      </c>
      <c r="N1" s="108" t="s">
        <v>4</v>
      </c>
      <c r="O1" s="109" t="s">
        <v>151</v>
      </c>
      <c r="P1" s="109" t="s">
        <v>152</v>
      </c>
      <c r="Q1" s="109" t="s">
        <v>153</v>
      </c>
      <c r="R1" s="108" t="s">
        <v>5</v>
      </c>
      <c r="S1" s="110" t="s">
        <v>156</v>
      </c>
      <c r="T1" s="111" t="s">
        <v>166</v>
      </c>
      <c r="U1" s="112" t="s">
        <v>167</v>
      </c>
    </row>
    <row r="2" spans="1:51" ht="17.100000000000001" customHeight="1" thickTop="1" thickBot="1" x14ac:dyDescent="0.35">
      <c r="A2" s="113" t="str">
        <f t="shared" ref="A2:A36" si="0">LEFT(L2, FIND("@",L2)-1) &amp; "-" &amp; RIGHT(M2, 4)</f>
        <v>kjwoon79-4628</v>
      </c>
      <c r="B2" s="114" t="s">
        <v>14</v>
      </c>
      <c r="C2" s="115" t="s">
        <v>76</v>
      </c>
      <c r="D2" s="116" t="str">
        <f t="shared" ref="D2:D36" si="1">REPLACE(C2,9,,REPT("*",6))</f>
        <v>790809-1******</v>
      </c>
      <c r="E2" s="117">
        <f t="shared" ref="E2:E36" si="2">DATE(LEFT(C2,2), MID(C2,3,2), MID(C2,5,2))</f>
        <v>29076</v>
      </c>
      <c r="F2" s="116">
        <f t="shared" ref="F2:F36" si="3">YEAR(E2)</f>
        <v>1979</v>
      </c>
      <c r="G2" s="116">
        <f t="shared" ref="G2:G36" si="4">MONTH(E2)</f>
        <v>8</v>
      </c>
      <c r="H2" s="116">
        <f t="shared" ref="H2:H36" si="5">DAY(E2)</f>
        <v>9</v>
      </c>
      <c r="I2" s="116">
        <f t="shared" ref="I2:I36" ca="1" si="6">DATEDIF(E2, TODAY(), "Y")</f>
        <v>40</v>
      </c>
      <c r="J2" s="116" t="str">
        <f t="shared" ref="J2:J36" si="7">CHOOSE(RIGHT(C2,1), "남", "여", "남", "여")</f>
        <v>남</v>
      </c>
      <c r="K2" s="116">
        <f t="shared" ref="K2:K36" ca="1" si="8">DATEDIF(E2, TODAY(), "D")</f>
        <v>14666</v>
      </c>
      <c r="L2" s="118" t="s">
        <v>41</v>
      </c>
      <c r="M2" s="119" t="s">
        <v>112</v>
      </c>
      <c r="N2" s="120">
        <v>37424</v>
      </c>
      <c r="O2" s="116">
        <f t="shared" ref="O2:O36" ca="1" si="9">DATEDIF(N2, TODAY(), "Y")</f>
        <v>17</v>
      </c>
      <c r="P2" s="116">
        <f t="shared" ref="P2:P36" ca="1" si="10">DATEDIF(N2, TODAY(), "YM")</f>
        <v>3</v>
      </c>
      <c r="Q2" s="116">
        <f t="shared" ref="Q2:Q36" ca="1" si="11">DATEDIF(N2, TODAY(), "MD")</f>
        <v>17</v>
      </c>
      <c r="R2" s="121">
        <v>123650</v>
      </c>
      <c r="S2" s="141" t="str">
        <f t="shared" ref="S2:S36" si="12">CHOOSE(WEEKDAY(E2), "일", "월", "화", "수", "목", "금", "토")</f>
        <v>목</v>
      </c>
      <c r="T2" s="138" t="str">
        <f>HLOOKUP(R2, 할인율!$C$1:$F$3,3,TRUE)</f>
        <v>GOLD</v>
      </c>
      <c r="U2" s="122">
        <f ca="1">INDEX(할인율!$C$4:$F$9,MATCH(O2,할인율!$B$4:$B$9,1), MATCH(T2,할인율!$C$3:$F$3,0))</f>
        <v>0.23</v>
      </c>
      <c r="W2" s="9"/>
      <c r="X2" s="10" t="s">
        <v>169</v>
      </c>
      <c r="Y2" s="11" t="s">
        <v>170</v>
      </c>
      <c r="AC2" s="25"/>
      <c r="AD2" s="26"/>
      <c r="AE2" s="11"/>
      <c r="AF2" s="10" t="s">
        <v>176</v>
      </c>
      <c r="AG2" s="26" t="s">
        <v>177</v>
      </c>
      <c r="AH2" s="26" t="s">
        <v>178</v>
      </c>
      <c r="AI2" s="26" t="s">
        <v>179</v>
      </c>
      <c r="AJ2" s="26" t="s">
        <v>180</v>
      </c>
      <c r="AK2" s="26" t="s">
        <v>181</v>
      </c>
      <c r="AL2" s="11" t="s">
        <v>182</v>
      </c>
      <c r="AN2" s="70"/>
      <c r="AO2" s="162" t="s">
        <v>192</v>
      </c>
      <c r="AP2" s="164" t="s">
        <v>193</v>
      </c>
      <c r="AR2" s="78"/>
      <c r="AS2" s="52"/>
      <c r="AT2" s="51" t="s">
        <v>194</v>
      </c>
      <c r="AU2" s="11" t="s">
        <v>195</v>
      </c>
    </row>
    <row r="3" spans="1:51" ht="17.100000000000001" customHeight="1" thickTop="1" thickBot="1" x14ac:dyDescent="0.35">
      <c r="A3" s="113" t="str">
        <f t="shared" si="0"/>
        <v>rkatjddnr-7535</v>
      </c>
      <c r="B3" s="123" t="s">
        <v>15</v>
      </c>
      <c r="C3" s="124" t="s">
        <v>77</v>
      </c>
      <c r="D3" s="115" t="str">
        <f t="shared" si="1"/>
        <v>751109-1******</v>
      </c>
      <c r="E3" s="120">
        <f t="shared" si="2"/>
        <v>27707</v>
      </c>
      <c r="F3" s="115">
        <f t="shared" si="3"/>
        <v>1975</v>
      </c>
      <c r="G3" s="115">
        <f t="shared" si="4"/>
        <v>11</v>
      </c>
      <c r="H3" s="115">
        <f t="shared" si="5"/>
        <v>9</v>
      </c>
      <c r="I3" s="115">
        <f t="shared" ca="1" si="6"/>
        <v>43</v>
      </c>
      <c r="J3" s="124" t="str">
        <f t="shared" si="7"/>
        <v>남</v>
      </c>
      <c r="K3" s="115">
        <f t="shared" ca="1" si="8"/>
        <v>16035</v>
      </c>
      <c r="L3" s="125" t="s">
        <v>42</v>
      </c>
      <c r="M3" s="126" t="s">
        <v>113</v>
      </c>
      <c r="N3" s="113">
        <v>36214</v>
      </c>
      <c r="O3" s="115">
        <f t="shared" ca="1" si="9"/>
        <v>20</v>
      </c>
      <c r="P3" s="115">
        <f t="shared" ca="1" si="10"/>
        <v>7</v>
      </c>
      <c r="Q3" s="115">
        <f t="shared" ca="1" si="11"/>
        <v>11</v>
      </c>
      <c r="R3" s="127">
        <v>250060</v>
      </c>
      <c r="S3" s="143" t="str">
        <f t="shared" si="12"/>
        <v>일</v>
      </c>
      <c r="T3" s="140" t="str">
        <f>HLOOKUP(R3, 할인율!$C$1:$F$3,3,TRUE)</f>
        <v>PURE GOLD</v>
      </c>
      <c r="U3" s="128">
        <f ca="1">INDEX(할인율!$C$4:$F$9,MATCH(O3,할인율!$B$4:$B$9,1), MATCH(T3,할인율!$C$3:$F$3,0))</f>
        <v>0.35</v>
      </c>
      <c r="W3" s="12">
        <v>20</v>
      </c>
      <c r="X3" s="45">
        <f ca="1">COUNTIFS($I$2:$I$36,"&gt;="&amp;$W3,$I$2:$I$36,"&lt;"&amp;$W4, $J$2:$J$36,"="&amp;X$2)</f>
        <v>1</v>
      </c>
      <c r="Y3" s="49">
        <f ca="1">COUNTIFS($I$2:$I$36,"&gt;="&amp;$W3,$I$2:$I$36,"&lt;"&amp;$W4, $J$2:$J$36,"="&amp;Y$2)</f>
        <v>0</v>
      </c>
      <c r="AC3" s="161" t="s">
        <v>171</v>
      </c>
      <c r="AD3" s="173" t="s">
        <v>169</v>
      </c>
      <c r="AE3" s="27" t="s">
        <v>183</v>
      </c>
      <c r="AF3" s="63">
        <f>COUNTIFS($T$2:$T$36,"="&amp;$AC$3,$J$2:$J$36,"="&amp;$AD3,$S$2:$S$36,"="&amp;AF$2)</f>
        <v>2</v>
      </c>
      <c r="AG3" s="47">
        <f t="shared" ref="AG3:AL3" si="13">COUNTIFS($T$2:$T$36,"="&amp;$AC$3,$J$2:$J$36,"="&amp;$AD3,$S$2:$S$36,"="&amp;AG$2)</f>
        <v>0</v>
      </c>
      <c r="AH3" s="47">
        <f t="shared" si="13"/>
        <v>0</v>
      </c>
      <c r="AI3" s="47">
        <f t="shared" si="13"/>
        <v>0</v>
      </c>
      <c r="AJ3" s="47">
        <f t="shared" si="13"/>
        <v>0</v>
      </c>
      <c r="AK3" s="47">
        <f t="shared" si="13"/>
        <v>1</v>
      </c>
      <c r="AL3" s="27">
        <f t="shared" si="13"/>
        <v>1</v>
      </c>
      <c r="AN3" s="71"/>
      <c r="AO3" s="163"/>
      <c r="AP3" s="165"/>
      <c r="AR3" s="156" t="s">
        <v>190</v>
      </c>
      <c r="AS3" s="77" t="s">
        <v>203</v>
      </c>
      <c r="AT3" s="72">
        <f ca="1">_xlfn.MAXIFS($U$2:$U$36,$J$2:$J$36,"="&amp;$AR$3,$T$2:$T$36,"="&amp;$AS3)</f>
        <v>0.35</v>
      </c>
      <c r="AU3" s="73">
        <f ca="1">_xlfn.MINIFS($U$2:$U$36,$J$2:$J$36,"="&amp;$AR$3,$T$2:$T$36,"="&amp;$AS3)</f>
        <v>0.2</v>
      </c>
    </row>
    <row r="4" spans="1:51" ht="17.100000000000001" customHeight="1" thickTop="1" x14ac:dyDescent="0.3">
      <c r="A4" s="113" t="str">
        <f t="shared" si="0"/>
        <v>jjyylove-1793</v>
      </c>
      <c r="B4" s="123" t="s">
        <v>16</v>
      </c>
      <c r="C4" s="124" t="s">
        <v>78</v>
      </c>
      <c r="D4" s="115" t="str">
        <f t="shared" si="1"/>
        <v>820327-2******</v>
      </c>
      <c r="E4" s="120">
        <f t="shared" si="2"/>
        <v>30037</v>
      </c>
      <c r="F4" s="115">
        <f t="shared" si="3"/>
        <v>1982</v>
      </c>
      <c r="G4" s="115">
        <f t="shared" si="4"/>
        <v>3</v>
      </c>
      <c r="H4" s="115">
        <f t="shared" si="5"/>
        <v>27</v>
      </c>
      <c r="I4" s="115">
        <f t="shared" ca="1" si="6"/>
        <v>37</v>
      </c>
      <c r="J4" s="124" t="str">
        <f t="shared" si="7"/>
        <v>여</v>
      </c>
      <c r="K4" s="115">
        <f t="shared" ca="1" si="8"/>
        <v>13705</v>
      </c>
      <c r="L4" s="125" t="s">
        <v>43</v>
      </c>
      <c r="M4" s="126" t="s">
        <v>114</v>
      </c>
      <c r="N4" s="113">
        <v>40311</v>
      </c>
      <c r="O4" s="115">
        <f t="shared" ca="1" si="9"/>
        <v>9</v>
      </c>
      <c r="P4" s="115">
        <f t="shared" ca="1" si="10"/>
        <v>4</v>
      </c>
      <c r="Q4" s="115">
        <f t="shared" ca="1" si="11"/>
        <v>21</v>
      </c>
      <c r="R4" s="127">
        <v>6500</v>
      </c>
      <c r="S4" s="149" t="str">
        <f t="shared" si="12"/>
        <v>토</v>
      </c>
      <c r="T4" s="137" t="str">
        <f>HLOOKUP(R4, 할인율!$C$1:$F$3,3,TRUE)</f>
        <v>BRONZE</v>
      </c>
      <c r="U4" s="128">
        <f ca="1">INDEX(할인율!$C$4:$F$9,MATCH(O4,할인율!$B$4:$B$9,1), MATCH(T4,할인율!$C$3:$F$3,0))</f>
        <v>0.02</v>
      </c>
      <c r="W4" s="13">
        <v>30</v>
      </c>
      <c r="X4" s="24">
        <f ca="1">COUNTIFS($I$2:$I$36,"&gt;="&amp;$W4,$I$2:$I$36,"&lt;"&amp;$W5, $J$2:$J$36,"="&amp;X$2)</f>
        <v>10</v>
      </c>
      <c r="Y4" s="14">
        <f ca="1">COUNTIFS($I$2:$I$36,"&gt;="&amp;$W4,$I$2:$I$36,"&lt;"&amp;$W5, $J$2:$J$36,"="&amp;Y$2)</f>
        <v>10</v>
      </c>
      <c r="AC4" s="154"/>
      <c r="AD4" s="174"/>
      <c r="AE4" s="28" t="s">
        <v>185</v>
      </c>
      <c r="AF4" s="60">
        <f>SUMIFS($R$2:$R$36,$T$2:$T$36,"="&amp;$AC$3,$J$2:$J$36,"="&amp;$AD3,$S$2:$S$36,"="&amp;AF$2)</f>
        <v>464060</v>
      </c>
      <c r="AG4" s="48">
        <f t="shared" ref="AG4:AL4" si="14">SUMIFS($R$2:$R$36,$T$2:$T$36,"="&amp;$AC$3,$J$2:$J$36,"="&amp;$AD3,$S$2:$S$36,"="&amp;AG$2)</f>
        <v>0</v>
      </c>
      <c r="AH4" s="48">
        <f t="shared" si="14"/>
        <v>0</v>
      </c>
      <c r="AI4" s="48">
        <f t="shared" si="14"/>
        <v>0</v>
      </c>
      <c r="AJ4" s="48">
        <f t="shared" si="14"/>
        <v>0</v>
      </c>
      <c r="AK4" s="48">
        <f t="shared" si="14"/>
        <v>224100</v>
      </c>
      <c r="AL4" s="29">
        <f t="shared" si="14"/>
        <v>200500</v>
      </c>
      <c r="AN4" s="12" t="s">
        <v>190</v>
      </c>
      <c r="AO4" s="72">
        <f>_xlfn.MAXIFS($R$2:$R$36,$J$2:$J$36,"="&amp;$AN4)</f>
        <v>250060</v>
      </c>
      <c r="AP4" s="73">
        <f>_xlfn.MINIFS($R$2:$R$36,$J$2:$J$36,"="&amp;$AN4)</f>
        <v>400</v>
      </c>
      <c r="AR4" s="157"/>
      <c r="AS4" s="75" t="s">
        <v>204</v>
      </c>
      <c r="AT4" s="72">
        <f t="shared" ref="AT4:AT6" ca="1" si="15">_xlfn.MAXIFS($U$2:$U$36,$J$2:$J$36,"="&amp;$AR$3,$T$2:$T$36,"="&amp;$AS4)</f>
        <v>0.23</v>
      </c>
      <c r="AU4" s="73">
        <f t="shared" ref="AU4:AU6" ca="1" si="16">_xlfn.MINIFS($U$2:$U$36,$J$2:$J$36,"="&amp;$AR$3,$T$2:$T$36,"="&amp;$AS4)</f>
        <v>0.15</v>
      </c>
    </row>
    <row r="5" spans="1:51" ht="17.100000000000001" customHeight="1" thickBot="1" x14ac:dyDescent="0.35">
      <c r="A5" s="113" t="str">
        <f t="shared" si="0"/>
        <v>kjw8855-7896</v>
      </c>
      <c r="B5" s="123" t="s">
        <v>17</v>
      </c>
      <c r="C5" s="124" t="s">
        <v>79</v>
      </c>
      <c r="D5" s="115" t="str">
        <f t="shared" si="1"/>
        <v>880305-1******</v>
      </c>
      <c r="E5" s="120">
        <f t="shared" si="2"/>
        <v>32207</v>
      </c>
      <c r="F5" s="115">
        <f t="shared" si="3"/>
        <v>1988</v>
      </c>
      <c r="G5" s="115">
        <f t="shared" si="4"/>
        <v>3</v>
      </c>
      <c r="H5" s="115">
        <f t="shared" si="5"/>
        <v>5</v>
      </c>
      <c r="I5" s="115">
        <f t="shared" ca="1" si="6"/>
        <v>31</v>
      </c>
      <c r="J5" s="124" t="str">
        <f t="shared" si="7"/>
        <v>남</v>
      </c>
      <c r="K5" s="115">
        <f t="shared" ca="1" si="8"/>
        <v>11535</v>
      </c>
      <c r="L5" s="125" t="s">
        <v>44</v>
      </c>
      <c r="M5" s="126" t="s">
        <v>115</v>
      </c>
      <c r="N5" s="113">
        <v>40005</v>
      </c>
      <c r="O5" s="115">
        <f t="shared" ca="1" si="9"/>
        <v>10</v>
      </c>
      <c r="P5" s="115">
        <f t="shared" ca="1" si="10"/>
        <v>2</v>
      </c>
      <c r="Q5" s="115">
        <f t="shared" ca="1" si="11"/>
        <v>23</v>
      </c>
      <c r="R5" s="127">
        <v>143000</v>
      </c>
      <c r="S5" s="149" t="str">
        <f t="shared" si="12"/>
        <v>토</v>
      </c>
      <c r="T5" s="139" t="str">
        <f>HLOOKUP(R5, 할인율!$C$1:$F$3,3,TRUE)</f>
        <v>GOLD</v>
      </c>
      <c r="U5" s="128">
        <f ca="1">INDEX(할인율!$C$4:$F$9,MATCH(O5,할인율!$B$4:$B$9,1), MATCH(T5,할인율!$C$3:$F$3,0))</f>
        <v>0.2</v>
      </c>
      <c r="W5" s="15">
        <v>40</v>
      </c>
      <c r="X5" s="20">
        <f ca="1">COUNTIFS($I$2:$I$36,"&gt;="&amp;$W5,$J$2:$J$36,"="&amp;X$2)</f>
        <v>8</v>
      </c>
      <c r="Y5" s="43">
        <f ca="1">COUNTIFS($I$2:$I$36,"&gt;="&amp;$W5,$J$2:$J$36,"="&amp;Y$2)</f>
        <v>6</v>
      </c>
      <c r="AC5" s="154"/>
      <c r="AD5" s="175"/>
      <c r="AE5" s="30" t="s">
        <v>186</v>
      </c>
      <c r="AF5" s="64">
        <f ca="1">IFERROR(ROUND(AVERAGEIFS($U$2:$U$36,$T$2:$T$36,"="&amp;$AC$3,$J$2:$J$36,"="&amp;$AD3,$S$2:$S$36,"="&amp;AF$2),2),"-")</f>
        <v>0.3</v>
      </c>
      <c r="AG5" s="31" t="str">
        <f t="shared" ref="AG5:AL5" si="17">IFERROR(ROUND(AVERAGEIFS($U$2:$U$36,$T$2:$T$36,"="&amp;$AC$3,$J$2:$J$36,"="&amp;$AD3,$S$2:$S$36,"="&amp;AG$2),2),"-")</f>
        <v>-</v>
      </c>
      <c r="AH5" s="31" t="str">
        <f t="shared" si="17"/>
        <v>-</v>
      </c>
      <c r="AI5" s="31" t="str">
        <f t="shared" si="17"/>
        <v>-</v>
      </c>
      <c r="AJ5" s="31" t="str">
        <f t="shared" si="17"/>
        <v>-</v>
      </c>
      <c r="AK5" s="31">
        <f t="shared" ca="1" si="17"/>
        <v>0.3</v>
      </c>
      <c r="AL5" s="32">
        <f t="shared" ca="1" si="17"/>
        <v>0.2</v>
      </c>
      <c r="AN5" s="15" t="s">
        <v>191</v>
      </c>
      <c r="AO5" s="20">
        <f>_xlfn.MAXIFS($R$2:$R$36,$J$2:$J$36,"="&amp;$AN5)</f>
        <v>270100</v>
      </c>
      <c r="AP5" s="66">
        <f>_xlfn.MINIFS($R$2:$R$36,$J$2:$J$36,"="&amp;$AN5)</f>
        <v>2400</v>
      </c>
      <c r="AR5" s="157"/>
      <c r="AS5" s="75" t="s">
        <v>205</v>
      </c>
      <c r="AT5" s="72">
        <f t="shared" ca="1" si="15"/>
        <v>0.13</v>
      </c>
      <c r="AU5" s="73">
        <f t="shared" ca="1" si="16"/>
        <v>0.03</v>
      </c>
    </row>
    <row r="6" spans="1:51" ht="17.100000000000001" customHeight="1" thickTop="1" thickBot="1" x14ac:dyDescent="0.35">
      <c r="A6" s="113" t="str">
        <f t="shared" si="0"/>
        <v>ppororo2157-7412</v>
      </c>
      <c r="B6" s="123" t="s">
        <v>18</v>
      </c>
      <c r="C6" s="124" t="s">
        <v>80</v>
      </c>
      <c r="D6" s="115" t="str">
        <f t="shared" si="1"/>
        <v>750102-2******</v>
      </c>
      <c r="E6" s="120">
        <f t="shared" si="2"/>
        <v>27396</v>
      </c>
      <c r="F6" s="115">
        <f t="shared" si="3"/>
        <v>1975</v>
      </c>
      <c r="G6" s="115">
        <f t="shared" si="4"/>
        <v>1</v>
      </c>
      <c r="H6" s="115">
        <f t="shared" si="5"/>
        <v>2</v>
      </c>
      <c r="I6" s="115">
        <f t="shared" ca="1" si="6"/>
        <v>44</v>
      </c>
      <c r="J6" s="124" t="str">
        <f t="shared" si="7"/>
        <v>여</v>
      </c>
      <c r="K6" s="115">
        <f t="shared" ca="1" si="8"/>
        <v>16346</v>
      </c>
      <c r="L6" s="125" t="s">
        <v>45</v>
      </c>
      <c r="M6" s="126" t="s">
        <v>116</v>
      </c>
      <c r="N6" s="113">
        <v>40605</v>
      </c>
      <c r="O6" s="115">
        <f t="shared" ca="1" si="9"/>
        <v>8</v>
      </c>
      <c r="P6" s="115">
        <f t="shared" ca="1" si="10"/>
        <v>7</v>
      </c>
      <c r="Q6" s="115">
        <f t="shared" ca="1" si="11"/>
        <v>1</v>
      </c>
      <c r="R6" s="127">
        <v>186300</v>
      </c>
      <c r="S6" s="142" t="str">
        <f t="shared" si="12"/>
        <v>목</v>
      </c>
      <c r="T6" s="139" t="str">
        <f>HLOOKUP(R6, 할인율!$C$1:$F$3,3,TRUE)</f>
        <v>GOLD</v>
      </c>
      <c r="U6" s="128">
        <f ca="1">INDEX(할인율!$C$4:$F$9,MATCH(O6,할인율!$B$4:$B$9,1), MATCH(T6,할인율!$C$3:$F$3,0))</f>
        <v>0.15</v>
      </c>
      <c r="AC6" s="154"/>
      <c r="AD6" s="176" t="s">
        <v>170</v>
      </c>
      <c r="AE6" s="33" t="s">
        <v>183</v>
      </c>
      <c r="AF6" s="59">
        <f t="shared" ref="AF6:AL6" si="18">COUNTIFS($T$2:$T$36,"="&amp;$AC$3,$J$2:$J$36,"="&amp;$AD6,$S$2:$S$36,"="&amp;AF$2)</f>
        <v>1</v>
      </c>
      <c r="AG6" s="34">
        <f t="shared" si="18"/>
        <v>0</v>
      </c>
      <c r="AH6" s="34">
        <f t="shared" si="18"/>
        <v>0</v>
      </c>
      <c r="AI6" s="34">
        <f t="shared" si="18"/>
        <v>0</v>
      </c>
      <c r="AJ6" s="34">
        <f t="shared" si="18"/>
        <v>0</v>
      </c>
      <c r="AK6" s="34">
        <f t="shared" si="18"/>
        <v>1</v>
      </c>
      <c r="AL6" s="33">
        <f t="shared" si="18"/>
        <v>1</v>
      </c>
      <c r="AR6" s="158"/>
      <c r="AS6" s="79" t="s">
        <v>206</v>
      </c>
      <c r="AT6" s="96">
        <f t="shared" ca="1" si="15"/>
        <v>0</v>
      </c>
      <c r="AU6" s="97">
        <f t="shared" ca="1" si="16"/>
        <v>0</v>
      </c>
    </row>
    <row r="7" spans="1:51" ht="17.100000000000001" customHeight="1" thickTop="1" thickBot="1" x14ac:dyDescent="0.35">
      <c r="A7" s="113" t="str">
        <f t="shared" si="0"/>
        <v>hhphhp-4123</v>
      </c>
      <c r="B7" s="123" t="s">
        <v>19</v>
      </c>
      <c r="C7" s="124" t="s">
        <v>81</v>
      </c>
      <c r="D7" s="115" t="str">
        <f t="shared" si="1"/>
        <v>900615-1******</v>
      </c>
      <c r="E7" s="120">
        <f t="shared" si="2"/>
        <v>33039</v>
      </c>
      <c r="F7" s="115">
        <f t="shared" si="3"/>
        <v>1990</v>
      </c>
      <c r="G7" s="115">
        <f t="shared" si="4"/>
        <v>6</v>
      </c>
      <c r="H7" s="115">
        <f t="shared" si="5"/>
        <v>15</v>
      </c>
      <c r="I7" s="115">
        <f t="shared" ca="1" si="6"/>
        <v>29</v>
      </c>
      <c r="J7" s="124" t="str">
        <f t="shared" si="7"/>
        <v>남</v>
      </c>
      <c r="K7" s="115">
        <f t="shared" ca="1" si="8"/>
        <v>10703</v>
      </c>
      <c r="L7" s="125" t="s">
        <v>46</v>
      </c>
      <c r="M7" s="126" t="s">
        <v>117</v>
      </c>
      <c r="N7" s="113">
        <v>43475</v>
      </c>
      <c r="O7" s="115">
        <f t="shared" ca="1" si="9"/>
        <v>0</v>
      </c>
      <c r="P7" s="115">
        <f t="shared" ca="1" si="10"/>
        <v>8</v>
      </c>
      <c r="Q7" s="115">
        <f t="shared" ca="1" si="11"/>
        <v>24</v>
      </c>
      <c r="R7" s="127">
        <v>400</v>
      </c>
      <c r="S7" s="147" t="str">
        <f t="shared" si="12"/>
        <v>금</v>
      </c>
      <c r="T7" s="137" t="str">
        <f>HLOOKUP(R7, 할인율!$C$1:$F$3,3,TRUE)</f>
        <v>BRONZE</v>
      </c>
      <c r="U7" s="128">
        <f ca="1">INDEX(할인율!$C$4:$F$9,MATCH(O7,할인율!$B$4:$B$9,1), MATCH(T7,할인율!$C$3:$F$3,0))</f>
        <v>0</v>
      </c>
      <c r="W7" s="18"/>
      <c r="X7" s="169" t="s">
        <v>169</v>
      </c>
      <c r="Y7" s="170"/>
      <c r="Z7" s="171" t="s">
        <v>170</v>
      </c>
      <c r="AA7" s="172"/>
      <c r="AC7" s="154"/>
      <c r="AD7" s="177"/>
      <c r="AE7" s="28" t="s">
        <v>185</v>
      </c>
      <c r="AF7" s="60">
        <f t="shared" ref="AF7:AL7" si="19">SUMIFS($R$2:$R$36,$T$2:$T$36,"="&amp;$AC$3,$J$2:$J$36,"="&amp;$AD6,$S$2:$S$36,"="&amp;AF$2)</f>
        <v>210300</v>
      </c>
      <c r="AG7" s="48">
        <f t="shared" si="19"/>
        <v>0</v>
      </c>
      <c r="AH7" s="48">
        <f t="shared" si="19"/>
        <v>0</v>
      </c>
      <c r="AI7" s="48">
        <f t="shared" si="19"/>
        <v>0</v>
      </c>
      <c r="AJ7" s="48">
        <f t="shared" si="19"/>
        <v>0</v>
      </c>
      <c r="AK7" s="48">
        <f t="shared" si="19"/>
        <v>221000</v>
      </c>
      <c r="AL7" s="29">
        <f t="shared" si="19"/>
        <v>270100</v>
      </c>
      <c r="AN7" s="9"/>
      <c r="AO7" s="74" t="s">
        <v>194</v>
      </c>
      <c r="AP7" s="11" t="s">
        <v>195</v>
      </c>
      <c r="AR7" s="159" t="s">
        <v>191</v>
      </c>
      <c r="AS7" s="77" t="s">
        <v>203</v>
      </c>
      <c r="AT7" s="98">
        <f ca="1">_xlfn.MAXIFS($U$2:$U$36,$J$2:$J$36,"="&amp;$AR$7,$T$2:$T$36,"="&amp;$AS7)</f>
        <v>0.3</v>
      </c>
      <c r="AU7" s="88">
        <f ca="1">_xlfn.MINIFS($U$2:$U$36,$J$2:$J$36,"="&amp;$AR$7,$T$2:$T$36,"="&amp;$AS7)</f>
        <v>0.25</v>
      </c>
    </row>
    <row r="8" spans="1:51" ht="17.100000000000001" customHeight="1" thickTop="1" thickBot="1" x14ac:dyDescent="0.35">
      <c r="A8" s="113" t="str">
        <f t="shared" si="0"/>
        <v>luvsi123-5213</v>
      </c>
      <c r="B8" s="123" t="s">
        <v>20</v>
      </c>
      <c r="C8" s="124" t="s">
        <v>82</v>
      </c>
      <c r="D8" s="115" t="str">
        <f t="shared" si="1"/>
        <v>860319-2******</v>
      </c>
      <c r="E8" s="120">
        <f t="shared" si="2"/>
        <v>31490</v>
      </c>
      <c r="F8" s="115">
        <f t="shared" si="3"/>
        <v>1986</v>
      </c>
      <c r="G8" s="115">
        <f t="shared" si="4"/>
        <v>3</v>
      </c>
      <c r="H8" s="115">
        <f t="shared" si="5"/>
        <v>19</v>
      </c>
      <c r="I8" s="115">
        <f t="shared" ca="1" si="6"/>
        <v>33</v>
      </c>
      <c r="J8" s="124" t="str">
        <f t="shared" si="7"/>
        <v>여</v>
      </c>
      <c r="K8" s="115">
        <f t="shared" ca="1" si="8"/>
        <v>12252</v>
      </c>
      <c r="L8" s="125" t="s">
        <v>47</v>
      </c>
      <c r="M8" s="126" t="s">
        <v>118</v>
      </c>
      <c r="N8" s="113">
        <v>39273</v>
      </c>
      <c r="O8" s="115">
        <f t="shared" ca="1" si="9"/>
        <v>12</v>
      </c>
      <c r="P8" s="115">
        <f t="shared" ca="1" si="10"/>
        <v>2</v>
      </c>
      <c r="Q8" s="115">
        <f t="shared" ca="1" si="11"/>
        <v>24</v>
      </c>
      <c r="R8" s="127">
        <v>168000</v>
      </c>
      <c r="S8" s="146" t="str">
        <f t="shared" si="12"/>
        <v>수</v>
      </c>
      <c r="T8" s="139" t="str">
        <f>HLOOKUP(R8, 할인율!$C$1:$F$3,3,TRUE)</f>
        <v>GOLD</v>
      </c>
      <c r="U8" s="128">
        <f ca="1">INDEX(할인율!$C$4:$F$9,MATCH(O8,할인율!$B$4:$B$9,1), MATCH(T8,할인율!$C$3:$F$3,0))</f>
        <v>0.2</v>
      </c>
      <c r="W8" s="19"/>
      <c r="X8" s="20" t="s">
        <v>174</v>
      </c>
      <c r="Y8" s="21" t="s">
        <v>175</v>
      </c>
      <c r="Z8" s="16" t="s">
        <v>174</v>
      </c>
      <c r="AA8" s="17" t="s">
        <v>175</v>
      </c>
      <c r="AC8" s="154"/>
      <c r="AD8" s="177"/>
      <c r="AE8" s="35" t="s">
        <v>186</v>
      </c>
      <c r="AF8" s="61">
        <f t="shared" ref="AF8:AL8" ca="1" si="20">IFERROR(ROUND(AVERAGEIFS($U$2:$U$36,$T$2:$T$36,"="&amp;$AC$3,$J$2:$J$36,"="&amp;$AD6,$S$2:$S$36,"="&amp;AF$2),2),"-")</f>
        <v>0.25</v>
      </c>
      <c r="AG8" s="36" t="str">
        <f t="shared" si="20"/>
        <v>-</v>
      </c>
      <c r="AH8" s="36" t="str">
        <f t="shared" si="20"/>
        <v>-</v>
      </c>
      <c r="AI8" s="36" t="str">
        <f t="shared" si="20"/>
        <v>-</v>
      </c>
      <c r="AJ8" s="36" t="str">
        <f t="shared" si="20"/>
        <v>-</v>
      </c>
      <c r="AK8" s="36">
        <f t="shared" ca="1" si="20"/>
        <v>0.3</v>
      </c>
      <c r="AL8" s="37">
        <f t="shared" ca="1" si="20"/>
        <v>0.25</v>
      </c>
      <c r="AN8" s="12" t="s">
        <v>196</v>
      </c>
      <c r="AO8" s="45">
        <f ca="1">_xlfn.MAXIFS($U$2:$U$36,$S$2:$S$36, "="&amp;$AN8)</f>
        <v>0.35</v>
      </c>
      <c r="AP8" s="83">
        <f ca="1">_xlfn.MINIFS($U$2:$U$36,$S$2:$S$36, "="&amp;$AN8)</f>
        <v>0</v>
      </c>
      <c r="AR8" s="157"/>
      <c r="AS8" s="75" t="s">
        <v>204</v>
      </c>
      <c r="AT8" s="89">
        <f t="shared" ref="AT8:AT10" ca="1" si="21">_xlfn.MAXIFS($U$2:$U$36,$J$2:$J$36,"="&amp;$AR$7,$T$2:$T$36,"="&amp;$AS8)</f>
        <v>0.2</v>
      </c>
      <c r="AU8" s="73">
        <f t="shared" ref="AU8:AU10" ca="1" si="22">_xlfn.MINIFS($U$2:$U$36,$J$2:$J$36,"="&amp;$AR$7,$T$2:$T$36,"="&amp;$AS8)</f>
        <v>0.1</v>
      </c>
    </row>
    <row r="9" spans="1:51" ht="17.100000000000001" customHeight="1" thickTop="1" x14ac:dyDescent="0.3">
      <c r="A9" s="113" t="str">
        <f t="shared" si="0"/>
        <v>angelyu-9635</v>
      </c>
      <c r="B9" s="123" t="s">
        <v>21</v>
      </c>
      <c r="C9" s="124" t="s">
        <v>83</v>
      </c>
      <c r="D9" s="115" t="str">
        <f t="shared" si="1"/>
        <v>740914-2******</v>
      </c>
      <c r="E9" s="120">
        <f t="shared" si="2"/>
        <v>27286</v>
      </c>
      <c r="F9" s="115">
        <f t="shared" si="3"/>
        <v>1974</v>
      </c>
      <c r="G9" s="115">
        <f t="shared" si="4"/>
        <v>9</v>
      </c>
      <c r="H9" s="115">
        <f t="shared" si="5"/>
        <v>14</v>
      </c>
      <c r="I9" s="115">
        <f t="shared" ca="1" si="6"/>
        <v>45</v>
      </c>
      <c r="J9" s="124" t="str">
        <f t="shared" si="7"/>
        <v>여</v>
      </c>
      <c r="K9" s="115">
        <f t="shared" ca="1" si="8"/>
        <v>16456</v>
      </c>
      <c r="L9" s="125" t="s">
        <v>48</v>
      </c>
      <c r="M9" s="126" t="s">
        <v>119</v>
      </c>
      <c r="N9" s="113">
        <v>38731</v>
      </c>
      <c r="O9" s="115">
        <f t="shared" ca="1" si="9"/>
        <v>13</v>
      </c>
      <c r="P9" s="115">
        <f t="shared" ca="1" si="10"/>
        <v>8</v>
      </c>
      <c r="Q9" s="115">
        <f t="shared" ca="1" si="11"/>
        <v>20</v>
      </c>
      <c r="R9" s="127">
        <v>270100</v>
      </c>
      <c r="S9" s="149" t="str">
        <f t="shared" si="12"/>
        <v>토</v>
      </c>
      <c r="T9" s="140" t="str">
        <f>HLOOKUP(R9, 할인율!$C$1:$F$3,3,TRUE)</f>
        <v>PURE GOLD</v>
      </c>
      <c r="U9" s="128">
        <f ca="1">INDEX(할인율!$C$4:$F$9,MATCH(O9,할인율!$B$4:$B$9,1), MATCH(T9,할인율!$C$3:$F$3,0))</f>
        <v>0.25</v>
      </c>
      <c r="W9" s="22" t="s">
        <v>171</v>
      </c>
      <c r="X9" s="45">
        <f>SUMIFS($R$2:$R$36,$T$2:$T$36,"="&amp;$W9,$J$2:$J$36,"="&amp;X$7)</f>
        <v>888660</v>
      </c>
      <c r="Y9" s="53">
        <f ca="1">IFERROR(ROUND(AVERAGEIFS($U$2:$U$36,$T$2:$T$36,"="&amp;$W9,$J$2:$J$36,"="&amp;X$7),2),"-")</f>
        <v>0.28000000000000003</v>
      </c>
      <c r="Z9" s="56">
        <f>SUMIFS($R$2:$R$36,$T$2:$T$36,"="&amp;$W9,$J$2:$J$36,"="&amp;Z$7)</f>
        <v>701400</v>
      </c>
      <c r="AA9" s="49">
        <f ca="1">IFERROR(ROUND(AVERAGEIFS($U$2:$U$36,$T$2:$T$36,"="&amp;$W9,$J$2:$J$36,"="&amp;Z$7),2),"-")</f>
        <v>0.27</v>
      </c>
      <c r="AC9" s="152" t="s">
        <v>172</v>
      </c>
      <c r="AD9" s="178" t="s">
        <v>169</v>
      </c>
      <c r="AE9" s="38" t="s">
        <v>183</v>
      </c>
      <c r="AF9" s="65">
        <f>COUNTIFS($T$2:$T$36,"="&amp;$AC$9,$J$2:$J$36,"="&amp;$AD9,$S$2:$S$36,"="&amp;AF$2)</f>
        <v>0</v>
      </c>
      <c r="AG9" s="39">
        <f t="shared" ref="AG9:AL9" si="23">COUNTIFS($T$2:$T$36,"="&amp;$AC$9,$J$2:$J$36,"="&amp;$AD9,$S$2:$S$36,"="&amp;AG$2)</f>
        <v>1</v>
      </c>
      <c r="AH9" s="39">
        <f t="shared" si="23"/>
        <v>2</v>
      </c>
      <c r="AI9" s="39">
        <f t="shared" si="23"/>
        <v>1</v>
      </c>
      <c r="AJ9" s="39">
        <f t="shared" si="23"/>
        <v>1</v>
      </c>
      <c r="AK9" s="39">
        <f t="shared" si="23"/>
        <v>1</v>
      </c>
      <c r="AL9" s="38">
        <f t="shared" si="23"/>
        <v>1</v>
      </c>
      <c r="AN9" s="13" t="s">
        <v>197</v>
      </c>
      <c r="AO9" s="89">
        <f t="shared" ref="AO9:AO14" ca="1" si="24">_xlfn.MAXIFS($U$2:$U$36,$S$2:$S$36, "="&amp;$AN9)</f>
        <v>0.15</v>
      </c>
      <c r="AP9" s="73">
        <f t="shared" ref="AP9:AP14" ca="1" si="25">_xlfn.MINIFS($U$2:$U$36,$S$2:$S$36, "="&amp;$AN9)</f>
        <v>0.04</v>
      </c>
      <c r="AR9" s="157"/>
      <c r="AS9" s="75" t="s">
        <v>205</v>
      </c>
      <c r="AT9" s="89">
        <f t="shared" ca="1" si="21"/>
        <v>0.1</v>
      </c>
      <c r="AU9" s="73">
        <f t="shared" ca="1" si="22"/>
        <v>0.05</v>
      </c>
    </row>
    <row r="10" spans="1:51" ht="17.100000000000001" customHeight="1" thickBot="1" x14ac:dyDescent="0.35">
      <c r="A10" s="113" t="str">
        <f t="shared" si="0"/>
        <v>teakjjingg-4613</v>
      </c>
      <c r="B10" s="123" t="s">
        <v>22</v>
      </c>
      <c r="C10" s="124" t="s">
        <v>84</v>
      </c>
      <c r="D10" s="115" t="str">
        <f t="shared" si="1"/>
        <v>800729-1******</v>
      </c>
      <c r="E10" s="120">
        <f t="shared" si="2"/>
        <v>29431</v>
      </c>
      <c r="F10" s="115">
        <f t="shared" si="3"/>
        <v>1980</v>
      </c>
      <c r="G10" s="115">
        <f t="shared" si="4"/>
        <v>7</v>
      </c>
      <c r="H10" s="115">
        <f t="shared" si="5"/>
        <v>29</v>
      </c>
      <c r="I10" s="115">
        <f t="shared" ca="1" si="6"/>
        <v>39</v>
      </c>
      <c r="J10" s="124" t="str">
        <f t="shared" si="7"/>
        <v>남</v>
      </c>
      <c r="K10" s="115">
        <f t="shared" ca="1" si="8"/>
        <v>14311</v>
      </c>
      <c r="L10" s="125" t="s">
        <v>49</v>
      </c>
      <c r="M10" s="126" t="s">
        <v>120</v>
      </c>
      <c r="N10" s="113">
        <v>41245</v>
      </c>
      <c r="O10" s="115">
        <f t="shared" ca="1" si="9"/>
        <v>6</v>
      </c>
      <c r="P10" s="115">
        <f t="shared" ca="1" si="10"/>
        <v>10</v>
      </c>
      <c r="Q10" s="115">
        <f t="shared" ca="1" si="11"/>
        <v>2</v>
      </c>
      <c r="R10" s="127">
        <v>199000</v>
      </c>
      <c r="S10" s="145" t="str">
        <f t="shared" si="12"/>
        <v>화</v>
      </c>
      <c r="T10" s="139" t="str">
        <f>HLOOKUP(R10, 할인율!$C$1:$F$3,3,TRUE)</f>
        <v>GOLD</v>
      </c>
      <c r="U10" s="128">
        <f ca="1">INDEX(할인율!$C$4:$F$9,MATCH(O10,할인율!$B$4:$B$9,1), MATCH(T10,할인율!$C$3:$F$3,0))</f>
        <v>0.15</v>
      </c>
      <c r="W10" s="23" t="s">
        <v>172</v>
      </c>
      <c r="X10" s="24">
        <f>SUMIFS($R$2:$R$36,$T$2:$T$36,"="&amp;$W10,$J$2:$J$36,"="&amp;X$7)</f>
        <v>1147250</v>
      </c>
      <c r="Y10" s="54">
        <f ca="1">IFERROR(ROUND(AVERAGEIFS($U$2:$U$36,$T$2:$T$36,"="&amp;$W10,$J$2:$J$36,"="&amp;X$7),2),"-")</f>
        <v>0.18</v>
      </c>
      <c r="Z10" s="57">
        <f>SUMIFS($R$2:$R$36,$T$2:$T$36,"="&amp;$W10,$J$2:$J$36,"="&amp;Z$7)</f>
        <v>836800</v>
      </c>
      <c r="AA10" s="14">
        <f ca="1">IFERROR(ROUND(AVERAGEIFS($U$2:$U$36,$T$2:$T$36,"="&amp;$W10,$J$2:$J$36,"="&amp;Z$7),2),"-")</f>
        <v>0.17</v>
      </c>
      <c r="AC10" s="154"/>
      <c r="AD10" s="177"/>
      <c r="AE10" s="28" t="s">
        <v>185</v>
      </c>
      <c r="AF10" s="60">
        <f>SUMIFS($R$2:$R$36,$T$2:$T$36,"="&amp;$AC$9,$J$2:$J$36,"="&amp;$AD9,$S$2:$S$36,"="&amp;AF$2)</f>
        <v>0</v>
      </c>
      <c r="AG10" s="48">
        <f t="shared" ref="AG10:AL10" si="26">SUMIFS($R$2:$R$36,$T$2:$T$36,"="&amp;$AC$9,$J$2:$J$36,"="&amp;$AD9,$S$2:$S$36,"="&amp;AG$2)</f>
        <v>193000</v>
      </c>
      <c r="AH10" s="48">
        <f t="shared" si="26"/>
        <v>353000</v>
      </c>
      <c r="AI10" s="48">
        <f t="shared" si="26"/>
        <v>147600</v>
      </c>
      <c r="AJ10" s="48">
        <f t="shared" si="26"/>
        <v>123650</v>
      </c>
      <c r="AK10" s="48">
        <f t="shared" si="26"/>
        <v>187000</v>
      </c>
      <c r="AL10" s="29">
        <f t="shared" si="26"/>
        <v>143000</v>
      </c>
      <c r="AN10" s="13" t="s">
        <v>198</v>
      </c>
      <c r="AO10" s="89">
        <f t="shared" ca="1" si="24"/>
        <v>0.2</v>
      </c>
      <c r="AP10" s="73">
        <f t="shared" ca="1" si="25"/>
        <v>0</v>
      </c>
      <c r="AR10" s="160"/>
      <c r="AS10" s="76" t="s">
        <v>206</v>
      </c>
      <c r="AT10" s="93">
        <f t="shared" ca="1" si="21"/>
        <v>0.04</v>
      </c>
      <c r="AU10" s="90">
        <f t="shared" ca="1" si="22"/>
        <v>0</v>
      </c>
    </row>
    <row r="11" spans="1:51" ht="17.100000000000001" customHeight="1" thickTop="1" thickBot="1" x14ac:dyDescent="0.35">
      <c r="A11" s="113" t="str">
        <f t="shared" si="0"/>
        <v>jangjangjw-3152</v>
      </c>
      <c r="B11" s="123" t="s">
        <v>23</v>
      </c>
      <c r="C11" s="124" t="s">
        <v>85</v>
      </c>
      <c r="D11" s="115" t="str">
        <f t="shared" si="1"/>
        <v>701212-1******</v>
      </c>
      <c r="E11" s="120">
        <f t="shared" si="2"/>
        <v>25914</v>
      </c>
      <c r="F11" s="115">
        <f t="shared" si="3"/>
        <v>1970</v>
      </c>
      <c r="G11" s="115">
        <f t="shared" si="4"/>
        <v>12</v>
      </c>
      <c r="H11" s="115">
        <f t="shared" si="5"/>
        <v>12</v>
      </c>
      <c r="I11" s="115">
        <f t="shared" ca="1" si="6"/>
        <v>48</v>
      </c>
      <c r="J11" s="124" t="str">
        <f t="shared" si="7"/>
        <v>남</v>
      </c>
      <c r="K11" s="115">
        <f t="shared" ca="1" si="8"/>
        <v>17828</v>
      </c>
      <c r="L11" s="125" t="s">
        <v>50</v>
      </c>
      <c r="M11" s="126" t="s">
        <v>121</v>
      </c>
      <c r="N11" s="113">
        <v>41365</v>
      </c>
      <c r="O11" s="115">
        <f t="shared" ca="1" si="9"/>
        <v>6</v>
      </c>
      <c r="P11" s="115">
        <f t="shared" ca="1" si="10"/>
        <v>6</v>
      </c>
      <c r="Q11" s="115">
        <f t="shared" ca="1" si="11"/>
        <v>3</v>
      </c>
      <c r="R11" s="127">
        <v>200500</v>
      </c>
      <c r="S11" s="149" t="str">
        <f t="shared" si="12"/>
        <v>토</v>
      </c>
      <c r="T11" s="140" t="str">
        <f>HLOOKUP(R11, 할인율!$C$1:$F$3,3,TRUE)</f>
        <v>PURE GOLD</v>
      </c>
      <c r="U11" s="128">
        <f ca="1">INDEX(할인율!$C$4:$F$9,MATCH(O11,할인율!$B$4:$B$9,1), MATCH(T11,할인율!$C$3:$F$3,0))</f>
        <v>0.2</v>
      </c>
      <c r="W11" s="23" t="s">
        <v>184</v>
      </c>
      <c r="X11" s="24">
        <f>SUMIFS($R$2:$R$36,$T$2:$T$36,"="&amp;$W11,$J$2:$J$36,"="&amp;X$7)</f>
        <v>268300</v>
      </c>
      <c r="Y11" s="54">
        <f ca="1">IFERROR(ROUND(AVERAGEIFS($U$2:$U$36,$T$2:$T$36,"="&amp;$W11,$J$2:$J$36,"="&amp;X$7),2),"-")</f>
        <v>0.08</v>
      </c>
      <c r="Z11" s="57">
        <f>SUMIFS($R$2:$R$36,$T$2:$T$36,"="&amp;$W11,$J$2:$J$36,"="&amp;Z$7)</f>
        <v>202900</v>
      </c>
      <c r="AA11" s="14">
        <f ca="1">IFERROR(ROUND(AVERAGEIFS($U$2:$U$36,$T$2:$T$36,"="&amp;$W11,$J$2:$J$36,"="&amp;Z$7),2),"-")</f>
        <v>7.0000000000000007E-2</v>
      </c>
      <c r="AC11" s="154"/>
      <c r="AD11" s="179"/>
      <c r="AE11" s="30" t="s">
        <v>186</v>
      </c>
      <c r="AF11" s="64" t="str">
        <f>IFERROR(ROUND(AVERAGEIFS($U$2:$U$36,$T$2:$T$36,"="&amp;$AC$9,$J$2:$J$36,"="&amp;$AD9,$S$2:$S$36,"="&amp;AF$2),2),"-")</f>
        <v>-</v>
      </c>
      <c r="AG11" s="31">
        <f t="shared" ref="AG11:AL11" ca="1" si="27">IFERROR(ROUND(AVERAGEIFS($U$2:$U$36,$T$2:$T$36,"="&amp;$AC$9,$J$2:$J$36,"="&amp;$AD9,$S$2:$S$36,"="&amp;AG$2),2),"-")</f>
        <v>0.15</v>
      </c>
      <c r="AH11" s="31">
        <f t="shared" ca="1" si="27"/>
        <v>0.18</v>
      </c>
      <c r="AI11" s="31">
        <f t="shared" ca="1" si="27"/>
        <v>0.15</v>
      </c>
      <c r="AJ11" s="31">
        <f t="shared" ca="1" si="27"/>
        <v>0.23</v>
      </c>
      <c r="AK11" s="31">
        <f t="shared" ca="1" si="27"/>
        <v>0.2</v>
      </c>
      <c r="AL11" s="32">
        <f t="shared" ca="1" si="27"/>
        <v>0.2</v>
      </c>
      <c r="AN11" s="13" t="s">
        <v>199</v>
      </c>
      <c r="AO11" s="89">
        <f t="shared" ca="1" si="24"/>
        <v>0.2</v>
      </c>
      <c r="AP11" s="73">
        <f t="shared" ca="1" si="25"/>
        <v>0.08</v>
      </c>
    </row>
    <row r="12" spans="1:51" ht="17.100000000000001" customHeight="1" thickTop="1" thickBot="1" x14ac:dyDescent="0.35">
      <c r="A12" s="113" t="str">
        <f t="shared" si="0"/>
        <v>doldolhkh555-8293</v>
      </c>
      <c r="B12" s="123" t="s">
        <v>24</v>
      </c>
      <c r="C12" s="124" t="s">
        <v>86</v>
      </c>
      <c r="D12" s="115" t="str">
        <f t="shared" si="1"/>
        <v>760412-2******</v>
      </c>
      <c r="E12" s="120">
        <f t="shared" si="2"/>
        <v>27862</v>
      </c>
      <c r="F12" s="115">
        <f t="shared" si="3"/>
        <v>1976</v>
      </c>
      <c r="G12" s="115">
        <f t="shared" si="4"/>
        <v>4</v>
      </c>
      <c r="H12" s="115">
        <f t="shared" si="5"/>
        <v>12</v>
      </c>
      <c r="I12" s="115">
        <f t="shared" ca="1" si="6"/>
        <v>43</v>
      </c>
      <c r="J12" s="124" t="str">
        <f t="shared" si="7"/>
        <v>여</v>
      </c>
      <c r="K12" s="115">
        <f t="shared" ca="1" si="8"/>
        <v>15880</v>
      </c>
      <c r="L12" s="125" t="s">
        <v>51</v>
      </c>
      <c r="M12" s="126" t="s">
        <v>122</v>
      </c>
      <c r="N12" s="113">
        <v>36558</v>
      </c>
      <c r="O12" s="115">
        <f t="shared" ca="1" si="9"/>
        <v>19</v>
      </c>
      <c r="P12" s="115">
        <f t="shared" ca="1" si="10"/>
        <v>8</v>
      </c>
      <c r="Q12" s="115">
        <f t="shared" ca="1" si="11"/>
        <v>2</v>
      </c>
      <c r="R12" s="127">
        <v>3700</v>
      </c>
      <c r="S12" s="144" t="str">
        <f t="shared" si="12"/>
        <v>월</v>
      </c>
      <c r="T12" s="137" t="str">
        <f>HLOOKUP(R12, 할인율!$C$1:$F$3,3,TRUE)</f>
        <v>BRONZE</v>
      </c>
      <c r="U12" s="128">
        <f ca="1">INDEX(할인율!$C$4:$F$9,MATCH(O12,할인율!$B$4:$B$9,1), MATCH(T12,할인율!$C$3:$F$3,0))</f>
        <v>0.04</v>
      </c>
      <c r="W12" s="19" t="s">
        <v>173</v>
      </c>
      <c r="X12" s="20">
        <f>SUMIFS($R$2:$R$36,$T$2:$T$36,"="&amp;$W12,$J$2:$J$36,"="&amp;X$7)</f>
        <v>9600</v>
      </c>
      <c r="Y12" s="55">
        <f ca="1">IFERROR(ROUND(AVERAGEIFS($U$2:$U$36,$T$2:$T$36,"="&amp;$W12,$J$2:$J$36,"="&amp;X$7),2),"-")</f>
        <v>0</v>
      </c>
      <c r="Z12" s="58">
        <f>SUMIFS($R$2:$R$36,$T$2:$T$36,"="&amp;$W12,$J$2:$J$36,"="&amp;Z$7)</f>
        <v>12600</v>
      </c>
      <c r="AA12" s="46">
        <f ca="1">IFERROR(ROUND(AVERAGEIFS($U$2:$U$36,$T$2:$T$36,"="&amp;$W12,$J$2:$J$36,"="&amp;Z$7),2),"-")</f>
        <v>0.02</v>
      </c>
      <c r="AC12" s="154"/>
      <c r="AD12" s="176" t="s">
        <v>170</v>
      </c>
      <c r="AE12" s="33" t="s">
        <v>183</v>
      </c>
      <c r="AF12" s="59">
        <f>COUNTIFS($T$2:$T$36,"="&amp;$AC$9,$J$2:$J$36,"="&amp;$AD12,$S$2:$S$36,"="&amp;AF$2)</f>
        <v>0</v>
      </c>
      <c r="AG12" s="34">
        <f t="shared" ref="AG12:AL12" si="28">COUNTIFS($T$2:$T$36,"="&amp;$AC$9,$J$2:$J$36,"="&amp;$AD12,$S$2:$S$36,"="&amp;AG$2)</f>
        <v>0</v>
      </c>
      <c r="AH12" s="34">
        <f t="shared" si="28"/>
        <v>2</v>
      </c>
      <c r="AI12" s="34">
        <f t="shared" si="28"/>
        <v>1</v>
      </c>
      <c r="AJ12" s="34">
        <f t="shared" si="28"/>
        <v>2</v>
      </c>
      <c r="AK12" s="34">
        <f t="shared" si="28"/>
        <v>0</v>
      </c>
      <c r="AL12" s="33">
        <f t="shared" si="28"/>
        <v>1</v>
      </c>
      <c r="AN12" s="13" t="s">
        <v>200</v>
      </c>
      <c r="AO12" s="89">
        <f t="shared" ca="1" si="24"/>
        <v>0.23</v>
      </c>
      <c r="AP12" s="73">
        <f t="shared" ca="1" si="25"/>
        <v>0.03</v>
      </c>
      <c r="AR12" s="81"/>
      <c r="AS12" s="82"/>
      <c r="AT12" s="166">
        <v>20</v>
      </c>
      <c r="AU12" s="167"/>
      <c r="AV12" s="167">
        <v>30</v>
      </c>
      <c r="AW12" s="167"/>
      <c r="AX12" s="167">
        <v>40</v>
      </c>
      <c r="AY12" s="168"/>
    </row>
    <row r="13" spans="1:51" ht="17.100000000000001" customHeight="1" thickTop="1" thickBot="1" x14ac:dyDescent="0.35">
      <c r="A13" s="113" t="str">
        <f t="shared" si="0"/>
        <v>scforever88-1599</v>
      </c>
      <c r="B13" s="123" t="s">
        <v>25</v>
      </c>
      <c r="C13" s="124" t="s">
        <v>87</v>
      </c>
      <c r="D13" s="115" t="str">
        <f t="shared" si="1"/>
        <v>880202-2******</v>
      </c>
      <c r="E13" s="120">
        <f t="shared" si="2"/>
        <v>32175</v>
      </c>
      <c r="F13" s="115">
        <f t="shared" si="3"/>
        <v>1988</v>
      </c>
      <c r="G13" s="115">
        <f t="shared" si="4"/>
        <v>2</v>
      </c>
      <c r="H13" s="115">
        <f t="shared" si="5"/>
        <v>2</v>
      </c>
      <c r="I13" s="115">
        <f t="shared" ca="1" si="6"/>
        <v>31</v>
      </c>
      <c r="J13" s="124" t="str">
        <f t="shared" si="7"/>
        <v>여</v>
      </c>
      <c r="K13" s="115">
        <f t="shared" ca="1" si="8"/>
        <v>11567</v>
      </c>
      <c r="L13" s="125" t="s">
        <v>52</v>
      </c>
      <c r="M13" s="126" t="s">
        <v>123</v>
      </c>
      <c r="N13" s="113">
        <v>39676</v>
      </c>
      <c r="O13" s="115">
        <f t="shared" ca="1" si="9"/>
        <v>11</v>
      </c>
      <c r="P13" s="115">
        <f t="shared" ca="1" si="10"/>
        <v>1</v>
      </c>
      <c r="Q13" s="115">
        <f t="shared" ca="1" si="11"/>
        <v>18</v>
      </c>
      <c r="R13" s="127">
        <v>46000</v>
      </c>
      <c r="S13" s="145" t="str">
        <f t="shared" si="12"/>
        <v>화</v>
      </c>
      <c r="T13" s="150" t="str">
        <f>HLOOKUP(R13, 할인율!$C$1:$F$3,3,TRUE)</f>
        <v>SILVER</v>
      </c>
      <c r="U13" s="128">
        <f ca="1">INDEX(할인율!$C$4:$F$9,MATCH(O13,할인율!$B$4:$B$9,1), MATCH(T13,할인율!$C$3:$F$3,0))</f>
        <v>0.1</v>
      </c>
      <c r="AC13" s="154"/>
      <c r="AD13" s="177"/>
      <c r="AE13" s="28" t="s">
        <v>185</v>
      </c>
      <c r="AF13" s="60">
        <f>SUMIFS($R$2:$R$36,$T$2:$T$36,"="&amp;$AC$9,$J$2:$J$36,"="&amp;$AD12,$S$2:$S$36,"="&amp;AF$2)</f>
        <v>0</v>
      </c>
      <c r="AG13" s="48">
        <f t="shared" ref="AG13:AL13" si="29">SUMIFS($R$2:$R$36,$T$2:$T$36,"="&amp;$AC$9,$J$2:$J$36,"="&amp;$AD12,$S$2:$S$36,"="&amp;AG$2)</f>
        <v>0</v>
      </c>
      <c r="AH13" s="48">
        <f t="shared" si="29"/>
        <v>230500</v>
      </c>
      <c r="AI13" s="48">
        <f t="shared" si="29"/>
        <v>168000</v>
      </c>
      <c r="AJ13" s="48">
        <f t="shared" si="29"/>
        <v>328300</v>
      </c>
      <c r="AK13" s="48">
        <f t="shared" si="29"/>
        <v>0</v>
      </c>
      <c r="AL13" s="29">
        <f t="shared" si="29"/>
        <v>110000</v>
      </c>
      <c r="AN13" s="13" t="s">
        <v>201</v>
      </c>
      <c r="AO13" s="89">
        <f t="shared" ca="1" si="24"/>
        <v>0.3</v>
      </c>
      <c r="AP13" s="73">
        <f t="shared" ca="1" si="25"/>
        <v>0</v>
      </c>
      <c r="AR13" s="84"/>
      <c r="AS13" s="85"/>
      <c r="AT13" s="68" t="s">
        <v>194</v>
      </c>
      <c r="AU13" s="86" t="s">
        <v>195</v>
      </c>
      <c r="AV13" s="86" t="s">
        <v>194</v>
      </c>
      <c r="AW13" s="86" t="s">
        <v>195</v>
      </c>
      <c r="AX13" s="86" t="s">
        <v>194</v>
      </c>
      <c r="AY13" s="69" t="s">
        <v>195</v>
      </c>
    </row>
    <row r="14" spans="1:51" ht="17.100000000000001" customHeight="1" thickTop="1" thickBot="1" x14ac:dyDescent="0.35">
      <c r="A14" s="113" t="str">
        <f t="shared" si="0"/>
        <v>wtgwd102-9985</v>
      </c>
      <c r="B14" s="123" t="s">
        <v>26</v>
      </c>
      <c r="C14" s="124" t="s">
        <v>88</v>
      </c>
      <c r="D14" s="115" t="str">
        <f t="shared" si="1"/>
        <v>730628-1******</v>
      </c>
      <c r="E14" s="120">
        <f t="shared" si="2"/>
        <v>26843</v>
      </c>
      <c r="F14" s="115">
        <f t="shared" si="3"/>
        <v>1973</v>
      </c>
      <c r="G14" s="115">
        <f t="shared" si="4"/>
        <v>6</v>
      </c>
      <c r="H14" s="115">
        <f t="shared" si="5"/>
        <v>28</v>
      </c>
      <c r="I14" s="115">
        <f t="shared" ca="1" si="6"/>
        <v>46</v>
      </c>
      <c r="J14" s="124" t="str">
        <f t="shared" si="7"/>
        <v>남</v>
      </c>
      <c r="K14" s="115">
        <f t="shared" ca="1" si="8"/>
        <v>16899</v>
      </c>
      <c r="L14" s="125" t="s">
        <v>53</v>
      </c>
      <c r="M14" s="126" t="s">
        <v>124</v>
      </c>
      <c r="N14" s="113">
        <v>42990</v>
      </c>
      <c r="O14" s="115">
        <f t="shared" ca="1" si="9"/>
        <v>2</v>
      </c>
      <c r="P14" s="115">
        <f t="shared" ca="1" si="10"/>
        <v>0</v>
      </c>
      <c r="Q14" s="115">
        <f t="shared" ca="1" si="11"/>
        <v>22</v>
      </c>
      <c r="R14" s="127">
        <v>97300</v>
      </c>
      <c r="S14" s="142" t="str">
        <f t="shared" si="12"/>
        <v>목</v>
      </c>
      <c r="T14" s="150" t="str">
        <f>HLOOKUP(R14, 할인율!$C$1:$F$3,3,TRUE)</f>
        <v>SILVER</v>
      </c>
      <c r="U14" s="128">
        <f ca="1">INDEX(할인율!$C$4:$F$9,MATCH(O14,할인율!$B$4:$B$9,1), MATCH(T14,할인율!$C$3:$F$3,0))</f>
        <v>0.03</v>
      </c>
      <c r="W14" s="182" t="s">
        <v>189</v>
      </c>
      <c r="X14" s="183"/>
      <c r="Y14" s="183"/>
      <c r="Z14" s="183"/>
      <c r="AA14" s="184"/>
      <c r="AC14" s="153"/>
      <c r="AD14" s="180"/>
      <c r="AE14" s="35" t="s">
        <v>186</v>
      </c>
      <c r="AF14" s="61" t="str">
        <f>IFERROR(ROUND(AVERAGEIFS($U$2:$U$36,$T$2:$T$36,"="&amp;$AC$9,$J$2:$J$36,"="&amp;$AD12,$S$2:$S$36,"="&amp;AF$2),2),"-")</f>
        <v>-</v>
      </c>
      <c r="AG14" s="36" t="str">
        <f t="shared" ref="AG14:AL14" si="30">IFERROR(ROUND(AVERAGEIFS($U$2:$U$36,$T$2:$T$36,"="&amp;$AC$9,$J$2:$J$36,"="&amp;$AD12,$S$2:$S$36,"="&amp;AG$2),2),"-")</f>
        <v>-</v>
      </c>
      <c r="AH14" s="36">
        <f t="shared" ca="1" si="30"/>
        <v>0.15</v>
      </c>
      <c r="AI14" s="36">
        <f t="shared" ca="1" si="30"/>
        <v>0.2</v>
      </c>
      <c r="AJ14" s="36">
        <f t="shared" ca="1" si="30"/>
        <v>0.18</v>
      </c>
      <c r="AK14" s="36" t="str">
        <f t="shared" si="30"/>
        <v>-</v>
      </c>
      <c r="AL14" s="37">
        <f t="shared" ca="1" si="30"/>
        <v>0.15</v>
      </c>
      <c r="AN14" s="15" t="s">
        <v>202</v>
      </c>
      <c r="AO14" s="67">
        <f t="shared" ca="1" si="24"/>
        <v>0.25</v>
      </c>
      <c r="AP14" s="90">
        <f t="shared" ca="1" si="25"/>
        <v>0.02</v>
      </c>
      <c r="AR14" s="161" t="s">
        <v>196</v>
      </c>
      <c r="AS14" s="73" t="s">
        <v>190</v>
      </c>
      <c r="AT14" s="45">
        <f ca="1">_xlfn.MAXIFS($U$2:$U$36,$S$2:$S$36,"="&amp;$AR$14,$J$2:$J$36,"="&amp;$AS14,$I$2:$I$36,"&gt;="&amp;$AT$12,$I$2:$I$36,"&lt;"&amp;$AV$12)</f>
        <v>0</v>
      </c>
      <c r="AU14" s="95">
        <f ca="1">_xlfn.MINIFS($U$2:$U$36,$S$2:$S$36,"="&amp;$AR$14,$J$2:$J$36,"="&amp;$AS14,$I$2:$I$36,"&gt;="&amp;$AT$12,$I$2:$I$36,"&lt;"&amp;$AV$12)</f>
        <v>0</v>
      </c>
      <c r="AV14" s="95">
        <f ca="1">_xlfn.MAXIFS($U$2:$U$36,$S$2:$S$36,"="&amp;$AR$14,$J$2:$J$36,"="&amp;$AS14,$I$2:$I$36,"&gt;="&amp;$AV$12,$I$2:$I$36,"&lt;"&amp;$AX$12)</f>
        <v>0.25</v>
      </c>
      <c r="AW14" s="95">
        <f ca="1">_xlfn.MINIFS($U$2:$U$36,$S$2:$S$36,"="&amp;$AR$14,$J$2:$J$36,"="&amp;$AS14,$I$2:$I$36,"&gt;="&amp;$AV$12,$I$2:$I$36,"&lt;"&amp;$AX$12)</f>
        <v>0</v>
      </c>
      <c r="AX14" s="95">
        <f ca="1">_xlfn.MAXIFS($U$2:$U$36,$S$2:$S$36,"="&amp;$AR$14,$J$2:$J$36,"="&amp;$AS14,$I$2:$I$36,"&gt;="&amp;$AX$12)</f>
        <v>0.35</v>
      </c>
      <c r="AY14" s="94">
        <f ca="1">_xlfn.MINIFS($U$2:$U$36,$S$2:$S$36,"="&amp;$AR$14,$J$2:$J$36,"="&amp;$AS14,$I$2:$I$36,"&gt;="&amp;$AX$12)</f>
        <v>0.13</v>
      </c>
    </row>
    <row r="15" spans="1:51" ht="17.100000000000001" customHeight="1" thickTop="1" thickBot="1" x14ac:dyDescent="0.35">
      <c r="A15" s="113" t="str">
        <f t="shared" si="0"/>
        <v>sangayoe-7458</v>
      </c>
      <c r="B15" s="123" t="s">
        <v>27</v>
      </c>
      <c r="C15" s="124" t="s">
        <v>89</v>
      </c>
      <c r="D15" s="115" t="str">
        <f t="shared" si="1"/>
        <v>810530-2******</v>
      </c>
      <c r="E15" s="120">
        <f t="shared" si="2"/>
        <v>29736</v>
      </c>
      <c r="F15" s="115">
        <f t="shared" si="3"/>
        <v>1981</v>
      </c>
      <c r="G15" s="115">
        <f t="shared" si="4"/>
        <v>5</v>
      </c>
      <c r="H15" s="115">
        <f t="shared" si="5"/>
        <v>30</v>
      </c>
      <c r="I15" s="115">
        <f t="shared" ca="1" si="6"/>
        <v>38</v>
      </c>
      <c r="J15" s="124" t="str">
        <f t="shared" si="7"/>
        <v>여</v>
      </c>
      <c r="K15" s="115">
        <f t="shared" ca="1" si="8"/>
        <v>14006</v>
      </c>
      <c r="L15" s="125" t="s">
        <v>54</v>
      </c>
      <c r="M15" s="126" t="s">
        <v>125</v>
      </c>
      <c r="N15" s="113">
        <v>41719</v>
      </c>
      <c r="O15" s="115">
        <f t="shared" ca="1" si="9"/>
        <v>5</v>
      </c>
      <c r="P15" s="115">
        <f t="shared" ca="1" si="10"/>
        <v>6</v>
      </c>
      <c r="Q15" s="115">
        <f t="shared" ca="1" si="11"/>
        <v>13</v>
      </c>
      <c r="R15" s="127">
        <v>23000</v>
      </c>
      <c r="S15" s="149" t="str">
        <f t="shared" si="12"/>
        <v>토</v>
      </c>
      <c r="T15" s="150" t="str">
        <f>HLOOKUP(R15, 할인율!$C$1:$F$3,3,TRUE)</f>
        <v>SILVER</v>
      </c>
      <c r="U15" s="128">
        <f ca="1">INDEX(할인율!$C$4:$F$9,MATCH(O15,할인율!$B$4:$B$9,1), MATCH(T15,할인율!$C$3:$F$3,0))</f>
        <v>0.08</v>
      </c>
      <c r="W15" s="20" t="s">
        <v>183</v>
      </c>
      <c r="X15" s="185" t="s">
        <v>187</v>
      </c>
      <c r="Y15" s="185"/>
      <c r="Z15" s="185" t="s">
        <v>188</v>
      </c>
      <c r="AA15" s="186"/>
      <c r="AC15" s="152" t="s">
        <v>184</v>
      </c>
      <c r="AD15" s="178" t="s">
        <v>169</v>
      </c>
      <c r="AE15" s="38" t="s">
        <v>183</v>
      </c>
      <c r="AF15" s="65">
        <f>COUNTIFS($T$2:$T$36,"="&amp;$AC$15,$J$2:$J$36,"="&amp;$AD15,$S$2:$S$36,"="&amp;AF$2)</f>
        <v>1</v>
      </c>
      <c r="AG15" s="39">
        <f t="shared" ref="AG15:AL15" si="31">COUNTIFS($T$2:$T$36,"="&amp;$AC$15,$J$2:$J$36,"="&amp;$AD15,$S$2:$S$36,"="&amp;AG$2)</f>
        <v>1</v>
      </c>
      <c r="AH15" s="39">
        <f t="shared" si="31"/>
        <v>1</v>
      </c>
      <c r="AI15" s="39">
        <f t="shared" si="31"/>
        <v>1</v>
      </c>
      <c r="AJ15" s="39">
        <f t="shared" si="31"/>
        <v>1</v>
      </c>
      <c r="AK15" s="39">
        <f t="shared" si="31"/>
        <v>1</v>
      </c>
      <c r="AL15" s="38">
        <f t="shared" si="31"/>
        <v>0</v>
      </c>
      <c r="AR15" s="154"/>
      <c r="AS15" s="87" t="s">
        <v>191</v>
      </c>
      <c r="AT15" s="91">
        <f t="shared" ref="AT15" ca="1" si="32">_xlfn.MAXIFS($U$2:$U$36,$S$2:$S$36,"="&amp;$AR$14,$J$2:$J$36,"="&amp;$AS15,$I$2:$I$36,"&gt;="&amp;$AT$12,$I$2:$I$36,"&lt;"&amp;$AV$12)</f>
        <v>0</v>
      </c>
      <c r="AU15" s="96">
        <f t="shared" ref="AU15" ca="1" si="33">_xlfn.MINIFS($U$2:$U$36,$S$2:$S$36,"="&amp;$AR$14,$J$2:$J$36,"="&amp;$AS15,$I$2:$I$36,"&gt;="&amp;$AT$12,$I$2:$I$36,"&lt;"&amp;$AV$12)</f>
        <v>0</v>
      </c>
      <c r="AV15" s="96">
        <f t="shared" ref="AV15" ca="1" si="34">_xlfn.MAXIFS($U$2:$U$36,$S$2:$S$36,"="&amp;$AR$14,$J$2:$J$36,"="&amp;$AS15,$I$2:$I$36,"&gt;="&amp;$AV$12,$I$2:$I$36,"&lt;"&amp;$AX$12)</f>
        <v>0.25</v>
      </c>
      <c r="AW15" s="96">
        <f t="shared" ref="AW15" ca="1" si="35">_xlfn.MINIFS($U$2:$U$36,$S$2:$S$36,"="&amp;$AR$14,$J$2:$J$36,"="&amp;$AS15,$I$2:$I$36,"&gt;="&amp;$AV$12,$I$2:$I$36,"&lt;"&amp;$AX$12)</f>
        <v>0.25</v>
      </c>
      <c r="AX15" s="96">
        <f t="shared" ref="AX15" ca="1" si="36">_xlfn.MAXIFS($U$2:$U$36,$S$2:$S$36,"="&amp;$AR$14,$J$2:$J$36,"="&amp;$AS15,$I$2:$I$36,"&gt;="&amp;$AX$12)</f>
        <v>0</v>
      </c>
      <c r="AY15" s="101">
        <f t="shared" ref="AY15" ca="1" si="37">_xlfn.MINIFS($U$2:$U$36,$S$2:$S$36,"="&amp;$AR$14,$J$2:$J$36,"="&amp;$AS15,$I$2:$I$36,"&gt;="&amp;$AX$12)</f>
        <v>0</v>
      </c>
    </row>
    <row r="16" spans="1:51" ht="17.100000000000001" customHeight="1" thickTop="1" thickBot="1" x14ac:dyDescent="0.35">
      <c r="A16" s="113" t="str">
        <f t="shared" si="0"/>
        <v>ddongyoon-9856</v>
      </c>
      <c r="B16" s="123" t="s">
        <v>28</v>
      </c>
      <c r="C16" s="124" t="s">
        <v>90</v>
      </c>
      <c r="D16" s="115" t="str">
        <f t="shared" si="1"/>
        <v>840911-1******</v>
      </c>
      <c r="E16" s="120">
        <f t="shared" si="2"/>
        <v>30936</v>
      </c>
      <c r="F16" s="115">
        <f t="shared" si="3"/>
        <v>1984</v>
      </c>
      <c r="G16" s="115">
        <f t="shared" si="4"/>
        <v>9</v>
      </c>
      <c r="H16" s="115">
        <f t="shared" si="5"/>
        <v>11</v>
      </c>
      <c r="I16" s="115">
        <f t="shared" ca="1" si="6"/>
        <v>35</v>
      </c>
      <c r="J16" s="124" t="str">
        <f t="shared" si="7"/>
        <v>남</v>
      </c>
      <c r="K16" s="115">
        <f t="shared" ca="1" si="8"/>
        <v>12806</v>
      </c>
      <c r="L16" s="125" t="s">
        <v>55</v>
      </c>
      <c r="M16" s="126" t="s">
        <v>126</v>
      </c>
      <c r="N16" s="113">
        <v>38946</v>
      </c>
      <c r="O16" s="115">
        <f t="shared" ca="1" si="9"/>
        <v>13</v>
      </c>
      <c r="P16" s="115">
        <f t="shared" ca="1" si="10"/>
        <v>1</v>
      </c>
      <c r="Q16" s="115">
        <f t="shared" ca="1" si="11"/>
        <v>17</v>
      </c>
      <c r="R16" s="127">
        <v>154000</v>
      </c>
      <c r="S16" s="145" t="str">
        <f t="shared" si="12"/>
        <v>화</v>
      </c>
      <c r="T16" s="139" t="str">
        <f>HLOOKUP(R16, 할인율!$C$1:$F$3,3,TRUE)</f>
        <v>GOLD</v>
      </c>
      <c r="U16" s="128">
        <f ca="1">INDEX(할인율!$C$4:$F$9,MATCH(O16,할인율!$B$4:$B$9,1), MATCH(T16,할인율!$C$3:$F$3,0))</f>
        <v>0.2</v>
      </c>
      <c r="W16" s="44">
        <f ca="1">COUNTIFS(I2:I36,"&gt;=30",I2:I36,"&lt;40",J2:J36,"=여",T2:T36,"=GOLD")</f>
        <v>3</v>
      </c>
      <c r="X16" s="187">
        <f ca="1">SUMIFS(R2:R36,I2:I36,"&gt;=30",I2:I36,"&lt;40",J2:J36,"=여",T2:T36,"=GOLD")</f>
        <v>410500</v>
      </c>
      <c r="Y16" s="188"/>
      <c r="Z16" s="187">
        <f ca="1">ROUND(AVERAGEIFS(U2:U36,I2:I36,"&gt;=30",I2:I36,"&lt;40",J2:J36,"=여",T2:T36,"=GOLD"),2)</f>
        <v>0.17</v>
      </c>
      <c r="AA16" s="189"/>
      <c r="AC16" s="154"/>
      <c r="AD16" s="177"/>
      <c r="AE16" s="28" t="s">
        <v>185</v>
      </c>
      <c r="AF16" s="60">
        <f>SUMIFS($R$2:$R$36,$T$2:$T$36,"="&amp;$AC$15,$J$2:$J$36,"="&amp;$AD15,$S$2:$S$36,"="&amp;AF$2)</f>
        <v>16700</v>
      </c>
      <c r="AG16" s="48">
        <f t="shared" ref="AG16:AL16" si="38">SUMIFS($R$2:$R$36,$T$2:$T$36,"="&amp;$AC$15,$J$2:$J$36,"="&amp;$AD15,$S$2:$S$36,"="&amp;AG$2)</f>
        <v>17300</v>
      </c>
      <c r="AH16" s="48">
        <f t="shared" si="38"/>
        <v>68100</v>
      </c>
      <c r="AI16" s="48">
        <f t="shared" si="38"/>
        <v>36800</v>
      </c>
      <c r="AJ16" s="48">
        <f t="shared" si="38"/>
        <v>97300</v>
      </c>
      <c r="AK16" s="48">
        <f t="shared" si="38"/>
        <v>32100</v>
      </c>
      <c r="AL16" s="29">
        <f t="shared" si="38"/>
        <v>0</v>
      </c>
      <c r="AR16" s="152" t="s">
        <v>197</v>
      </c>
      <c r="AS16" s="88" t="s">
        <v>190</v>
      </c>
      <c r="AT16" s="98">
        <f ca="1">_xlfn.MAXIFS($U$2:$U$36,$S$2:$S$36,"="&amp;$AR$16,$J$2:$J$36,"="&amp;$AS16,$I$2:$I$36,"&gt;="&amp;$AT$12,$I$2:$I$36,"&lt;"&amp;$AV$12)</f>
        <v>0</v>
      </c>
      <c r="AU16" s="99">
        <f ca="1">_xlfn.MINIFS($U$2:$U$36,$S$2:$S$36,"="&amp;$AR$16,$J$2:$J$36,"="&amp;$AS16,$I$2:$I$36,"&gt;="&amp;$AT$12,$I$2:$I$36,"&lt;"&amp;$AV$12)</f>
        <v>0</v>
      </c>
      <c r="AV16" s="99">
        <f ca="1">_xlfn.MAXIFS($U$2:$U$36,$S$2:$S$36,"="&amp;$AR$16,$J$2:$J$36,"="&amp;$AS16,$I$2:$I$36,"&gt;="&amp;$AV$12,$I$2:$I$36,"&lt;"&amp;$AX$12)</f>
        <v>0.15</v>
      </c>
      <c r="AW16" s="99">
        <f ca="1">_xlfn.MINIFS($U$2:$U$36,$S$2:$S$36,"="&amp;$AR$16,$J$2:$J$36,"="&amp;$AS16,$I$2:$I$36,"&gt;="&amp;$AV$12,$I$2:$I$36,"&lt;"&amp;$AX$12)</f>
        <v>0.15</v>
      </c>
      <c r="AX16" s="99">
        <f ca="1">_xlfn.MAXIFS($U$2:$U$36,$S$2:$S$36,"="&amp;$AR$16,$J$2:$J$36,"="&amp;$AS16,$I$2:$I$36,"&gt;="&amp;$AX$12)</f>
        <v>0.08</v>
      </c>
      <c r="AY16" s="102">
        <f ca="1">_xlfn.MINIFS($U$2:$U$36,$S$2:$S$36,"="&amp;$AR$16,$J$2:$J$36,"="&amp;$AS16,$I$2:$I$36,"&gt;="&amp;$AX$12)</f>
        <v>0.08</v>
      </c>
    </row>
    <row r="17" spans="1:51" ht="17.100000000000001" customHeight="1" thickTop="1" thickBot="1" x14ac:dyDescent="0.35">
      <c r="A17" s="113" t="str">
        <f t="shared" si="0"/>
        <v>jjjjpark-6589</v>
      </c>
      <c r="B17" s="123" t="s">
        <v>29</v>
      </c>
      <c r="C17" s="124" t="s">
        <v>91</v>
      </c>
      <c r="D17" s="115" t="str">
        <f t="shared" si="1"/>
        <v>770903-2******</v>
      </c>
      <c r="E17" s="120">
        <f t="shared" si="2"/>
        <v>28371</v>
      </c>
      <c r="F17" s="115">
        <f t="shared" si="3"/>
        <v>1977</v>
      </c>
      <c r="G17" s="115">
        <f t="shared" si="4"/>
        <v>9</v>
      </c>
      <c r="H17" s="115">
        <f t="shared" si="5"/>
        <v>3</v>
      </c>
      <c r="I17" s="115">
        <f t="shared" ca="1" si="6"/>
        <v>42</v>
      </c>
      <c r="J17" s="124" t="str">
        <f t="shared" si="7"/>
        <v>여</v>
      </c>
      <c r="K17" s="115">
        <f t="shared" ca="1" si="8"/>
        <v>15371</v>
      </c>
      <c r="L17" s="125" t="s">
        <v>56</v>
      </c>
      <c r="M17" s="126" t="s">
        <v>127</v>
      </c>
      <c r="N17" s="113">
        <v>41734</v>
      </c>
      <c r="O17" s="115">
        <f t="shared" ca="1" si="9"/>
        <v>5</v>
      </c>
      <c r="P17" s="115">
        <f t="shared" ca="1" si="10"/>
        <v>5</v>
      </c>
      <c r="Q17" s="115">
        <f t="shared" ca="1" si="11"/>
        <v>29</v>
      </c>
      <c r="R17" s="127">
        <v>110000</v>
      </c>
      <c r="S17" s="149" t="str">
        <f t="shared" si="12"/>
        <v>토</v>
      </c>
      <c r="T17" s="139" t="str">
        <f>HLOOKUP(R17, 할인율!$C$1:$F$3,3,TRUE)</f>
        <v>GOLD</v>
      </c>
      <c r="U17" s="128">
        <f ca="1">INDEX(할인율!$C$4:$F$9,MATCH(O17,할인율!$B$4:$B$9,1), MATCH(T17,할인율!$C$3:$F$3,0))</f>
        <v>0.15</v>
      </c>
      <c r="AC17" s="154"/>
      <c r="AD17" s="179"/>
      <c r="AE17" s="30" t="s">
        <v>186</v>
      </c>
      <c r="AF17" s="64">
        <f ca="1">IFERROR(ROUND(AVERAGEIFS($U$2:$U$36,$T$2:$T$36,"="&amp;$AC$15,$J$2:$J$36,"="&amp;$AD15,$S$2:$S$36,"="&amp;AF$2),2),"-")</f>
        <v>0.13</v>
      </c>
      <c r="AG17" s="31">
        <f t="shared" ref="AG17:AL17" ca="1" si="39">IFERROR(ROUND(AVERAGEIFS($U$2:$U$36,$T$2:$T$36,"="&amp;$AC$15,$J$2:$J$36,"="&amp;$AD15,$S$2:$S$36,"="&amp;AG$2),2),"-")</f>
        <v>0.08</v>
      </c>
      <c r="AH17" s="31">
        <f t="shared" ca="1" si="39"/>
        <v>0.08</v>
      </c>
      <c r="AI17" s="31">
        <f t="shared" ca="1" si="39"/>
        <v>0.08</v>
      </c>
      <c r="AJ17" s="31">
        <f t="shared" ca="1" si="39"/>
        <v>0.03</v>
      </c>
      <c r="AK17" s="31">
        <f t="shared" ca="1" si="39"/>
        <v>0.05</v>
      </c>
      <c r="AL17" s="32" t="str">
        <f t="shared" si="39"/>
        <v>-</v>
      </c>
      <c r="AR17" s="153"/>
      <c r="AS17" s="80" t="s">
        <v>191</v>
      </c>
      <c r="AT17" s="92">
        <f ca="1">_xlfn.MAXIFS($U$2:$U$36,$S$2:$S$36,"="&amp;$AR$16,$J$2:$J$36,"="&amp;$AS17,$I$2:$I$36,"&gt;="&amp;$AT$12,$I$2:$I$36,"&lt;"&amp;$AV$12)</f>
        <v>0</v>
      </c>
      <c r="AU17" s="100">
        <f ca="1">_xlfn.MINIFS($U$2:$U$36,$S$2:$S$36,"="&amp;$AR$16,$J$2:$J$36,"="&amp;$AS17,$I$2:$I$36,"&gt;="&amp;$AT$12,$I$2:$I$36,"&lt;"&amp;$AV$12)</f>
        <v>0</v>
      </c>
      <c r="AV17" s="100">
        <f ca="1">_xlfn.MAXIFS($U$2:$U$36,$S$2:$S$36,"="&amp;$AR$16,$J$2:$J$36,"="&amp;$AS17,$I$2:$I$36,"&gt;="&amp;$AV$12,$I$2:$I$36,"&lt;"&amp;$AX$12)</f>
        <v>0</v>
      </c>
      <c r="AW17" s="100">
        <f ca="1">_xlfn.MINIFS($U$2:$U$36,$S$2:$S$36,"="&amp;$AR$16,$J$2:$J$36,"="&amp;$AS17,$I$2:$I$36,"&gt;="&amp;$AV$12,$I$2:$I$36,"&lt;"&amp;$AX$12)</f>
        <v>0</v>
      </c>
      <c r="AX17" s="100">
        <f ca="1">_xlfn.MAXIFS($U$2:$U$36,$S$2:$S$36,"="&amp;$AR$16,$J$2:$J$36,"="&amp;$AS17,$I$2:$I$36,"&gt;="&amp;$AX$12)</f>
        <v>0.05</v>
      </c>
      <c r="AY17" s="103">
        <f ca="1">_xlfn.MINIFS($U$2:$U$36,$S$2:$S$36,"="&amp;$AR$16,$J$2:$J$36,"="&amp;$AS17,$I$2:$I$36,"&gt;="&amp;$AX$12)</f>
        <v>0.04</v>
      </c>
    </row>
    <row r="18" spans="1:51" ht="17.100000000000001" customHeight="1" thickTop="1" x14ac:dyDescent="0.3">
      <c r="A18" s="113" t="str">
        <f t="shared" si="0"/>
        <v>hopelim75-2541</v>
      </c>
      <c r="B18" s="123" t="s">
        <v>30</v>
      </c>
      <c r="C18" s="124" t="s">
        <v>92</v>
      </c>
      <c r="D18" s="115" t="str">
        <f t="shared" si="1"/>
        <v>751111-2******</v>
      </c>
      <c r="E18" s="120">
        <f t="shared" si="2"/>
        <v>27709</v>
      </c>
      <c r="F18" s="115">
        <f t="shared" si="3"/>
        <v>1975</v>
      </c>
      <c r="G18" s="115">
        <f t="shared" si="4"/>
        <v>11</v>
      </c>
      <c r="H18" s="115">
        <f t="shared" si="5"/>
        <v>11</v>
      </c>
      <c r="I18" s="115">
        <f t="shared" ca="1" si="6"/>
        <v>43</v>
      </c>
      <c r="J18" s="124" t="str">
        <f t="shared" si="7"/>
        <v>여</v>
      </c>
      <c r="K18" s="115">
        <f t="shared" ca="1" si="8"/>
        <v>16033</v>
      </c>
      <c r="L18" s="125" t="s">
        <v>57</v>
      </c>
      <c r="M18" s="126" t="s">
        <v>128</v>
      </c>
      <c r="N18" s="113">
        <v>39490</v>
      </c>
      <c r="O18" s="115">
        <f t="shared" ca="1" si="9"/>
        <v>11</v>
      </c>
      <c r="P18" s="115">
        <f t="shared" ca="1" si="10"/>
        <v>7</v>
      </c>
      <c r="Q18" s="115">
        <f t="shared" ca="1" si="11"/>
        <v>22</v>
      </c>
      <c r="R18" s="127">
        <v>130000</v>
      </c>
      <c r="S18" s="145" t="str">
        <f t="shared" si="12"/>
        <v>화</v>
      </c>
      <c r="T18" s="139" t="str">
        <f>HLOOKUP(R18, 할인율!$C$1:$F$3,3,TRUE)</f>
        <v>GOLD</v>
      </c>
      <c r="U18" s="128">
        <f ca="1">INDEX(할인율!$C$4:$F$9,MATCH(O18,할인율!$B$4:$B$9,1), MATCH(T18,할인율!$C$3:$F$3,0))</f>
        <v>0.2</v>
      </c>
      <c r="AC18" s="154"/>
      <c r="AD18" s="176" t="s">
        <v>170</v>
      </c>
      <c r="AE18" s="33" t="s">
        <v>183</v>
      </c>
      <c r="AF18" s="59">
        <f>COUNTIFS($T$2:$T$36,"="&amp;$AC$15,$J$2:$J$36,"="&amp;$AD18,$S$2:$S$36,"="&amp;AF$2)</f>
        <v>0</v>
      </c>
      <c r="AG18" s="34">
        <f t="shared" ref="AG18:AL18" si="40">COUNTIFS($T$2:$T$36,"="&amp;$AC$15,$J$2:$J$36,"="&amp;$AD18,$S$2:$S$36,"="&amp;AG$2)</f>
        <v>1</v>
      </c>
      <c r="AH18" s="34">
        <f t="shared" si="40"/>
        <v>1</v>
      </c>
      <c r="AI18" s="34">
        <f t="shared" si="40"/>
        <v>0</v>
      </c>
      <c r="AJ18" s="34">
        <f t="shared" si="40"/>
        <v>0</v>
      </c>
      <c r="AK18" s="34">
        <f t="shared" si="40"/>
        <v>1</v>
      </c>
      <c r="AL18" s="33">
        <f t="shared" si="40"/>
        <v>1</v>
      </c>
      <c r="AR18" s="154" t="s">
        <v>198</v>
      </c>
      <c r="AS18" s="73" t="s">
        <v>190</v>
      </c>
      <c r="AT18" s="89">
        <f ca="1">_xlfn.MAXIFS($U$2:$U$36,$S$2:$S$36,"="&amp;$AR$18,$J$2:$J$36,"="&amp;$AS18,$I$2:$I$36,"&gt;="&amp;$AT$12,$I$2:$I$36,"&lt;"&amp;$AV$12)</f>
        <v>0</v>
      </c>
      <c r="AU18" s="72">
        <f ca="1">_xlfn.MINIFS($U$2:$U$36,$S$2:$S$36,"="&amp;$AR$18,$J$2:$J$36,"="&amp;$AS18,$I$2:$I$36,"&gt;="&amp;$AT$12,$I$2:$I$36,"&lt;"&amp;$AV$12)</f>
        <v>0</v>
      </c>
      <c r="AV18" s="72">
        <f ca="1">_xlfn.MAXIFS($U$2:$U$36,$S$2:$S$36,"="&amp;$AR$18,$J$2:$J$36,"="&amp;$AS18,$I$2:$I$36,"&gt;="&amp;$AV$12,$I$2:$I$36,"&lt;"&amp;$AX$12)</f>
        <v>0.2</v>
      </c>
      <c r="AW18" s="72">
        <f ca="1">_xlfn.MINIFS($U$2:$U$36,$S$2:$S$36,"="&amp;$AR$18,$J$2:$J$36,"="&amp;$AS18,$I$2:$I$36,"&gt;="&amp;$AV$12,$I$2:$I$36,"&lt;"&amp;$AX$12)</f>
        <v>0.08</v>
      </c>
      <c r="AX18" s="72">
        <f ca="1">_xlfn.MAXIFS($U$2:$U$36,$S$2:$S$36,"="&amp;$AR$18,$J$2:$J$36,"="&amp;$AS18,$I$2:$I$36,"&gt;="&amp;$AX$12)</f>
        <v>0</v>
      </c>
      <c r="AY18" s="104">
        <f ca="1">_xlfn.MINIFS($U$2:$U$36,$S$2:$S$36,"="&amp;$AR$18,$J$2:$J$36,"="&amp;$AS18,$I$2:$I$36,"&gt;="&amp;$AX$12)</f>
        <v>0</v>
      </c>
    </row>
    <row r="19" spans="1:51" ht="17.100000000000001" customHeight="1" thickBot="1" x14ac:dyDescent="0.35">
      <c r="A19" s="113" t="str">
        <f t="shared" si="0"/>
        <v>seosyjsh12-7941</v>
      </c>
      <c r="B19" s="123" t="s">
        <v>31</v>
      </c>
      <c r="C19" s="124" t="s">
        <v>93</v>
      </c>
      <c r="D19" s="115" t="str">
        <f t="shared" si="1"/>
        <v>821003-2******</v>
      </c>
      <c r="E19" s="120">
        <f t="shared" si="2"/>
        <v>30227</v>
      </c>
      <c r="F19" s="115">
        <f t="shared" si="3"/>
        <v>1982</v>
      </c>
      <c r="G19" s="115">
        <f t="shared" si="4"/>
        <v>10</v>
      </c>
      <c r="H19" s="115">
        <f t="shared" si="5"/>
        <v>3</v>
      </c>
      <c r="I19" s="115">
        <f t="shared" ca="1" si="6"/>
        <v>37</v>
      </c>
      <c r="J19" s="124" t="str">
        <f t="shared" si="7"/>
        <v>여</v>
      </c>
      <c r="K19" s="115">
        <f t="shared" ca="1" si="8"/>
        <v>13515</v>
      </c>
      <c r="L19" s="125" t="s">
        <v>58</v>
      </c>
      <c r="M19" s="126" t="s">
        <v>129</v>
      </c>
      <c r="N19" s="113">
        <v>40072</v>
      </c>
      <c r="O19" s="115">
        <f t="shared" ca="1" si="9"/>
        <v>10</v>
      </c>
      <c r="P19" s="115">
        <f t="shared" ca="1" si="10"/>
        <v>0</v>
      </c>
      <c r="Q19" s="115">
        <f t="shared" ca="1" si="11"/>
        <v>18</v>
      </c>
      <c r="R19" s="127">
        <v>210300</v>
      </c>
      <c r="S19" s="143" t="str">
        <f t="shared" si="12"/>
        <v>일</v>
      </c>
      <c r="T19" s="140" t="str">
        <f>HLOOKUP(R19, 할인율!$C$1:$F$3,3,TRUE)</f>
        <v>PURE GOLD</v>
      </c>
      <c r="U19" s="128">
        <f ca="1">INDEX(할인율!$C$4:$F$9,MATCH(O19,할인율!$B$4:$B$9,1), MATCH(T19,할인율!$C$3:$F$3,0))</f>
        <v>0.25</v>
      </c>
      <c r="AC19" s="154"/>
      <c r="AD19" s="177"/>
      <c r="AE19" s="28" t="s">
        <v>185</v>
      </c>
      <c r="AF19" s="60">
        <f>SUMIFS($R$2:$R$36,$T$2:$T$36,"="&amp;$AC$15,$J$2:$J$36,"="&amp;$AD18,$S$2:$S$36,"="&amp;AF$2)</f>
        <v>0</v>
      </c>
      <c r="AG19" s="48">
        <f t="shared" ref="AG19:AL19" si="41">SUMIFS($R$2:$R$36,$T$2:$T$36,"="&amp;$AC$15,$J$2:$J$36,"="&amp;$AD18,$S$2:$S$36,"="&amp;AG$2)</f>
        <v>55600</v>
      </c>
      <c r="AH19" s="48">
        <f t="shared" si="41"/>
        <v>46000</v>
      </c>
      <c r="AI19" s="48">
        <f t="shared" si="41"/>
        <v>0</v>
      </c>
      <c r="AJ19" s="48">
        <f t="shared" si="41"/>
        <v>0</v>
      </c>
      <c r="AK19" s="48">
        <f t="shared" si="41"/>
        <v>78300</v>
      </c>
      <c r="AL19" s="29">
        <f t="shared" si="41"/>
        <v>23000</v>
      </c>
      <c r="AR19" s="154"/>
      <c r="AS19" s="87" t="s">
        <v>191</v>
      </c>
      <c r="AT19" s="91">
        <f ca="1">_xlfn.MAXIFS($U$2:$U$36,$S$2:$S$36,"="&amp;$AR$18,$J$2:$J$36,"="&amp;$AS19,$I$2:$I$36,"&gt;="&amp;$AT$12,$I$2:$I$36,"&lt;"&amp;$AV$12)</f>
        <v>0</v>
      </c>
      <c r="AU19" s="96">
        <f ca="1">_xlfn.MINIFS($U$2:$U$36,$S$2:$S$36,"="&amp;$AR$18,$J$2:$J$36,"="&amp;$AS19,$I$2:$I$36,"&gt;="&amp;$AT$12,$I$2:$I$36,"&lt;"&amp;$AV$12)</f>
        <v>0</v>
      </c>
      <c r="AV19" s="96">
        <f ca="1">_xlfn.MAXIFS($U$2:$U$36,$S$2:$S$36,"="&amp;$AR$18,$J$2:$J$36,"="&amp;$AS19,$I$2:$I$36,"&gt;="&amp;$AV$12,$I$2:$I$36,"&lt;"&amp;$AX$12)</f>
        <v>0.1</v>
      </c>
      <c r="AW19" s="96">
        <f ca="1">_xlfn.MINIFS($U$2:$U$36,$S$2:$S$36,"="&amp;$AR$18,$J$2:$J$36,"="&amp;$AS19,$I$2:$I$36,"&gt;="&amp;$AV$12,$I$2:$I$36,"&lt;"&amp;$AX$12)</f>
        <v>0</v>
      </c>
      <c r="AX19" s="96">
        <f ca="1">_xlfn.MAXIFS($U$2:$U$36,$S$2:$S$36,"="&amp;$AR$18,$J$2:$J$36,"="&amp;$AS19,$I$2:$I$36,"&gt;="&amp;$AX$12)</f>
        <v>0.2</v>
      </c>
      <c r="AY19" s="101">
        <f ca="1">_xlfn.MINIFS($U$2:$U$36,$S$2:$S$36,"="&amp;$AR$18,$J$2:$J$36,"="&amp;$AS19,$I$2:$I$36,"&gt;="&amp;$AX$12)</f>
        <v>0.2</v>
      </c>
    </row>
    <row r="20" spans="1:51" ht="17.100000000000001" customHeight="1" thickTop="1" thickBot="1" x14ac:dyDescent="0.35">
      <c r="A20" s="113" t="str">
        <f t="shared" si="0"/>
        <v>reuploadkim2-3258</v>
      </c>
      <c r="B20" s="123" t="s">
        <v>32</v>
      </c>
      <c r="C20" s="124" t="s">
        <v>94</v>
      </c>
      <c r="D20" s="115" t="str">
        <f t="shared" si="1"/>
        <v>880105-1******</v>
      </c>
      <c r="E20" s="120">
        <f t="shared" si="2"/>
        <v>32147</v>
      </c>
      <c r="F20" s="115">
        <f t="shared" si="3"/>
        <v>1988</v>
      </c>
      <c r="G20" s="115">
        <f t="shared" si="4"/>
        <v>1</v>
      </c>
      <c r="H20" s="115">
        <f t="shared" si="5"/>
        <v>5</v>
      </c>
      <c r="I20" s="115">
        <f t="shared" ca="1" si="6"/>
        <v>31</v>
      </c>
      <c r="J20" s="124" t="str">
        <f t="shared" si="7"/>
        <v>남</v>
      </c>
      <c r="K20" s="115">
        <f t="shared" ca="1" si="8"/>
        <v>11595</v>
      </c>
      <c r="L20" s="125" t="s">
        <v>59</v>
      </c>
      <c r="M20" s="126" t="s">
        <v>130</v>
      </c>
      <c r="N20" s="113">
        <v>40477</v>
      </c>
      <c r="O20" s="115">
        <f t="shared" ca="1" si="9"/>
        <v>8</v>
      </c>
      <c r="P20" s="115">
        <f t="shared" ca="1" si="10"/>
        <v>11</v>
      </c>
      <c r="Q20" s="115">
        <f t="shared" ca="1" si="11"/>
        <v>8</v>
      </c>
      <c r="R20" s="127">
        <v>68100</v>
      </c>
      <c r="S20" s="145" t="str">
        <f t="shared" si="12"/>
        <v>화</v>
      </c>
      <c r="T20" s="150" t="str">
        <f>HLOOKUP(R20, 할인율!$C$1:$F$3,3,TRUE)</f>
        <v>SILVER</v>
      </c>
      <c r="U20" s="128">
        <f ca="1">INDEX(할인율!$C$4:$F$9,MATCH(O20,할인율!$B$4:$B$9,1), MATCH(T20,할인율!$C$3:$F$3,0))</f>
        <v>0.08</v>
      </c>
      <c r="AC20" s="153"/>
      <c r="AD20" s="180"/>
      <c r="AE20" s="35" t="s">
        <v>186</v>
      </c>
      <c r="AF20" s="61" t="str">
        <f>IFERROR(ROUND(AVERAGEIFS($U$2:$U$36,$T$2:$T$36,"="&amp;$AC$15,$J$2:$J$36,"="&amp;$AD18,$S$2:$S$36,"="&amp;AF$2),2),"-")</f>
        <v>-</v>
      </c>
      <c r="AG20" s="36">
        <f t="shared" ref="AG20:AL20" ca="1" si="42">IFERROR(ROUND(AVERAGEIFS($U$2:$U$36,$T$2:$T$36,"="&amp;$AC$15,$J$2:$J$36,"="&amp;$AD18,$S$2:$S$36,"="&amp;AG$2),2),"-")</f>
        <v>0.05</v>
      </c>
      <c r="AH20" s="36">
        <f t="shared" ca="1" si="42"/>
        <v>0.1</v>
      </c>
      <c r="AI20" s="36" t="str">
        <f t="shared" si="42"/>
        <v>-</v>
      </c>
      <c r="AJ20" s="36" t="str">
        <f t="shared" si="42"/>
        <v>-</v>
      </c>
      <c r="AK20" s="36">
        <f t="shared" ca="1" si="42"/>
        <v>0.05</v>
      </c>
      <c r="AL20" s="37">
        <f t="shared" ca="1" si="42"/>
        <v>0.08</v>
      </c>
      <c r="AR20" s="152" t="s">
        <v>199</v>
      </c>
      <c r="AS20" s="88" t="s">
        <v>190</v>
      </c>
      <c r="AT20" s="98">
        <f ca="1">_xlfn.MAXIFS($U$2:$U$36,$S$2:$S$36,"="&amp;$AR$20,$J$2:$J$36,"="&amp;$AS20,$I$2:$I$36,"&gt;="&amp;$AT$12,$I$2:$I$36,"&lt;"&amp;$AV$12)</f>
        <v>0</v>
      </c>
      <c r="AU20" s="99">
        <f ca="1">_xlfn.MINIFS($U$2:$U$36,$S$2:$S$36,"="&amp;$AR$20,$J$2:$J$36,"="&amp;$AS20,$I$2:$I$36,"&gt;="&amp;$AT$12,$I$2:$I$36,"&lt;"&amp;$AV$12)</f>
        <v>0</v>
      </c>
      <c r="AV20" s="99">
        <f ca="1">_xlfn.MAXIFS($U$2:$U$36,$S$2:$S$36,"="&amp;$AR$20,$J$2:$J$36,"="&amp;$AS20,$I$2:$I$36,"&gt;="&amp;$AV$12,$I$2:$I$36,"&lt;"&amp;$AX$12)</f>
        <v>0.15</v>
      </c>
      <c r="AW20" s="99">
        <f ca="1">_xlfn.MINIFS($U$2:$U$36,$S$2:$S$36,"="&amp;$AR$20,$J$2:$J$36,"="&amp;$AS20,$I$2:$I$36,"&gt;="&amp;$AV$12,$I$2:$I$36,"&lt;"&amp;$AX$12)</f>
        <v>0.08</v>
      </c>
      <c r="AX20" s="99">
        <f ca="1">_xlfn.MAXIFS($U$2:$U$36,$S$2:$S$36,"="&amp;$AR$20,$J$2:$J$36,"="&amp;$AS20,$I$2:$I$36,"&gt;="&amp;$AX$12)</f>
        <v>0</v>
      </c>
      <c r="AY20" s="102">
        <f ca="1">_xlfn.MINIFS($U$2:$U$36,$S$2:$S$36,"="&amp;$AR$20,$J$2:$J$36,"="&amp;$AS20,$I$2:$I$36,"&gt;="&amp;$AX$12)</f>
        <v>0</v>
      </c>
    </row>
    <row r="21" spans="1:51" ht="17.100000000000001" customHeight="1" thickTop="1" thickBot="1" x14ac:dyDescent="0.35">
      <c r="A21" s="113" t="str">
        <f t="shared" si="0"/>
        <v>jjongmani-6521</v>
      </c>
      <c r="B21" s="123" t="s">
        <v>6</v>
      </c>
      <c r="C21" s="124" t="s">
        <v>95</v>
      </c>
      <c r="D21" s="115" t="str">
        <f t="shared" si="1"/>
        <v>720227-1******</v>
      </c>
      <c r="E21" s="120">
        <f t="shared" si="2"/>
        <v>26356</v>
      </c>
      <c r="F21" s="115">
        <f t="shared" si="3"/>
        <v>1972</v>
      </c>
      <c r="G21" s="115">
        <f t="shared" si="4"/>
        <v>2</v>
      </c>
      <c r="H21" s="115">
        <f t="shared" si="5"/>
        <v>27</v>
      </c>
      <c r="I21" s="115">
        <f t="shared" ca="1" si="6"/>
        <v>47</v>
      </c>
      <c r="J21" s="124" t="str">
        <f t="shared" si="7"/>
        <v>남</v>
      </c>
      <c r="K21" s="115">
        <f t="shared" ca="1" si="8"/>
        <v>17386</v>
      </c>
      <c r="L21" s="125" t="s">
        <v>60</v>
      </c>
      <c r="M21" s="126" t="s">
        <v>131</v>
      </c>
      <c r="N21" s="113">
        <v>36588</v>
      </c>
      <c r="O21" s="115">
        <f t="shared" ca="1" si="9"/>
        <v>19</v>
      </c>
      <c r="P21" s="115">
        <f t="shared" ca="1" si="10"/>
        <v>7</v>
      </c>
      <c r="Q21" s="115">
        <f t="shared" ca="1" si="11"/>
        <v>1</v>
      </c>
      <c r="R21" s="127">
        <v>16700</v>
      </c>
      <c r="S21" s="143" t="str">
        <f t="shared" si="12"/>
        <v>일</v>
      </c>
      <c r="T21" s="150" t="str">
        <f>HLOOKUP(R21, 할인율!$C$1:$F$3,3,TRUE)</f>
        <v>SILVER</v>
      </c>
      <c r="U21" s="128">
        <f ca="1">INDEX(할인율!$C$4:$F$9,MATCH(O21,할인율!$B$4:$B$9,1), MATCH(T21,할인율!$C$3:$F$3,0))</f>
        <v>0.13</v>
      </c>
      <c r="AC21" s="154" t="s">
        <v>173</v>
      </c>
      <c r="AD21" s="177" t="s">
        <v>169</v>
      </c>
      <c r="AE21" s="38" t="s">
        <v>183</v>
      </c>
      <c r="AF21" s="65">
        <f>COUNTIFS($T$2:$T$36,"="&amp;$AC$21,$J$2:$J$36,"="&amp;$AD21,$S$2:$S$36,"="&amp;AF$2)</f>
        <v>1</v>
      </c>
      <c r="AG21" s="39">
        <f t="shared" ref="AG21:AL21" si="43">COUNTIFS($T$2:$T$36,"="&amp;$AC$21,$J$2:$J$36,"="&amp;$AD21,$S$2:$S$36,"="&amp;AG$2)</f>
        <v>0</v>
      </c>
      <c r="AH21" s="39">
        <f t="shared" si="43"/>
        <v>0</v>
      </c>
      <c r="AI21" s="39">
        <f t="shared" si="43"/>
        <v>0</v>
      </c>
      <c r="AJ21" s="39">
        <f t="shared" si="43"/>
        <v>0</v>
      </c>
      <c r="AK21" s="39">
        <f t="shared" si="43"/>
        <v>1</v>
      </c>
      <c r="AL21" s="38">
        <f t="shared" si="43"/>
        <v>0</v>
      </c>
      <c r="AR21" s="153"/>
      <c r="AS21" s="80" t="s">
        <v>191</v>
      </c>
      <c r="AT21" s="92">
        <f ca="1">_xlfn.MAXIFS($U$2:$U$36,$S$2:$S$36,"="&amp;$AR$20,$J$2:$J$36,"="&amp;$AS21,$I$2:$I$36,"&gt;="&amp;$AT$12,$I$2:$I$36,"&lt;"&amp;$AV$12)</f>
        <v>0</v>
      </c>
      <c r="AU21" s="100">
        <f ca="1">_xlfn.MINIFS($U$2:$U$36,$S$2:$S$36,"="&amp;$AR$20,$J$2:$J$36,"="&amp;$AS21,$I$2:$I$36,"&gt;="&amp;$AT$12,$I$2:$I$36,"&lt;"&amp;$AV$12)</f>
        <v>0</v>
      </c>
      <c r="AV21" s="100">
        <f ca="1">_xlfn.MAXIFS($U$2:$U$36,$S$2:$S$36,"="&amp;$AR$20,$J$2:$J$36,"="&amp;$AS21,$I$2:$I$36,"&gt;="&amp;$AV$12,$I$2:$I$36,"&lt;"&amp;$AX$12)</f>
        <v>0.2</v>
      </c>
      <c r="AW21" s="100">
        <f ca="1">_xlfn.MINIFS($U$2:$U$36,$S$2:$S$36,"="&amp;$AR$20,$J$2:$J$36,"="&amp;$AS21,$I$2:$I$36,"&gt;="&amp;$AV$12,$I$2:$I$36,"&lt;"&amp;$AX$12)</f>
        <v>0.2</v>
      </c>
      <c r="AX21" s="100">
        <f ca="1">_xlfn.MAXIFS($U$2:$U$36,$S$2:$S$36,"="&amp;$AR$20,$J$2:$J$36,"="&amp;$AS21,$I$2:$I$36,"&gt;="&amp;$AX$12)</f>
        <v>0</v>
      </c>
      <c r="AY21" s="103">
        <f ca="1">_xlfn.MINIFS($U$2:$U$36,$S$2:$S$36,"="&amp;$AR$20,$J$2:$J$36,"="&amp;$AS21,$I$2:$I$36,"&gt;="&amp;$AX$12)</f>
        <v>0</v>
      </c>
    </row>
    <row r="22" spans="1:51" ht="17.100000000000001" customHeight="1" thickTop="1" x14ac:dyDescent="0.3">
      <c r="A22" s="113" t="str">
        <f t="shared" si="0"/>
        <v>eachother-4532</v>
      </c>
      <c r="B22" s="123" t="s">
        <v>7</v>
      </c>
      <c r="C22" s="124" t="s">
        <v>96</v>
      </c>
      <c r="D22" s="115" t="str">
        <f t="shared" si="1"/>
        <v>830925-1******</v>
      </c>
      <c r="E22" s="120">
        <f t="shared" si="2"/>
        <v>30584</v>
      </c>
      <c r="F22" s="115">
        <f t="shared" si="3"/>
        <v>1983</v>
      </c>
      <c r="G22" s="115">
        <f t="shared" si="4"/>
        <v>9</v>
      </c>
      <c r="H22" s="115">
        <f t="shared" si="5"/>
        <v>25</v>
      </c>
      <c r="I22" s="115">
        <f t="shared" ca="1" si="6"/>
        <v>36</v>
      </c>
      <c r="J22" s="124" t="str">
        <f t="shared" si="7"/>
        <v>남</v>
      </c>
      <c r="K22" s="115">
        <f t="shared" ca="1" si="8"/>
        <v>13158</v>
      </c>
      <c r="L22" s="125" t="s">
        <v>62</v>
      </c>
      <c r="M22" s="126" t="s">
        <v>132</v>
      </c>
      <c r="N22" s="113">
        <v>43434</v>
      </c>
      <c r="O22" s="115">
        <f t="shared" ca="1" si="9"/>
        <v>0</v>
      </c>
      <c r="P22" s="115">
        <f t="shared" ca="1" si="10"/>
        <v>10</v>
      </c>
      <c r="Q22" s="115">
        <f t="shared" ca="1" si="11"/>
        <v>4</v>
      </c>
      <c r="R22" s="127">
        <v>9200</v>
      </c>
      <c r="S22" s="143" t="str">
        <f t="shared" si="12"/>
        <v>일</v>
      </c>
      <c r="T22" s="137" t="str">
        <f>HLOOKUP(R22, 할인율!$C$1:$F$3,3,TRUE)</f>
        <v>BRONZE</v>
      </c>
      <c r="U22" s="128">
        <f ca="1">INDEX(할인율!$C$4:$F$9,MATCH(O22,할인율!$B$4:$B$9,1), MATCH(T22,할인율!$C$3:$F$3,0))</f>
        <v>0</v>
      </c>
      <c r="AC22" s="154"/>
      <c r="AD22" s="177"/>
      <c r="AE22" s="28" t="s">
        <v>185</v>
      </c>
      <c r="AF22" s="60">
        <f>SUMIFS($R$2:$R$36,$T$2:$T$36,"="&amp;$AC$21,$J$2:$J$36,"="&amp;$AD21,$S$2:$S$36,"="&amp;AF$2)</f>
        <v>9200</v>
      </c>
      <c r="AG22" s="48">
        <f t="shared" ref="AG22:AL22" si="44">SUMIFS($R$2:$R$36,$T$2:$T$36,"="&amp;$AC$21,$J$2:$J$36,"="&amp;$AD21,$S$2:$S$36,"="&amp;AG$2)</f>
        <v>0</v>
      </c>
      <c r="AH22" s="48">
        <f t="shared" si="44"/>
        <v>0</v>
      </c>
      <c r="AI22" s="48">
        <f t="shared" si="44"/>
        <v>0</v>
      </c>
      <c r="AJ22" s="48">
        <f t="shared" si="44"/>
        <v>0</v>
      </c>
      <c r="AK22" s="48">
        <f t="shared" si="44"/>
        <v>400</v>
      </c>
      <c r="AL22" s="29">
        <f t="shared" si="44"/>
        <v>0</v>
      </c>
      <c r="AR22" s="154" t="s">
        <v>200</v>
      </c>
      <c r="AS22" s="73" t="s">
        <v>190</v>
      </c>
      <c r="AT22" s="89">
        <f ca="1">_xlfn.MAXIFS($U$2:$U$36,$S$2:$S$36,"="&amp;$AR$22,$J$2:$J$36,"="&amp;$AS22,$I$2:$I$36,"&gt;="&amp;$AT$12,$I$2:$I$36,"&lt;"&amp;$AV$12)</f>
        <v>0</v>
      </c>
      <c r="AU22" s="72">
        <f ca="1">_xlfn.MINIFS($U$2:$U$36,$S$2:$S$36,"="&amp;$AR$22,$J$2:$J$36,"="&amp;$AS22,$I$2:$I$36,"&gt;="&amp;$AT$12,$I$2:$I$36,"&lt;"&amp;$AV$12)</f>
        <v>0</v>
      </c>
      <c r="AV22" s="72">
        <f ca="1">_xlfn.MAXIFS($U$2:$U$36,$S$2:$S$36,"="&amp;$AR$22,$J$2:$J$36,"="&amp;$AS22,$I$2:$I$36,"&gt;="&amp;$AV$12,$I$2:$I$36,"&lt;"&amp;$AX$12)</f>
        <v>0</v>
      </c>
      <c r="AW22" s="72">
        <f ca="1">_xlfn.MINIFS($U$2:$U$36,$S$2:$S$36,"="&amp;$AR$22,$J$2:$J$36,"="&amp;$AS22,$I$2:$I$36,"&gt;="&amp;$AV$12,$I$2:$I$36,"&lt;"&amp;$AX$12)</f>
        <v>0</v>
      </c>
      <c r="AX22" s="72">
        <f ca="1">_xlfn.MAXIFS($U$2:$U$36,$S$2:$S$36,"="&amp;$AR$22,$J$2:$J$36,"="&amp;$AS22,$I$2:$I$36,"&gt;="&amp;$AX$12)</f>
        <v>0.23</v>
      </c>
      <c r="AY22" s="104">
        <f ca="1">_xlfn.MINIFS($U$2:$U$36,$S$2:$S$36,"="&amp;$AR$22,$J$2:$J$36,"="&amp;$AS22,$I$2:$I$36,"&gt;="&amp;$AX$12)</f>
        <v>0.03</v>
      </c>
    </row>
    <row r="23" spans="1:51" ht="17.100000000000001" customHeight="1" thickBot="1" x14ac:dyDescent="0.35">
      <c r="A23" s="113" t="str">
        <f t="shared" si="0"/>
        <v>victorymink-1347</v>
      </c>
      <c r="B23" s="123" t="s">
        <v>33</v>
      </c>
      <c r="C23" s="124" t="s">
        <v>97</v>
      </c>
      <c r="D23" s="115" t="str">
        <f t="shared" si="1"/>
        <v>750815-1******</v>
      </c>
      <c r="E23" s="120">
        <f t="shared" si="2"/>
        <v>27621</v>
      </c>
      <c r="F23" s="115">
        <f t="shared" si="3"/>
        <v>1975</v>
      </c>
      <c r="G23" s="115">
        <f t="shared" si="4"/>
        <v>8</v>
      </c>
      <c r="H23" s="115">
        <f t="shared" si="5"/>
        <v>15</v>
      </c>
      <c r="I23" s="115">
        <f t="shared" ca="1" si="6"/>
        <v>44</v>
      </c>
      <c r="J23" s="124" t="str">
        <f t="shared" si="7"/>
        <v>남</v>
      </c>
      <c r="K23" s="115">
        <f t="shared" ca="1" si="8"/>
        <v>16121</v>
      </c>
      <c r="L23" s="125" t="s">
        <v>61</v>
      </c>
      <c r="M23" s="126" t="s">
        <v>133</v>
      </c>
      <c r="N23" s="113">
        <v>42550</v>
      </c>
      <c r="O23" s="115">
        <f t="shared" ca="1" si="9"/>
        <v>3</v>
      </c>
      <c r="P23" s="115">
        <f t="shared" ca="1" si="10"/>
        <v>3</v>
      </c>
      <c r="Q23" s="115">
        <f t="shared" ca="1" si="11"/>
        <v>5</v>
      </c>
      <c r="R23" s="127">
        <v>32100</v>
      </c>
      <c r="S23" s="147" t="str">
        <f t="shared" si="12"/>
        <v>금</v>
      </c>
      <c r="T23" s="150" t="str">
        <f>HLOOKUP(R23, 할인율!$C$1:$F$3,3,TRUE)</f>
        <v>SILVER</v>
      </c>
      <c r="U23" s="128">
        <f ca="1">INDEX(할인율!$C$4:$F$9,MATCH(O23,할인율!$B$4:$B$9,1), MATCH(T23,할인율!$C$3:$F$3,0))</f>
        <v>0.05</v>
      </c>
      <c r="AC23" s="154"/>
      <c r="AD23" s="179"/>
      <c r="AE23" s="30" t="s">
        <v>186</v>
      </c>
      <c r="AF23" s="64">
        <f ca="1">IFERROR(ROUND(AVERAGEIFS($U$2:$U$36,$T$2:$T$36,"="&amp;$AC$21,$J$2:$J$36,"="&amp;$AD21,$S$2:$S$36,"="&amp;AF$2),2),"-")</f>
        <v>0</v>
      </c>
      <c r="AG23" s="31" t="str">
        <f t="shared" ref="AG23:AL23" si="45">IFERROR(ROUND(AVERAGEIFS($U$2:$U$36,$T$2:$T$36,"="&amp;$AC$21,$J$2:$J$36,"="&amp;$AD21,$S$2:$S$36,"="&amp;AG$2),2),"-")</f>
        <v>-</v>
      </c>
      <c r="AH23" s="31" t="str">
        <f t="shared" si="45"/>
        <v>-</v>
      </c>
      <c r="AI23" s="31" t="str">
        <f t="shared" si="45"/>
        <v>-</v>
      </c>
      <c r="AJ23" s="31" t="str">
        <f t="shared" si="45"/>
        <v>-</v>
      </c>
      <c r="AK23" s="31">
        <f t="shared" ca="1" si="45"/>
        <v>0</v>
      </c>
      <c r="AL23" s="32" t="str">
        <f t="shared" si="45"/>
        <v>-</v>
      </c>
      <c r="AR23" s="154"/>
      <c r="AS23" s="87" t="s">
        <v>191</v>
      </c>
      <c r="AT23" s="91">
        <f ca="1">_xlfn.MAXIFS($U$2:$U$36,$S$2:$S$36,"="&amp;$AR$22,$J$2:$J$36,"="&amp;$AS23,$I$2:$I$36,"&gt;="&amp;$AT$12,$I$2:$I$36,"&lt;"&amp;$AV$12)</f>
        <v>0</v>
      </c>
      <c r="AU23" s="96">
        <f ca="1">_xlfn.MINIFS($U$2:$U$36,$S$2:$S$36,"="&amp;$AR$22,$J$2:$J$36,"="&amp;$AS23,$I$2:$I$36,"&gt;="&amp;$AT$12,$I$2:$I$36,"&lt;"&amp;$AV$12)</f>
        <v>0</v>
      </c>
      <c r="AV23" s="96">
        <f ca="1">_xlfn.MAXIFS($U$2:$U$36,$S$2:$S$36,"="&amp;$AR$22,$J$2:$J$36,"="&amp;$AS23,$I$2:$I$36,"&gt;="&amp;$AV$12,$I$2:$I$36,"&lt;"&amp;$AX$12)</f>
        <v>0.2</v>
      </c>
      <c r="AW23" s="96">
        <f ca="1">_xlfn.MINIFS($U$2:$U$36,$S$2:$S$36,"="&amp;$AR$22,$J$2:$J$36,"="&amp;$AS23,$I$2:$I$36,"&gt;="&amp;$AV$12,$I$2:$I$36,"&lt;"&amp;$AX$12)</f>
        <v>0.2</v>
      </c>
      <c r="AX23" s="96">
        <f ca="1">_xlfn.MAXIFS($U$2:$U$36,$S$2:$S$36,"="&amp;$AR$22,$J$2:$J$36,"="&amp;$AS23,$I$2:$I$36,"&gt;="&amp;$AX$12)</f>
        <v>0.15</v>
      </c>
      <c r="AY23" s="101">
        <f ca="1">_xlfn.MINIFS($U$2:$U$36,$S$2:$S$36,"="&amp;$AR$22,$J$2:$J$36,"="&amp;$AS23,$I$2:$I$36,"&gt;="&amp;$AX$12)</f>
        <v>0.15</v>
      </c>
    </row>
    <row r="24" spans="1:51" ht="17.100000000000001" customHeight="1" thickTop="1" x14ac:dyDescent="0.3">
      <c r="A24" s="113" t="str">
        <f t="shared" si="0"/>
        <v>yeslee84-4866</v>
      </c>
      <c r="B24" s="123" t="s">
        <v>34</v>
      </c>
      <c r="C24" s="124" t="s">
        <v>98</v>
      </c>
      <c r="D24" s="115" t="str">
        <f t="shared" si="1"/>
        <v>840628-2******</v>
      </c>
      <c r="E24" s="120">
        <f t="shared" si="2"/>
        <v>30861</v>
      </c>
      <c r="F24" s="115">
        <f t="shared" si="3"/>
        <v>1984</v>
      </c>
      <c r="G24" s="115">
        <f t="shared" si="4"/>
        <v>6</v>
      </c>
      <c r="H24" s="115">
        <f t="shared" si="5"/>
        <v>28</v>
      </c>
      <c r="I24" s="115">
        <f t="shared" ca="1" si="6"/>
        <v>35</v>
      </c>
      <c r="J24" s="124" t="str">
        <f t="shared" si="7"/>
        <v>여</v>
      </c>
      <c r="K24" s="115">
        <f t="shared" ca="1" si="8"/>
        <v>12881</v>
      </c>
      <c r="L24" s="125" t="s">
        <v>63</v>
      </c>
      <c r="M24" s="126" t="s">
        <v>134</v>
      </c>
      <c r="N24" s="113">
        <v>38491</v>
      </c>
      <c r="O24" s="115">
        <f t="shared" ca="1" si="9"/>
        <v>14</v>
      </c>
      <c r="P24" s="115">
        <f t="shared" ca="1" si="10"/>
        <v>4</v>
      </c>
      <c r="Q24" s="115">
        <f t="shared" ca="1" si="11"/>
        <v>15</v>
      </c>
      <c r="R24" s="127">
        <v>142000</v>
      </c>
      <c r="S24" s="142" t="str">
        <f t="shared" si="12"/>
        <v>목</v>
      </c>
      <c r="T24" s="139" t="str">
        <f>HLOOKUP(R24, 할인율!$C$1:$F$3,3,TRUE)</f>
        <v>GOLD</v>
      </c>
      <c r="U24" s="128">
        <f ca="1">INDEX(할인율!$C$4:$F$9,MATCH(O24,할인율!$B$4:$B$9,1), MATCH(T24,할인율!$C$3:$F$3,0))</f>
        <v>0.2</v>
      </c>
      <c r="AC24" s="154"/>
      <c r="AD24" s="176" t="s">
        <v>170</v>
      </c>
      <c r="AE24" s="33" t="s">
        <v>183</v>
      </c>
      <c r="AF24" s="59">
        <f>COUNTIFS($T$2:$T$36,"="&amp;$AC$21,$J$2:$J$36,"="&amp;$AD24,$S$2:$S$36,"="&amp;AF$2)</f>
        <v>0</v>
      </c>
      <c r="AG24" s="34">
        <f t="shared" ref="AG24:AL24" si="46">COUNTIFS($T$2:$T$36,"="&amp;$AC$21,$J$2:$J$36,"="&amp;$AD24,$S$2:$S$36,"="&amp;AG$2)</f>
        <v>1</v>
      </c>
      <c r="AH24" s="34">
        <f t="shared" si="46"/>
        <v>1</v>
      </c>
      <c r="AI24" s="34">
        <f t="shared" si="46"/>
        <v>0</v>
      </c>
      <c r="AJ24" s="34">
        <f t="shared" si="46"/>
        <v>0</v>
      </c>
      <c r="AK24" s="34">
        <f t="shared" si="46"/>
        <v>0</v>
      </c>
      <c r="AL24" s="33">
        <f t="shared" si="46"/>
        <v>1</v>
      </c>
      <c r="AR24" s="152" t="s">
        <v>201</v>
      </c>
      <c r="AS24" s="88" t="s">
        <v>190</v>
      </c>
      <c r="AT24" s="98">
        <f ca="1">_xlfn.MAXIFS($U$2:$U$36,$S$2:$S$36,"="&amp;$AR$24,$J$2:$J$36,"="&amp;$AS24,$I$2:$I$36,"&gt;="&amp;$AT$12,$I$2:$I$36,"&lt;"&amp;$AV$12)</f>
        <v>0</v>
      </c>
      <c r="AU24" s="99">
        <f ca="1">_xlfn.MINIFS($U$2:$U$36,$S$2:$S$36,"="&amp;$AR$24,$J$2:$J$36,"="&amp;$AS24,$I$2:$I$36,"&gt;="&amp;$AT$12,$I$2:$I$36,"&lt;"&amp;$AV$12)</f>
        <v>0</v>
      </c>
      <c r="AV24" s="99">
        <f ca="1">_xlfn.MAXIFS($U$2:$U$36,$S$2:$S$36,"="&amp;$AR$24,$J$2:$J$36,"="&amp;$AS24,$I$2:$I$36,"&gt;="&amp;$AV$12,$I$2:$I$36,"&lt;"&amp;$AX$12)</f>
        <v>0.2</v>
      </c>
      <c r="AW24" s="99">
        <f ca="1">_xlfn.MINIFS($U$2:$U$36,$S$2:$S$36,"="&amp;$AR$24,$J$2:$J$36,"="&amp;$AS24,$I$2:$I$36,"&gt;="&amp;$AV$12,$I$2:$I$36,"&lt;"&amp;$AX$12)</f>
        <v>0.2</v>
      </c>
      <c r="AX24" s="99">
        <f ca="1">_xlfn.MAXIFS($U$2:$U$36,$S$2:$S$36,"="&amp;$AR$24,$J$2:$J$36,"="&amp;$AS24,$I$2:$I$36,"&gt;="&amp;$AX$12)</f>
        <v>0.3</v>
      </c>
      <c r="AY24" s="102">
        <f ca="1">_xlfn.MINIFS($U$2:$U$36,$S$2:$S$36,"="&amp;$AR$24,$J$2:$J$36,"="&amp;$AS24,$I$2:$I$36,"&gt;="&amp;$AX$12)</f>
        <v>0.05</v>
      </c>
    </row>
    <row r="25" spans="1:51" ht="17.100000000000001" customHeight="1" thickBot="1" x14ac:dyDescent="0.35">
      <c r="A25" s="113" t="str">
        <f t="shared" si="0"/>
        <v>jiyoungida-9762</v>
      </c>
      <c r="B25" s="123" t="s">
        <v>35</v>
      </c>
      <c r="C25" s="124" t="s">
        <v>99</v>
      </c>
      <c r="D25" s="115" t="str">
        <f t="shared" si="1"/>
        <v>870203-2******</v>
      </c>
      <c r="E25" s="120">
        <f t="shared" si="2"/>
        <v>31811</v>
      </c>
      <c r="F25" s="115">
        <f t="shared" si="3"/>
        <v>1987</v>
      </c>
      <c r="G25" s="115">
        <f t="shared" si="4"/>
        <v>2</v>
      </c>
      <c r="H25" s="115">
        <f t="shared" si="5"/>
        <v>3</v>
      </c>
      <c r="I25" s="115">
        <f t="shared" ca="1" si="6"/>
        <v>32</v>
      </c>
      <c r="J25" s="124" t="str">
        <f t="shared" si="7"/>
        <v>여</v>
      </c>
      <c r="K25" s="115">
        <f t="shared" ca="1" si="8"/>
        <v>11931</v>
      </c>
      <c r="L25" s="125" t="s">
        <v>64</v>
      </c>
      <c r="M25" s="126" t="s">
        <v>135</v>
      </c>
      <c r="N25" s="113">
        <v>42273</v>
      </c>
      <c r="O25" s="115">
        <f t="shared" ca="1" si="9"/>
        <v>4</v>
      </c>
      <c r="P25" s="115">
        <f t="shared" ca="1" si="10"/>
        <v>0</v>
      </c>
      <c r="Q25" s="115">
        <f t="shared" ca="1" si="11"/>
        <v>8</v>
      </c>
      <c r="R25" s="127">
        <v>100500</v>
      </c>
      <c r="S25" s="145" t="str">
        <f t="shared" si="12"/>
        <v>화</v>
      </c>
      <c r="T25" s="139" t="str">
        <f>HLOOKUP(R25, 할인율!$C$1:$F$3,3,TRUE)</f>
        <v>GOLD</v>
      </c>
      <c r="U25" s="128">
        <f ca="1">INDEX(할인율!$C$4:$F$9,MATCH(O25,할인율!$B$4:$B$9,1), MATCH(T25,할인율!$C$3:$F$3,0))</f>
        <v>0.1</v>
      </c>
      <c r="AC25" s="154"/>
      <c r="AD25" s="177"/>
      <c r="AE25" s="28" t="s">
        <v>185</v>
      </c>
      <c r="AF25" s="60">
        <f>SUMIFS($R$2:$R$36,$T$2:$T$36,"="&amp;$AC$21,$J$2:$J$36,"="&amp;$AD24,$S$2:$S$36,"="&amp;AF$2)</f>
        <v>0</v>
      </c>
      <c r="AG25" s="48">
        <f t="shared" ref="AG25:AL25" si="47">SUMIFS($R$2:$R$36,$T$2:$T$36,"="&amp;$AC$21,$J$2:$J$36,"="&amp;$AD24,$S$2:$S$36,"="&amp;AG$2)</f>
        <v>3700</v>
      </c>
      <c r="AH25" s="48">
        <f t="shared" si="47"/>
        <v>2400</v>
      </c>
      <c r="AI25" s="48">
        <f t="shared" si="47"/>
        <v>0</v>
      </c>
      <c r="AJ25" s="48">
        <f t="shared" si="47"/>
        <v>0</v>
      </c>
      <c r="AK25" s="48">
        <f t="shared" si="47"/>
        <v>0</v>
      </c>
      <c r="AL25" s="29">
        <f t="shared" si="47"/>
        <v>6500</v>
      </c>
      <c r="AR25" s="153"/>
      <c r="AS25" s="80" t="s">
        <v>191</v>
      </c>
      <c r="AT25" s="92">
        <f ca="1">_xlfn.MAXIFS($U$2:$U$36,$S$2:$S$36,"="&amp;$AR$24,$J$2:$J$36,"="&amp;$AS25,$I$2:$I$36,"&gt;="&amp;$AT$12,$I$2:$I$36,"&lt;"&amp;$AV$12)</f>
        <v>0</v>
      </c>
      <c r="AU25" s="100">
        <f ca="1">_xlfn.MINIFS($U$2:$U$36,$S$2:$S$36,"="&amp;$AR$24,$J$2:$J$36,"="&amp;$AS25,$I$2:$I$36,"&gt;="&amp;$AT$12,$I$2:$I$36,"&lt;"&amp;$AV$12)</f>
        <v>0</v>
      </c>
      <c r="AV25" s="100">
        <f ca="1">_xlfn.MAXIFS($U$2:$U$36,$S$2:$S$36,"="&amp;$AR$24,$J$2:$J$36,"="&amp;$AS25,$I$2:$I$36,"&gt;="&amp;$AV$12,$I$2:$I$36,"&lt;"&amp;$AX$12)</f>
        <v>0.3</v>
      </c>
      <c r="AW25" s="100">
        <f ca="1">_xlfn.MINIFS($U$2:$U$36,$S$2:$S$36,"="&amp;$AR$24,$J$2:$J$36,"="&amp;$AS25,$I$2:$I$36,"&gt;="&amp;$AV$12,$I$2:$I$36,"&lt;"&amp;$AX$12)</f>
        <v>0.05</v>
      </c>
      <c r="AX25" s="100">
        <f ca="1">_xlfn.MAXIFS($U$2:$U$36,$S$2:$S$36,"="&amp;$AR$24,$J$2:$J$36,"="&amp;$AS25,$I$2:$I$36,"&gt;="&amp;$AX$12)</f>
        <v>0</v>
      </c>
      <c r="AY25" s="103">
        <f ca="1">_xlfn.MINIFS($U$2:$U$36,$S$2:$S$36,"="&amp;$AR$24,$J$2:$J$36,"="&amp;$AS25,$I$2:$I$36,"&gt;="&amp;$AX$12)</f>
        <v>0</v>
      </c>
    </row>
    <row r="26" spans="1:51" ht="17.100000000000001" customHeight="1" thickTop="1" thickBot="1" x14ac:dyDescent="0.35">
      <c r="A26" s="113" t="str">
        <f t="shared" si="0"/>
        <v>okteajinok-1235</v>
      </c>
      <c r="B26" s="123" t="s">
        <v>37</v>
      </c>
      <c r="C26" s="124" t="s">
        <v>100</v>
      </c>
      <c r="D26" s="115" t="str">
        <f t="shared" si="1"/>
        <v>790416-1******</v>
      </c>
      <c r="E26" s="120">
        <f t="shared" si="2"/>
        <v>28961</v>
      </c>
      <c r="F26" s="115">
        <f t="shared" si="3"/>
        <v>1979</v>
      </c>
      <c r="G26" s="115">
        <f t="shared" si="4"/>
        <v>4</v>
      </c>
      <c r="H26" s="115">
        <f t="shared" si="5"/>
        <v>16</v>
      </c>
      <c r="I26" s="115">
        <f t="shared" ca="1" si="6"/>
        <v>40</v>
      </c>
      <c r="J26" s="124" t="str">
        <f t="shared" si="7"/>
        <v>남</v>
      </c>
      <c r="K26" s="115">
        <f t="shared" ca="1" si="8"/>
        <v>14781</v>
      </c>
      <c r="L26" s="125" t="s">
        <v>65</v>
      </c>
      <c r="M26" s="126" t="s">
        <v>136</v>
      </c>
      <c r="N26" s="113">
        <v>41246</v>
      </c>
      <c r="O26" s="115">
        <f t="shared" ca="1" si="9"/>
        <v>6</v>
      </c>
      <c r="P26" s="115">
        <f t="shared" ca="1" si="10"/>
        <v>10</v>
      </c>
      <c r="Q26" s="115">
        <f t="shared" ca="1" si="11"/>
        <v>1</v>
      </c>
      <c r="R26" s="127">
        <v>17300</v>
      </c>
      <c r="S26" s="144" t="str">
        <f t="shared" si="12"/>
        <v>월</v>
      </c>
      <c r="T26" s="150" t="str">
        <f>HLOOKUP(R26, 할인율!$C$1:$F$3,3,TRUE)</f>
        <v>SILVER</v>
      </c>
      <c r="U26" s="128">
        <f ca="1">INDEX(할인율!$C$4:$F$9,MATCH(O26,할인율!$B$4:$B$9,1), MATCH(T26,할인율!$C$3:$F$3,0))</f>
        <v>0.08</v>
      </c>
      <c r="AC26" s="155"/>
      <c r="AD26" s="181"/>
      <c r="AE26" s="40" t="s">
        <v>186</v>
      </c>
      <c r="AF26" s="62" t="str">
        <f>IFERROR(ROUND(AVERAGEIFS($U$2:$U$36,$T$2:$T$36,"="&amp;$AC$21,$J$2:$J$36,"="&amp;$AD24,$S$2:$S$36,"="&amp;AF$2),2),"-")</f>
        <v>-</v>
      </c>
      <c r="AG26" s="41">
        <f t="shared" ref="AG26:AL26" ca="1" si="48">IFERROR(ROUND(AVERAGEIFS($U$2:$U$36,$T$2:$T$36,"="&amp;$AC$21,$J$2:$J$36,"="&amp;$AD24,$S$2:$S$36,"="&amp;AG$2),2),"-")</f>
        <v>0.04</v>
      </c>
      <c r="AH26" s="41">
        <f t="shared" ca="1" si="48"/>
        <v>0</v>
      </c>
      <c r="AI26" s="41" t="str">
        <f t="shared" si="48"/>
        <v>-</v>
      </c>
      <c r="AJ26" s="41" t="str">
        <f t="shared" si="48"/>
        <v>-</v>
      </c>
      <c r="AK26" s="41" t="str">
        <f t="shared" si="48"/>
        <v>-</v>
      </c>
      <c r="AL26" s="42">
        <f t="shared" ca="1" si="48"/>
        <v>0.02</v>
      </c>
      <c r="AR26" s="154" t="s">
        <v>202</v>
      </c>
      <c r="AS26" s="73" t="s">
        <v>190</v>
      </c>
      <c r="AT26" s="89">
        <f ca="1">_xlfn.MAXIFS($U$2:$U$36,$S$2:$S$36,"="&amp;$AR$26,$J$2:$J$36,"="&amp;$AS26,$I$2:$I$36,"&gt;="&amp;$AT$12,$I$2:$I$36,"&lt;"&amp;$AV$12)</f>
        <v>0</v>
      </c>
      <c r="AU26" s="72">
        <f ca="1">_xlfn.MINIFS($U$2:$U$36,$S$2:$S$36,"="&amp;$AR$26,$J$2:$J$36,"="&amp;$AS26,$I$2:$I$36,"&gt;="&amp;$AT$12,$I$2:$I$36,"&lt;"&amp;$AV$12)</f>
        <v>0</v>
      </c>
      <c r="AV26" s="72">
        <f ca="1">_xlfn.MAXIFS($U$2:$U$36,$S$2:$S$36,"="&amp;$AR$26,$J$2:$J$36,"="&amp;$AS26,$I$2:$I$36,"&gt;="&amp;$AV$12,$I$2:$I$36,"&lt;"&amp;$AX$12)</f>
        <v>0.2</v>
      </c>
      <c r="AW26" s="72">
        <f ca="1">_xlfn.MINIFS($U$2:$U$36,$S$2:$S$36,"="&amp;$AR$26,$J$2:$J$36,"="&amp;$AS26,$I$2:$I$36,"&gt;="&amp;$AV$12,$I$2:$I$36,"&lt;"&amp;$AX$12)</f>
        <v>0.2</v>
      </c>
      <c r="AX26" s="72">
        <f ca="1">_xlfn.MAXIFS($U$2:$U$36,$S$2:$S$36,"="&amp;$AR$26,$J$2:$J$36,"="&amp;$AS26,$I$2:$I$36,"&gt;="&amp;$AX$12)</f>
        <v>0.2</v>
      </c>
      <c r="AY26" s="104">
        <f ca="1">_xlfn.MINIFS($U$2:$U$36,$S$2:$S$36,"="&amp;$AR$26,$J$2:$J$36,"="&amp;$AS26,$I$2:$I$36,"&gt;="&amp;$AX$12)</f>
        <v>0.2</v>
      </c>
    </row>
    <row r="27" spans="1:51" ht="17.100000000000001" customHeight="1" thickTop="1" thickBot="1" x14ac:dyDescent="0.35">
      <c r="A27" s="113" t="str">
        <f t="shared" si="0"/>
        <v>notingzeor0-7619</v>
      </c>
      <c r="B27" s="123" t="s">
        <v>38</v>
      </c>
      <c r="C27" s="124" t="s">
        <v>101</v>
      </c>
      <c r="D27" s="115" t="str">
        <f t="shared" si="1"/>
        <v>831205-1******</v>
      </c>
      <c r="E27" s="120">
        <f t="shared" si="2"/>
        <v>30655</v>
      </c>
      <c r="F27" s="115">
        <f t="shared" si="3"/>
        <v>1983</v>
      </c>
      <c r="G27" s="115">
        <f t="shared" si="4"/>
        <v>12</v>
      </c>
      <c r="H27" s="115">
        <f t="shared" si="5"/>
        <v>5</v>
      </c>
      <c r="I27" s="115">
        <f t="shared" ca="1" si="6"/>
        <v>35</v>
      </c>
      <c r="J27" s="124" t="str">
        <f t="shared" si="7"/>
        <v>남</v>
      </c>
      <c r="K27" s="115">
        <f t="shared" ca="1" si="8"/>
        <v>13087</v>
      </c>
      <c r="L27" s="125" t="s">
        <v>66</v>
      </c>
      <c r="M27" s="126" t="s">
        <v>137</v>
      </c>
      <c r="N27" s="113">
        <v>41468</v>
      </c>
      <c r="O27" s="115">
        <f t="shared" ca="1" si="9"/>
        <v>6</v>
      </c>
      <c r="P27" s="115">
        <f t="shared" ca="1" si="10"/>
        <v>2</v>
      </c>
      <c r="Q27" s="115">
        <f t="shared" ca="1" si="11"/>
        <v>21</v>
      </c>
      <c r="R27" s="127">
        <v>193000</v>
      </c>
      <c r="S27" s="144" t="str">
        <f t="shared" si="12"/>
        <v>월</v>
      </c>
      <c r="T27" s="139" t="str">
        <f>HLOOKUP(R27, 할인율!$C$1:$F$3,3,TRUE)</f>
        <v>GOLD</v>
      </c>
      <c r="U27" s="128">
        <f ca="1">INDEX(할인율!$C$4:$F$9,MATCH(O27,할인율!$B$4:$B$9,1), MATCH(T27,할인율!$C$3:$F$3,0))</f>
        <v>0.15</v>
      </c>
      <c r="AR27" s="155"/>
      <c r="AS27" s="50" t="s">
        <v>191</v>
      </c>
      <c r="AT27" s="93">
        <f ca="1">_xlfn.MAXIFS($U$2:$U$36,$S$2:$S$36,"="&amp;$AR$26,$J$2:$J$36,"="&amp;$AS27,$I$2:$I$36,"&gt;="&amp;$AT$12,$I$2:$I$36,"&lt;"&amp;$AV$12)</f>
        <v>0</v>
      </c>
      <c r="AU27" s="105">
        <f ca="1">_xlfn.MINIFS($U$2:$U$36,$S$2:$S$36,"="&amp;$AR$26,$J$2:$J$36,"="&amp;$AS27,$I$2:$I$36,"&gt;="&amp;$AT$12,$I$2:$I$36,"&lt;"&amp;$AV$12)</f>
        <v>0</v>
      </c>
      <c r="AV27" s="105">
        <f ca="1">_xlfn.MAXIFS($U$2:$U$36,$S$2:$S$36,"="&amp;$AR$26,$J$2:$J$36,"="&amp;$AS27,$I$2:$I$36,"&gt;="&amp;$AV$12,$I$2:$I$36,"&lt;"&amp;$AX$12)</f>
        <v>0.08</v>
      </c>
      <c r="AW27" s="105">
        <f ca="1">_xlfn.MINIFS($U$2:$U$36,$S$2:$S$36,"="&amp;$AR$26,$J$2:$J$36,"="&amp;$AS27,$I$2:$I$36,"&gt;="&amp;$AV$12,$I$2:$I$36,"&lt;"&amp;$AX$12)</f>
        <v>0.02</v>
      </c>
      <c r="AX27" s="105">
        <f ca="1">_xlfn.MAXIFS($U$2:$U$36,$S$2:$S$36,"="&amp;$AR$26,$J$2:$J$36,"="&amp;$AS27,$I$2:$I$36,"&gt;="&amp;$AX$12)</f>
        <v>0.25</v>
      </c>
      <c r="AY27" s="106">
        <f ca="1">_xlfn.MINIFS($U$2:$U$36,$S$2:$S$36,"="&amp;$AR$26,$J$2:$J$36,"="&amp;$AS27,$I$2:$I$36,"&gt;="&amp;$AX$12)</f>
        <v>0.15</v>
      </c>
    </row>
    <row r="28" spans="1:51" ht="17.100000000000001" customHeight="1" thickTop="1" x14ac:dyDescent="0.3">
      <c r="A28" s="113" t="str">
        <f t="shared" si="0"/>
        <v>thlee1985-7913</v>
      </c>
      <c r="B28" s="123" t="s">
        <v>8</v>
      </c>
      <c r="C28" s="124" t="s">
        <v>102</v>
      </c>
      <c r="D28" s="115" t="str">
        <f t="shared" si="1"/>
        <v>850927-1******</v>
      </c>
      <c r="E28" s="120">
        <f t="shared" si="2"/>
        <v>31317</v>
      </c>
      <c r="F28" s="115">
        <f t="shared" si="3"/>
        <v>1985</v>
      </c>
      <c r="G28" s="115">
        <f t="shared" si="4"/>
        <v>9</v>
      </c>
      <c r="H28" s="115">
        <f t="shared" si="5"/>
        <v>27</v>
      </c>
      <c r="I28" s="115">
        <f t="shared" ca="1" si="6"/>
        <v>34</v>
      </c>
      <c r="J28" s="124" t="str">
        <f t="shared" si="7"/>
        <v>남</v>
      </c>
      <c r="K28" s="115">
        <f t="shared" ca="1" si="8"/>
        <v>12425</v>
      </c>
      <c r="L28" s="125" t="s">
        <v>67</v>
      </c>
      <c r="M28" s="126" t="s">
        <v>138</v>
      </c>
      <c r="N28" s="113">
        <v>39737</v>
      </c>
      <c r="O28" s="115">
        <f t="shared" ca="1" si="9"/>
        <v>10</v>
      </c>
      <c r="P28" s="115">
        <f t="shared" ca="1" si="10"/>
        <v>11</v>
      </c>
      <c r="Q28" s="115">
        <f t="shared" ca="1" si="11"/>
        <v>18</v>
      </c>
      <c r="R28" s="127">
        <v>187000</v>
      </c>
      <c r="S28" s="147" t="str">
        <f t="shared" si="12"/>
        <v>금</v>
      </c>
      <c r="T28" s="139" t="str">
        <f>HLOOKUP(R28, 할인율!$C$1:$F$3,3,TRUE)</f>
        <v>GOLD</v>
      </c>
      <c r="U28" s="128">
        <f ca="1">INDEX(할인율!$C$4:$F$9,MATCH(O28,할인율!$B$4:$B$9,1), MATCH(T28,할인율!$C$3:$F$3,0))</f>
        <v>0.2</v>
      </c>
    </row>
    <row r="29" spans="1:51" ht="17.100000000000001" customHeight="1" x14ac:dyDescent="0.3">
      <c r="A29" s="113" t="str">
        <f t="shared" si="0"/>
        <v>soyoon1212-1296</v>
      </c>
      <c r="B29" s="123" t="s">
        <v>9</v>
      </c>
      <c r="C29" s="124" t="s">
        <v>103</v>
      </c>
      <c r="D29" s="115" t="str">
        <f t="shared" si="1"/>
        <v>710621-2******</v>
      </c>
      <c r="E29" s="120">
        <f t="shared" si="2"/>
        <v>26105</v>
      </c>
      <c r="F29" s="115">
        <f t="shared" si="3"/>
        <v>1971</v>
      </c>
      <c r="G29" s="115">
        <f t="shared" si="4"/>
        <v>6</v>
      </c>
      <c r="H29" s="115">
        <f t="shared" si="5"/>
        <v>21</v>
      </c>
      <c r="I29" s="115">
        <f t="shared" ca="1" si="6"/>
        <v>48</v>
      </c>
      <c r="J29" s="124" t="str">
        <f t="shared" si="7"/>
        <v>여</v>
      </c>
      <c r="K29" s="115">
        <f t="shared" ca="1" si="8"/>
        <v>17637</v>
      </c>
      <c r="L29" s="125" t="s">
        <v>68</v>
      </c>
      <c r="M29" s="126" t="s">
        <v>139</v>
      </c>
      <c r="N29" s="113">
        <v>42001</v>
      </c>
      <c r="O29" s="115">
        <f t="shared" ca="1" si="9"/>
        <v>4</v>
      </c>
      <c r="P29" s="115">
        <f t="shared" ca="1" si="10"/>
        <v>9</v>
      </c>
      <c r="Q29" s="115">
        <f t="shared" ca="1" si="11"/>
        <v>6</v>
      </c>
      <c r="R29" s="127">
        <v>55600</v>
      </c>
      <c r="S29" s="144" t="str">
        <f t="shared" si="12"/>
        <v>월</v>
      </c>
      <c r="T29" s="150" t="str">
        <f>HLOOKUP(R29, 할인율!$C$1:$F$3,3,TRUE)</f>
        <v>SILVER</v>
      </c>
      <c r="U29" s="128">
        <f ca="1">INDEX(할인율!$C$4:$F$9,MATCH(O29,할인율!$B$4:$B$9,1), MATCH(T29,할인율!$C$3:$F$3,0))</f>
        <v>0.05</v>
      </c>
    </row>
    <row r="30" spans="1:51" ht="17.100000000000001" customHeight="1" x14ac:dyDescent="0.3">
      <c r="A30" s="113" t="str">
        <f t="shared" si="0"/>
        <v>soosoodduk-1496</v>
      </c>
      <c r="B30" s="123" t="s">
        <v>39</v>
      </c>
      <c r="C30" s="124" t="s">
        <v>104</v>
      </c>
      <c r="D30" s="115" t="str">
        <f t="shared" si="1"/>
        <v>810308-1******</v>
      </c>
      <c r="E30" s="120">
        <f t="shared" si="2"/>
        <v>29653</v>
      </c>
      <c r="F30" s="115">
        <f t="shared" si="3"/>
        <v>1981</v>
      </c>
      <c r="G30" s="115">
        <f t="shared" si="4"/>
        <v>3</v>
      </c>
      <c r="H30" s="115">
        <f t="shared" si="5"/>
        <v>8</v>
      </c>
      <c r="I30" s="115">
        <f t="shared" ca="1" si="6"/>
        <v>38</v>
      </c>
      <c r="J30" s="124" t="str">
        <f t="shared" si="7"/>
        <v>남</v>
      </c>
      <c r="K30" s="115">
        <f t="shared" ca="1" si="8"/>
        <v>14089</v>
      </c>
      <c r="L30" s="125" t="s">
        <v>69</v>
      </c>
      <c r="M30" s="126" t="s">
        <v>140</v>
      </c>
      <c r="N30" s="113">
        <v>39282</v>
      </c>
      <c r="O30" s="115">
        <f t="shared" ca="1" si="9"/>
        <v>12</v>
      </c>
      <c r="P30" s="115">
        <f t="shared" ca="1" si="10"/>
        <v>2</v>
      </c>
      <c r="Q30" s="115">
        <f t="shared" ca="1" si="11"/>
        <v>15</v>
      </c>
      <c r="R30" s="127">
        <v>214000</v>
      </c>
      <c r="S30" s="143" t="str">
        <f t="shared" si="12"/>
        <v>일</v>
      </c>
      <c r="T30" s="140" t="str">
        <f>HLOOKUP(R30, 할인율!$C$1:$F$3,3,TRUE)</f>
        <v>PURE GOLD</v>
      </c>
      <c r="U30" s="128">
        <f ca="1">INDEX(할인율!$C$4:$F$9,MATCH(O30,할인율!$B$4:$B$9,1), MATCH(T30,할인율!$C$3:$F$3,0))</f>
        <v>0.25</v>
      </c>
    </row>
    <row r="31" spans="1:51" ht="17.100000000000001" customHeight="1" x14ac:dyDescent="0.3">
      <c r="A31" s="113" t="str">
        <f t="shared" si="0"/>
        <v>ksjung74-7659</v>
      </c>
      <c r="B31" s="123" t="s">
        <v>10</v>
      </c>
      <c r="C31" s="124" t="s">
        <v>107</v>
      </c>
      <c r="D31" s="115" t="str">
        <f t="shared" si="1"/>
        <v>740201-1******</v>
      </c>
      <c r="E31" s="120">
        <f t="shared" si="2"/>
        <v>27061</v>
      </c>
      <c r="F31" s="115">
        <f t="shared" si="3"/>
        <v>1974</v>
      </c>
      <c r="G31" s="115">
        <f t="shared" si="4"/>
        <v>2</v>
      </c>
      <c r="H31" s="115">
        <f t="shared" si="5"/>
        <v>1</v>
      </c>
      <c r="I31" s="115">
        <f t="shared" ca="1" si="6"/>
        <v>45</v>
      </c>
      <c r="J31" s="124" t="str">
        <f t="shared" si="7"/>
        <v>남</v>
      </c>
      <c r="K31" s="115">
        <f t="shared" ca="1" si="8"/>
        <v>16681</v>
      </c>
      <c r="L31" s="125" t="s">
        <v>70</v>
      </c>
      <c r="M31" s="126" t="s">
        <v>141</v>
      </c>
      <c r="N31" s="113">
        <v>36920</v>
      </c>
      <c r="O31" s="115">
        <f t="shared" ca="1" si="9"/>
        <v>18</v>
      </c>
      <c r="P31" s="115">
        <f t="shared" ca="1" si="10"/>
        <v>8</v>
      </c>
      <c r="Q31" s="115">
        <f t="shared" ca="1" si="11"/>
        <v>5</v>
      </c>
      <c r="R31" s="127">
        <v>224100</v>
      </c>
      <c r="S31" s="147" t="str">
        <f t="shared" si="12"/>
        <v>금</v>
      </c>
      <c r="T31" s="140" t="str">
        <f>HLOOKUP(R31, 할인율!$C$1:$F$3,3,TRUE)</f>
        <v>PURE GOLD</v>
      </c>
      <c r="U31" s="128">
        <f ca="1">INDEX(할인율!$C$4:$F$9,MATCH(O31,할인율!$B$4:$B$9,1), MATCH(T31,할인율!$C$3:$F$3,0))</f>
        <v>0.3</v>
      </c>
    </row>
    <row r="32" spans="1:51" ht="17.100000000000001" customHeight="1" x14ac:dyDescent="0.3">
      <c r="A32" s="113" t="str">
        <f t="shared" si="0"/>
        <v>tellhjtrue-4963</v>
      </c>
      <c r="B32" s="123" t="s">
        <v>11</v>
      </c>
      <c r="C32" s="124" t="s">
        <v>106</v>
      </c>
      <c r="D32" s="115" t="str">
        <f t="shared" si="1"/>
        <v>801112-1******</v>
      </c>
      <c r="E32" s="120">
        <f t="shared" si="2"/>
        <v>29537</v>
      </c>
      <c r="F32" s="115">
        <f t="shared" si="3"/>
        <v>1980</v>
      </c>
      <c r="G32" s="115">
        <f t="shared" si="4"/>
        <v>11</v>
      </c>
      <c r="H32" s="115">
        <f t="shared" si="5"/>
        <v>12</v>
      </c>
      <c r="I32" s="115">
        <f t="shared" ca="1" si="6"/>
        <v>38</v>
      </c>
      <c r="J32" s="124" t="str">
        <f t="shared" si="7"/>
        <v>남</v>
      </c>
      <c r="K32" s="115">
        <f t="shared" ca="1" si="8"/>
        <v>14205</v>
      </c>
      <c r="L32" s="125" t="s">
        <v>71</v>
      </c>
      <c r="M32" s="126" t="s">
        <v>142</v>
      </c>
      <c r="N32" s="113">
        <v>40712</v>
      </c>
      <c r="O32" s="115">
        <f t="shared" ca="1" si="9"/>
        <v>8</v>
      </c>
      <c r="P32" s="115">
        <f t="shared" ca="1" si="10"/>
        <v>3</v>
      </c>
      <c r="Q32" s="115">
        <f t="shared" ca="1" si="11"/>
        <v>16</v>
      </c>
      <c r="R32" s="127">
        <v>147600</v>
      </c>
      <c r="S32" s="146" t="str">
        <f t="shared" si="12"/>
        <v>수</v>
      </c>
      <c r="T32" s="139" t="str">
        <f>HLOOKUP(R32, 할인율!$C$1:$F$3,3,TRUE)</f>
        <v>GOLD</v>
      </c>
      <c r="U32" s="128">
        <f ca="1">INDEX(할인율!$C$4:$F$9,MATCH(O32,할인율!$B$4:$B$9,1), MATCH(T32,할인율!$C$3:$F$3,0))</f>
        <v>0.15</v>
      </c>
    </row>
    <row r="33" spans="1:21" ht="17.100000000000001" customHeight="1" x14ac:dyDescent="0.3">
      <c r="A33" s="113" t="str">
        <f t="shared" si="0"/>
        <v>minuminu-6743</v>
      </c>
      <c r="B33" s="123" t="s">
        <v>12</v>
      </c>
      <c r="C33" s="124" t="s">
        <v>105</v>
      </c>
      <c r="D33" s="115" t="str">
        <f t="shared" si="1"/>
        <v>870722-1******</v>
      </c>
      <c r="E33" s="120">
        <f t="shared" si="2"/>
        <v>31980</v>
      </c>
      <c r="F33" s="115">
        <f t="shared" si="3"/>
        <v>1987</v>
      </c>
      <c r="G33" s="115">
        <f t="shared" si="4"/>
        <v>7</v>
      </c>
      <c r="H33" s="115">
        <f t="shared" si="5"/>
        <v>22</v>
      </c>
      <c r="I33" s="115">
        <f t="shared" ca="1" si="6"/>
        <v>32</v>
      </c>
      <c r="J33" s="124" t="str">
        <f t="shared" si="7"/>
        <v>남</v>
      </c>
      <c r="K33" s="115">
        <f t="shared" ca="1" si="8"/>
        <v>11762</v>
      </c>
      <c r="L33" s="125" t="s">
        <v>72</v>
      </c>
      <c r="M33" s="126" t="s">
        <v>143</v>
      </c>
      <c r="N33" s="113">
        <v>40212</v>
      </c>
      <c r="O33" s="115">
        <f t="shared" ca="1" si="9"/>
        <v>9</v>
      </c>
      <c r="P33" s="115">
        <f t="shared" ca="1" si="10"/>
        <v>8</v>
      </c>
      <c r="Q33" s="115">
        <f t="shared" ca="1" si="11"/>
        <v>1</v>
      </c>
      <c r="R33" s="127">
        <v>36800</v>
      </c>
      <c r="S33" s="146" t="str">
        <f t="shared" si="12"/>
        <v>수</v>
      </c>
      <c r="T33" s="150" t="str">
        <f>HLOOKUP(R33, 할인율!$C$1:$F$3,3,TRUE)</f>
        <v>SILVER</v>
      </c>
      <c r="U33" s="128">
        <f ca="1">INDEX(할인율!$C$4:$F$9,MATCH(O33,할인율!$B$4:$B$9,1), MATCH(T33,할인율!$C$3:$F$3,0))</f>
        <v>0.08</v>
      </c>
    </row>
    <row r="34" spans="1:21" ht="17.100000000000001" customHeight="1" x14ac:dyDescent="0.3">
      <c r="A34" s="113" t="str">
        <f t="shared" si="0"/>
        <v>lovelyhuson-1476</v>
      </c>
      <c r="B34" s="123" t="s">
        <v>36</v>
      </c>
      <c r="C34" s="124" t="s">
        <v>108</v>
      </c>
      <c r="D34" s="115" t="str">
        <f t="shared" si="1"/>
        <v>860513-2******</v>
      </c>
      <c r="E34" s="120">
        <f t="shared" si="2"/>
        <v>31545</v>
      </c>
      <c r="F34" s="115">
        <f t="shared" si="3"/>
        <v>1986</v>
      </c>
      <c r="G34" s="115">
        <f t="shared" si="4"/>
        <v>5</v>
      </c>
      <c r="H34" s="115">
        <f t="shared" si="5"/>
        <v>13</v>
      </c>
      <c r="I34" s="115">
        <f t="shared" ca="1" si="6"/>
        <v>33</v>
      </c>
      <c r="J34" s="124" t="str">
        <f t="shared" si="7"/>
        <v>여</v>
      </c>
      <c r="K34" s="115">
        <f t="shared" ca="1" si="8"/>
        <v>12197</v>
      </c>
      <c r="L34" s="125" t="s">
        <v>73</v>
      </c>
      <c r="M34" s="126" t="s">
        <v>144</v>
      </c>
      <c r="N34" s="113">
        <v>43355</v>
      </c>
      <c r="O34" s="115">
        <f t="shared" ca="1" si="9"/>
        <v>1</v>
      </c>
      <c r="P34" s="115">
        <f t="shared" ca="1" si="10"/>
        <v>0</v>
      </c>
      <c r="Q34" s="115">
        <f t="shared" ca="1" si="11"/>
        <v>22</v>
      </c>
      <c r="R34" s="127">
        <v>2400</v>
      </c>
      <c r="S34" s="145" t="str">
        <f t="shared" si="12"/>
        <v>화</v>
      </c>
      <c r="T34" s="137" t="str">
        <f>HLOOKUP(R34, 할인율!$C$1:$F$3,3,TRUE)</f>
        <v>BRONZE</v>
      </c>
      <c r="U34" s="128">
        <f ca="1">INDEX(할인율!$C$4:$F$9,MATCH(O34,할인율!$B$4:$B$9,1), MATCH(T34,할인율!$C$3:$F$3,0))</f>
        <v>0</v>
      </c>
    </row>
    <row r="35" spans="1:21" ht="17.100000000000001" customHeight="1" x14ac:dyDescent="0.3">
      <c r="A35" s="113" t="str">
        <f t="shared" si="0"/>
        <v>ssossok914-2579</v>
      </c>
      <c r="B35" s="123" t="s">
        <v>13</v>
      </c>
      <c r="C35" s="124" t="s">
        <v>109</v>
      </c>
      <c r="D35" s="115" t="str">
        <f t="shared" si="1"/>
        <v>791019-2******</v>
      </c>
      <c r="E35" s="120">
        <f t="shared" si="2"/>
        <v>29147</v>
      </c>
      <c r="F35" s="115">
        <f t="shared" si="3"/>
        <v>1979</v>
      </c>
      <c r="G35" s="115">
        <f t="shared" si="4"/>
        <v>10</v>
      </c>
      <c r="H35" s="115">
        <f t="shared" si="5"/>
        <v>19</v>
      </c>
      <c r="I35" s="115">
        <f t="shared" ca="1" si="6"/>
        <v>39</v>
      </c>
      <c r="J35" s="124" t="str">
        <f t="shared" si="7"/>
        <v>여</v>
      </c>
      <c r="K35" s="115">
        <f t="shared" ca="1" si="8"/>
        <v>14595</v>
      </c>
      <c r="L35" s="125" t="s">
        <v>74</v>
      </c>
      <c r="M35" s="126" t="s">
        <v>145</v>
      </c>
      <c r="N35" s="113">
        <v>37832</v>
      </c>
      <c r="O35" s="115">
        <f t="shared" ca="1" si="9"/>
        <v>16</v>
      </c>
      <c r="P35" s="115">
        <f t="shared" ca="1" si="10"/>
        <v>2</v>
      </c>
      <c r="Q35" s="115">
        <f t="shared" ca="1" si="11"/>
        <v>4</v>
      </c>
      <c r="R35" s="127">
        <v>221000</v>
      </c>
      <c r="S35" s="147" t="str">
        <f t="shared" si="12"/>
        <v>금</v>
      </c>
      <c r="T35" s="140" t="str">
        <f>HLOOKUP(R35, 할인율!$C$1:$F$3,3,TRUE)</f>
        <v>PURE GOLD</v>
      </c>
      <c r="U35" s="128">
        <f ca="1">INDEX(할인율!$C$4:$F$9,MATCH(O35,할인율!$B$4:$B$9,1), MATCH(T35,할인율!$C$3:$F$3,0))</f>
        <v>0.3</v>
      </c>
    </row>
    <row r="36" spans="1:21" ht="17.100000000000001" customHeight="1" thickBot="1" x14ac:dyDescent="0.35">
      <c r="A36" s="113" t="str">
        <f t="shared" si="0"/>
        <v>seaaaaaaa-8521</v>
      </c>
      <c r="B36" s="4" t="s">
        <v>40</v>
      </c>
      <c r="C36" s="129" t="s">
        <v>110</v>
      </c>
      <c r="D36" s="130" t="str">
        <f t="shared" si="1"/>
        <v>821224-2******</v>
      </c>
      <c r="E36" s="131">
        <f t="shared" si="2"/>
        <v>30309</v>
      </c>
      <c r="F36" s="130">
        <f t="shared" si="3"/>
        <v>1982</v>
      </c>
      <c r="G36" s="130">
        <f t="shared" si="4"/>
        <v>12</v>
      </c>
      <c r="H36" s="130">
        <f t="shared" si="5"/>
        <v>24</v>
      </c>
      <c r="I36" s="130">
        <f t="shared" ca="1" si="6"/>
        <v>36</v>
      </c>
      <c r="J36" s="129" t="str">
        <f t="shared" si="7"/>
        <v>여</v>
      </c>
      <c r="K36" s="130">
        <f t="shared" ca="1" si="8"/>
        <v>13433</v>
      </c>
      <c r="L36" s="132" t="s">
        <v>75</v>
      </c>
      <c r="M36" s="133" t="s">
        <v>146</v>
      </c>
      <c r="N36" s="134">
        <v>42274</v>
      </c>
      <c r="O36" s="130">
        <f t="shared" ca="1" si="9"/>
        <v>4</v>
      </c>
      <c r="P36" s="130">
        <f t="shared" ca="1" si="10"/>
        <v>0</v>
      </c>
      <c r="Q36" s="130">
        <f t="shared" ca="1" si="11"/>
        <v>7</v>
      </c>
      <c r="R36" s="135">
        <v>78300</v>
      </c>
      <c r="S36" s="148" t="str">
        <f t="shared" si="12"/>
        <v>금</v>
      </c>
      <c r="T36" s="151" t="str">
        <f>HLOOKUP(R36, 할인율!$C$1:$F$3,3,TRUE)</f>
        <v>SILVER</v>
      </c>
      <c r="U36" s="136">
        <f ca="1">INDEX(할인율!$C$4:$F$9,MATCH(O36,할인율!$B$4:$B$9,1), MATCH(T36,할인율!$C$3:$F$3,0))</f>
        <v>0.05</v>
      </c>
    </row>
    <row r="37" spans="1:21" ht="17.100000000000001" customHeight="1" thickTop="1" x14ac:dyDescent="0.3"/>
  </sheetData>
  <mergeCells count="33">
    <mergeCell ref="AD21:AD23"/>
    <mergeCell ref="AD24:AD26"/>
    <mergeCell ref="W14:AA14"/>
    <mergeCell ref="X15:Y15"/>
    <mergeCell ref="Z15:AA15"/>
    <mergeCell ref="X16:Y16"/>
    <mergeCell ref="Z16:AA16"/>
    <mergeCell ref="AD18:AD20"/>
    <mergeCell ref="AD3:AD5"/>
    <mergeCell ref="AD6:AD8"/>
    <mergeCell ref="AD9:AD11"/>
    <mergeCell ref="AD12:AD14"/>
    <mergeCell ref="AD15:AD17"/>
    <mergeCell ref="AC3:AC8"/>
    <mergeCell ref="AC9:AC14"/>
    <mergeCell ref="AC15:AC20"/>
    <mergeCell ref="AC21:AC26"/>
    <mergeCell ref="X7:Y7"/>
    <mergeCell ref="Z7:AA7"/>
    <mergeCell ref="AO2:AO3"/>
    <mergeCell ref="AP2:AP3"/>
    <mergeCell ref="AT12:AU12"/>
    <mergeCell ref="AV12:AW12"/>
    <mergeCell ref="AX12:AY12"/>
    <mergeCell ref="AR24:AR25"/>
    <mergeCell ref="AR26:AR27"/>
    <mergeCell ref="AR3:AR6"/>
    <mergeCell ref="AR7:AR10"/>
    <mergeCell ref="AR14:AR15"/>
    <mergeCell ref="AR16:AR17"/>
    <mergeCell ref="AR18:AR19"/>
    <mergeCell ref="AR20:AR21"/>
    <mergeCell ref="AR22:AR23"/>
  </mergeCells>
  <phoneticPr fontId="1" type="noConversion"/>
  <hyperlinks>
    <hyperlink ref="L2" r:id="rId1" xr:uid="{136D84B7-DAB1-4521-B8DF-6EEDA1848C70}"/>
    <hyperlink ref="L3" r:id="rId2" xr:uid="{BB0185EF-A0A5-4827-9223-DB235D17340F}"/>
    <hyperlink ref="L4" r:id="rId3" xr:uid="{C763EBDF-3F2B-438E-A192-1874A387BBAC}"/>
    <hyperlink ref="L5" r:id="rId4" xr:uid="{F41D252F-AD94-4819-BB14-3FFC16EDA534}"/>
    <hyperlink ref="L6" r:id="rId5" xr:uid="{4918770D-9ADA-413B-B26D-63ECFEEDEE29}"/>
    <hyperlink ref="L7" r:id="rId6" xr:uid="{49B99187-CAB1-484C-A4AB-B247BE8C1EF8}"/>
    <hyperlink ref="L8" r:id="rId7" xr:uid="{E7B9FAA8-716F-4DFB-9288-B2A826F77A71}"/>
    <hyperlink ref="L9" r:id="rId8" xr:uid="{C09DBC54-2228-40E7-8700-6E4C51691A37}"/>
    <hyperlink ref="L10" r:id="rId9" xr:uid="{EBDCE4B0-6C04-4372-B8B8-CA67C126C23C}"/>
    <hyperlink ref="L11" r:id="rId10" xr:uid="{8161D764-D463-4414-A2F8-864093E1644C}"/>
    <hyperlink ref="L12" r:id="rId11" xr:uid="{5195EB4C-9820-4EF5-B20D-D05FD86CD54B}"/>
    <hyperlink ref="L13" r:id="rId12" xr:uid="{2E08634E-7AC2-4FAD-B3C1-F574B0014D2B}"/>
    <hyperlink ref="L14" r:id="rId13" xr:uid="{31E6BD70-2454-49D0-AD35-118240C8C668}"/>
    <hyperlink ref="L15" r:id="rId14" xr:uid="{96ECCABB-EA55-4924-AEF5-4290B71B29C2}"/>
    <hyperlink ref="L16" r:id="rId15" xr:uid="{1635B3D2-46EC-48ED-AC50-D0C5405E8579}"/>
    <hyperlink ref="L17" r:id="rId16" xr:uid="{AAD9F6BF-8C69-4172-9AD8-8C7CD7820931}"/>
    <hyperlink ref="L18" r:id="rId17" xr:uid="{9E74A2B7-1042-4A41-88B8-40A9F50E06C0}"/>
    <hyperlink ref="L19" r:id="rId18" xr:uid="{B6C17307-22E4-420A-B88B-B2E2B5E24B37}"/>
    <hyperlink ref="L20" r:id="rId19" xr:uid="{3A34AE39-50E4-4969-97D3-35D6AAC5329D}"/>
    <hyperlink ref="L21" r:id="rId20" xr:uid="{E160B89A-75C8-4FFF-A88F-F89251DB2F03}"/>
    <hyperlink ref="L23" r:id="rId21" xr:uid="{DA72E5B2-C46F-4B2F-B04A-211A5258B441}"/>
    <hyperlink ref="L22" r:id="rId22" xr:uid="{82301447-38EB-47A3-AB1C-ED16EA290E7D}"/>
    <hyperlink ref="L24" r:id="rId23" xr:uid="{B2F7BD9E-EEE5-49D4-9F3E-3A04FFD1F303}"/>
    <hyperlink ref="L25" r:id="rId24" xr:uid="{6BE49CD7-4FCB-43D3-ADED-03EBDA54C236}"/>
    <hyperlink ref="L26" r:id="rId25" xr:uid="{C2E2005E-99DA-4659-B952-2E565D5F27E1}"/>
    <hyperlink ref="L27" r:id="rId26" xr:uid="{C5E5A782-4EF2-4276-BDF4-632945E59054}"/>
    <hyperlink ref="L28" r:id="rId27" xr:uid="{AB45C99F-D2E7-42E1-A6C8-E6123EC48890}"/>
    <hyperlink ref="L29" r:id="rId28" xr:uid="{C5841288-25A8-482B-902B-B44C7B015A6F}"/>
    <hyperlink ref="L30" r:id="rId29" xr:uid="{305C0912-7589-46F1-8341-2288DBC11E00}"/>
    <hyperlink ref="L31" r:id="rId30" xr:uid="{319B47DB-EE13-44DE-BF48-3FD4872B9D64}"/>
    <hyperlink ref="L32" r:id="rId31" xr:uid="{15F1FAEE-7A9C-48B6-BC2D-1AB4E88BEBDE}"/>
    <hyperlink ref="L33" r:id="rId32" xr:uid="{D4A47B70-994E-49CC-9AF3-01F4FAC70B85}"/>
    <hyperlink ref="L34" r:id="rId33" xr:uid="{BE40543D-51AA-41AD-B617-1DE5A1C73CD0}"/>
    <hyperlink ref="L35" r:id="rId34" xr:uid="{4C976864-3DE1-4915-B091-34C928F22139}"/>
    <hyperlink ref="L36" r:id="rId35" xr:uid="{58B569EE-6C69-4C46-9E29-9B2A0E02F5FD}"/>
  </hyperlinks>
  <pageMargins left="0.19685039370078741" right="0.19685039370078741" top="0.19685039370078741" bottom="0.19685039370078741" header="0" footer="0"/>
  <pageSetup paperSize="9" scale="74" fitToHeight="0" orientation="landscape" horizontalDpi="4294967293" verticalDpi="0" r:id="rId36"/>
  <ignoredErrors>
    <ignoredError sqref="Y9:Y12 Z9:Z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3A111-06BD-408D-AC3C-58537BB394D2}">
  <dimension ref="A1:N9"/>
  <sheetViews>
    <sheetView workbookViewId="0">
      <selection activeCell="G3" sqref="G3"/>
    </sheetView>
  </sheetViews>
  <sheetFormatPr defaultRowHeight="16.5" x14ac:dyDescent="0.3"/>
  <cols>
    <col min="1" max="2" width="5.625" customWidth="1"/>
    <col min="3" max="6" width="10.625" customWidth="1"/>
  </cols>
  <sheetData>
    <row r="1" spans="1:14" x14ac:dyDescent="0.3">
      <c r="A1" s="190" t="s">
        <v>158</v>
      </c>
      <c r="B1" s="191"/>
      <c r="C1" s="8">
        <v>0</v>
      </c>
      <c r="D1" s="8">
        <v>10000</v>
      </c>
      <c r="E1" s="8">
        <v>100000</v>
      </c>
      <c r="F1" s="8">
        <v>200000</v>
      </c>
    </row>
    <row r="2" spans="1:14" x14ac:dyDescent="0.3">
      <c r="A2" s="190" t="s">
        <v>159</v>
      </c>
      <c r="B2" s="191"/>
      <c r="C2" s="6">
        <v>4</v>
      </c>
      <c r="D2" s="6">
        <v>3</v>
      </c>
      <c r="E2" s="6">
        <v>2</v>
      </c>
      <c r="F2" s="6">
        <v>1</v>
      </c>
      <c r="N2">
        <f ca="1">VLOOKUP(회원정보!O2,$B$4:$F$9,MATCH(회원정보!T2,$C$3:$F$3,0)+1,TRUE)</f>
        <v>0.23</v>
      </c>
    </row>
    <row r="3" spans="1:14" ht="16.5" customHeight="1" x14ac:dyDescent="0.3">
      <c r="A3" s="190" t="s">
        <v>160</v>
      </c>
      <c r="B3" s="191"/>
      <c r="C3" s="6" t="s">
        <v>161</v>
      </c>
      <c r="D3" s="6" t="s">
        <v>162</v>
      </c>
      <c r="E3" s="6" t="s">
        <v>163</v>
      </c>
      <c r="F3" s="6" t="s">
        <v>164</v>
      </c>
    </row>
    <row r="4" spans="1:14" x14ac:dyDescent="0.3">
      <c r="A4" s="192" t="s">
        <v>165</v>
      </c>
      <c r="B4" s="6">
        <v>0</v>
      </c>
      <c r="C4" s="7">
        <v>0</v>
      </c>
      <c r="D4" s="7">
        <v>0.03</v>
      </c>
      <c r="E4" s="7">
        <v>7.0000000000000007E-2</v>
      </c>
      <c r="F4" s="7">
        <v>0.1</v>
      </c>
    </row>
    <row r="5" spans="1:14" x14ac:dyDescent="0.3">
      <c r="A5" s="193"/>
      <c r="B5" s="6">
        <v>3</v>
      </c>
      <c r="C5" s="7">
        <v>0.01</v>
      </c>
      <c r="D5" s="7">
        <v>0.05</v>
      </c>
      <c r="E5" s="7">
        <v>0.1</v>
      </c>
      <c r="F5" s="7">
        <v>0.15</v>
      </c>
    </row>
    <row r="6" spans="1:14" x14ac:dyDescent="0.3">
      <c r="A6" s="193"/>
      <c r="B6" s="6">
        <v>5</v>
      </c>
      <c r="C6" s="7">
        <v>0.02</v>
      </c>
      <c r="D6" s="7">
        <v>0.08</v>
      </c>
      <c r="E6" s="7">
        <v>0.15</v>
      </c>
      <c r="F6" s="7">
        <v>0.2</v>
      </c>
    </row>
    <row r="7" spans="1:14" x14ac:dyDescent="0.3">
      <c r="A7" s="193"/>
      <c r="B7" s="6">
        <v>10</v>
      </c>
      <c r="C7" s="7">
        <v>0.03</v>
      </c>
      <c r="D7" s="7">
        <v>0.1</v>
      </c>
      <c r="E7" s="7">
        <v>0.2</v>
      </c>
      <c r="F7" s="7">
        <v>0.25</v>
      </c>
    </row>
    <row r="8" spans="1:14" x14ac:dyDescent="0.3">
      <c r="A8" s="193"/>
      <c r="B8" s="6">
        <v>15</v>
      </c>
      <c r="C8" s="7">
        <v>0.04</v>
      </c>
      <c r="D8" s="7">
        <v>0.13</v>
      </c>
      <c r="E8" s="7">
        <v>0.23</v>
      </c>
      <c r="F8" s="7">
        <v>0.3</v>
      </c>
    </row>
    <row r="9" spans="1:14" x14ac:dyDescent="0.3">
      <c r="A9" s="194"/>
      <c r="B9" s="6">
        <v>20</v>
      </c>
      <c r="C9" s="7">
        <v>0.05</v>
      </c>
      <c r="D9" s="7">
        <v>0.15</v>
      </c>
      <c r="E9" s="7">
        <v>0.25</v>
      </c>
      <c r="F9" s="7">
        <v>0.35</v>
      </c>
    </row>
  </sheetData>
  <mergeCells count="4">
    <mergeCell ref="A1:B1"/>
    <mergeCell ref="A2:B2"/>
    <mergeCell ref="A3:B3"/>
    <mergeCell ref="A4:A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회원정보</vt:lpstr>
      <vt:lpstr>할인율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zoom</dc:creator>
  <cp:lastModifiedBy>Administrator</cp:lastModifiedBy>
  <cp:lastPrinted>2019-08-28T06:21:14Z</cp:lastPrinted>
  <dcterms:created xsi:type="dcterms:W3CDTF">2019-08-09T06:57:54Z</dcterms:created>
  <dcterms:modified xsi:type="dcterms:W3CDTF">2019-10-04T05:20:46Z</dcterms:modified>
</cp:coreProperties>
</file>